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4.xml" ContentType="application/vnd.openxmlformats-officedocument.drawing+xml"/>
  <Override PartName="/xl/charts/chart20.xml" ContentType="application/vnd.openxmlformats-officedocument.drawingml.chart+xml"/>
  <Override PartName="/xl/drawings/drawing5.xml" ContentType="application/vnd.openxmlformats-officedocument.drawingml.chartshapes+xml"/>
  <Override PartName="/xl/charts/chart21.xml" ContentType="application/vnd.openxmlformats-officedocument.drawingml.chart+xml"/>
  <Override PartName="/xl/drawings/drawing6.xml" ContentType="application/vnd.openxmlformats-officedocument.drawingml.chartshapes+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drawings/drawing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H:\APP\PA\PAForum\Web Publications\FINANCE\Overview Appropriations\"/>
    </mc:Choice>
  </mc:AlternateContent>
  <xr:revisionPtr revIDLastSave="0" documentId="13_ncr:1_{1C4D6B4C-EF55-41E0-9C39-D5B834C33CD6}" xr6:coauthVersionLast="45" xr6:coauthVersionMax="45" xr10:uidLastSave="{00000000-0000-0000-0000-000000000000}"/>
  <bookViews>
    <workbookView xWindow="-120" yWindow="-120" windowWidth="20730" windowHeight="11160" tabRatio="715" xr2:uid="{00000000-000D-0000-FFFF-FFFF00000000}"/>
  </bookViews>
  <sheets>
    <sheet name="Start" sheetId="7" r:id="rId1"/>
    <sheet name="Summary - Dollars" sheetId="5" r:id="rId2"/>
    <sheet name="Summary - Millions" sheetId="1" r:id="rId3"/>
    <sheet name="Biennia History" sheetId="8" r:id="rId4"/>
    <sheet name="Footnotes" sheetId="6" r:id="rId5"/>
    <sheet name="Data" sheetId="3" r:id="rId6"/>
    <sheet name="Verif" sheetId="11" state="hidden" r:id="rId7"/>
    <sheet name="SREB-SHEEO" sheetId="4" state="hidden" r:id="rId8"/>
    <sheet name="Reconciliation" sheetId="2" state="hidden" r:id="rId9"/>
    <sheet name="AF Balancing" sheetId="9" state="hidden" r:id="rId10"/>
    <sheet name="GR Balancing" sheetId="10" state="hidden" r:id="rId11"/>
  </sheets>
  <definedNames>
    <definedName name="_xlnm._FilterDatabase" localSheetId="5" hidden="1">Data!$A$1:$AQ$318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M2285" i="3" l="1"/>
  <c r="AM2284" i="3"/>
  <c r="AM2283" i="3"/>
  <c r="AM2282" i="3"/>
  <c r="AM2280" i="3"/>
  <c r="AM2279" i="3"/>
  <c r="AM2278" i="3"/>
  <c r="AM2277" i="3"/>
  <c r="AM2276" i="3"/>
  <c r="AM2275" i="3"/>
  <c r="AM2273" i="3"/>
  <c r="AM2272" i="3"/>
  <c r="AM2271" i="3"/>
  <c r="AM2270" i="3"/>
  <c r="AM2268" i="3"/>
  <c r="AM2267" i="3"/>
  <c r="AM2266" i="3"/>
  <c r="AM2265" i="3"/>
  <c r="AM2264" i="3"/>
  <c r="AM2263" i="3"/>
  <c r="AM2262" i="3"/>
  <c r="AM2260" i="3"/>
  <c r="AM2259" i="3"/>
  <c r="AM2258" i="3"/>
  <c r="AM2256" i="3"/>
  <c r="AM2255" i="3"/>
  <c r="AM2254" i="3"/>
  <c r="AM2253" i="3"/>
  <c r="AM2252" i="3"/>
  <c r="AM2251" i="3"/>
  <c r="AM2250" i="3"/>
  <c r="AM2249" i="3"/>
  <c r="AM2248" i="3"/>
  <c r="AM2247" i="3"/>
  <c r="AM2246" i="3"/>
  <c r="AM2245" i="3"/>
  <c r="AM2244" i="3"/>
  <c r="AM2243" i="3"/>
  <c r="AM2242" i="3"/>
  <c r="AM2241" i="3"/>
  <c r="AM2240" i="3"/>
  <c r="AM2239" i="3"/>
  <c r="AM2238" i="3"/>
  <c r="AM2237" i="3"/>
  <c r="AM2236" i="3"/>
  <c r="AM2235" i="3"/>
  <c r="AM2234" i="3"/>
  <c r="AM2232" i="3"/>
  <c r="AM2231" i="3"/>
  <c r="AM2230" i="3"/>
  <c r="AM2227" i="3"/>
  <c r="AM2226" i="3"/>
  <c r="AM2225" i="3"/>
  <c r="AM2224" i="3"/>
  <c r="AM2223" i="3"/>
  <c r="AQ318" i="3" l="1"/>
  <c r="AP318" i="3"/>
  <c r="AO318" i="3"/>
  <c r="AN318" i="3"/>
  <c r="AM318" i="3"/>
  <c r="AL318" i="3"/>
  <c r="AK318" i="3"/>
  <c r="AJ318" i="3"/>
  <c r="AI318" i="3"/>
  <c r="AH318" i="3"/>
  <c r="AQ317" i="3"/>
  <c r="AP317" i="3"/>
  <c r="AO317" i="3"/>
  <c r="AN317" i="3"/>
  <c r="AM317" i="3"/>
  <c r="AL317" i="3"/>
  <c r="AK317" i="3"/>
  <c r="AJ317" i="3"/>
  <c r="AI317" i="3"/>
  <c r="AH317" i="3"/>
  <c r="AQ316" i="3"/>
  <c r="AP316" i="3"/>
  <c r="AO316" i="3"/>
  <c r="AN316" i="3"/>
  <c r="AM316" i="3"/>
  <c r="AL316" i="3"/>
  <c r="AK316" i="3"/>
  <c r="AJ316" i="3"/>
  <c r="AI316" i="3"/>
  <c r="AH316" i="3"/>
  <c r="AQ315" i="3"/>
  <c r="AP315" i="3"/>
  <c r="AO315" i="3"/>
  <c r="AN315" i="3"/>
  <c r="AM315" i="3"/>
  <c r="AL315" i="3"/>
  <c r="AK315" i="3"/>
  <c r="AJ315" i="3"/>
  <c r="AI315" i="3"/>
  <c r="AH315" i="3"/>
  <c r="AQ314" i="3"/>
  <c r="AP314" i="3"/>
  <c r="AO314" i="3"/>
  <c r="AN314" i="3"/>
  <c r="AM314" i="3"/>
  <c r="AL314" i="3"/>
  <c r="AK314" i="3"/>
  <c r="AJ314" i="3"/>
  <c r="AI314" i="3"/>
  <c r="AH314" i="3"/>
  <c r="AQ313" i="3"/>
  <c r="AP313" i="3"/>
  <c r="AO313" i="3"/>
  <c r="AN313" i="3"/>
  <c r="AM313" i="3"/>
  <c r="AL313" i="3"/>
  <c r="AK313" i="3"/>
  <c r="AJ313" i="3"/>
  <c r="AI313" i="3"/>
  <c r="AH313" i="3"/>
  <c r="AM312" i="3"/>
  <c r="AL312" i="3"/>
  <c r="AK312" i="3"/>
  <c r="AJ312" i="3"/>
  <c r="AH312" i="3"/>
  <c r="AI312" i="3"/>
  <c r="AK1822" i="3" l="1"/>
  <c r="AJ1822" i="3"/>
  <c r="AI1822" i="3"/>
  <c r="AH1822" i="3"/>
  <c r="AG1822" i="3"/>
  <c r="AF1822" i="3"/>
  <c r="AL2205" i="3" l="1"/>
  <c r="AQ2205" i="3"/>
  <c r="AP2205" i="3"/>
  <c r="AO2205" i="3"/>
  <c r="AN2205" i="3"/>
  <c r="AM2205" i="3"/>
  <c r="AJ2205" i="3"/>
  <c r="AI2205" i="3"/>
  <c r="AH2205" i="3"/>
  <c r="AG2205" i="3"/>
  <c r="AF2205" i="3"/>
  <c r="AE2205" i="3"/>
  <c r="AD2205" i="3"/>
  <c r="AK2205" i="3"/>
  <c r="AE2195" i="3"/>
  <c r="AD2195" i="3"/>
  <c r="AC2195" i="3"/>
  <c r="AB2195" i="3"/>
  <c r="AP2195" i="3"/>
  <c r="AO2195" i="3"/>
  <c r="AN2195" i="3"/>
  <c r="AM2195" i="3"/>
  <c r="AL2195" i="3"/>
  <c r="AK2195" i="3"/>
  <c r="AJ2195" i="3"/>
  <c r="AI2195" i="3"/>
  <c r="AH2195" i="3"/>
  <c r="AG2195" i="3"/>
  <c r="AF2195" i="3"/>
  <c r="AQ2195" i="3"/>
  <c r="AE2142" i="3"/>
  <c r="AD2142" i="3"/>
  <c r="AC2142" i="3"/>
  <c r="AB2142" i="3"/>
  <c r="AQ2132" i="3"/>
  <c r="AP2132" i="3"/>
  <c r="AO2132" i="3"/>
  <c r="AN2132" i="3"/>
  <c r="AM2132" i="3"/>
  <c r="AK2132" i="3"/>
  <c r="AJ2132" i="3"/>
  <c r="AI2132" i="3"/>
  <c r="AH2132" i="3"/>
  <c r="AG2132" i="3"/>
  <c r="AF2132" i="3"/>
  <c r="AL2132" i="3"/>
  <c r="AQ2142" i="3"/>
  <c r="AP2142" i="3"/>
  <c r="AO2142" i="3"/>
  <c r="AN2142" i="3"/>
  <c r="AM2142" i="3"/>
  <c r="AL2142" i="3"/>
  <c r="AK2142" i="3"/>
  <c r="AJ2142" i="3"/>
  <c r="AI2142" i="3"/>
  <c r="AH2142" i="3"/>
  <c r="AG2142" i="3"/>
  <c r="AF2142" i="3"/>
  <c r="AQ2210" i="3"/>
  <c r="AP2210" i="3"/>
  <c r="AO2210" i="3"/>
  <c r="AN2210" i="3"/>
  <c r="AM2210" i="3"/>
  <c r="AL2210" i="3"/>
  <c r="AK2210" i="3"/>
  <c r="AJ2210" i="3"/>
  <c r="AI2210" i="3"/>
  <c r="AH2210" i="3"/>
  <c r="AG2210" i="3"/>
  <c r="AF2210" i="3"/>
  <c r="AB2128" i="3" l="1"/>
  <c r="AC2128" i="3"/>
  <c r="AD2128" i="3"/>
  <c r="AE2128" i="3"/>
  <c r="AF2128" i="3"/>
  <c r="AG2128" i="3"/>
  <c r="AH2128" i="3"/>
  <c r="AI2128" i="3"/>
  <c r="AJ2128" i="3"/>
  <c r="AK2128" i="3"/>
  <c r="AL2128" i="3"/>
  <c r="AM2128" i="3"/>
  <c r="AN2128" i="3"/>
  <c r="AO2128" i="3"/>
  <c r="AP2128" i="3"/>
  <c r="AQ2128" i="3"/>
  <c r="AL2326" i="3" l="1"/>
  <c r="AM2326" i="3"/>
  <c r="AL2324" i="3"/>
  <c r="AM2324" i="3"/>
  <c r="AL2325" i="3"/>
  <c r="AM2325" i="3"/>
  <c r="AN2325" i="3"/>
  <c r="AP2325" i="3"/>
  <c r="AQ2325" i="3"/>
  <c r="AO2325" i="3"/>
  <c r="AN2326" i="3"/>
  <c r="AO2326" i="3"/>
  <c r="AQ2326" i="3"/>
  <c r="AP2326" i="3"/>
  <c r="AL2322" i="3"/>
  <c r="AM2322" i="3"/>
  <c r="AO2322" i="3"/>
  <c r="AP2322" i="3"/>
  <c r="AQ2322" i="3"/>
  <c r="AN2322" i="3"/>
  <c r="AO2324" i="3"/>
  <c r="AN2324" i="3"/>
  <c r="AN2065" i="3" l="1"/>
  <c r="AO2065" i="3"/>
  <c r="AP2065" i="3"/>
  <c r="AQ2065" i="3"/>
  <c r="AM2065" i="3"/>
  <c r="AN1993" i="3"/>
  <c r="AO1993" i="3"/>
  <c r="N142" i="4" l="1"/>
  <c r="I141" i="4"/>
  <c r="I142" i="4"/>
  <c r="I20" i="4"/>
  <c r="G20" i="4"/>
  <c r="D20" i="4"/>
  <c r="H20" i="4"/>
  <c r="G142" i="4"/>
  <c r="G141" i="4"/>
  <c r="P20" i="4" l="1"/>
  <c r="V20" i="4" s="1"/>
  <c r="X20" i="4" s="1"/>
  <c r="AO244" i="3"/>
  <c r="AN244" i="3"/>
  <c r="AO144" i="3"/>
  <c r="AN144" i="3"/>
  <c r="AO241" i="3"/>
  <c r="AO312" i="3" s="1"/>
  <c r="AN241" i="3"/>
  <c r="AN312" i="3" s="1"/>
  <c r="AQ241" i="3"/>
  <c r="AQ312" i="3" s="1"/>
  <c r="AP241" i="3"/>
  <c r="AP312" i="3" s="1"/>
  <c r="AQ144" i="3"/>
  <c r="AJ2668" i="3" l="1"/>
  <c r="AI2668" i="3"/>
  <c r="AH2668" i="3"/>
  <c r="AG2668" i="3"/>
  <c r="AF2668" i="3"/>
  <c r="AE2668" i="3"/>
  <c r="AD2668" i="3"/>
  <c r="AC2668" i="3"/>
  <c r="AB2668" i="3"/>
  <c r="AA2668" i="3"/>
  <c r="Z2668" i="3"/>
  <c r="Y2668" i="3"/>
  <c r="X2668" i="3"/>
  <c r="W2668" i="3"/>
  <c r="V2668" i="3"/>
  <c r="U2668" i="3"/>
  <c r="T2668" i="3"/>
  <c r="S2668" i="3"/>
  <c r="R2668" i="3"/>
  <c r="Q2668" i="3"/>
  <c r="P2668" i="3"/>
  <c r="AK2668" i="3"/>
  <c r="AL2668" i="3"/>
  <c r="AM2668" i="3"/>
  <c r="AN2668" i="3"/>
  <c r="AO2668" i="3"/>
  <c r="AO147" i="3" l="1"/>
  <c r="AN147" i="3"/>
  <c r="AM584" i="3" l="1"/>
  <c r="AP232" i="3"/>
  <c r="D193" i="4" s="1"/>
  <c r="AO232" i="3"/>
  <c r="AN232" i="3"/>
  <c r="AM232" i="3"/>
  <c r="AL232" i="3"/>
  <c r="AK232" i="3"/>
  <c r="AJ232" i="3"/>
  <c r="AI232" i="3"/>
  <c r="AH232" i="3"/>
  <c r="AG232" i="3"/>
  <c r="AE232" i="3"/>
  <c r="AD232" i="3"/>
  <c r="AQ232" i="3"/>
  <c r="AP173" i="3" l="1"/>
  <c r="AQ198" i="3"/>
  <c r="AP198" i="3"/>
  <c r="AP144" i="3" l="1"/>
  <c r="AP2277" i="3" l="1"/>
  <c r="AQ201" i="3" l="1"/>
  <c r="AP201" i="3"/>
  <c r="AO201" i="3"/>
  <c r="AN201" i="3"/>
  <c r="AO588" i="3" l="1"/>
  <c r="AN588" i="3"/>
  <c r="AM588" i="3"/>
  <c r="AL588" i="3"/>
  <c r="AK588" i="3"/>
  <c r="AJ588" i="3"/>
  <c r="AI588" i="3"/>
  <c r="AH588" i="3"/>
  <c r="AG588" i="3"/>
  <c r="AF588" i="3"/>
  <c r="AE588" i="3"/>
  <c r="AD588" i="3"/>
  <c r="AO587" i="3"/>
  <c r="AN587" i="3"/>
  <c r="AM587" i="3"/>
  <c r="AL587" i="3"/>
  <c r="AK587" i="3"/>
  <c r="AJ587" i="3"/>
  <c r="AI587" i="3"/>
  <c r="AH587" i="3"/>
  <c r="AG587" i="3"/>
  <c r="AF587" i="3"/>
  <c r="AE587" i="3"/>
  <c r="AD587" i="3"/>
  <c r="AO586" i="3"/>
  <c r="AN586" i="3"/>
  <c r="AM586" i="3"/>
  <c r="AL586" i="3"/>
  <c r="AK586" i="3"/>
  <c r="AJ586" i="3"/>
  <c r="AI586" i="3"/>
  <c r="AH586" i="3"/>
  <c r="AG586" i="3"/>
  <c r="AF586" i="3"/>
  <c r="AE586" i="3"/>
  <c r="AD586" i="3"/>
  <c r="AO585" i="3"/>
  <c r="AN585" i="3"/>
  <c r="AM585" i="3"/>
  <c r="AL585" i="3"/>
  <c r="AK585" i="3"/>
  <c r="AJ585" i="3"/>
  <c r="AI585" i="3"/>
  <c r="AH585" i="3"/>
  <c r="AG585" i="3"/>
  <c r="AF585" i="3"/>
  <c r="AE585" i="3"/>
  <c r="AD585" i="3"/>
  <c r="AO584" i="3"/>
  <c r="AN584" i="3"/>
  <c r="AL584" i="3"/>
  <c r="AK584" i="3"/>
  <c r="AJ584" i="3"/>
  <c r="AI584" i="3"/>
  <c r="AH584" i="3"/>
  <c r="AG584" i="3"/>
  <c r="AF584" i="3"/>
  <c r="AE584" i="3"/>
  <c r="AD584" i="3"/>
  <c r="AO583" i="3"/>
  <c r="AN583" i="3"/>
  <c r="AM583" i="3"/>
  <c r="AL583" i="3"/>
  <c r="AK583" i="3"/>
  <c r="AJ583" i="3"/>
  <c r="AI583" i="3"/>
  <c r="AH583" i="3"/>
  <c r="AG583" i="3"/>
  <c r="AF583" i="3"/>
  <c r="AE583" i="3"/>
  <c r="AD583" i="3"/>
  <c r="AO582" i="3"/>
  <c r="AN582" i="3"/>
  <c r="AM582" i="3"/>
  <c r="AL582" i="3"/>
  <c r="AK582" i="3"/>
  <c r="AJ582" i="3"/>
  <c r="AI582" i="3"/>
  <c r="AH582" i="3"/>
  <c r="AG582" i="3"/>
  <c r="AF582" i="3"/>
  <c r="AE582" i="3"/>
  <c r="AD582" i="3"/>
  <c r="AQ588" i="3"/>
  <c r="AQ587" i="3"/>
  <c r="AQ586" i="3"/>
  <c r="AQ585" i="3"/>
  <c r="AQ584" i="3"/>
  <c r="AQ583" i="3"/>
  <c r="AQ582" i="3"/>
  <c r="AP588" i="3"/>
  <c r="AP587" i="3"/>
  <c r="AP586" i="3"/>
  <c r="G193" i="4" s="1"/>
  <c r="AP585" i="3"/>
  <c r="AP584" i="3"/>
  <c r="AP583" i="3"/>
  <c r="AQ2279" i="3" l="1"/>
  <c r="AP2279" i="3"/>
  <c r="AQ2277" i="3" l="1"/>
  <c r="AL3173" i="3" l="1"/>
  <c r="AL3172" i="3"/>
  <c r="AL3171" i="3"/>
  <c r="AL3170" i="3"/>
  <c r="AL3169" i="3"/>
  <c r="AL3168" i="3"/>
  <c r="AL3167" i="3"/>
  <c r="AL3166" i="3"/>
  <c r="AQ3173" i="3"/>
  <c r="AP3173" i="3"/>
  <c r="AO3173" i="3"/>
  <c r="AN3173" i="3"/>
  <c r="AM3173" i="3"/>
  <c r="AQ3172" i="3"/>
  <c r="AP3172" i="3"/>
  <c r="AO3172" i="3"/>
  <c r="AN3172" i="3"/>
  <c r="AM3172" i="3"/>
  <c r="AQ3171" i="3"/>
  <c r="AP3171" i="3"/>
  <c r="AO3171" i="3"/>
  <c r="AN3171" i="3"/>
  <c r="AM3171" i="3"/>
  <c r="AQ3170" i="3"/>
  <c r="AP3170" i="3"/>
  <c r="AO3170" i="3"/>
  <c r="AN3170" i="3"/>
  <c r="AM3170" i="3"/>
  <c r="AQ3169" i="3"/>
  <c r="AP3169" i="3"/>
  <c r="AO3169" i="3"/>
  <c r="AN3169" i="3"/>
  <c r="AM3169" i="3"/>
  <c r="AQ3168" i="3"/>
  <c r="AP3168" i="3"/>
  <c r="AO3168" i="3"/>
  <c r="AN3168" i="3"/>
  <c r="AM3168" i="3"/>
  <c r="AP3167" i="3"/>
  <c r="AO3167" i="3"/>
  <c r="AN3167" i="3"/>
  <c r="AM3167" i="3"/>
  <c r="AP3166" i="3"/>
  <c r="AO3166" i="3"/>
  <c r="AN3166" i="3"/>
  <c r="AM3166" i="3"/>
  <c r="AQ3166" i="3"/>
  <c r="AQ3167" i="3"/>
  <c r="AK3166" i="3" l="1"/>
  <c r="AJ3166" i="3"/>
  <c r="AI3166" i="3"/>
  <c r="AG3166" i="3"/>
  <c r="AF3166" i="3"/>
  <c r="AE3166" i="3"/>
  <c r="AD3166" i="3"/>
  <c r="AH3166" i="3"/>
  <c r="AB2293" i="3" l="1"/>
  <c r="AC2293" i="3"/>
  <c r="AD2293" i="3"/>
  <c r="AE2293" i="3"/>
  <c r="AF2293" i="3"/>
  <c r="AG2293" i="3"/>
  <c r="AH2293" i="3"/>
  <c r="AI2293" i="3"/>
  <c r="AJ2293" i="3"/>
  <c r="AK2293" i="3"/>
  <c r="AL2293" i="3"/>
  <c r="AN2293" i="3"/>
  <c r="AO2293" i="3"/>
  <c r="AP2293" i="3"/>
  <c r="N193" i="4" s="1"/>
  <c r="AQ2293" i="3"/>
  <c r="AD834" i="3"/>
  <c r="AE834" i="3"/>
  <c r="AF834" i="3"/>
  <c r="AG834" i="3"/>
  <c r="AH834" i="3"/>
  <c r="AI834" i="3"/>
  <c r="AJ834" i="3"/>
  <c r="AK834" i="3"/>
  <c r="AL834" i="3"/>
  <c r="AM834" i="3"/>
  <c r="AN834" i="3"/>
  <c r="AO834" i="3"/>
  <c r="AP834" i="3"/>
  <c r="H193" i="4" s="1"/>
  <c r="AQ834" i="3"/>
  <c r="AD972" i="3" l="1"/>
  <c r="AE972" i="3"/>
  <c r="AF972" i="3"/>
  <c r="AG972" i="3"/>
  <c r="AH972" i="3"/>
  <c r="AI972" i="3"/>
  <c r="AJ972" i="3"/>
  <c r="AK972" i="3"/>
  <c r="AL972" i="3"/>
  <c r="AM972" i="3"/>
  <c r="AN972" i="3"/>
  <c r="AO972" i="3"/>
  <c r="AP972" i="3"/>
  <c r="I195" i="4" s="1"/>
  <c r="AQ972" i="3"/>
  <c r="S574" i="4" l="1"/>
  <c r="AO2026" i="3" l="1"/>
  <c r="AN2026" i="3"/>
  <c r="AM2026" i="3"/>
  <c r="AL2026" i="3"/>
  <c r="AK2026" i="3"/>
  <c r="AJ2026" i="3"/>
  <c r="AI2026" i="3"/>
  <c r="AH2026" i="3"/>
  <c r="AG2026" i="3"/>
  <c r="AF2026" i="3"/>
  <c r="AE2026" i="3"/>
  <c r="AD2026" i="3"/>
  <c r="AC2026" i="3"/>
  <c r="AB2026" i="3"/>
  <c r="AQ2026" i="3"/>
  <c r="AP2026" i="3"/>
  <c r="AQ45" i="3" l="1"/>
  <c r="AP966" i="3" l="1"/>
  <c r="AO966" i="3"/>
  <c r="AN966" i="3"/>
  <c r="AM966" i="3"/>
  <c r="AL966" i="3"/>
  <c r="AK966" i="3"/>
  <c r="AJ966" i="3"/>
  <c r="AG966" i="3"/>
  <c r="AF966" i="3"/>
  <c r="AE966" i="3"/>
  <c r="AD966" i="3"/>
  <c r="AQ966" i="3"/>
  <c r="AP581" i="3"/>
  <c r="AO581" i="3"/>
  <c r="AN581" i="3"/>
  <c r="AM581" i="3"/>
  <c r="AL581" i="3"/>
  <c r="AK581" i="3"/>
  <c r="AJ581" i="3"/>
  <c r="AI581" i="3"/>
  <c r="AH581" i="3"/>
  <c r="AG581" i="3"/>
  <c r="AF581" i="3"/>
  <c r="AE581" i="3"/>
  <c r="AD581" i="3"/>
  <c r="AQ581" i="3"/>
  <c r="AQ219" i="3" l="1"/>
  <c r="AP219" i="3"/>
  <c r="AM219" i="3"/>
  <c r="AL219" i="3"/>
  <c r="AE219" i="3"/>
  <c r="AD219" i="3"/>
  <c r="AP45" i="3"/>
  <c r="AP2377" i="3" l="1"/>
  <c r="AO2377" i="3" l="1"/>
  <c r="AP2410" i="3"/>
  <c r="AP2378" i="3"/>
  <c r="AP2380" i="3" s="1"/>
  <c r="AP2382" i="3" s="1"/>
  <c r="AP2411" i="3" l="1"/>
  <c r="AQ2057" i="3"/>
  <c r="AP2057" i="3"/>
  <c r="AP2372" i="3" l="1"/>
  <c r="AP2371" i="3"/>
  <c r="AP2370" i="3"/>
  <c r="AP2373" i="3" l="1"/>
  <c r="AO2599" i="3" l="1"/>
  <c r="AO2579" i="3"/>
  <c r="AO2535" i="3"/>
  <c r="AO2915" i="3"/>
  <c r="AO2910" i="3"/>
  <c r="AO2902" i="3"/>
  <c r="AO2847" i="3"/>
  <c r="AO2780" i="3"/>
  <c r="AO2766" i="3"/>
  <c r="AO2795" i="3"/>
  <c r="AO2790" i="3"/>
  <c r="AO2673" i="3"/>
  <c r="AO2956" i="3"/>
  <c r="AO2970" i="3"/>
  <c r="AO2978" i="3"/>
  <c r="AO2983" i="3"/>
  <c r="AO3035" i="3"/>
  <c r="AO2725" i="3"/>
  <c r="AO2468" i="3"/>
  <c r="AO2520" i="3"/>
  <c r="AN2644" i="3"/>
  <c r="AM2644" i="3"/>
  <c r="AL2644" i="3"/>
  <c r="AK2644" i="3"/>
  <c r="AJ2644" i="3"/>
  <c r="AI2644" i="3"/>
  <c r="AH2644" i="3"/>
  <c r="AG2644" i="3"/>
  <c r="AF2644" i="3"/>
  <c r="AE2644" i="3"/>
  <c r="AD2644" i="3"/>
  <c r="AC2644" i="3"/>
  <c r="AB2644" i="3"/>
  <c r="AA2644" i="3"/>
  <c r="Z2644" i="3"/>
  <c r="Y2644" i="3"/>
  <c r="X2644" i="3"/>
  <c r="W2644" i="3"/>
  <c r="V2644" i="3"/>
  <c r="U2644" i="3"/>
  <c r="T2644" i="3"/>
  <c r="S2644" i="3"/>
  <c r="R2644" i="3"/>
  <c r="Q2644" i="3"/>
  <c r="P2644" i="3"/>
  <c r="O2644" i="3"/>
  <c r="N2644" i="3"/>
  <c r="M2644" i="3"/>
  <c r="L2644" i="3"/>
  <c r="K2644" i="3"/>
  <c r="J2644" i="3"/>
  <c r="I2644" i="3"/>
  <c r="H2644" i="3"/>
  <c r="G2644" i="3"/>
  <c r="F2644" i="3"/>
  <c r="AO2659" i="3"/>
  <c r="AO2644" i="3"/>
  <c r="L2" i="6"/>
  <c r="K2" i="6"/>
  <c r="AL1105" i="3"/>
  <c r="AL1108" i="3" s="1"/>
  <c r="K142" i="4"/>
  <c r="K152" i="4"/>
  <c r="K176" i="4" s="1"/>
  <c r="H142" i="4"/>
  <c r="K31" i="4"/>
  <c r="K172" i="4" s="1"/>
  <c r="AQ2367" i="3"/>
  <c r="AP2367" i="3"/>
  <c r="L195" i="4" s="1"/>
  <c r="AQ2366" i="3"/>
  <c r="AP2366" i="3"/>
  <c r="AQ2365" i="3"/>
  <c r="AP2365" i="3"/>
  <c r="AQ2364" i="3"/>
  <c r="AP2364" i="3"/>
  <c r="L191" i="4" s="1"/>
  <c r="AQ2363" i="3"/>
  <c r="AP2363" i="3"/>
  <c r="L189" i="4" s="1"/>
  <c r="AQ2362" i="3"/>
  <c r="AP2362" i="3"/>
  <c r="L186" i="4" s="1"/>
  <c r="AQ2220" i="3"/>
  <c r="AP2220" i="3"/>
  <c r="AQ2324" i="3"/>
  <c r="AP2324" i="3"/>
  <c r="AP1163" i="3"/>
  <c r="AQ1135" i="3"/>
  <c r="AQ1154" i="3" s="1"/>
  <c r="AP1135" i="3"/>
  <c r="AQ1227" i="3"/>
  <c r="AP1227" i="3"/>
  <c r="AQ1125" i="3"/>
  <c r="AQ1163" i="3"/>
  <c r="AP1170" i="3"/>
  <c r="AQ1230" i="3"/>
  <c r="AP1230" i="3"/>
  <c r="AQ1229" i="3"/>
  <c r="AP1229" i="3"/>
  <c r="AQ1205" i="3"/>
  <c r="AP1205" i="3"/>
  <c r="AQ1201" i="3"/>
  <c r="AP1201" i="3"/>
  <c r="AQ1175" i="3"/>
  <c r="AP1175" i="3"/>
  <c r="AP1154" i="3"/>
  <c r="AP1125" i="3"/>
  <c r="AP1028" i="3"/>
  <c r="AQ1028" i="3"/>
  <c r="AQ1111" i="3"/>
  <c r="AP1111" i="3"/>
  <c r="AQ1110" i="3"/>
  <c r="AP1110" i="3"/>
  <c r="AQ1108" i="3"/>
  <c r="AP1108" i="3"/>
  <c r="AQ1102" i="3"/>
  <c r="AP1102" i="3"/>
  <c r="AQ1096" i="3"/>
  <c r="AP1096" i="3"/>
  <c r="AQ1067" i="3"/>
  <c r="AP1067" i="3"/>
  <c r="AQ1061" i="3"/>
  <c r="AP1061" i="3"/>
  <c r="AQ1034" i="3"/>
  <c r="AP1034" i="3"/>
  <c r="AQ1020" i="3"/>
  <c r="AP1020" i="3"/>
  <c r="AQ989" i="3"/>
  <c r="AP989" i="3"/>
  <c r="AQ973" i="3"/>
  <c r="AP973" i="3"/>
  <c r="I199" i="4" s="1"/>
  <c r="AQ971" i="3"/>
  <c r="AP971" i="3"/>
  <c r="AQ970" i="3"/>
  <c r="AP970" i="3"/>
  <c r="I192" i="4" s="1"/>
  <c r="AQ969" i="3"/>
  <c r="AP969" i="3"/>
  <c r="I191" i="4" s="1"/>
  <c r="AQ968" i="3"/>
  <c r="AP968" i="3"/>
  <c r="I194" i="4" s="1"/>
  <c r="AQ967" i="3"/>
  <c r="AP967" i="3"/>
  <c r="I189" i="4" s="1"/>
  <c r="I186" i="4"/>
  <c r="AQ836" i="3"/>
  <c r="AP836" i="3"/>
  <c r="H199" i="4" s="1"/>
  <c r="AQ835" i="3"/>
  <c r="AP835" i="3"/>
  <c r="H195" i="4" s="1"/>
  <c r="AQ833" i="3"/>
  <c r="AP833" i="3"/>
  <c r="AQ832" i="3"/>
  <c r="AP832" i="3"/>
  <c r="H191" i="4" s="1"/>
  <c r="AQ831" i="3"/>
  <c r="AP831" i="3"/>
  <c r="H194" i="4" s="1"/>
  <c r="AQ830" i="3"/>
  <c r="AP830" i="3"/>
  <c r="H189" i="4" s="1"/>
  <c r="AQ829" i="3"/>
  <c r="AP829" i="3"/>
  <c r="H186" i="4" s="1"/>
  <c r="AQ2074" i="3"/>
  <c r="AP2074" i="3"/>
  <c r="AQ2288" i="3"/>
  <c r="AP2291" i="3"/>
  <c r="N191" i="4" s="1"/>
  <c r="AQ2294" i="3"/>
  <c r="AP2294" i="3"/>
  <c r="N195" i="4" s="1"/>
  <c r="AQ2292" i="3"/>
  <c r="AP2292" i="3"/>
  <c r="AQ2290" i="3"/>
  <c r="AP2290" i="3"/>
  <c r="N194" i="4" s="1"/>
  <c r="AQ2289" i="3"/>
  <c r="AP2289" i="3"/>
  <c r="N189" i="4" s="1"/>
  <c r="AQ1993" i="3"/>
  <c r="AP1993" i="3"/>
  <c r="AQ2124" i="3"/>
  <c r="AP2124" i="3"/>
  <c r="AQ2123" i="3"/>
  <c r="AP2123" i="3"/>
  <c r="AQ2120" i="3"/>
  <c r="AP2120" i="3"/>
  <c r="AQ2119" i="3"/>
  <c r="AP2119" i="3"/>
  <c r="AQ2117" i="3"/>
  <c r="AP2117" i="3"/>
  <c r="AQ2111" i="3"/>
  <c r="AP2111" i="3"/>
  <c r="AQ2107" i="3"/>
  <c r="AP2107" i="3"/>
  <c r="AQ2100" i="3"/>
  <c r="AP2100" i="3"/>
  <c r="AQ2097" i="3"/>
  <c r="AP2097" i="3"/>
  <c r="AQ2094" i="3"/>
  <c r="AP2094" i="3"/>
  <c r="AQ2091" i="3"/>
  <c r="AP2091" i="3"/>
  <c r="AQ2088" i="3"/>
  <c r="AP2088" i="3"/>
  <c r="AQ2086" i="3"/>
  <c r="AP2086" i="3"/>
  <c r="AQ2084" i="3"/>
  <c r="AP2084" i="3"/>
  <c r="AQ2082" i="3"/>
  <c r="AP2082" i="3"/>
  <c r="AQ2079" i="3"/>
  <c r="AP2079" i="3"/>
  <c r="AQ2077" i="3"/>
  <c r="AP2077" i="3"/>
  <c r="AQ2072" i="3"/>
  <c r="AP2072" i="3"/>
  <c r="AQ2070" i="3"/>
  <c r="AP2070" i="3"/>
  <c r="AQ2068" i="3"/>
  <c r="AP2068" i="3"/>
  <c r="AQ2062" i="3"/>
  <c r="AP2062" i="3"/>
  <c r="AQ2060" i="3"/>
  <c r="AP2060" i="3"/>
  <c r="AQ2055" i="3"/>
  <c r="AP2055" i="3"/>
  <c r="AQ2053" i="3"/>
  <c r="AP2053" i="3"/>
  <c r="AQ2045" i="3"/>
  <c r="AP2045" i="3"/>
  <c r="AQ2016" i="3"/>
  <c r="AP2016" i="3"/>
  <c r="AQ2005" i="3"/>
  <c r="AP2005" i="3"/>
  <c r="AQ1998" i="3"/>
  <c r="AP1998" i="3"/>
  <c r="AQ1988" i="3"/>
  <c r="AP1988" i="3"/>
  <c r="AQ1975" i="3"/>
  <c r="AP1975" i="3"/>
  <c r="AQ1960" i="3"/>
  <c r="AP1960" i="3"/>
  <c r="AQ1951" i="3"/>
  <c r="AP1951" i="3"/>
  <c r="AQ1936" i="3"/>
  <c r="AP1936" i="3"/>
  <c r="AQ1931" i="3"/>
  <c r="AP1931" i="3"/>
  <c r="AQ1929" i="3"/>
  <c r="AP1929" i="3"/>
  <c r="AQ1926" i="3"/>
  <c r="AP1926" i="3"/>
  <c r="AQ1921" i="3"/>
  <c r="AP1921" i="3"/>
  <c r="AQ1910" i="3"/>
  <c r="AP1910" i="3"/>
  <c r="AQ1896" i="3"/>
  <c r="AP1896" i="3"/>
  <c r="AQ1885" i="3"/>
  <c r="AP1885" i="3"/>
  <c r="AQ1873" i="3"/>
  <c r="AP1873" i="3"/>
  <c r="AQ1866" i="3"/>
  <c r="AP1866" i="3"/>
  <c r="AQ1856" i="3"/>
  <c r="AP1856" i="3"/>
  <c r="AQ1841" i="3"/>
  <c r="AP1841" i="3"/>
  <c r="AQ1830" i="3"/>
  <c r="AP1830" i="3"/>
  <c r="AQ1822" i="3"/>
  <c r="AP1822" i="3"/>
  <c r="AQ1817" i="3"/>
  <c r="AP1817" i="3"/>
  <c r="AQ1809" i="3"/>
  <c r="AP1809" i="3"/>
  <c r="AQ1805" i="3"/>
  <c r="AP1805" i="3"/>
  <c r="AQ1799" i="3"/>
  <c r="AP1799" i="3"/>
  <c r="AQ1795" i="3"/>
  <c r="AP1795" i="3"/>
  <c r="AQ1789" i="3"/>
  <c r="AP1789" i="3"/>
  <c r="AQ1768" i="3"/>
  <c r="AP1768" i="3"/>
  <c r="AQ1759" i="3"/>
  <c r="AP1759" i="3"/>
  <c r="AQ1753" i="3"/>
  <c r="AP1753" i="3"/>
  <c r="AQ1742" i="3"/>
  <c r="AP1742" i="3"/>
  <c r="AQ1734" i="3"/>
  <c r="AP1734" i="3"/>
  <c r="AQ1730" i="3"/>
  <c r="AP1730" i="3"/>
  <c r="AQ1719" i="3"/>
  <c r="AP1719" i="3"/>
  <c r="AQ1707" i="3"/>
  <c r="AP1707" i="3"/>
  <c r="AQ1703" i="3"/>
  <c r="AP1703" i="3"/>
  <c r="AQ1694" i="3"/>
  <c r="AP1694" i="3"/>
  <c r="AQ1683" i="3"/>
  <c r="AP1683" i="3"/>
  <c r="AQ1675" i="3"/>
  <c r="AP1675" i="3"/>
  <c r="AQ1665" i="3"/>
  <c r="AP1665" i="3"/>
  <c r="AQ1660" i="3"/>
  <c r="AP1660" i="3"/>
  <c r="AQ1647" i="3"/>
  <c r="AP1647" i="3"/>
  <c r="AQ1619" i="3"/>
  <c r="AP1619" i="3"/>
  <c r="AQ1601" i="3"/>
  <c r="AP1601" i="3"/>
  <c r="AQ1587" i="3"/>
  <c r="AP1587" i="3"/>
  <c r="AQ1578" i="3"/>
  <c r="AP1578" i="3"/>
  <c r="AQ1559" i="3"/>
  <c r="AP1559" i="3"/>
  <c r="G199" i="4"/>
  <c r="G195" i="4"/>
  <c r="G192" i="4"/>
  <c r="G191" i="4"/>
  <c r="G194" i="4"/>
  <c r="AP582" i="3"/>
  <c r="G189" i="4" s="1"/>
  <c r="G186" i="4"/>
  <c r="AQ502" i="3"/>
  <c r="AP502" i="3"/>
  <c r="AQ423" i="3"/>
  <c r="AP423" i="3"/>
  <c r="AQ371" i="3"/>
  <c r="AP371" i="3"/>
  <c r="AQ310" i="3"/>
  <c r="AP310" i="3"/>
  <c r="AO310" i="3"/>
  <c r="AN310" i="3"/>
  <c r="AO308" i="3"/>
  <c r="AN308" i="3"/>
  <c r="AQ308" i="3"/>
  <c r="AP308" i="3"/>
  <c r="D186" i="4"/>
  <c r="AQ120" i="3"/>
  <c r="AP120" i="3"/>
  <c r="AQ126" i="3"/>
  <c r="AP126" i="3"/>
  <c r="AO126" i="3"/>
  <c r="AN126" i="3"/>
  <c r="AQ123" i="3"/>
  <c r="AP123" i="3"/>
  <c r="AO123" i="3"/>
  <c r="AN123" i="3"/>
  <c r="AQ234" i="3"/>
  <c r="AP234" i="3"/>
  <c r="D199" i="4" s="1"/>
  <c r="AQ233" i="3"/>
  <c r="AP233" i="3"/>
  <c r="D195" i="4" s="1"/>
  <c r="AQ231" i="3"/>
  <c r="AP231" i="3"/>
  <c r="AQ230" i="3"/>
  <c r="AP230" i="3"/>
  <c r="D191" i="4" s="1"/>
  <c r="AQ229" i="3"/>
  <c r="AP229" i="3"/>
  <c r="D194" i="4" s="1"/>
  <c r="AQ225" i="3"/>
  <c r="AP225" i="3"/>
  <c r="AQ222" i="3"/>
  <c r="AP222" i="3"/>
  <c r="AQ28" i="3"/>
  <c r="AP28" i="3"/>
  <c r="AQ15" i="3"/>
  <c r="AP15" i="3"/>
  <c r="AO2410" i="3"/>
  <c r="F238" i="4" s="1"/>
  <c r="AO2378" i="3"/>
  <c r="AN2410" i="3"/>
  <c r="AN2377" i="3"/>
  <c r="AN2378" i="3" s="1"/>
  <c r="AN2380" i="3" s="1"/>
  <c r="AN2382" i="3" s="1"/>
  <c r="AO2888" i="3"/>
  <c r="AN2468" i="3"/>
  <c r="AN2599" i="3"/>
  <c r="AN2579" i="3"/>
  <c r="AN2535" i="3"/>
  <c r="AN2520" i="3"/>
  <c r="AN2795" i="3"/>
  <c r="AN2790" i="3"/>
  <c r="AN2847" i="3"/>
  <c r="AN3035" i="3"/>
  <c r="AN2983" i="3"/>
  <c r="AN2978" i="3"/>
  <c r="AN2915" i="3"/>
  <c r="AN2910" i="3"/>
  <c r="AN2725" i="3"/>
  <c r="AN2673" i="3"/>
  <c r="AN2902" i="3"/>
  <c r="AN2780" i="3"/>
  <c r="AN2659" i="3"/>
  <c r="AN2970" i="3"/>
  <c r="AN2766" i="3"/>
  <c r="AN2888" i="3"/>
  <c r="AN2956" i="3"/>
  <c r="AM748" i="3"/>
  <c r="AL748" i="3"/>
  <c r="AO640" i="3"/>
  <c r="AO639" i="3"/>
  <c r="AO638" i="3"/>
  <c r="AO637" i="3"/>
  <c r="AO636" i="3"/>
  <c r="AO635" i="3"/>
  <c r="AO634" i="3"/>
  <c r="AO633" i="3"/>
  <c r="AO632" i="3"/>
  <c r="AO631" i="3"/>
  <c r="AO630" i="3"/>
  <c r="AO629" i="3"/>
  <c r="AO628" i="3"/>
  <c r="AO627" i="3"/>
  <c r="AO626" i="3"/>
  <c r="AO625" i="3"/>
  <c r="AO624" i="3"/>
  <c r="AO623" i="3"/>
  <c r="AO622" i="3"/>
  <c r="AO621" i="3"/>
  <c r="AO620" i="3"/>
  <c r="AO619" i="3"/>
  <c r="AO618" i="3"/>
  <c r="AO617" i="3"/>
  <c r="AO616" i="3"/>
  <c r="AO615" i="3"/>
  <c r="AO614" i="3"/>
  <c r="AO613" i="3"/>
  <c r="AO612" i="3"/>
  <c r="AO611" i="3"/>
  <c r="AO610" i="3"/>
  <c r="AO609" i="3"/>
  <c r="AO608" i="3"/>
  <c r="AO607" i="3"/>
  <c r="AO606" i="3"/>
  <c r="AO605" i="3"/>
  <c r="AO604" i="3"/>
  <c r="AO603" i="3"/>
  <c r="AO602" i="3"/>
  <c r="AO601" i="3"/>
  <c r="AO600" i="3"/>
  <c r="AO599" i="3"/>
  <c r="AO598" i="3"/>
  <c r="AO597" i="3"/>
  <c r="AO596" i="3"/>
  <c r="AO595" i="3"/>
  <c r="AO594" i="3"/>
  <c r="AO593" i="3"/>
  <c r="AO592" i="3"/>
  <c r="AN748" i="3"/>
  <c r="AO1135" i="3"/>
  <c r="AO1154" i="3" s="1"/>
  <c r="AN1135" i="3"/>
  <c r="AN1154" i="3" s="1"/>
  <c r="AO48" i="3"/>
  <c r="AN48" i="3"/>
  <c r="AO45" i="3"/>
  <c r="AN45" i="3"/>
  <c r="D142" i="4"/>
  <c r="D141" i="4"/>
  <c r="AO2294" i="3"/>
  <c r="AN2294" i="3"/>
  <c r="AO2292" i="3"/>
  <c r="AN2292" i="3"/>
  <c r="AO2290" i="3"/>
  <c r="AN2290" i="3"/>
  <c r="AO2289" i="3"/>
  <c r="AN2289" i="3"/>
  <c r="J2" i="6"/>
  <c r="R252" i="1"/>
  <c r="AM2983" i="3"/>
  <c r="AM2978" i="3"/>
  <c r="AL2978" i="3"/>
  <c r="AM3035" i="3"/>
  <c r="AM2956" i="3"/>
  <c r="AM2910" i="3"/>
  <c r="AM2915" i="3"/>
  <c r="AM2902" i="3"/>
  <c r="AL2902" i="3"/>
  <c r="AM2888" i="3"/>
  <c r="AM2847" i="3"/>
  <c r="AK1228" i="3"/>
  <c r="AO1230" i="3"/>
  <c r="AO1229" i="3"/>
  <c r="AN1230" i="3"/>
  <c r="AN1229" i="3"/>
  <c r="AO1125" i="3"/>
  <c r="AO1227" i="3"/>
  <c r="AO1163" i="3"/>
  <c r="AO1170" i="3"/>
  <c r="AO1201" i="3"/>
  <c r="AO1205" i="3"/>
  <c r="AO1175" i="3"/>
  <c r="AM2790" i="3"/>
  <c r="AL2790" i="3"/>
  <c r="AM2795" i="3"/>
  <c r="AM2970" i="3"/>
  <c r="AL2970" i="3"/>
  <c r="AM2780" i="3"/>
  <c r="AL2780" i="3"/>
  <c r="AM2766" i="3"/>
  <c r="AM2725" i="3"/>
  <c r="AM2673" i="3"/>
  <c r="AM2659" i="3"/>
  <c r="AM2599" i="3"/>
  <c r="AM2579" i="3"/>
  <c r="AM2535" i="3"/>
  <c r="AL2535" i="3"/>
  <c r="AM2520" i="3"/>
  <c r="AM2410" i="3"/>
  <c r="AM2378" i="3"/>
  <c r="AM2380" i="3" s="1"/>
  <c r="AM2382" i="3" s="1"/>
  <c r="AN2373" i="3"/>
  <c r="AO15" i="3"/>
  <c r="AN15" i="3"/>
  <c r="AO28" i="3"/>
  <c r="AN28" i="3"/>
  <c r="AO2277" i="3"/>
  <c r="AO2291" i="3" s="1"/>
  <c r="AN2277" i="3"/>
  <c r="AO2111" i="3"/>
  <c r="AN2111" i="3"/>
  <c r="S163" i="4"/>
  <c r="V163" i="4" s="1"/>
  <c r="X163" i="4" s="1"/>
  <c r="D126" i="4"/>
  <c r="D124" i="4"/>
  <c r="N126" i="4"/>
  <c r="N124" i="4"/>
  <c r="I126" i="4"/>
  <c r="I124" i="4"/>
  <c r="H126" i="4"/>
  <c r="H124" i="4"/>
  <c r="G126" i="4"/>
  <c r="G124" i="4"/>
  <c r="R242" i="4"/>
  <c r="Q547" i="4" s="1"/>
  <c r="F237" i="4"/>
  <c r="F240" i="4"/>
  <c r="R235" i="4"/>
  <c r="Q546" i="4" s="1"/>
  <c r="AO2367" i="3"/>
  <c r="AN2367" i="3"/>
  <c r="AO2366" i="3"/>
  <c r="AN2366" i="3"/>
  <c r="AO2365" i="3"/>
  <c r="AN2365" i="3"/>
  <c r="AO2364" i="3"/>
  <c r="AN2364" i="3"/>
  <c r="AO2363" i="3"/>
  <c r="AN2363" i="3"/>
  <c r="AO2362" i="3"/>
  <c r="AN2362" i="3"/>
  <c r="AM2468" i="3"/>
  <c r="AO2220" i="3"/>
  <c r="AN2220" i="3"/>
  <c r="AO2124" i="3"/>
  <c r="AN2124" i="3"/>
  <c r="AO2123" i="3"/>
  <c r="AN2123" i="3"/>
  <c r="AO2120" i="3"/>
  <c r="AN2120" i="3"/>
  <c r="AO2119" i="3"/>
  <c r="AN2119" i="3"/>
  <c r="AO2117" i="3"/>
  <c r="AN2117" i="3"/>
  <c r="AO2107" i="3"/>
  <c r="AN2107" i="3"/>
  <c r="AO2097" i="3"/>
  <c r="AN2097" i="3"/>
  <c r="AO2100" i="3"/>
  <c r="AN2100" i="3"/>
  <c r="AN2094" i="3"/>
  <c r="AO2094" i="3"/>
  <c r="AO2091" i="3"/>
  <c r="AN2091" i="3"/>
  <c r="AO2088" i="3"/>
  <c r="AN2088" i="3"/>
  <c r="AO2086" i="3"/>
  <c r="AN2086" i="3"/>
  <c r="AO2084" i="3"/>
  <c r="AN2084" i="3"/>
  <c r="AO2082" i="3"/>
  <c r="AN2082" i="3"/>
  <c r="AO2079" i="3"/>
  <c r="AN2079" i="3"/>
  <c r="AO2077" i="3"/>
  <c r="AN2077" i="3"/>
  <c r="AO2072" i="3"/>
  <c r="AN2072" i="3"/>
  <c r="AO2070" i="3"/>
  <c r="AN2070" i="3"/>
  <c r="AO2068" i="3"/>
  <c r="AN2068" i="3"/>
  <c r="AO2062" i="3"/>
  <c r="AN2062" i="3"/>
  <c r="AO2060" i="3"/>
  <c r="AN2060" i="3"/>
  <c r="AO2055" i="3"/>
  <c r="AN2055" i="3"/>
  <c r="AO2053" i="3"/>
  <c r="AN2053" i="3"/>
  <c r="AO2045" i="3"/>
  <c r="AN2045" i="3"/>
  <c r="AO2016" i="3"/>
  <c r="AN2016" i="3"/>
  <c r="AO2005" i="3"/>
  <c r="AN2005" i="3"/>
  <c r="AO1998" i="3"/>
  <c r="AN1998" i="3"/>
  <c r="AO1988" i="3"/>
  <c r="AN1988" i="3"/>
  <c r="AO1975" i="3"/>
  <c r="AN1975" i="3"/>
  <c r="AO1960" i="3"/>
  <c r="AN1960" i="3"/>
  <c r="AO1951" i="3"/>
  <c r="AN1951" i="3"/>
  <c r="AO1936" i="3"/>
  <c r="AN1936" i="3"/>
  <c r="AO1931" i="3"/>
  <c r="AN1931" i="3"/>
  <c r="AO1929" i="3"/>
  <c r="AN1929" i="3"/>
  <c r="AO1926" i="3"/>
  <c r="AN1926" i="3"/>
  <c r="AO1921" i="3"/>
  <c r="AN1921" i="3"/>
  <c r="AO1910" i="3"/>
  <c r="AN1910" i="3"/>
  <c r="AO1896" i="3"/>
  <c r="AN1896" i="3"/>
  <c r="AO1885" i="3"/>
  <c r="AN1885" i="3"/>
  <c r="AO1873" i="3"/>
  <c r="AN1873" i="3"/>
  <c r="AO1866" i="3"/>
  <c r="AN1866" i="3"/>
  <c r="AO1856" i="3"/>
  <c r="AN1856" i="3"/>
  <c r="AO1841" i="3"/>
  <c r="AN1841" i="3"/>
  <c r="AO1830" i="3"/>
  <c r="AN1830" i="3"/>
  <c r="AO1822" i="3"/>
  <c r="AN1822" i="3"/>
  <c r="AO1817" i="3"/>
  <c r="AN1817" i="3"/>
  <c r="AO1809" i="3"/>
  <c r="AN1809" i="3"/>
  <c r="AO1805" i="3"/>
  <c r="AN1805" i="3"/>
  <c r="AO1799" i="3"/>
  <c r="AN1799" i="3"/>
  <c r="AO1795" i="3"/>
  <c r="AN1795" i="3"/>
  <c r="AO1789" i="3"/>
  <c r="AN1789" i="3"/>
  <c r="AO1768" i="3"/>
  <c r="AN1768" i="3"/>
  <c r="AO1759" i="3"/>
  <c r="AN1759" i="3"/>
  <c r="AO1753" i="3"/>
  <c r="AN1753" i="3"/>
  <c r="AO1742" i="3"/>
  <c r="AN1742" i="3"/>
  <c r="AO1734" i="3"/>
  <c r="AN1734" i="3"/>
  <c r="AO1730" i="3"/>
  <c r="AN1730" i="3"/>
  <c r="AO1719" i="3"/>
  <c r="AN1719" i="3"/>
  <c r="AO1707" i="3"/>
  <c r="AN1707" i="3"/>
  <c r="AO1703" i="3"/>
  <c r="AN1703" i="3"/>
  <c r="AO1694" i="3"/>
  <c r="AN1694" i="3"/>
  <c r="AO1683" i="3"/>
  <c r="AN1683" i="3"/>
  <c r="AO1675" i="3"/>
  <c r="AN1675" i="3"/>
  <c r="AO1665" i="3"/>
  <c r="AN1665" i="3"/>
  <c r="AO1660" i="3"/>
  <c r="AN1660" i="3"/>
  <c r="AO1647" i="3"/>
  <c r="AN1647" i="3"/>
  <c r="AO1619" i="3"/>
  <c r="AN1619" i="3"/>
  <c r="AO1601" i="3"/>
  <c r="AN1601" i="3"/>
  <c r="AO1587" i="3"/>
  <c r="AN1587" i="3"/>
  <c r="AO1578" i="3"/>
  <c r="AN1578" i="3"/>
  <c r="AO1559" i="3"/>
  <c r="AN1559" i="3"/>
  <c r="AN1227" i="3"/>
  <c r="AN1205" i="3"/>
  <c r="AN1201" i="3"/>
  <c r="AN1175" i="3"/>
  <c r="AN1170" i="3"/>
  <c r="AN1163" i="3"/>
  <c r="AN1125" i="3"/>
  <c r="AO1111" i="3"/>
  <c r="AO1110" i="3"/>
  <c r="AN1111" i="3"/>
  <c r="AN1110" i="3"/>
  <c r="AN1108" i="3"/>
  <c r="AO1108" i="3"/>
  <c r="AN1102" i="3"/>
  <c r="AO1102" i="3"/>
  <c r="AN1096" i="3"/>
  <c r="AO1096" i="3"/>
  <c r="AN1067" i="3"/>
  <c r="AO1067" i="3"/>
  <c r="AN1061" i="3"/>
  <c r="AO1061" i="3"/>
  <c r="AN1034" i="3"/>
  <c r="AO1034" i="3"/>
  <c r="AN1028" i="3"/>
  <c r="AO1028" i="3"/>
  <c r="AN1020" i="3"/>
  <c r="AO1020" i="3"/>
  <c r="AN989" i="3"/>
  <c r="AO989" i="3"/>
  <c r="AO973" i="3"/>
  <c r="AO971" i="3"/>
  <c r="AO970" i="3"/>
  <c r="AO969" i="3"/>
  <c r="AO968" i="3"/>
  <c r="AO967" i="3"/>
  <c r="AN973" i="3"/>
  <c r="AN971" i="3"/>
  <c r="AN970" i="3"/>
  <c r="AN969" i="3"/>
  <c r="AN968" i="3"/>
  <c r="AN967" i="3"/>
  <c r="AM973" i="3"/>
  <c r="AM971" i="3"/>
  <c r="AM970" i="3"/>
  <c r="AM969" i="3"/>
  <c r="AM968" i="3"/>
  <c r="AM967" i="3"/>
  <c r="AL973" i="3"/>
  <c r="AL971" i="3"/>
  <c r="AL970" i="3"/>
  <c r="AL969" i="3"/>
  <c r="AL968" i="3"/>
  <c r="AL967" i="3"/>
  <c r="AO836" i="3"/>
  <c r="AN836" i="3"/>
  <c r="AO835" i="3"/>
  <c r="AN835" i="3"/>
  <c r="AO833" i="3"/>
  <c r="AN833" i="3"/>
  <c r="AO832" i="3"/>
  <c r="AN832" i="3"/>
  <c r="AO831" i="3"/>
  <c r="AN831" i="3"/>
  <c r="AO830" i="3"/>
  <c r="AN830" i="3"/>
  <c r="AO829" i="3"/>
  <c r="AN829" i="3"/>
  <c r="AM640" i="3"/>
  <c r="AM639" i="3"/>
  <c r="AM638" i="3"/>
  <c r="AM636" i="3"/>
  <c r="AM635" i="3"/>
  <c r="AM634" i="3"/>
  <c r="AM633" i="3"/>
  <c r="AM632" i="3"/>
  <c r="AM631" i="3"/>
  <c r="AM630" i="3"/>
  <c r="AM629" i="3"/>
  <c r="AM628" i="3"/>
  <c r="AM627" i="3"/>
  <c r="AM626" i="3"/>
  <c r="AM625" i="3"/>
  <c r="AM624" i="3"/>
  <c r="AM623" i="3"/>
  <c r="AM622" i="3"/>
  <c r="AM621" i="3"/>
  <c r="AM620" i="3"/>
  <c r="AM619" i="3"/>
  <c r="AM618" i="3"/>
  <c r="AM617" i="3"/>
  <c r="AM616" i="3"/>
  <c r="AM615" i="3"/>
  <c r="AM614" i="3"/>
  <c r="AM613" i="3"/>
  <c r="AM612" i="3"/>
  <c r="AM611" i="3"/>
  <c r="AM610" i="3"/>
  <c r="AM609" i="3"/>
  <c r="AM608" i="3"/>
  <c r="AM607" i="3"/>
  <c r="AM606" i="3"/>
  <c r="AM605" i="3"/>
  <c r="AM604" i="3"/>
  <c r="AM603" i="3"/>
  <c r="AM602" i="3"/>
  <c r="AM601" i="3"/>
  <c r="AM600" i="3"/>
  <c r="AM599" i="3"/>
  <c r="AM598" i="3"/>
  <c r="AM597" i="3"/>
  <c r="AM596" i="3"/>
  <c r="AM595" i="3"/>
  <c r="AM594" i="3"/>
  <c r="AM593" i="3"/>
  <c r="AM592" i="3"/>
  <c r="AM591" i="3"/>
  <c r="AM696" i="3"/>
  <c r="AM637" i="3"/>
  <c r="AO502" i="3"/>
  <c r="AN502" i="3"/>
  <c r="AO423" i="3"/>
  <c r="AN423" i="3"/>
  <c r="AO371" i="3"/>
  <c r="AN371" i="3"/>
  <c r="AO225" i="3"/>
  <c r="AN225" i="3"/>
  <c r="AO222" i="3"/>
  <c r="AN222" i="3"/>
  <c r="AO234" i="3"/>
  <c r="AN234" i="3"/>
  <c r="AO233" i="3"/>
  <c r="AN233" i="3"/>
  <c r="AO231" i="3"/>
  <c r="AN231" i="3"/>
  <c r="AO230" i="3"/>
  <c r="AN230" i="3"/>
  <c r="AO229" i="3"/>
  <c r="AN229" i="3"/>
  <c r="E261" i="4"/>
  <c r="E308" i="4" s="1"/>
  <c r="Q3" i="4"/>
  <c r="Q106" i="4" s="1"/>
  <c r="D10" i="4"/>
  <c r="D22" i="4"/>
  <c r="D23" i="4"/>
  <c r="D24" i="4"/>
  <c r="D13" i="4"/>
  <c r="D14" i="4"/>
  <c r="D15" i="4"/>
  <c r="D16" i="4"/>
  <c r="D17" i="4"/>
  <c r="D18" i="4"/>
  <c r="D19" i="4"/>
  <c r="D25" i="4"/>
  <c r="D27" i="4"/>
  <c r="D30" i="4"/>
  <c r="D31" i="4"/>
  <c r="D28" i="4"/>
  <c r="D32" i="4"/>
  <c r="D33" i="4"/>
  <c r="D34" i="4"/>
  <c r="D35" i="4"/>
  <c r="D36" i="4"/>
  <c r="D37" i="4"/>
  <c r="D38" i="4"/>
  <c r="D39" i="4"/>
  <c r="D40" i="4"/>
  <c r="D41" i="4"/>
  <c r="D42" i="4"/>
  <c r="D43" i="4"/>
  <c r="D44" i="4"/>
  <c r="D29" i="4"/>
  <c r="D45" i="4"/>
  <c r="D46" i="4"/>
  <c r="D47" i="4"/>
  <c r="D49" i="4"/>
  <c r="D50" i="4"/>
  <c r="D51" i="4"/>
  <c r="D52" i="4"/>
  <c r="D53" i="4"/>
  <c r="D54" i="4"/>
  <c r="D55" i="4"/>
  <c r="D56" i="4"/>
  <c r="D57" i="4"/>
  <c r="D58" i="4"/>
  <c r="D100" i="4"/>
  <c r="D119" i="4"/>
  <c r="D109" i="4"/>
  <c r="D110" i="4"/>
  <c r="D118" i="4"/>
  <c r="D125" i="4"/>
  <c r="D127" i="4"/>
  <c r="D131" i="4"/>
  <c r="D132" i="4"/>
  <c r="D133" i="4"/>
  <c r="D134" i="4"/>
  <c r="D135" i="4"/>
  <c r="D136" i="4"/>
  <c r="D137" i="4"/>
  <c r="D138" i="4"/>
  <c r="D139" i="4"/>
  <c r="D140" i="4"/>
  <c r="D143" i="4"/>
  <c r="D152" i="4"/>
  <c r="D176" i="4" s="1"/>
  <c r="D227" i="4" s="1"/>
  <c r="D158" i="4"/>
  <c r="D178" i="4" s="1"/>
  <c r="D148" i="4"/>
  <c r="D145" i="4"/>
  <c r="T145" i="4" s="1"/>
  <c r="V145" i="4" s="1"/>
  <c r="X145" i="4" s="1"/>
  <c r="D150" i="4"/>
  <c r="P150" i="4" s="1"/>
  <c r="V150" i="4" s="1"/>
  <c r="X150" i="4" s="1"/>
  <c r="D164" i="4"/>
  <c r="S164" i="4" s="1"/>
  <c r="V164" i="4" s="1"/>
  <c r="X164" i="4" s="1"/>
  <c r="D165" i="4"/>
  <c r="S165" i="4" s="1"/>
  <c r="V165" i="4" s="1"/>
  <c r="X165" i="4" s="1"/>
  <c r="D166" i="4"/>
  <c r="S166" i="4" s="1"/>
  <c r="V166" i="4" s="1"/>
  <c r="X166" i="4" s="1"/>
  <c r="D159" i="4"/>
  <c r="S159" i="4" s="1"/>
  <c r="V159" i="4" s="1"/>
  <c r="X159" i="4" s="1"/>
  <c r="D155" i="4"/>
  <c r="D177" i="4" s="1"/>
  <c r="D59" i="4"/>
  <c r="D60" i="4"/>
  <c r="D61" i="4"/>
  <c r="D62" i="4"/>
  <c r="D63" i="4"/>
  <c r="D64" i="4"/>
  <c r="D66" i="4"/>
  <c r="D67" i="4"/>
  <c r="D68" i="4"/>
  <c r="D71" i="4"/>
  <c r="D72" i="4"/>
  <c r="D73" i="4"/>
  <c r="D74" i="4"/>
  <c r="D75" i="4"/>
  <c r="D77" i="4"/>
  <c r="D78" i="4"/>
  <c r="D84" i="4"/>
  <c r="D85" i="4"/>
  <c r="D87" i="4"/>
  <c r="D88" i="4"/>
  <c r="D89" i="4"/>
  <c r="D90" i="4"/>
  <c r="D91" i="4"/>
  <c r="D93" i="4"/>
  <c r="D94" i="4"/>
  <c r="D95" i="4"/>
  <c r="D96" i="4"/>
  <c r="D97" i="4"/>
  <c r="D98" i="4"/>
  <c r="D99" i="4"/>
  <c r="D101" i="4"/>
  <c r="D102" i="4"/>
  <c r="D103" i="4"/>
  <c r="D104" i="4"/>
  <c r="D105" i="4"/>
  <c r="D106" i="4"/>
  <c r="D107" i="4"/>
  <c r="D108" i="4"/>
  <c r="D111" i="4"/>
  <c r="D112" i="4"/>
  <c r="D113" i="4"/>
  <c r="D114" i="4"/>
  <c r="D115" i="4"/>
  <c r="D116" i="4"/>
  <c r="D117" i="4"/>
  <c r="D121" i="4"/>
  <c r="D122" i="4"/>
  <c r="D128" i="4"/>
  <c r="D129" i="4"/>
  <c r="D130" i="4"/>
  <c r="D180" i="4"/>
  <c r="D182" i="4"/>
  <c r="L27" i="4"/>
  <c r="AL2983" i="3"/>
  <c r="AL3035" i="3"/>
  <c r="AL2847" i="3"/>
  <c r="AL2956" i="3"/>
  <c r="AL2888" i="3"/>
  <c r="AL2766" i="3"/>
  <c r="AL2915" i="3"/>
  <c r="AL2910" i="3"/>
  <c r="AL2795" i="3"/>
  <c r="AL2673" i="3"/>
  <c r="AL2579" i="3"/>
  <c r="F10" i="4"/>
  <c r="AL2410" i="3"/>
  <c r="AL640" i="3"/>
  <c r="AL639" i="3"/>
  <c r="AL638" i="3"/>
  <c r="AL637" i="3"/>
  <c r="AL636" i="3"/>
  <c r="AL635" i="3"/>
  <c r="AL634" i="3"/>
  <c r="AL633" i="3"/>
  <c r="AL632" i="3"/>
  <c r="AL631" i="3"/>
  <c r="AL630" i="3"/>
  <c r="AL629" i="3"/>
  <c r="AL628" i="3"/>
  <c r="AL627" i="3"/>
  <c r="AL626" i="3"/>
  <c r="AL625" i="3"/>
  <c r="AL624" i="3"/>
  <c r="AL623" i="3"/>
  <c r="AL622" i="3"/>
  <c r="AL621" i="3"/>
  <c r="AL620" i="3"/>
  <c r="AL619" i="3"/>
  <c r="AL618" i="3"/>
  <c r="AL617" i="3"/>
  <c r="AL616" i="3"/>
  <c r="AL615" i="3"/>
  <c r="AL614" i="3"/>
  <c r="AL613" i="3"/>
  <c r="AL612" i="3"/>
  <c r="AL611" i="3"/>
  <c r="AL610" i="3"/>
  <c r="AL609" i="3"/>
  <c r="AL608" i="3"/>
  <c r="AL607" i="3"/>
  <c r="AL606" i="3"/>
  <c r="AL605" i="3"/>
  <c r="AL604" i="3"/>
  <c r="AL603" i="3"/>
  <c r="AL602" i="3"/>
  <c r="AL601" i="3"/>
  <c r="AL600" i="3"/>
  <c r="AL599" i="3"/>
  <c r="AL598" i="3"/>
  <c r="AL597" i="3"/>
  <c r="AL596" i="3"/>
  <c r="AL595" i="3"/>
  <c r="AL594" i="3"/>
  <c r="AL593" i="3"/>
  <c r="AL592" i="3"/>
  <c r="AL591" i="3"/>
  <c r="AL696" i="3"/>
  <c r="AL2659" i="3"/>
  <c r="AL2599" i="3"/>
  <c r="AL2725" i="3"/>
  <c r="AL2520" i="3"/>
  <c r="AL2468" i="3"/>
  <c r="AH1036" i="3"/>
  <c r="N50" i="4"/>
  <c r="N110" i="4"/>
  <c r="N125" i="4"/>
  <c r="N127" i="4"/>
  <c r="N109" i="4"/>
  <c r="N134" i="4"/>
  <c r="N140" i="4"/>
  <c r="N137" i="4"/>
  <c r="N136" i="4"/>
  <c r="N135" i="4"/>
  <c r="N29" i="4"/>
  <c r="N36" i="4"/>
  <c r="N119" i="4"/>
  <c r="N118" i="4"/>
  <c r="N100" i="4"/>
  <c r="N33" i="4"/>
  <c r="N44" i="4"/>
  <c r="N37" i="4"/>
  <c r="N143" i="4"/>
  <c r="N24" i="4"/>
  <c r="N34" i="4"/>
  <c r="N23" i="4"/>
  <c r="N53" i="4"/>
  <c r="N41" i="4"/>
  <c r="N51" i="4"/>
  <c r="N43" i="4"/>
  <c r="N42" i="4"/>
  <c r="N52" i="4"/>
  <c r="N39" i="4"/>
  <c r="N35" i="4"/>
  <c r="N58" i="4"/>
  <c r="N28" i="4"/>
  <c r="N48" i="4"/>
  <c r="N31" i="4"/>
  <c r="N27" i="4"/>
  <c r="N26" i="4"/>
  <c r="N25" i="4"/>
  <c r="AE2294" i="3"/>
  <c r="AD2294" i="3"/>
  <c r="AC2294" i="3"/>
  <c r="AB2294" i="3"/>
  <c r="AE2292" i="3"/>
  <c r="AD2292" i="3"/>
  <c r="AC2292" i="3"/>
  <c r="AB2292" i="3"/>
  <c r="AE2291" i="3"/>
  <c r="AD2291" i="3"/>
  <c r="AC2291" i="3"/>
  <c r="AB2291" i="3"/>
  <c r="AE2290" i="3"/>
  <c r="AD2290" i="3"/>
  <c r="AC2290" i="3"/>
  <c r="AB2290" i="3"/>
  <c r="AE2289" i="3"/>
  <c r="AD2289" i="3"/>
  <c r="AC2289" i="3"/>
  <c r="AB2289" i="3"/>
  <c r="AE2288" i="3"/>
  <c r="AD2288" i="3"/>
  <c r="AC2288" i="3"/>
  <c r="AB2288" i="3"/>
  <c r="L4" i="10"/>
  <c r="AM1006" i="3"/>
  <c r="AM1000" i="3" s="1"/>
  <c r="AL1006" i="3"/>
  <c r="AL1000" i="3" s="1"/>
  <c r="C177" i="10"/>
  <c r="B177" i="10"/>
  <c r="C169" i="10"/>
  <c r="B169" i="10"/>
  <c r="C167" i="10"/>
  <c r="B167" i="10"/>
  <c r="C164" i="10"/>
  <c r="B164" i="10"/>
  <c r="C158" i="10"/>
  <c r="B158" i="10"/>
  <c r="N24" i="9"/>
  <c r="M24" i="9"/>
  <c r="C164" i="9"/>
  <c r="B164" i="9"/>
  <c r="C158" i="9"/>
  <c r="B158" i="9"/>
  <c r="AK2393" i="3"/>
  <c r="AK3035" i="3"/>
  <c r="AK2847" i="3"/>
  <c r="AK2725" i="3"/>
  <c r="AK2978" i="3"/>
  <c r="AK2983" i="3"/>
  <c r="AK2915" i="3"/>
  <c r="AK2910" i="3"/>
  <c r="AK2795" i="3"/>
  <c r="AK2790" i="3"/>
  <c r="AK2673" i="3"/>
  <c r="AK2970" i="3"/>
  <c r="AK2780" i="3"/>
  <c r="AK2659" i="3"/>
  <c r="AK2956" i="3"/>
  <c r="AK2888" i="3"/>
  <c r="AK2766" i="3"/>
  <c r="AL2373" i="3"/>
  <c r="AK2579" i="3"/>
  <c r="AK2535" i="3"/>
  <c r="AK2599" i="3"/>
  <c r="AG2373" i="3"/>
  <c r="B450" i="4"/>
  <c r="B449" i="4"/>
  <c r="B448" i="4"/>
  <c r="B447" i="4"/>
  <c r="B446" i="4"/>
  <c r="AM2367" i="3"/>
  <c r="AL2367" i="3"/>
  <c r="AM2366" i="3"/>
  <c r="AL2366" i="3"/>
  <c r="AM2365" i="3"/>
  <c r="AL2365" i="3"/>
  <c r="AM2364" i="3"/>
  <c r="AL2364" i="3"/>
  <c r="L133" i="4"/>
  <c r="N133" i="4"/>
  <c r="K133" i="4"/>
  <c r="I133" i="4"/>
  <c r="H133" i="4"/>
  <c r="G133" i="4"/>
  <c r="AM2363" i="3"/>
  <c r="AL2328" i="3"/>
  <c r="I48" i="4"/>
  <c r="H48" i="4"/>
  <c r="G48" i="4"/>
  <c r="AM1105" i="3"/>
  <c r="AM1108" i="3" s="1"/>
  <c r="AM999" i="3"/>
  <c r="AL999" i="3"/>
  <c r="AM2362" i="3"/>
  <c r="L48" i="4"/>
  <c r="AM2220" i="3"/>
  <c r="AL2220" i="3"/>
  <c r="AM2294" i="3"/>
  <c r="AL2294" i="3"/>
  <c r="AL2292" i="3"/>
  <c r="AL2290" i="3"/>
  <c r="AL2289" i="3"/>
  <c r="AL2277" i="3"/>
  <c r="AL2288" i="3" s="1"/>
  <c r="AM2124" i="3"/>
  <c r="AL2124" i="3"/>
  <c r="AM2123" i="3"/>
  <c r="AL2123" i="3"/>
  <c r="AM2120" i="3"/>
  <c r="AL2120" i="3"/>
  <c r="AM2119" i="3"/>
  <c r="AL2119" i="3"/>
  <c r="AM2117" i="3"/>
  <c r="AL2117" i="3"/>
  <c r="AM2111" i="3"/>
  <c r="AL2111" i="3"/>
  <c r="AM2107" i="3"/>
  <c r="AL2107" i="3"/>
  <c r="AM2100" i="3"/>
  <c r="AL2100" i="3"/>
  <c r="AM2091" i="3"/>
  <c r="AL2091" i="3"/>
  <c r="AM2088" i="3"/>
  <c r="AL2088" i="3"/>
  <c r="AM2086" i="3"/>
  <c r="AL2086" i="3"/>
  <c r="AM2084" i="3"/>
  <c r="AL2084" i="3"/>
  <c r="AM2082" i="3"/>
  <c r="AL2082" i="3"/>
  <c r="AM2079" i="3"/>
  <c r="AL2079" i="3"/>
  <c r="AM2077" i="3"/>
  <c r="AL2077" i="3"/>
  <c r="AM2072" i="3"/>
  <c r="AL2072" i="3"/>
  <c r="AM2069" i="3"/>
  <c r="AM2070" i="3" s="1"/>
  <c r="AL2069" i="3"/>
  <c r="AL2070" i="3" s="1"/>
  <c r="AM2068" i="3"/>
  <c r="AL2068" i="3"/>
  <c r="AL2065" i="3"/>
  <c r="AM2062" i="3"/>
  <c r="AL2062" i="3"/>
  <c r="AM2060" i="3"/>
  <c r="AL2060" i="3"/>
  <c r="AM2055" i="3"/>
  <c r="AL2055" i="3"/>
  <c r="AM2053" i="3"/>
  <c r="AL2053" i="3"/>
  <c r="AM2045" i="3"/>
  <c r="AL2045" i="3"/>
  <c r="AM2016" i="3"/>
  <c r="AL2016" i="3"/>
  <c r="AM2005" i="3"/>
  <c r="AL2005" i="3"/>
  <c r="AM1998" i="3"/>
  <c r="AL1998" i="3"/>
  <c r="AM1988" i="3"/>
  <c r="AL1988" i="3"/>
  <c r="AM1975" i="3"/>
  <c r="AL1975" i="3"/>
  <c r="AM1960" i="3"/>
  <c r="AL1960" i="3"/>
  <c r="AM1951" i="3"/>
  <c r="AL1951" i="3"/>
  <c r="AM1936" i="3"/>
  <c r="AL1936" i="3"/>
  <c r="AM1931" i="3"/>
  <c r="AL1931" i="3"/>
  <c r="AM1929" i="3"/>
  <c r="AL1929" i="3"/>
  <c r="AM1926" i="3"/>
  <c r="AL1926" i="3"/>
  <c r="AM1921" i="3"/>
  <c r="AL1921" i="3"/>
  <c r="AM1910" i="3"/>
  <c r="AL1910" i="3"/>
  <c r="AM1896" i="3"/>
  <c r="AL1896" i="3"/>
  <c r="AM1885" i="3"/>
  <c r="AL1885" i="3"/>
  <c r="AM1873" i="3"/>
  <c r="AL1873" i="3"/>
  <c r="AM1866" i="3"/>
  <c r="AL1866" i="3"/>
  <c r="AM1856" i="3"/>
  <c r="AL1856" i="3"/>
  <c r="AM1841" i="3"/>
  <c r="AL1841" i="3"/>
  <c r="AM1830" i="3"/>
  <c r="AL1830" i="3"/>
  <c r="AM1822" i="3"/>
  <c r="AL1822" i="3"/>
  <c r="AM1817" i="3"/>
  <c r="AL1817" i="3"/>
  <c r="AM1809" i="3"/>
  <c r="AL1809" i="3"/>
  <c r="AM1805" i="3"/>
  <c r="AL1805" i="3"/>
  <c r="AM1799" i="3"/>
  <c r="AL1799" i="3"/>
  <c r="AM1795" i="3"/>
  <c r="AL1795" i="3"/>
  <c r="AM1789" i="3"/>
  <c r="AL1789" i="3"/>
  <c r="AM1768" i="3"/>
  <c r="AL1768" i="3"/>
  <c r="AM1759" i="3"/>
  <c r="AL1759" i="3"/>
  <c r="AM1753" i="3"/>
  <c r="AL1753" i="3"/>
  <c r="AM1742" i="3"/>
  <c r="AL1742" i="3"/>
  <c r="AM1734" i="3"/>
  <c r="AL1734" i="3"/>
  <c r="AM1730" i="3"/>
  <c r="AL1730" i="3"/>
  <c r="AM1719" i="3"/>
  <c r="AL1719" i="3"/>
  <c r="AM1707" i="3"/>
  <c r="AL1707" i="3"/>
  <c r="AM1703" i="3"/>
  <c r="AL1703" i="3"/>
  <c r="AM1694" i="3"/>
  <c r="AL1694" i="3"/>
  <c r="AM1683" i="3"/>
  <c r="AL1683" i="3"/>
  <c r="AM1675" i="3"/>
  <c r="AL1675" i="3"/>
  <c r="AM1665" i="3"/>
  <c r="AL1665" i="3"/>
  <c r="AM1660" i="3"/>
  <c r="AL1660" i="3"/>
  <c r="AM1647" i="3"/>
  <c r="AL1647" i="3"/>
  <c r="AM1619" i="3"/>
  <c r="AL1619" i="3"/>
  <c r="AM1601" i="3"/>
  <c r="AL1601" i="3"/>
  <c r="AM1587" i="3"/>
  <c r="AL1587" i="3"/>
  <c r="AM1578" i="3"/>
  <c r="AL1578" i="3"/>
  <c r="AM1559" i="3"/>
  <c r="AL1559" i="3"/>
  <c r="AM1230" i="3"/>
  <c r="AL1230" i="3"/>
  <c r="AM1229" i="3"/>
  <c r="AL1229" i="3"/>
  <c r="AM1227" i="3"/>
  <c r="AL1227" i="3"/>
  <c r="AM1221" i="3"/>
  <c r="AL1221" i="3"/>
  <c r="AM1205" i="3"/>
  <c r="AL1205" i="3"/>
  <c r="AM1201" i="3"/>
  <c r="AL1201" i="3"/>
  <c r="AM1175" i="3"/>
  <c r="AL1175" i="3"/>
  <c r="AM1139" i="3"/>
  <c r="AM1137" i="3"/>
  <c r="AL1137" i="3"/>
  <c r="AL1135" i="3" s="1"/>
  <c r="AL1154" i="3" s="1"/>
  <c r="AM1125" i="3"/>
  <c r="AL1125" i="3"/>
  <c r="AM1111" i="3"/>
  <c r="AL1111" i="3"/>
  <c r="AM1110" i="3"/>
  <c r="AL1110" i="3"/>
  <c r="AM1102" i="3"/>
  <c r="AL1102" i="3"/>
  <c r="AM1096" i="3"/>
  <c r="AL1096" i="3"/>
  <c r="AM1084" i="3"/>
  <c r="AL1084" i="3"/>
  <c r="AM1067" i="3"/>
  <c r="AL1067" i="3"/>
  <c r="AM1061" i="3"/>
  <c r="AL1061" i="3"/>
  <c r="AM1034" i="3"/>
  <c r="AL1034" i="3"/>
  <c r="AM989" i="3"/>
  <c r="AL989" i="3"/>
  <c r="AM836" i="3"/>
  <c r="AL836" i="3"/>
  <c r="AM835" i="3"/>
  <c r="AL835" i="3"/>
  <c r="AM833" i="3"/>
  <c r="AL833" i="3"/>
  <c r="AM832" i="3"/>
  <c r="AL832" i="3"/>
  <c r="AM831" i="3"/>
  <c r="AL831" i="3"/>
  <c r="AM830" i="3"/>
  <c r="AL830" i="3"/>
  <c r="AM829" i="3"/>
  <c r="AL829" i="3"/>
  <c r="AK640" i="3"/>
  <c r="AK639" i="3"/>
  <c r="AK638" i="3"/>
  <c r="AK636" i="3"/>
  <c r="AK635" i="3"/>
  <c r="AK634" i="3"/>
  <c r="AK633" i="3"/>
  <c r="AK632" i="3"/>
  <c r="AK631" i="3"/>
  <c r="AK630" i="3"/>
  <c r="AK629" i="3"/>
  <c r="AK628" i="3"/>
  <c r="AK627" i="3"/>
  <c r="AK626" i="3"/>
  <c r="AK625" i="3"/>
  <c r="AK624" i="3"/>
  <c r="AK623" i="3"/>
  <c r="AK622" i="3"/>
  <c r="AK621" i="3"/>
  <c r="AK620" i="3"/>
  <c r="AK619" i="3"/>
  <c r="AK618" i="3"/>
  <c r="AK617" i="3"/>
  <c r="AK616" i="3"/>
  <c r="AK615" i="3"/>
  <c r="AK614" i="3"/>
  <c r="AK613" i="3"/>
  <c r="AK612" i="3"/>
  <c r="AK611" i="3"/>
  <c r="AK610" i="3"/>
  <c r="AK609" i="3"/>
  <c r="AK608" i="3"/>
  <c r="AK607" i="3"/>
  <c r="AK606" i="3"/>
  <c r="AK605" i="3"/>
  <c r="AK604" i="3"/>
  <c r="AK603" i="3"/>
  <c r="AK602" i="3"/>
  <c r="AK601" i="3"/>
  <c r="AK600" i="3"/>
  <c r="AK599" i="3"/>
  <c r="AK598" i="3"/>
  <c r="AK597" i="3"/>
  <c r="AK596" i="3"/>
  <c r="AK595" i="3"/>
  <c r="AK594" i="3"/>
  <c r="AK593" i="3"/>
  <c r="AK592" i="3"/>
  <c r="AJ748" i="3"/>
  <c r="AK637" i="3"/>
  <c r="AK696" i="3"/>
  <c r="AM502" i="3"/>
  <c r="AL502" i="3"/>
  <c r="AM423" i="3"/>
  <c r="AL423" i="3"/>
  <c r="AM371" i="3"/>
  <c r="AL371" i="3"/>
  <c r="AM310" i="3"/>
  <c r="AL310" i="3"/>
  <c r="AM308" i="3"/>
  <c r="AL308" i="3"/>
  <c r="AM234" i="3"/>
  <c r="AL234" i="3"/>
  <c r="AM233" i="3"/>
  <c r="AL233" i="3"/>
  <c r="AM231" i="3"/>
  <c r="AL231" i="3"/>
  <c r="AM230" i="3"/>
  <c r="AL230" i="3"/>
  <c r="AM229" i="3"/>
  <c r="AL229" i="3"/>
  <c r="AM228" i="3"/>
  <c r="AL228" i="3"/>
  <c r="AM225" i="3"/>
  <c r="AL225" i="3"/>
  <c r="AM222" i="3"/>
  <c r="AL222" i="3"/>
  <c r="AM126" i="3"/>
  <c r="AL126" i="3"/>
  <c r="AM123" i="3"/>
  <c r="AL123" i="3"/>
  <c r="AM120" i="3"/>
  <c r="AL120" i="3"/>
  <c r="AM28" i="3"/>
  <c r="AL28" i="3"/>
  <c r="AM15" i="3"/>
  <c r="AL15" i="3"/>
  <c r="AK748" i="3"/>
  <c r="AK591" i="3"/>
  <c r="AD6" i="3"/>
  <c r="AD15" i="3"/>
  <c r="AE28" i="3"/>
  <c r="AD28" i="3"/>
  <c r="AE19" i="3"/>
  <c r="AD19" i="3"/>
  <c r="AG696" i="3"/>
  <c r="W169" i="4"/>
  <c r="V168" i="4"/>
  <c r="X168" i="4" s="1"/>
  <c r="V167" i="4"/>
  <c r="X167" i="4" s="1"/>
  <c r="V161" i="4"/>
  <c r="X161" i="4" s="1"/>
  <c r="V160" i="4"/>
  <c r="X160" i="4" s="1"/>
  <c r="V157" i="4"/>
  <c r="X157" i="4" s="1"/>
  <c r="V156" i="4"/>
  <c r="X156" i="4" s="1"/>
  <c r="V154" i="4"/>
  <c r="X154" i="4" s="1"/>
  <c r="V151" i="4"/>
  <c r="X151" i="4" s="1"/>
  <c r="V149" i="4"/>
  <c r="X149" i="4" s="1"/>
  <c r="V144" i="4"/>
  <c r="X144" i="4" s="1"/>
  <c r="V21" i="4"/>
  <c r="X21" i="4" s="1"/>
  <c r="V12" i="4"/>
  <c r="X12" i="4" s="1"/>
  <c r="V11" i="4"/>
  <c r="X11" i="4" s="1"/>
  <c r="AK2520" i="3"/>
  <c r="AJ2520" i="3"/>
  <c r="AK2468" i="3"/>
  <c r="AJ2468" i="3"/>
  <c r="C169" i="4"/>
  <c r="AG748" i="3"/>
  <c r="AF748" i="3"/>
  <c r="AE748" i="3"/>
  <c r="AD748" i="3"/>
  <c r="AC748" i="3"/>
  <c r="AB748" i="3"/>
  <c r="AA748" i="3"/>
  <c r="Z748" i="3"/>
  <c r="Y748" i="3"/>
  <c r="X748" i="3"/>
  <c r="AJ640" i="3"/>
  <c r="AI640" i="3"/>
  <c r="AH640" i="3"/>
  <c r="AG640" i="3"/>
  <c r="AF640" i="3"/>
  <c r="AE640" i="3"/>
  <c r="AD640" i="3"/>
  <c r="AC640" i="3"/>
  <c r="AB640" i="3"/>
  <c r="AA640" i="3"/>
  <c r="Z640" i="3"/>
  <c r="Y640" i="3"/>
  <c r="X640" i="3"/>
  <c r="W640" i="3"/>
  <c r="V640" i="3"/>
  <c r="U640" i="3"/>
  <c r="T640" i="3"/>
  <c r="S640" i="3"/>
  <c r="R640" i="3"/>
  <c r="Q640" i="3"/>
  <c r="P640" i="3"/>
  <c r="O640" i="3"/>
  <c r="N640" i="3"/>
  <c r="M640" i="3"/>
  <c r="L640" i="3"/>
  <c r="K640" i="3"/>
  <c r="J640" i="3"/>
  <c r="I640" i="3"/>
  <c r="H640" i="3"/>
  <c r="G640" i="3"/>
  <c r="F640" i="3"/>
  <c r="AJ639" i="3"/>
  <c r="AI639" i="3"/>
  <c r="AH639" i="3"/>
  <c r="AG639" i="3"/>
  <c r="AF639" i="3"/>
  <c r="AE639" i="3"/>
  <c r="AD639" i="3"/>
  <c r="AC639" i="3"/>
  <c r="AB639" i="3"/>
  <c r="AA639" i="3"/>
  <c r="Z639" i="3"/>
  <c r="Y639" i="3"/>
  <c r="X639" i="3"/>
  <c r="W639" i="3"/>
  <c r="V639" i="3"/>
  <c r="U639" i="3"/>
  <c r="T639" i="3"/>
  <c r="S639" i="3"/>
  <c r="R639" i="3"/>
  <c r="Q639" i="3"/>
  <c r="P639" i="3"/>
  <c r="O639" i="3"/>
  <c r="N639" i="3"/>
  <c r="M639" i="3"/>
  <c r="L639" i="3"/>
  <c r="K639" i="3"/>
  <c r="J639" i="3"/>
  <c r="I639" i="3"/>
  <c r="H639" i="3"/>
  <c r="G639" i="3"/>
  <c r="F639" i="3"/>
  <c r="AJ638" i="3"/>
  <c r="AI638" i="3"/>
  <c r="AH638" i="3"/>
  <c r="AG638" i="3"/>
  <c r="AF638" i="3"/>
  <c r="AE638" i="3"/>
  <c r="AD638" i="3"/>
  <c r="AC638" i="3"/>
  <c r="AB638" i="3"/>
  <c r="AA638" i="3"/>
  <c r="Z638" i="3"/>
  <c r="Y638" i="3"/>
  <c r="X638" i="3"/>
  <c r="W638" i="3"/>
  <c r="V638" i="3"/>
  <c r="U638" i="3"/>
  <c r="T638" i="3"/>
  <c r="S638" i="3"/>
  <c r="R638" i="3"/>
  <c r="Q638" i="3"/>
  <c r="P638" i="3"/>
  <c r="O638" i="3"/>
  <c r="N638" i="3"/>
  <c r="M638" i="3"/>
  <c r="L638" i="3"/>
  <c r="K638" i="3"/>
  <c r="J638" i="3"/>
  <c r="I638" i="3"/>
  <c r="H638" i="3"/>
  <c r="G638" i="3"/>
  <c r="F638" i="3"/>
  <c r="AJ637" i="3"/>
  <c r="AI637" i="3"/>
  <c r="AH637" i="3"/>
  <c r="AG637" i="3"/>
  <c r="AF637" i="3"/>
  <c r="AE637" i="3"/>
  <c r="AD637" i="3"/>
  <c r="AC637" i="3"/>
  <c r="AB637" i="3"/>
  <c r="AA637" i="3"/>
  <c r="Z637" i="3"/>
  <c r="Y637" i="3"/>
  <c r="X637" i="3"/>
  <c r="W637" i="3"/>
  <c r="V637" i="3"/>
  <c r="U637" i="3"/>
  <c r="T637" i="3"/>
  <c r="S637" i="3"/>
  <c r="R637" i="3"/>
  <c r="Q637" i="3"/>
  <c r="P637" i="3"/>
  <c r="O637" i="3"/>
  <c r="N637" i="3"/>
  <c r="M637" i="3"/>
  <c r="L637" i="3"/>
  <c r="K637" i="3"/>
  <c r="J637" i="3"/>
  <c r="I637" i="3"/>
  <c r="H637" i="3"/>
  <c r="G637" i="3"/>
  <c r="F637" i="3"/>
  <c r="AJ636" i="3"/>
  <c r="AI636" i="3"/>
  <c r="AH636" i="3"/>
  <c r="AG636" i="3"/>
  <c r="AF636" i="3"/>
  <c r="AE636" i="3"/>
  <c r="AD636" i="3"/>
  <c r="AC636" i="3"/>
  <c r="AB636" i="3"/>
  <c r="AA636" i="3"/>
  <c r="Z636" i="3"/>
  <c r="Y636" i="3"/>
  <c r="X636" i="3"/>
  <c r="W636" i="3"/>
  <c r="V636" i="3"/>
  <c r="U636" i="3"/>
  <c r="T636" i="3"/>
  <c r="S636" i="3"/>
  <c r="R636" i="3"/>
  <c r="Q636" i="3"/>
  <c r="P636" i="3"/>
  <c r="O636" i="3"/>
  <c r="N636" i="3"/>
  <c r="M636" i="3"/>
  <c r="L636" i="3"/>
  <c r="K636" i="3"/>
  <c r="J636" i="3"/>
  <c r="I636" i="3"/>
  <c r="H636" i="3"/>
  <c r="G636" i="3"/>
  <c r="F636" i="3"/>
  <c r="AJ635" i="3"/>
  <c r="AI635" i="3"/>
  <c r="AH635" i="3"/>
  <c r="AG635" i="3"/>
  <c r="AF635" i="3"/>
  <c r="AE635" i="3"/>
  <c r="AD635" i="3"/>
  <c r="AC635" i="3"/>
  <c r="AB635" i="3"/>
  <c r="AA635" i="3"/>
  <c r="Z635" i="3"/>
  <c r="Y635" i="3"/>
  <c r="X635" i="3"/>
  <c r="W635" i="3"/>
  <c r="V635" i="3"/>
  <c r="U635" i="3"/>
  <c r="T635" i="3"/>
  <c r="S635" i="3"/>
  <c r="R635" i="3"/>
  <c r="Q635" i="3"/>
  <c r="P635" i="3"/>
  <c r="O635" i="3"/>
  <c r="N635" i="3"/>
  <c r="M635" i="3"/>
  <c r="L635" i="3"/>
  <c r="K635" i="3"/>
  <c r="J635" i="3"/>
  <c r="I635" i="3"/>
  <c r="H635" i="3"/>
  <c r="G635" i="3"/>
  <c r="F635" i="3"/>
  <c r="AJ634" i="3"/>
  <c r="AI634" i="3"/>
  <c r="AH634" i="3"/>
  <c r="AG634" i="3"/>
  <c r="AF634" i="3"/>
  <c r="AE634" i="3"/>
  <c r="AD634" i="3"/>
  <c r="AC634" i="3"/>
  <c r="AB634" i="3"/>
  <c r="AA634" i="3"/>
  <c r="Z634" i="3"/>
  <c r="Y634" i="3"/>
  <c r="X634" i="3"/>
  <c r="W634" i="3"/>
  <c r="V634" i="3"/>
  <c r="U634" i="3"/>
  <c r="T634" i="3"/>
  <c r="S634" i="3"/>
  <c r="R634" i="3"/>
  <c r="Q634" i="3"/>
  <c r="P634" i="3"/>
  <c r="O634" i="3"/>
  <c r="N634" i="3"/>
  <c r="M634" i="3"/>
  <c r="L634" i="3"/>
  <c r="K634" i="3"/>
  <c r="J634" i="3"/>
  <c r="I634" i="3"/>
  <c r="H634" i="3"/>
  <c r="G634" i="3"/>
  <c r="F634" i="3"/>
  <c r="AJ633" i="3"/>
  <c r="AI633" i="3"/>
  <c r="AH633" i="3"/>
  <c r="AG633" i="3"/>
  <c r="AF633" i="3"/>
  <c r="AE633" i="3"/>
  <c r="AD633" i="3"/>
  <c r="AC633" i="3"/>
  <c r="AB633" i="3"/>
  <c r="AA633" i="3"/>
  <c r="Z633" i="3"/>
  <c r="Y633" i="3"/>
  <c r="X633" i="3"/>
  <c r="W633" i="3"/>
  <c r="V633" i="3"/>
  <c r="U633" i="3"/>
  <c r="T633" i="3"/>
  <c r="S633" i="3"/>
  <c r="R633" i="3"/>
  <c r="Q633" i="3"/>
  <c r="P633" i="3"/>
  <c r="O633" i="3"/>
  <c r="N633" i="3"/>
  <c r="M633" i="3"/>
  <c r="L633" i="3"/>
  <c r="K633" i="3"/>
  <c r="J633" i="3"/>
  <c r="I633" i="3"/>
  <c r="H633" i="3"/>
  <c r="G633" i="3"/>
  <c r="F633" i="3"/>
  <c r="AJ632" i="3"/>
  <c r="AI632" i="3"/>
  <c r="AH632" i="3"/>
  <c r="AG632" i="3"/>
  <c r="AF632" i="3"/>
  <c r="AE632" i="3"/>
  <c r="AD632" i="3"/>
  <c r="AC632" i="3"/>
  <c r="AB632" i="3"/>
  <c r="AA632" i="3"/>
  <c r="Z632" i="3"/>
  <c r="Y632" i="3"/>
  <c r="X632" i="3"/>
  <c r="W632" i="3"/>
  <c r="V632" i="3"/>
  <c r="U632" i="3"/>
  <c r="T632" i="3"/>
  <c r="S632" i="3"/>
  <c r="R632" i="3"/>
  <c r="Q632" i="3"/>
  <c r="P632" i="3"/>
  <c r="O632" i="3"/>
  <c r="N632" i="3"/>
  <c r="M632" i="3"/>
  <c r="L632" i="3"/>
  <c r="K632" i="3"/>
  <c r="J632" i="3"/>
  <c r="I632" i="3"/>
  <c r="H632" i="3"/>
  <c r="G632" i="3"/>
  <c r="F632" i="3"/>
  <c r="AJ631" i="3"/>
  <c r="AI631" i="3"/>
  <c r="AH631" i="3"/>
  <c r="AG631" i="3"/>
  <c r="AF631" i="3"/>
  <c r="AE631" i="3"/>
  <c r="AD631" i="3"/>
  <c r="AC631" i="3"/>
  <c r="AB631" i="3"/>
  <c r="AA631" i="3"/>
  <c r="Z631" i="3"/>
  <c r="Y631" i="3"/>
  <c r="X631" i="3"/>
  <c r="W631" i="3"/>
  <c r="V631" i="3"/>
  <c r="U631" i="3"/>
  <c r="T631" i="3"/>
  <c r="S631" i="3"/>
  <c r="R631" i="3"/>
  <c r="Q631" i="3"/>
  <c r="P631" i="3"/>
  <c r="O631" i="3"/>
  <c r="N631" i="3"/>
  <c r="M631" i="3"/>
  <c r="L631" i="3"/>
  <c r="K631" i="3"/>
  <c r="J631" i="3"/>
  <c r="I631" i="3"/>
  <c r="H631" i="3"/>
  <c r="G631" i="3"/>
  <c r="F631" i="3"/>
  <c r="AJ630" i="3"/>
  <c r="AI630" i="3"/>
  <c r="AH630" i="3"/>
  <c r="AG630" i="3"/>
  <c r="AF630" i="3"/>
  <c r="AE630" i="3"/>
  <c r="AD630" i="3"/>
  <c r="AC630" i="3"/>
  <c r="AB630" i="3"/>
  <c r="AA630" i="3"/>
  <c r="Z630" i="3"/>
  <c r="Y630" i="3"/>
  <c r="X630" i="3"/>
  <c r="W630" i="3"/>
  <c r="V630" i="3"/>
  <c r="U630" i="3"/>
  <c r="T630" i="3"/>
  <c r="S630" i="3"/>
  <c r="R630" i="3"/>
  <c r="Q630" i="3"/>
  <c r="P630" i="3"/>
  <c r="O630" i="3"/>
  <c r="N630" i="3"/>
  <c r="M630" i="3"/>
  <c r="L630" i="3"/>
  <c r="K630" i="3"/>
  <c r="J630" i="3"/>
  <c r="I630" i="3"/>
  <c r="H630" i="3"/>
  <c r="G630" i="3"/>
  <c r="F630" i="3"/>
  <c r="AJ629" i="3"/>
  <c r="AI629" i="3"/>
  <c r="AH629" i="3"/>
  <c r="AG629" i="3"/>
  <c r="AF629" i="3"/>
  <c r="AE629" i="3"/>
  <c r="AD629" i="3"/>
  <c r="AC629" i="3"/>
  <c r="AB629" i="3"/>
  <c r="AA629" i="3"/>
  <c r="Z629" i="3"/>
  <c r="Y629" i="3"/>
  <c r="X629" i="3"/>
  <c r="W629" i="3"/>
  <c r="V629" i="3"/>
  <c r="U629" i="3"/>
  <c r="T629" i="3"/>
  <c r="S629" i="3"/>
  <c r="R629" i="3"/>
  <c r="Q629" i="3"/>
  <c r="P629" i="3"/>
  <c r="O629" i="3"/>
  <c r="N629" i="3"/>
  <c r="M629" i="3"/>
  <c r="L629" i="3"/>
  <c r="K629" i="3"/>
  <c r="J629" i="3"/>
  <c r="I629" i="3"/>
  <c r="H629" i="3"/>
  <c r="G629" i="3"/>
  <c r="F629" i="3"/>
  <c r="AJ628" i="3"/>
  <c r="AI628" i="3"/>
  <c r="AH628" i="3"/>
  <c r="AG628" i="3"/>
  <c r="AF628" i="3"/>
  <c r="AE628" i="3"/>
  <c r="AD628" i="3"/>
  <c r="AC628" i="3"/>
  <c r="AB628" i="3"/>
  <c r="AA628" i="3"/>
  <c r="Z628" i="3"/>
  <c r="Y628" i="3"/>
  <c r="X628" i="3"/>
  <c r="W628" i="3"/>
  <c r="V628" i="3"/>
  <c r="U628" i="3"/>
  <c r="T628" i="3"/>
  <c r="S628" i="3"/>
  <c r="R628" i="3"/>
  <c r="Q628" i="3"/>
  <c r="P628" i="3"/>
  <c r="O628" i="3"/>
  <c r="N628" i="3"/>
  <c r="M628" i="3"/>
  <c r="L628" i="3"/>
  <c r="K628" i="3"/>
  <c r="J628" i="3"/>
  <c r="I628" i="3"/>
  <c r="H628" i="3"/>
  <c r="G628" i="3"/>
  <c r="F628" i="3"/>
  <c r="AJ627" i="3"/>
  <c r="AI627" i="3"/>
  <c r="AH627" i="3"/>
  <c r="AG627" i="3"/>
  <c r="AF627" i="3"/>
  <c r="AE627" i="3"/>
  <c r="AD627" i="3"/>
  <c r="AC627" i="3"/>
  <c r="AB627" i="3"/>
  <c r="AA627" i="3"/>
  <c r="Z627" i="3"/>
  <c r="Y627" i="3"/>
  <c r="X627" i="3"/>
  <c r="W627" i="3"/>
  <c r="V627" i="3"/>
  <c r="U627" i="3"/>
  <c r="T627" i="3"/>
  <c r="S627" i="3"/>
  <c r="R627" i="3"/>
  <c r="Q627" i="3"/>
  <c r="P627" i="3"/>
  <c r="O627" i="3"/>
  <c r="N627" i="3"/>
  <c r="M627" i="3"/>
  <c r="L627" i="3"/>
  <c r="K627" i="3"/>
  <c r="J627" i="3"/>
  <c r="I627" i="3"/>
  <c r="H627" i="3"/>
  <c r="G627" i="3"/>
  <c r="F627" i="3"/>
  <c r="AJ626" i="3"/>
  <c r="AI626" i="3"/>
  <c r="AH626" i="3"/>
  <c r="AG626" i="3"/>
  <c r="AF626" i="3"/>
  <c r="AE626" i="3"/>
  <c r="AD626" i="3"/>
  <c r="AC626" i="3"/>
  <c r="AB626" i="3"/>
  <c r="AA626" i="3"/>
  <c r="Z626" i="3"/>
  <c r="Y626" i="3"/>
  <c r="X626" i="3"/>
  <c r="W626" i="3"/>
  <c r="V626" i="3"/>
  <c r="U626" i="3"/>
  <c r="T626" i="3"/>
  <c r="S626" i="3"/>
  <c r="R626" i="3"/>
  <c r="Q626" i="3"/>
  <c r="P626" i="3"/>
  <c r="O626" i="3"/>
  <c r="N626" i="3"/>
  <c r="M626" i="3"/>
  <c r="L626" i="3"/>
  <c r="K626" i="3"/>
  <c r="J626" i="3"/>
  <c r="I626" i="3"/>
  <c r="H626" i="3"/>
  <c r="G626" i="3"/>
  <c r="F626" i="3"/>
  <c r="AJ625" i="3"/>
  <c r="AI625" i="3"/>
  <c r="AH625" i="3"/>
  <c r="AG625" i="3"/>
  <c r="AF625" i="3"/>
  <c r="AE625" i="3"/>
  <c r="AD625" i="3"/>
  <c r="AC625" i="3"/>
  <c r="AB625" i="3"/>
  <c r="AA625" i="3"/>
  <c r="Z625" i="3"/>
  <c r="Y625" i="3"/>
  <c r="X625" i="3"/>
  <c r="W625" i="3"/>
  <c r="V625" i="3"/>
  <c r="U625" i="3"/>
  <c r="T625" i="3"/>
  <c r="S625" i="3"/>
  <c r="R625" i="3"/>
  <c r="Q625" i="3"/>
  <c r="P625" i="3"/>
  <c r="O625" i="3"/>
  <c r="N625" i="3"/>
  <c r="M625" i="3"/>
  <c r="L625" i="3"/>
  <c r="K625" i="3"/>
  <c r="J625" i="3"/>
  <c r="I625" i="3"/>
  <c r="H625" i="3"/>
  <c r="G625" i="3"/>
  <c r="F625" i="3"/>
  <c r="AJ624" i="3"/>
  <c r="AI624" i="3"/>
  <c r="AH624" i="3"/>
  <c r="AG624" i="3"/>
  <c r="AF624" i="3"/>
  <c r="AE624" i="3"/>
  <c r="AD624" i="3"/>
  <c r="AC624" i="3"/>
  <c r="AB624" i="3"/>
  <c r="AA624" i="3"/>
  <c r="Z624" i="3"/>
  <c r="Y624" i="3"/>
  <c r="X624" i="3"/>
  <c r="W624" i="3"/>
  <c r="V624" i="3"/>
  <c r="U624" i="3"/>
  <c r="T624" i="3"/>
  <c r="S624" i="3"/>
  <c r="R624" i="3"/>
  <c r="Q624" i="3"/>
  <c r="P624" i="3"/>
  <c r="O624" i="3"/>
  <c r="N624" i="3"/>
  <c r="M624" i="3"/>
  <c r="L624" i="3"/>
  <c r="K624" i="3"/>
  <c r="J624" i="3"/>
  <c r="I624" i="3"/>
  <c r="H624" i="3"/>
  <c r="G624" i="3"/>
  <c r="F624" i="3"/>
  <c r="AJ623" i="3"/>
  <c r="AI623" i="3"/>
  <c r="AH623" i="3"/>
  <c r="AG623" i="3"/>
  <c r="AF623" i="3"/>
  <c r="AE623" i="3"/>
  <c r="AD623" i="3"/>
  <c r="AC623" i="3"/>
  <c r="AB623" i="3"/>
  <c r="AA623" i="3"/>
  <c r="Z623" i="3"/>
  <c r="Y623" i="3"/>
  <c r="X623" i="3"/>
  <c r="W623" i="3"/>
  <c r="V623" i="3"/>
  <c r="U623" i="3"/>
  <c r="T623" i="3"/>
  <c r="S623" i="3"/>
  <c r="R623" i="3"/>
  <c r="Q623" i="3"/>
  <c r="P623" i="3"/>
  <c r="O623" i="3"/>
  <c r="N623" i="3"/>
  <c r="M623" i="3"/>
  <c r="L623" i="3"/>
  <c r="K623" i="3"/>
  <c r="J623" i="3"/>
  <c r="I623" i="3"/>
  <c r="H623" i="3"/>
  <c r="G623" i="3"/>
  <c r="F623" i="3"/>
  <c r="AJ622" i="3"/>
  <c r="AI622" i="3"/>
  <c r="AH622" i="3"/>
  <c r="AG622" i="3"/>
  <c r="AF622" i="3"/>
  <c r="AE622" i="3"/>
  <c r="AD622" i="3"/>
  <c r="AC622" i="3"/>
  <c r="AB622" i="3"/>
  <c r="AA622" i="3"/>
  <c r="Z622" i="3"/>
  <c r="Y622" i="3"/>
  <c r="X622" i="3"/>
  <c r="W622" i="3"/>
  <c r="V622" i="3"/>
  <c r="U622" i="3"/>
  <c r="T622" i="3"/>
  <c r="S622" i="3"/>
  <c r="R622" i="3"/>
  <c r="Q622" i="3"/>
  <c r="P622" i="3"/>
  <c r="O622" i="3"/>
  <c r="N622" i="3"/>
  <c r="M622" i="3"/>
  <c r="L622" i="3"/>
  <c r="K622" i="3"/>
  <c r="J622" i="3"/>
  <c r="I622" i="3"/>
  <c r="H622" i="3"/>
  <c r="G622" i="3"/>
  <c r="F622" i="3"/>
  <c r="AJ621" i="3"/>
  <c r="AI621" i="3"/>
  <c r="AH621" i="3"/>
  <c r="AG621" i="3"/>
  <c r="AF621" i="3"/>
  <c r="AE621" i="3"/>
  <c r="AD621" i="3"/>
  <c r="AC621" i="3"/>
  <c r="AB621" i="3"/>
  <c r="AA621" i="3"/>
  <c r="Z621" i="3"/>
  <c r="Y621" i="3"/>
  <c r="X621" i="3"/>
  <c r="W621" i="3"/>
  <c r="V621" i="3"/>
  <c r="U621" i="3"/>
  <c r="T621" i="3"/>
  <c r="S621" i="3"/>
  <c r="R621" i="3"/>
  <c r="Q621" i="3"/>
  <c r="P621" i="3"/>
  <c r="O621" i="3"/>
  <c r="N621" i="3"/>
  <c r="M621" i="3"/>
  <c r="L621" i="3"/>
  <c r="K621" i="3"/>
  <c r="J621" i="3"/>
  <c r="I621" i="3"/>
  <c r="H621" i="3"/>
  <c r="G621" i="3"/>
  <c r="F621" i="3"/>
  <c r="AJ620" i="3"/>
  <c r="AI620" i="3"/>
  <c r="AH620" i="3"/>
  <c r="AG620" i="3"/>
  <c r="AF620" i="3"/>
  <c r="AE620" i="3"/>
  <c r="AD620" i="3"/>
  <c r="AC620" i="3"/>
  <c r="AB620" i="3"/>
  <c r="AA620" i="3"/>
  <c r="Z620" i="3"/>
  <c r="Y620" i="3"/>
  <c r="X620" i="3"/>
  <c r="W620" i="3"/>
  <c r="V620" i="3"/>
  <c r="U620" i="3"/>
  <c r="T620" i="3"/>
  <c r="S620" i="3"/>
  <c r="R620" i="3"/>
  <c r="Q620" i="3"/>
  <c r="P620" i="3"/>
  <c r="O620" i="3"/>
  <c r="N620" i="3"/>
  <c r="M620" i="3"/>
  <c r="L620" i="3"/>
  <c r="K620" i="3"/>
  <c r="J620" i="3"/>
  <c r="I620" i="3"/>
  <c r="H620" i="3"/>
  <c r="G620" i="3"/>
  <c r="F620" i="3"/>
  <c r="AJ619" i="3"/>
  <c r="AI619" i="3"/>
  <c r="AH619" i="3"/>
  <c r="AG619" i="3"/>
  <c r="AF619" i="3"/>
  <c r="AE619" i="3"/>
  <c r="AD619" i="3"/>
  <c r="AC619" i="3"/>
  <c r="AB619" i="3"/>
  <c r="AA619" i="3"/>
  <c r="Z619" i="3"/>
  <c r="Y619" i="3"/>
  <c r="X619" i="3"/>
  <c r="W619" i="3"/>
  <c r="V619" i="3"/>
  <c r="U619" i="3"/>
  <c r="T619" i="3"/>
  <c r="S619" i="3"/>
  <c r="R619" i="3"/>
  <c r="Q619" i="3"/>
  <c r="P619" i="3"/>
  <c r="O619" i="3"/>
  <c r="N619" i="3"/>
  <c r="M619" i="3"/>
  <c r="L619" i="3"/>
  <c r="K619" i="3"/>
  <c r="J619" i="3"/>
  <c r="I619" i="3"/>
  <c r="H619" i="3"/>
  <c r="G619" i="3"/>
  <c r="F619" i="3"/>
  <c r="AJ618" i="3"/>
  <c r="AI618" i="3"/>
  <c r="AH618" i="3"/>
  <c r="AG618" i="3"/>
  <c r="AF618" i="3"/>
  <c r="AE618" i="3"/>
  <c r="AD618" i="3"/>
  <c r="AC618" i="3"/>
  <c r="AB618" i="3"/>
  <c r="AA618" i="3"/>
  <c r="Z618" i="3"/>
  <c r="Y618" i="3"/>
  <c r="X618" i="3"/>
  <c r="W618" i="3"/>
  <c r="V618" i="3"/>
  <c r="U618" i="3"/>
  <c r="T618" i="3"/>
  <c r="S618" i="3"/>
  <c r="R618" i="3"/>
  <c r="Q618" i="3"/>
  <c r="P618" i="3"/>
  <c r="O618" i="3"/>
  <c r="N618" i="3"/>
  <c r="M618" i="3"/>
  <c r="L618" i="3"/>
  <c r="K618" i="3"/>
  <c r="J618" i="3"/>
  <c r="I618" i="3"/>
  <c r="H618" i="3"/>
  <c r="G618" i="3"/>
  <c r="F618" i="3"/>
  <c r="AJ617" i="3"/>
  <c r="AI617" i="3"/>
  <c r="AH617" i="3"/>
  <c r="AG617" i="3"/>
  <c r="AF617" i="3"/>
  <c r="AE617" i="3"/>
  <c r="AD617" i="3"/>
  <c r="AC617" i="3"/>
  <c r="AB617" i="3"/>
  <c r="AA617" i="3"/>
  <c r="Z617" i="3"/>
  <c r="Y617" i="3"/>
  <c r="X617" i="3"/>
  <c r="W617" i="3"/>
  <c r="V617" i="3"/>
  <c r="U617" i="3"/>
  <c r="T617" i="3"/>
  <c r="S617" i="3"/>
  <c r="R617" i="3"/>
  <c r="Q617" i="3"/>
  <c r="P617" i="3"/>
  <c r="O617" i="3"/>
  <c r="N617" i="3"/>
  <c r="M617" i="3"/>
  <c r="L617" i="3"/>
  <c r="K617" i="3"/>
  <c r="J617" i="3"/>
  <c r="I617" i="3"/>
  <c r="H617" i="3"/>
  <c r="G617" i="3"/>
  <c r="F617" i="3"/>
  <c r="AJ616" i="3"/>
  <c r="AI616" i="3"/>
  <c r="AH616" i="3"/>
  <c r="AG616" i="3"/>
  <c r="AF616" i="3"/>
  <c r="AE616" i="3"/>
  <c r="AD616" i="3"/>
  <c r="AC616" i="3"/>
  <c r="AB616" i="3"/>
  <c r="AA616" i="3"/>
  <c r="Z616" i="3"/>
  <c r="Y616" i="3"/>
  <c r="X616" i="3"/>
  <c r="W616" i="3"/>
  <c r="V616" i="3"/>
  <c r="U616" i="3"/>
  <c r="T616" i="3"/>
  <c r="S616" i="3"/>
  <c r="R616" i="3"/>
  <c r="Q616" i="3"/>
  <c r="P616" i="3"/>
  <c r="O616" i="3"/>
  <c r="N616" i="3"/>
  <c r="M616" i="3"/>
  <c r="L616" i="3"/>
  <c r="K616" i="3"/>
  <c r="J616" i="3"/>
  <c r="I616" i="3"/>
  <c r="H616" i="3"/>
  <c r="G616" i="3"/>
  <c r="F616" i="3"/>
  <c r="AJ615" i="3"/>
  <c r="AI615" i="3"/>
  <c r="AH615" i="3"/>
  <c r="AG615" i="3"/>
  <c r="AF615" i="3"/>
  <c r="AE615" i="3"/>
  <c r="AD615" i="3"/>
  <c r="AC615" i="3"/>
  <c r="AB615" i="3"/>
  <c r="AA615" i="3"/>
  <c r="Z615" i="3"/>
  <c r="Y615" i="3"/>
  <c r="X615" i="3"/>
  <c r="W615" i="3"/>
  <c r="V615" i="3"/>
  <c r="U615" i="3"/>
  <c r="T615" i="3"/>
  <c r="S615" i="3"/>
  <c r="R615" i="3"/>
  <c r="Q615" i="3"/>
  <c r="P615" i="3"/>
  <c r="O615" i="3"/>
  <c r="N615" i="3"/>
  <c r="M615" i="3"/>
  <c r="L615" i="3"/>
  <c r="K615" i="3"/>
  <c r="J615" i="3"/>
  <c r="I615" i="3"/>
  <c r="H615" i="3"/>
  <c r="G615" i="3"/>
  <c r="F615" i="3"/>
  <c r="AJ614" i="3"/>
  <c r="AI614" i="3"/>
  <c r="AH614" i="3"/>
  <c r="AG614" i="3"/>
  <c r="AF614" i="3"/>
  <c r="AE614" i="3"/>
  <c r="AD614" i="3"/>
  <c r="AC614" i="3"/>
  <c r="AB614" i="3"/>
  <c r="AA614" i="3"/>
  <c r="Z614" i="3"/>
  <c r="Y614" i="3"/>
  <c r="X614" i="3"/>
  <c r="W614" i="3"/>
  <c r="V614" i="3"/>
  <c r="U614" i="3"/>
  <c r="T614" i="3"/>
  <c r="S614" i="3"/>
  <c r="R614" i="3"/>
  <c r="Q614" i="3"/>
  <c r="P614" i="3"/>
  <c r="O614" i="3"/>
  <c r="N614" i="3"/>
  <c r="M614" i="3"/>
  <c r="L614" i="3"/>
  <c r="K614" i="3"/>
  <c r="J614" i="3"/>
  <c r="I614" i="3"/>
  <c r="H614" i="3"/>
  <c r="G614" i="3"/>
  <c r="F614" i="3"/>
  <c r="AJ613" i="3"/>
  <c r="AI613" i="3"/>
  <c r="AH613" i="3"/>
  <c r="AG613" i="3"/>
  <c r="AF613" i="3"/>
  <c r="AE613" i="3"/>
  <c r="AD613" i="3"/>
  <c r="AC613" i="3"/>
  <c r="AB613" i="3"/>
  <c r="AA613" i="3"/>
  <c r="Z613" i="3"/>
  <c r="Y613" i="3"/>
  <c r="X613" i="3"/>
  <c r="W613" i="3"/>
  <c r="V613" i="3"/>
  <c r="U613" i="3"/>
  <c r="T613" i="3"/>
  <c r="S613" i="3"/>
  <c r="R613" i="3"/>
  <c r="Q613" i="3"/>
  <c r="P613" i="3"/>
  <c r="O613" i="3"/>
  <c r="N613" i="3"/>
  <c r="M613" i="3"/>
  <c r="L613" i="3"/>
  <c r="K613" i="3"/>
  <c r="J613" i="3"/>
  <c r="I613" i="3"/>
  <c r="H613" i="3"/>
  <c r="G613" i="3"/>
  <c r="F613" i="3"/>
  <c r="AJ612" i="3"/>
  <c r="AI612" i="3"/>
  <c r="AH612" i="3"/>
  <c r="AG612" i="3"/>
  <c r="AF612" i="3"/>
  <c r="AE612" i="3"/>
  <c r="AD612" i="3"/>
  <c r="AC612" i="3"/>
  <c r="AB612" i="3"/>
  <c r="AA612" i="3"/>
  <c r="Z612" i="3"/>
  <c r="Y612" i="3"/>
  <c r="X612" i="3"/>
  <c r="W612" i="3"/>
  <c r="V612" i="3"/>
  <c r="U612" i="3"/>
  <c r="T612" i="3"/>
  <c r="S612" i="3"/>
  <c r="R612" i="3"/>
  <c r="Q612" i="3"/>
  <c r="P612" i="3"/>
  <c r="O612" i="3"/>
  <c r="N612" i="3"/>
  <c r="M612" i="3"/>
  <c r="L612" i="3"/>
  <c r="K612" i="3"/>
  <c r="J612" i="3"/>
  <c r="I612" i="3"/>
  <c r="H612" i="3"/>
  <c r="G612" i="3"/>
  <c r="F612" i="3"/>
  <c r="AJ611" i="3"/>
  <c r="AI611" i="3"/>
  <c r="AH611" i="3"/>
  <c r="AG611" i="3"/>
  <c r="AF611" i="3"/>
  <c r="AE611" i="3"/>
  <c r="AD611" i="3"/>
  <c r="AC611" i="3"/>
  <c r="AB611" i="3"/>
  <c r="AA611" i="3"/>
  <c r="Z611" i="3"/>
  <c r="Y611" i="3"/>
  <c r="X611" i="3"/>
  <c r="W611" i="3"/>
  <c r="V611" i="3"/>
  <c r="U611" i="3"/>
  <c r="T611" i="3"/>
  <c r="S611" i="3"/>
  <c r="R611" i="3"/>
  <c r="Q611" i="3"/>
  <c r="P611" i="3"/>
  <c r="O611" i="3"/>
  <c r="N611" i="3"/>
  <c r="M611" i="3"/>
  <c r="L611" i="3"/>
  <c r="K611" i="3"/>
  <c r="J611" i="3"/>
  <c r="I611" i="3"/>
  <c r="H611" i="3"/>
  <c r="G611" i="3"/>
  <c r="F611" i="3"/>
  <c r="AJ610" i="3"/>
  <c r="AI610" i="3"/>
  <c r="AH610" i="3"/>
  <c r="AG610" i="3"/>
  <c r="AF610" i="3"/>
  <c r="AE610" i="3"/>
  <c r="AD610" i="3"/>
  <c r="AC610" i="3"/>
  <c r="AB610" i="3"/>
  <c r="AA610" i="3"/>
  <c r="Z610" i="3"/>
  <c r="Y610" i="3"/>
  <c r="X610" i="3"/>
  <c r="W610" i="3"/>
  <c r="V610" i="3"/>
  <c r="U610" i="3"/>
  <c r="T610" i="3"/>
  <c r="S610" i="3"/>
  <c r="R610" i="3"/>
  <c r="Q610" i="3"/>
  <c r="P610" i="3"/>
  <c r="O610" i="3"/>
  <c r="N610" i="3"/>
  <c r="M610" i="3"/>
  <c r="L610" i="3"/>
  <c r="K610" i="3"/>
  <c r="J610" i="3"/>
  <c r="I610" i="3"/>
  <c r="H610" i="3"/>
  <c r="G610" i="3"/>
  <c r="F610" i="3"/>
  <c r="AJ609" i="3"/>
  <c r="AI609" i="3"/>
  <c r="AH609" i="3"/>
  <c r="AG609" i="3"/>
  <c r="AF609" i="3"/>
  <c r="AE609" i="3"/>
  <c r="AD609" i="3"/>
  <c r="AC609" i="3"/>
  <c r="AB609" i="3"/>
  <c r="AA609" i="3"/>
  <c r="Z609" i="3"/>
  <c r="Y609" i="3"/>
  <c r="X609" i="3"/>
  <c r="W609" i="3"/>
  <c r="V609" i="3"/>
  <c r="U609" i="3"/>
  <c r="T609" i="3"/>
  <c r="S609" i="3"/>
  <c r="R609" i="3"/>
  <c r="Q609" i="3"/>
  <c r="P609" i="3"/>
  <c r="O609" i="3"/>
  <c r="N609" i="3"/>
  <c r="M609" i="3"/>
  <c r="L609" i="3"/>
  <c r="K609" i="3"/>
  <c r="J609" i="3"/>
  <c r="I609" i="3"/>
  <c r="H609" i="3"/>
  <c r="G609" i="3"/>
  <c r="F609" i="3"/>
  <c r="AJ608" i="3"/>
  <c r="AI608" i="3"/>
  <c r="AH608" i="3"/>
  <c r="AG608" i="3"/>
  <c r="AF608" i="3"/>
  <c r="AE608" i="3"/>
  <c r="AD608" i="3"/>
  <c r="AC608" i="3"/>
  <c r="AB608" i="3"/>
  <c r="AA608" i="3"/>
  <c r="Z608" i="3"/>
  <c r="Y608" i="3"/>
  <c r="X608" i="3"/>
  <c r="W608" i="3"/>
  <c r="V608" i="3"/>
  <c r="U608" i="3"/>
  <c r="T608" i="3"/>
  <c r="S608" i="3"/>
  <c r="R608" i="3"/>
  <c r="Q608" i="3"/>
  <c r="P608" i="3"/>
  <c r="O608" i="3"/>
  <c r="N608" i="3"/>
  <c r="M608" i="3"/>
  <c r="L608" i="3"/>
  <c r="K608" i="3"/>
  <c r="J608" i="3"/>
  <c r="I608" i="3"/>
  <c r="H608" i="3"/>
  <c r="G608" i="3"/>
  <c r="F608" i="3"/>
  <c r="AJ607" i="3"/>
  <c r="AI607" i="3"/>
  <c r="AH607" i="3"/>
  <c r="AG607" i="3"/>
  <c r="AF607" i="3"/>
  <c r="AE607" i="3"/>
  <c r="AD607" i="3"/>
  <c r="AC607" i="3"/>
  <c r="AB607" i="3"/>
  <c r="AA607" i="3"/>
  <c r="Z607" i="3"/>
  <c r="Y607" i="3"/>
  <c r="X607" i="3"/>
  <c r="W607" i="3"/>
  <c r="V607" i="3"/>
  <c r="U607" i="3"/>
  <c r="T607" i="3"/>
  <c r="S607" i="3"/>
  <c r="R607" i="3"/>
  <c r="Q607" i="3"/>
  <c r="P607" i="3"/>
  <c r="O607" i="3"/>
  <c r="N607" i="3"/>
  <c r="M607" i="3"/>
  <c r="L607" i="3"/>
  <c r="K607" i="3"/>
  <c r="J607" i="3"/>
  <c r="I607" i="3"/>
  <c r="H607" i="3"/>
  <c r="G607" i="3"/>
  <c r="F607" i="3"/>
  <c r="AJ606" i="3"/>
  <c r="AI606" i="3"/>
  <c r="AH606" i="3"/>
  <c r="AG606" i="3"/>
  <c r="AF606" i="3"/>
  <c r="AE606" i="3"/>
  <c r="AD606" i="3"/>
  <c r="AC606" i="3"/>
  <c r="AB606" i="3"/>
  <c r="AA606" i="3"/>
  <c r="Z606" i="3"/>
  <c r="Y606" i="3"/>
  <c r="X606" i="3"/>
  <c r="W606" i="3"/>
  <c r="V606" i="3"/>
  <c r="U606" i="3"/>
  <c r="T606" i="3"/>
  <c r="S606" i="3"/>
  <c r="R606" i="3"/>
  <c r="Q606" i="3"/>
  <c r="P606" i="3"/>
  <c r="O606" i="3"/>
  <c r="N606" i="3"/>
  <c r="M606" i="3"/>
  <c r="L606" i="3"/>
  <c r="K606" i="3"/>
  <c r="J606" i="3"/>
  <c r="I606" i="3"/>
  <c r="H606" i="3"/>
  <c r="G606" i="3"/>
  <c r="F606" i="3"/>
  <c r="AJ605" i="3"/>
  <c r="AI605" i="3"/>
  <c r="AH605" i="3"/>
  <c r="AG605" i="3"/>
  <c r="AF605" i="3"/>
  <c r="AE605" i="3"/>
  <c r="AD605" i="3"/>
  <c r="AC605" i="3"/>
  <c r="AB605" i="3"/>
  <c r="AA605" i="3"/>
  <c r="Z605" i="3"/>
  <c r="Y605" i="3"/>
  <c r="X605" i="3"/>
  <c r="W605" i="3"/>
  <c r="V605" i="3"/>
  <c r="U605" i="3"/>
  <c r="T605" i="3"/>
  <c r="S605" i="3"/>
  <c r="R605" i="3"/>
  <c r="Q605" i="3"/>
  <c r="P605" i="3"/>
  <c r="O605" i="3"/>
  <c r="N605" i="3"/>
  <c r="M605" i="3"/>
  <c r="L605" i="3"/>
  <c r="K605" i="3"/>
  <c r="J605" i="3"/>
  <c r="I605" i="3"/>
  <c r="H605" i="3"/>
  <c r="G605" i="3"/>
  <c r="F605" i="3"/>
  <c r="AJ604" i="3"/>
  <c r="AI604" i="3"/>
  <c r="AH604" i="3"/>
  <c r="AG604" i="3"/>
  <c r="AF604" i="3"/>
  <c r="AE604" i="3"/>
  <c r="AD604" i="3"/>
  <c r="AC604" i="3"/>
  <c r="AB604" i="3"/>
  <c r="AA604" i="3"/>
  <c r="Z604" i="3"/>
  <c r="Y604" i="3"/>
  <c r="X604" i="3"/>
  <c r="W604" i="3"/>
  <c r="V604" i="3"/>
  <c r="U604" i="3"/>
  <c r="T604" i="3"/>
  <c r="S604" i="3"/>
  <c r="R604" i="3"/>
  <c r="Q604" i="3"/>
  <c r="P604" i="3"/>
  <c r="O604" i="3"/>
  <c r="N604" i="3"/>
  <c r="M604" i="3"/>
  <c r="L604" i="3"/>
  <c r="K604" i="3"/>
  <c r="J604" i="3"/>
  <c r="I604" i="3"/>
  <c r="H604" i="3"/>
  <c r="G604" i="3"/>
  <c r="F604" i="3"/>
  <c r="AJ603" i="3"/>
  <c r="AI603" i="3"/>
  <c r="AH603" i="3"/>
  <c r="AG603" i="3"/>
  <c r="AF603" i="3"/>
  <c r="AE603" i="3"/>
  <c r="AD603" i="3"/>
  <c r="AC603" i="3"/>
  <c r="AB603" i="3"/>
  <c r="AA603" i="3"/>
  <c r="Z603" i="3"/>
  <c r="Y603" i="3"/>
  <c r="X603" i="3"/>
  <c r="W603" i="3"/>
  <c r="V603" i="3"/>
  <c r="U603" i="3"/>
  <c r="T603" i="3"/>
  <c r="S603" i="3"/>
  <c r="R603" i="3"/>
  <c r="Q603" i="3"/>
  <c r="P603" i="3"/>
  <c r="O603" i="3"/>
  <c r="N603" i="3"/>
  <c r="M603" i="3"/>
  <c r="L603" i="3"/>
  <c r="K603" i="3"/>
  <c r="J603" i="3"/>
  <c r="I603" i="3"/>
  <c r="H603" i="3"/>
  <c r="G603" i="3"/>
  <c r="F603" i="3"/>
  <c r="AJ602" i="3"/>
  <c r="AI602" i="3"/>
  <c r="AH602" i="3"/>
  <c r="AG602" i="3"/>
  <c r="AF602" i="3"/>
  <c r="AE602" i="3"/>
  <c r="AD602" i="3"/>
  <c r="AC602" i="3"/>
  <c r="AB602" i="3"/>
  <c r="AA602" i="3"/>
  <c r="Z602" i="3"/>
  <c r="Y602" i="3"/>
  <c r="X602" i="3"/>
  <c r="W602" i="3"/>
  <c r="V602" i="3"/>
  <c r="U602" i="3"/>
  <c r="T602" i="3"/>
  <c r="S602" i="3"/>
  <c r="R602" i="3"/>
  <c r="Q602" i="3"/>
  <c r="P602" i="3"/>
  <c r="O602" i="3"/>
  <c r="N602" i="3"/>
  <c r="M602" i="3"/>
  <c r="L602" i="3"/>
  <c r="K602" i="3"/>
  <c r="J602" i="3"/>
  <c r="I602" i="3"/>
  <c r="H602" i="3"/>
  <c r="G602" i="3"/>
  <c r="F602" i="3"/>
  <c r="AJ601" i="3"/>
  <c r="AI601" i="3"/>
  <c r="AH601" i="3"/>
  <c r="AG601" i="3"/>
  <c r="AF601" i="3"/>
  <c r="AE601" i="3"/>
  <c r="AD601" i="3"/>
  <c r="AC601" i="3"/>
  <c r="AB601" i="3"/>
  <c r="AA601" i="3"/>
  <c r="Z601" i="3"/>
  <c r="Y601" i="3"/>
  <c r="X601" i="3"/>
  <c r="W601" i="3"/>
  <c r="V601" i="3"/>
  <c r="U601" i="3"/>
  <c r="T601" i="3"/>
  <c r="S601" i="3"/>
  <c r="R601" i="3"/>
  <c r="Q601" i="3"/>
  <c r="P601" i="3"/>
  <c r="O601" i="3"/>
  <c r="N601" i="3"/>
  <c r="M601" i="3"/>
  <c r="L601" i="3"/>
  <c r="K601" i="3"/>
  <c r="J601" i="3"/>
  <c r="I601" i="3"/>
  <c r="H601" i="3"/>
  <c r="G601" i="3"/>
  <c r="F601" i="3"/>
  <c r="AJ600" i="3"/>
  <c r="AI600" i="3"/>
  <c r="AH600" i="3"/>
  <c r="AG600" i="3"/>
  <c r="AF600" i="3"/>
  <c r="AE600" i="3"/>
  <c r="AD600" i="3"/>
  <c r="AC600" i="3"/>
  <c r="AB600" i="3"/>
  <c r="AA600" i="3"/>
  <c r="Z600" i="3"/>
  <c r="Y600" i="3"/>
  <c r="X600" i="3"/>
  <c r="W600" i="3"/>
  <c r="V600" i="3"/>
  <c r="U600" i="3"/>
  <c r="T600" i="3"/>
  <c r="S600" i="3"/>
  <c r="R600" i="3"/>
  <c r="Q600" i="3"/>
  <c r="P600" i="3"/>
  <c r="O600" i="3"/>
  <c r="N600" i="3"/>
  <c r="M600" i="3"/>
  <c r="L600" i="3"/>
  <c r="K600" i="3"/>
  <c r="J600" i="3"/>
  <c r="I600" i="3"/>
  <c r="H600" i="3"/>
  <c r="G600" i="3"/>
  <c r="F600" i="3"/>
  <c r="AJ599" i="3"/>
  <c r="AI599" i="3"/>
  <c r="AH599" i="3"/>
  <c r="AG599" i="3"/>
  <c r="AF599" i="3"/>
  <c r="AE599" i="3"/>
  <c r="AD599" i="3"/>
  <c r="AC599" i="3"/>
  <c r="AB599" i="3"/>
  <c r="AA599" i="3"/>
  <c r="Z599" i="3"/>
  <c r="Y599" i="3"/>
  <c r="X599" i="3"/>
  <c r="W599" i="3"/>
  <c r="V599" i="3"/>
  <c r="U599" i="3"/>
  <c r="T599" i="3"/>
  <c r="S599" i="3"/>
  <c r="R599" i="3"/>
  <c r="Q599" i="3"/>
  <c r="P599" i="3"/>
  <c r="O599" i="3"/>
  <c r="N599" i="3"/>
  <c r="M599" i="3"/>
  <c r="L599" i="3"/>
  <c r="K599" i="3"/>
  <c r="J599" i="3"/>
  <c r="I599" i="3"/>
  <c r="H599" i="3"/>
  <c r="G599" i="3"/>
  <c r="F599" i="3"/>
  <c r="AJ598" i="3"/>
  <c r="AI598" i="3"/>
  <c r="AH598" i="3"/>
  <c r="AG598" i="3"/>
  <c r="AF598" i="3"/>
  <c r="AE598" i="3"/>
  <c r="AD598" i="3"/>
  <c r="AC598" i="3"/>
  <c r="AB598" i="3"/>
  <c r="AA598" i="3"/>
  <c r="Z598" i="3"/>
  <c r="Y598" i="3"/>
  <c r="X598" i="3"/>
  <c r="W598" i="3"/>
  <c r="V598" i="3"/>
  <c r="U598" i="3"/>
  <c r="T598" i="3"/>
  <c r="S598" i="3"/>
  <c r="R598" i="3"/>
  <c r="Q598" i="3"/>
  <c r="P598" i="3"/>
  <c r="O598" i="3"/>
  <c r="N598" i="3"/>
  <c r="M598" i="3"/>
  <c r="L598" i="3"/>
  <c r="K598" i="3"/>
  <c r="J598" i="3"/>
  <c r="I598" i="3"/>
  <c r="H598" i="3"/>
  <c r="G598" i="3"/>
  <c r="F598" i="3"/>
  <c r="AJ597" i="3"/>
  <c r="AI597" i="3"/>
  <c r="AH597" i="3"/>
  <c r="AG597" i="3"/>
  <c r="AF597" i="3"/>
  <c r="AE597" i="3"/>
  <c r="AD597" i="3"/>
  <c r="AC597" i="3"/>
  <c r="AB597" i="3"/>
  <c r="AA597" i="3"/>
  <c r="Z597" i="3"/>
  <c r="Y597" i="3"/>
  <c r="X597" i="3"/>
  <c r="W597" i="3"/>
  <c r="V597" i="3"/>
  <c r="U597" i="3"/>
  <c r="T597" i="3"/>
  <c r="S597" i="3"/>
  <c r="R597" i="3"/>
  <c r="Q597" i="3"/>
  <c r="P597" i="3"/>
  <c r="O597" i="3"/>
  <c r="N597" i="3"/>
  <c r="M597" i="3"/>
  <c r="L597" i="3"/>
  <c r="K597" i="3"/>
  <c r="J597" i="3"/>
  <c r="I597" i="3"/>
  <c r="H597" i="3"/>
  <c r="G597" i="3"/>
  <c r="F597" i="3"/>
  <c r="AJ596" i="3"/>
  <c r="AI596" i="3"/>
  <c r="AH596" i="3"/>
  <c r="AG596" i="3"/>
  <c r="AF596" i="3"/>
  <c r="AE596" i="3"/>
  <c r="AD596" i="3"/>
  <c r="AC596" i="3"/>
  <c r="AB596" i="3"/>
  <c r="AA596" i="3"/>
  <c r="Z596" i="3"/>
  <c r="Y596" i="3"/>
  <c r="X596" i="3"/>
  <c r="W596" i="3"/>
  <c r="V596" i="3"/>
  <c r="U596" i="3"/>
  <c r="T596" i="3"/>
  <c r="S596" i="3"/>
  <c r="R596" i="3"/>
  <c r="Q596" i="3"/>
  <c r="P596" i="3"/>
  <c r="O596" i="3"/>
  <c r="N596" i="3"/>
  <c r="M596" i="3"/>
  <c r="L596" i="3"/>
  <c r="K596" i="3"/>
  <c r="J596" i="3"/>
  <c r="I596" i="3"/>
  <c r="H596" i="3"/>
  <c r="G596" i="3"/>
  <c r="F596" i="3"/>
  <c r="AJ595" i="3"/>
  <c r="AI595" i="3"/>
  <c r="AH595" i="3"/>
  <c r="AG595" i="3"/>
  <c r="AF595" i="3"/>
  <c r="AE595" i="3"/>
  <c r="AD595" i="3"/>
  <c r="AC595" i="3"/>
  <c r="AB595" i="3"/>
  <c r="AA595" i="3"/>
  <c r="Z595" i="3"/>
  <c r="Y595" i="3"/>
  <c r="X595" i="3"/>
  <c r="W595" i="3"/>
  <c r="V595" i="3"/>
  <c r="U595" i="3"/>
  <c r="T595" i="3"/>
  <c r="S595" i="3"/>
  <c r="R595" i="3"/>
  <c r="Q595" i="3"/>
  <c r="P595" i="3"/>
  <c r="O595" i="3"/>
  <c r="N595" i="3"/>
  <c r="M595" i="3"/>
  <c r="L595" i="3"/>
  <c r="K595" i="3"/>
  <c r="J595" i="3"/>
  <c r="I595" i="3"/>
  <c r="H595" i="3"/>
  <c r="G595" i="3"/>
  <c r="F595" i="3"/>
  <c r="AJ594" i="3"/>
  <c r="AI594" i="3"/>
  <c r="AH594" i="3"/>
  <c r="AG594" i="3"/>
  <c r="AF594" i="3"/>
  <c r="AE594" i="3"/>
  <c r="AD594" i="3"/>
  <c r="AC594" i="3"/>
  <c r="AB594" i="3"/>
  <c r="AA594" i="3"/>
  <c r="Z594" i="3"/>
  <c r="Y594" i="3"/>
  <c r="X594" i="3"/>
  <c r="W594" i="3"/>
  <c r="V594" i="3"/>
  <c r="U594" i="3"/>
  <c r="T594" i="3"/>
  <c r="S594" i="3"/>
  <c r="R594" i="3"/>
  <c r="Q594" i="3"/>
  <c r="P594" i="3"/>
  <c r="O594" i="3"/>
  <c r="N594" i="3"/>
  <c r="M594" i="3"/>
  <c r="L594" i="3"/>
  <c r="K594" i="3"/>
  <c r="J594" i="3"/>
  <c r="I594" i="3"/>
  <c r="H594" i="3"/>
  <c r="G594" i="3"/>
  <c r="F594" i="3"/>
  <c r="AJ593" i="3"/>
  <c r="AI593" i="3"/>
  <c r="AH593" i="3"/>
  <c r="AG593" i="3"/>
  <c r="AF593" i="3"/>
  <c r="AE593" i="3"/>
  <c r="AD593" i="3"/>
  <c r="AC593" i="3"/>
  <c r="AB593" i="3"/>
  <c r="AA593" i="3"/>
  <c r="Z593" i="3"/>
  <c r="Y593" i="3"/>
  <c r="X593" i="3"/>
  <c r="W593" i="3"/>
  <c r="V593" i="3"/>
  <c r="U593" i="3"/>
  <c r="T593" i="3"/>
  <c r="S593" i="3"/>
  <c r="R593" i="3"/>
  <c r="Q593" i="3"/>
  <c r="P593" i="3"/>
  <c r="O593" i="3"/>
  <c r="N593" i="3"/>
  <c r="M593" i="3"/>
  <c r="L593" i="3"/>
  <c r="K593" i="3"/>
  <c r="J593" i="3"/>
  <c r="I593" i="3"/>
  <c r="H593" i="3"/>
  <c r="G593" i="3"/>
  <c r="F593" i="3"/>
  <c r="AJ592" i="3"/>
  <c r="AI592" i="3"/>
  <c r="AH592" i="3"/>
  <c r="AG592" i="3"/>
  <c r="AF592" i="3"/>
  <c r="AE592" i="3"/>
  <c r="AD592" i="3"/>
  <c r="AC592" i="3"/>
  <c r="AB592" i="3"/>
  <c r="AA592" i="3"/>
  <c r="Z592" i="3"/>
  <c r="Y592" i="3"/>
  <c r="X592" i="3"/>
  <c r="W592" i="3"/>
  <c r="V592" i="3"/>
  <c r="U592" i="3"/>
  <c r="T592" i="3"/>
  <c r="S592" i="3"/>
  <c r="R592" i="3"/>
  <c r="Q592" i="3"/>
  <c r="P592" i="3"/>
  <c r="O592" i="3"/>
  <c r="N592" i="3"/>
  <c r="M592" i="3"/>
  <c r="L592" i="3"/>
  <c r="K592" i="3"/>
  <c r="J592" i="3"/>
  <c r="I592" i="3"/>
  <c r="H592" i="3"/>
  <c r="G592" i="3"/>
  <c r="F592" i="3"/>
  <c r="AJ591" i="3"/>
  <c r="AI591" i="3"/>
  <c r="AH591" i="3"/>
  <c r="AG591" i="3"/>
  <c r="AF591" i="3"/>
  <c r="AE591" i="3"/>
  <c r="AD591" i="3"/>
  <c r="AC591" i="3"/>
  <c r="AB591" i="3"/>
  <c r="AA591" i="3"/>
  <c r="Z591" i="3"/>
  <c r="Y591" i="3"/>
  <c r="X591" i="3"/>
  <c r="W591" i="3"/>
  <c r="V591" i="3"/>
  <c r="U591" i="3"/>
  <c r="T591" i="3"/>
  <c r="S591" i="3"/>
  <c r="R591" i="3"/>
  <c r="Q591" i="3"/>
  <c r="P591" i="3"/>
  <c r="O591" i="3"/>
  <c r="N591" i="3"/>
  <c r="M591" i="3"/>
  <c r="L591" i="3"/>
  <c r="K591" i="3"/>
  <c r="J591" i="3"/>
  <c r="I591" i="3"/>
  <c r="H591" i="3"/>
  <c r="G591" i="3"/>
  <c r="F591" i="3"/>
  <c r="AJ696" i="3"/>
  <c r="AI696" i="3"/>
  <c r="AH696" i="3"/>
  <c r="AI748" i="3"/>
  <c r="AH748" i="3"/>
  <c r="AI1547" i="3"/>
  <c r="AH1547" i="3"/>
  <c r="AG1547" i="3"/>
  <c r="AE1547" i="3"/>
  <c r="AD1547" i="3"/>
  <c r="AK1547" i="3"/>
  <c r="AJ1547" i="3"/>
  <c r="AJ2983" i="3"/>
  <c r="AJ2978" i="3"/>
  <c r="AK2123" i="3"/>
  <c r="AJ2123" i="3"/>
  <c r="AI2123" i="3"/>
  <c r="AH2123" i="3"/>
  <c r="AG2123" i="3"/>
  <c r="AF2123" i="3"/>
  <c r="AE2123" i="3"/>
  <c r="AD2123" i="3"/>
  <c r="AC2123" i="3"/>
  <c r="AB2123" i="3"/>
  <c r="AH3046" i="3"/>
  <c r="AB1111" i="3"/>
  <c r="AC1111" i="3"/>
  <c r="AD1111" i="3"/>
  <c r="AE1111" i="3"/>
  <c r="AF1111" i="3"/>
  <c r="AG1111" i="3"/>
  <c r="AH1111" i="3"/>
  <c r="AI1111" i="3"/>
  <c r="AJ1111" i="3"/>
  <c r="AK1111" i="3"/>
  <c r="AJ1230" i="3"/>
  <c r="AI1230" i="3"/>
  <c r="AH1230" i="3"/>
  <c r="AG1230" i="3"/>
  <c r="AF1230" i="3"/>
  <c r="AE1230" i="3"/>
  <c r="AD1230" i="3"/>
  <c r="AC1230" i="3"/>
  <c r="AB1230" i="3"/>
  <c r="AK1230" i="3"/>
  <c r="AK1229" i="3"/>
  <c r="AJ1229" i="3"/>
  <c r="AI1229" i="3"/>
  <c r="AH1229" i="3"/>
  <c r="AG1229" i="3"/>
  <c r="AF1229" i="3"/>
  <c r="AE1229" i="3"/>
  <c r="AD1229" i="3"/>
  <c r="AC1229" i="3"/>
  <c r="AB1229" i="3"/>
  <c r="AK2294" i="3"/>
  <c r="AJ2294" i="3"/>
  <c r="AI2294" i="3"/>
  <c r="AH2294" i="3"/>
  <c r="AG2294" i="3"/>
  <c r="AF2294" i="3"/>
  <c r="AK2292" i="3"/>
  <c r="AJ2292" i="3"/>
  <c r="AI2292" i="3"/>
  <c r="AH2292" i="3"/>
  <c r="AG2292" i="3"/>
  <c r="AF2292" i="3"/>
  <c r="AG2291" i="3"/>
  <c r="AF2291" i="3"/>
  <c r="AK2290" i="3"/>
  <c r="AJ2290" i="3"/>
  <c r="AI2290" i="3"/>
  <c r="AH2290" i="3"/>
  <c r="AG2290" i="3"/>
  <c r="AF2290" i="3"/>
  <c r="AK2289" i="3"/>
  <c r="AJ2289" i="3"/>
  <c r="AI2289" i="3"/>
  <c r="AH2289" i="3"/>
  <c r="AG2289" i="3"/>
  <c r="AF2289" i="3"/>
  <c r="AA2294" i="3"/>
  <c r="Z2294" i="3"/>
  <c r="AA2292" i="3"/>
  <c r="Z2292" i="3"/>
  <c r="AA2291" i="3"/>
  <c r="Z2291" i="3"/>
  <c r="AA2290" i="3"/>
  <c r="Z2290" i="3"/>
  <c r="AA2289" i="3"/>
  <c r="Z2289" i="3"/>
  <c r="AK2367" i="3"/>
  <c r="AJ2367" i="3"/>
  <c r="AI2367" i="3"/>
  <c r="AH2367" i="3"/>
  <c r="AG2367" i="3"/>
  <c r="AF2367" i="3"/>
  <c r="AE2367" i="3"/>
  <c r="AD2367" i="3"/>
  <c r="AC2367" i="3"/>
  <c r="AB2367" i="3"/>
  <c r="AA2367" i="3"/>
  <c r="Z2367" i="3"/>
  <c r="Y2367" i="3"/>
  <c r="X2367" i="3"/>
  <c r="W2367" i="3"/>
  <c r="V2367" i="3"/>
  <c r="U2367" i="3"/>
  <c r="T2367" i="3"/>
  <c r="S2367" i="3"/>
  <c r="R2367" i="3"/>
  <c r="Q2367" i="3"/>
  <c r="P2367" i="3"/>
  <c r="O2367" i="3"/>
  <c r="N2367" i="3"/>
  <c r="M2367" i="3"/>
  <c r="L2367" i="3"/>
  <c r="K2367" i="3"/>
  <c r="J2367" i="3"/>
  <c r="I2367" i="3"/>
  <c r="H2367" i="3"/>
  <c r="M182" i="4"/>
  <c r="M181" i="4"/>
  <c r="M180" i="4"/>
  <c r="M179" i="4"/>
  <c r="M178" i="4"/>
  <c r="M176" i="4"/>
  <c r="M173" i="4"/>
  <c r="AK1110" i="3"/>
  <c r="AJ1110" i="3"/>
  <c r="AI1110" i="3"/>
  <c r="AH1110" i="3"/>
  <c r="AG1110" i="3"/>
  <c r="AF1110" i="3"/>
  <c r="AE1110" i="3"/>
  <c r="AI1109" i="3"/>
  <c r="AH1109" i="3"/>
  <c r="AK2324" i="3"/>
  <c r="AJ2324" i="3"/>
  <c r="AI2324" i="3"/>
  <c r="AH2324" i="3"/>
  <c r="AG2324" i="3"/>
  <c r="AK2326" i="3"/>
  <c r="AJ2326" i="3"/>
  <c r="AI2326" i="3"/>
  <c r="AH2326" i="3"/>
  <c r="AG2326" i="3"/>
  <c r="AF2326" i="3"/>
  <c r="AK2325" i="3"/>
  <c r="AJ2325" i="3"/>
  <c r="AI2325" i="3"/>
  <c r="AH2325" i="3"/>
  <c r="AG2325" i="3"/>
  <c r="AF2325" i="3"/>
  <c r="AF2324" i="3"/>
  <c r="I197" i="4"/>
  <c r="AK973" i="3"/>
  <c r="AJ973" i="3"/>
  <c r="AI973" i="3"/>
  <c r="AH973" i="3"/>
  <c r="AG973" i="3"/>
  <c r="AF973" i="3"/>
  <c r="AE973" i="3"/>
  <c r="AD973" i="3"/>
  <c r="AK971" i="3"/>
  <c r="AJ971" i="3"/>
  <c r="AI971" i="3"/>
  <c r="AH971" i="3"/>
  <c r="AG971" i="3"/>
  <c r="AF971" i="3"/>
  <c r="AE971" i="3"/>
  <c r="AD971" i="3"/>
  <c r="AK970" i="3"/>
  <c r="AJ970" i="3"/>
  <c r="AI970" i="3"/>
  <c r="AH970" i="3"/>
  <c r="AG970" i="3"/>
  <c r="AF970" i="3"/>
  <c r="AE970" i="3"/>
  <c r="AD970" i="3"/>
  <c r="AK969" i="3"/>
  <c r="AJ969" i="3"/>
  <c r="AI969" i="3"/>
  <c r="AH969" i="3"/>
  <c r="AG969" i="3"/>
  <c r="AF969" i="3"/>
  <c r="AE969" i="3"/>
  <c r="AD969" i="3"/>
  <c r="AK968" i="3"/>
  <c r="AJ968" i="3"/>
  <c r="AI968" i="3"/>
  <c r="AH968" i="3"/>
  <c r="AG968" i="3"/>
  <c r="AF968" i="3"/>
  <c r="AE968" i="3"/>
  <c r="AD968" i="3"/>
  <c r="AK967" i="3"/>
  <c r="AJ967" i="3"/>
  <c r="AI967" i="3"/>
  <c r="AH967" i="3"/>
  <c r="AG967" i="3"/>
  <c r="AF967" i="3"/>
  <c r="AE967" i="3"/>
  <c r="AD967" i="3"/>
  <c r="D196" i="4"/>
  <c r="D197" i="4" s="1"/>
  <c r="AK835" i="3"/>
  <c r="AJ835" i="3"/>
  <c r="AI835" i="3"/>
  <c r="AH835" i="3"/>
  <c r="AG835" i="3"/>
  <c r="AF835" i="3"/>
  <c r="AE835" i="3"/>
  <c r="AD835" i="3"/>
  <c r="H197" i="4"/>
  <c r="AK833" i="3"/>
  <c r="AJ833" i="3"/>
  <c r="AI833" i="3"/>
  <c r="AH833" i="3"/>
  <c r="AG833" i="3"/>
  <c r="AF833" i="3"/>
  <c r="AE833" i="3"/>
  <c r="AD833" i="3"/>
  <c r="AI831" i="3"/>
  <c r="AH831" i="3"/>
  <c r="AG831" i="3"/>
  <c r="AF831" i="3"/>
  <c r="AE831" i="3"/>
  <c r="AD831" i="3"/>
  <c r="AK836" i="3"/>
  <c r="AJ836" i="3"/>
  <c r="AI836" i="3"/>
  <c r="AH836" i="3"/>
  <c r="AG836" i="3"/>
  <c r="AF836" i="3"/>
  <c r="AE836" i="3"/>
  <c r="AK832" i="3"/>
  <c r="AJ832" i="3"/>
  <c r="AH832" i="3"/>
  <c r="AG832" i="3"/>
  <c r="AF832" i="3"/>
  <c r="AE832" i="3"/>
  <c r="AK830" i="3"/>
  <c r="AJ830" i="3"/>
  <c r="AI830" i="3"/>
  <c r="AH830" i="3"/>
  <c r="AG830" i="3"/>
  <c r="AF830" i="3"/>
  <c r="AE830" i="3"/>
  <c r="AD836" i="3"/>
  <c r="AD832" i="3"/>
  <c r="AD830" i="3"/>
  <c r="G197" i="4"/>
  <c r="AK233" i="3"/>
  <c r="AJ233" i="3"/>
  <c r="AI233" i="3"/>
  <c r="AH233" i="3"/>
  <c r="AG233" i="3"/>
  <c r="AF233" i="3"/>
  <c r="AE233" i="3"/>
  <c r="AD233" i="3"/>
  <c r="AI229" i="3"/>
  <c r="AH229" i="3"/>
  <c r="AG229" i="3"/>
  <c r="AF229" i="3"/>
  <c r="AE229" i="3"/>
  <c r="AD229" i="3"/>
  <c r="D190" i="4"/>
  <c r="AK234" i="3"/>
  <c r="AJ234" i="3"/>
  <c r="AH234" i="3"/>
  <c r="AG234" i="3"/>
  <c r="AF234" i="3"/>
  <c r="AE234" i="3"/>
  <c r="AK231" i="3"/>
  <c r="AJ231" i="3"/>
  <c r="AI231" i="3"/>
  <c r="AH231" i="3"/>
  <c r="AG231" i="3"/>
  <c r="AE231" i="3"/>
  <c r="AK230" i="3"/>
  <c r="AJ230" i="3"/>
  <c r="AI230" i="3"/>
  <c r="AH230" i="3"/>
  <c r="AE230" i="3"/>
  <c r="AH228" i="3"/>
  <c r="AG228" i="3"/>
  <c r="AE228" i="3"/>
  <c r="AD228" i="3"/>
  <c r="AD230" i="3"/>
  <c r="AD234" i="3"/>
  <c r="AD231" i="3"/>
  <c r="P29" i="4"/>
  <c r="R3" i="4"/>
  <c r="R190" i="4" s="1"/>
  <c r="U3" i="4"/>
  <c r="U189" i="4" s="1"/>
  <c r="U182" i="4"/>
  <c r="U181" i="4"/>
  <c r="U180" i="4"/>
  <c r="U179" i="4"/>
  <c r="U178" i="4"/>
  <c r="U177" i="4"/>
  <c r="U176" i="4"/>
  <c r="U175" i="4"/>
  <c r="U173" i="4"/>
  <c r="AB2535" i="3"/>
  <c r="AC2535" i="3"/>
  <c r="AD2535" i="3"/>
  <c r="AE2535" i="3"/>
  <c r="AH2535" i="3"/>
  <c r="AG2535" i="3"/>
  <c r="AF2535" i="3"/>
  <c r="AI2535" i="3"/>
  <c r="AB2579" i="3"/>
  <c r="AA2579" i="3"/>
  <c r="Z2579" i="3"/>
  <c r="Y2579" i="3"/>
  <c r="AE2579" i="3"/>
  <c r="AD2579" i="3"/>
  <c r="AC2579" i="3"/>
  <c r="AH2579" i="3"/>
  <c r="AG2579" i="3"/>
  <c r="AF2579" i="3"/>
  <c r="AB2599" i="3"/>
  <c r="AA2599" i="3"/>
  <c r="AE2599" i="3"/>
  <c r="AD2599" i="3"/>
  <c r="AC2599" i="3"/>
  <c r="AH2599" i="3"/>
  <c r="AG2599" i="3"/>
  <c r="AF2599" i="3"/>
  <c r="AI2599" i="3"/>
  <c r="AA2520" i="3"/>
  <c r="Z2520" i="3"/>
  <c r="Y2520" i="3"/>
  <c r="AE2520" i="3"/>
  <c r="AD2520" i="3"/>
  <c r="AC2520" i="3"/>
  <c r="AB2520" i="3"/>
  <c r="AF2520" i="3"/>
  <c r="AI2520" i="3"/>
  <c r="O3" i="4"/>
  <c r="P3" i="4"/>
  <c r="S3" i="4"/>
  <c r="T3" i="4"/>
  <c r="AI2468" i="3"/>
  <c r="M6" i="4"/>
  <c r="AK2366" i="3"/>
  <c r="AJ2366" i="3"/>
  <c r="AI2366" i="3"/>
  <c r="AH2366" i="3"/>
  <c r="AG2366" i="3"/>
  <c r="AF2366" i="3"/>
  <c r="AE2366" i="3"/>
  <c r="AD2366" i="3"/>
  <c r="AC2366" i="3"/>
  <c r="AB2366" i="3"/>
  <c r="AA2366" i="3"/>
  <c r="Z2366" i="3"/>
  <c r="Y2366" i="3"/>
  <c r="X2366" i="3"/>
  <c r="W2366" i="3"/>
  <c r="V2366" i="3"/>
  <c r="U2366" i="3"/>
  <c r="T2366" i="3"/>
  <c r="S2366" i="3"/>
  <c r="R2366" i="3"/>
  <c r="Q2366" i="3"/>
  <c r="P2366" i="3"/>
  <c r="O2366" i="3"/>
  <c r="N2366" i="3"/>
  <c r="M2366" i="3"/>
  <c r="L2366" i="3"/>
  <c r="K2366" i="3"/>
  <c r="J2366" i="3"/>
  <c r="I2366" i="3"/>
  <c r="H2366" i="3"/>
  <c r="AE2125" i="3"/>
  <c r="AD2125" i="3"/>
  <c r="AC2125" i="3"/>
  <c r="AB2125" i="3"/>
  <c r="AB2038" i="3"/>
  <c r="AE2121" i="3"/>
  <c r="AD2121" i="3"/>
  <c r="AC2121" i="3"/>
  <c r="AB2121" i="3"/>
  <c r="AE2127" i="3"/>
  <c r="AD2127" i="3"/>
  <c r="AC2127" i="3"/>
  <c r="AB2127" i="3"/>
  <c r="AE2126" i="3"/>
  <c r="AD2126" i="3"/>
  <c r="AC2126" i="3"/>
  <c r="AB2126" i="3"/>
  <c r="AE2124" i="3"/>
  <c r="AD2124" i="3"/>
  <c r="AC2124" i="3"/>
  <c r="AB2124" i="3"/>
  <c r="AE2122" i="3"/>
  <c r="AD2122" i="3"/>
  <c r="AC2122" i="3"/>
  <c r="AB2122" i="3"/>
  <c r="AE2120" i="3"/>
  <c r="AD2120" i="3"/>
  <c r="AC2120" i="3"/>
  <c r="AB2120" i="3"/>
  <c r="AE2119" i="3"/>
  <c r="AD2119" i="3"/>
  <c r="AC2119" i="3"/>
  <c r="AB2119" i="3"/>
  <c r="AE2118" i="3"/>
  <c r="AD2118" i="3"/>
  <c r="AC2118" i="3"/>
  <c r="AB2118" i="3"/>
  <c r="AC991" i="3"/>
  <c r="AB991" i="3"/>
  <c r="AD826" i="3"/>
  <c r="AE1390" i="3"/>
  <c r="AD1390" i="3"/>
  <c r="AH1522" i="3"/>
  <c r="AI1522" i="3"/>
  <c r="J2983" i="3"/>
  <c r="K2983" i="3"/>
  <c r="L2983" i="3"/>
  <c r="M2983" i="3"/>
  <c r="N2983" i="3"/>
  <c r="O2983" i="3"/>
  <c r="P2983" i="3"/>
  <c r="Q2983" i="3"/>
  <c r="R2983" i="3"/>
  <c r="S2983" i="3"/>
  <c r="T2983" i="3"/>
  <c r="U2983" i="3"/>
  <c r="V2983" i="3"/>
  <c r="W2983" i="3"/>
  <c r="X2983" i="3"/>
  <c r="Y2983" i="3"/>
  <c r="Z2983" i="3"/>
  <c r="AA2983" i="3"/>
  <c r="AB2983" i="3"/>
  <c r="AC2983" i="3"/>
  <c r="AD2983" i="3"/>
  <c r="AE2983" i="3"/>
  <c r="AF2983" i="3"/>
  <c r="AG2983" i="3"/>
  <c r="AH2983" i="3"/>
  <c r="AI2983" i="3"/>
  <c r="J2978" i="3"/>
  <c r="K2978" i="3"/>
  <c r="L2978" i="3"/>
  <c r="M2978" i="3"/>
  <c r="N2978" i="3"/>
  <c r="O2978" i="3"/>
  <c r="P2978" i="3"/>
  <c r="Q2978" i="3"/>
  <c r="R2978" i="3"/>
  <c r="S2978" i="3"/>
  <c r="T2978" i="3"/>
  <c r="U2978" i="3"/>
  <c r="V2978" i="3"/>
  <c r="W2978" i="3"/>
  <c r="X2978" i="3"/>
  <c r="Y2978" i="3"/>
  <c r="Z2978" i="3"/>
  <c r="AA2978" i="3"/>
  <c r="AB2978" i="3"/>
  <c r="AC2978" i="3"/>
  <c r="AD2978" i="3"/>
  <c r="AE2978" i="3"/>
  <c r="AF2978" i="3"/>
  <c r="AG2978" i="3"/>
  <c r="AH2978" i="3"/>
  <c r="AI2978" i="3"/>
  <c r="H2365" i="3"/>
  <c r="H2364" i="3"/>
  <c r="H2363" i="3"/>
  <c r="AH2119" i="3"/>
  <c r="AG2119" i="3"/>
  <c r="AF2119" i="3"/>
  <c r="AK2119" i="3"/>
  <c r="AJ2119" i="3"/>
  <c r="AI2119" i="3"/>
  <c r="AI2363" i="3"/>
  <c r="AH2365" i="3"/>
  <c r="AG2365" i="3"/>
  <c r="AF2365" i="3"/>
  <c r="AE2365" i="3"/>
  <c r="AD2365" i="3"/>
  <c r="AC2365" i="3"/>
  <c r="AB2365" i="3"/>
  <c r="AA2365" i="3"/>
  <c r="Z2365" i="3"/>
  <c r="Y2365" i="3"/>
  <c r="X2365" i="3"/>
  <c r="W2365" i="3"/>
  <c r="V2365" i="3"/>
  <c r="U2365" i="3"/>
  <c r="T2365" i="3"/>
  <c r="S2365" i="3"/>
  <c r="R2365" i="3"/>
  <c r="Q2365" i="3"/>
  <c r="P2365" i="3"/>
  <c r="O2365" i="3"/>
  <c r="N2365" i="3"/>
  <c r="M2365" i="3"/>
  <c r="L2365" i="3"/>
  <c r="K2365" i="3"/>
  <c r="J2365" i="3"/>
  <c r="I2365" i="3"/>
  <c r="AH2364" i="3"/>
  <c r="AG2364" i="3"/>
  <c r="AF2364" i="3"/>
  <c r="AE2364" i="3"/>
  <c r="AD2364" i="3"/>
  <c r="AC2364" i="3"/>
  <c r="AB2364" i="3"/>
  <c r="AA2364" i="3"/>
  <c r="Z2364" i="3"/>
  <c r="Y2364" i="3"/>
  <c r="X2364" i="3"/>
  <c r="W2364" i="3"/>
  <c r="V2364" i="3"/>
  <c r="U2364" i="3"/>
  <c r="T2364" i="3"/>
  <c r="S2364" i="3"/>
  <c r="R2364" i="3"/>
  <c r="Q2364" i="3"/>
  <c r="P2364" i="3"/>
  <c r="O2364" i="3"/>
  <c r="N2364" i="3"/>
  <c r="M2364" i="3"/>
  <c r="L2364" i="3"/>
  <c r="K2364" i="3"/>
  <c r="J2364" i="3"/>
  <c r="I2364" i="3"/>
  <c r="AH2363" i="3"/>
  <c r="AG2363" i="3"/>
  <c r="AF2363" i="3"/>
  <c r="AE2363" i="3"/>
  <c r="AD2363" i="3"/>
  <c r="AC2363" i="3"/>
  <c r="AB2363" i="3"/>
  <c r="AA2363" i="3"/>
  <c r="Z2363" i="3"/>
  <c r="Y2363" i="3"/>
  <c r="X2363" i="3"/>
  <c r="W2363" i="3"/>
  <c r="V2363" i="3"/>
  <c r="U2363" i="3"/>
  <c r="T2363" i="3"/>
  <c r="S2363" i="3"/>
  <c r="R2363" i="3"/>
  <c r="Q2363" i="3"/>
  <c r="P2363" i="3"/>
  <c r="O2363" i="3"/>
  <c r="N2363" i="3"/>
  <c r="M2363" i="3"/>
  <c r="L2363" i="3"/>
  <c r="K2363" i="3"/>
  <c r="J2363" i="3"/>
  <c r="I2363" i="3"/>
  <c r="AK2363" i="3"/>
  <c r="AJ2363" i="3"/>
  <c r="AK2365" i="3"/>
  <c r="AJ2365" i="3"/>
  <c r="AI2365" i="3"/>
  <c r="AK2364" i="3"/>
  <c r="AJ2364" i="3"/>
  <c r="AI2364" i="3"/>
  <c r="E164" i="2"/>
  <c r="D164" i="2"/>
  <c r="E81" i="2"/>
  <c r="C81" i="2"/>
  <c r="E85" i="2"/>
  <c r="C85" i="2"/>
  <c r="E89" i="2"/>
  <c r="C89" i="2"/>
  <c r="E93" i="2"/>
  <c r="C93" i="2"/>
  <c r="E97" i="2"/>
  <c r="C97" i="2"/>
  <c r="E101" i="2"/>
  <c r="C101" i="2"/>
  <c r="E105" i="2"/>
  <c r="C105" i="2"/>
  <c r="E109" i="2"/>
  <c r="C109" i="2"/>
  <c r="C113" i="2"/>
  <c r="E113" i="2"/>
  <c r="E117" i="2"/>
  <c r="D117" i="2"/>
  <c r="C117" i="2"/>
  <c r="R1" i="1"/>
  <c r="AK2124" i="3"/>
  <c r="AJ2124" i="3"/>
  <c r="AI2124" i="3"/>
  <c r="AH2124" i="3"/>
  <c r="AG2124" i="3"/>
  <c r="AF2124" i="3"/>
  <c r="AK2373" i="3"/>
  <c r="AJ2373" i="3"/>
  <c r="AK2120" i="3"/>
  <c r="AJ2120" i="3"/>
  <c r="AI2120" i="3"/>
  <c r="AH2120" i="3"/>
  <c r="AG2120" i="3"/>
  <c r="AF2120" i="3"/>
  <c r="G2" i="6"/>
  <c r="I2" i="6"/>
  <c r="H2" i="6"/>
  <c r="AF829" i="3"/>
  <c r="AG829" i="3"/>
  <c r="AH829" i="3"/>
  <c r="AI829" i="3"/>
  <c r="H153" i="4"/>
  <c r="H179" i="4" s="1"/>
  <c r="H155" i="4"/>
  <c r="H177" i="4" s="1"/>
  <c r="H143" i="4"/>
  <c r="H56" i="4"/>
  <c r="H52" i="4"/>
  <c r="H140" i="4"/>
  <c r="H139" i="4"/>
  <c r="H137" i="4"/>
  <c r="H136" i="4"/>
  <c r="H135" i="4"/>
  <c r="H134" i="4"/>
  <c r="H132" i="4"/>
  <c r="H131" i="4"/>
  <c r="H127" i="4"/>
  <c r="H125" i="4"/>
  <c r="H119" i="4"/>
  <c r="H118" i="4"/>
  <c r="H109" i="4"/>
  <c r="H100" i="4"/>
  <c r="H110" i="4"/>
  <c r="H58" i="4"/>
  <c r="H57" i="4"/>
  <c r="H55" i="4"/>
  <c r="H54" i="4"/>
  <c r="H53" i="4"/>
  <c r="H51" i="4"/>
  <c r="H47" i="4"/>
  <c r="H50" i="4"/>
  <c r="H49" i="4"/>
  <c r="H46" i="4"/>
  <c r="H45" i="4"/>
  <c r="H29" i="4"/>
  <c r="H44" i="4"/>
  <c r="H43" i="4"/>
  <c r="H42" i="4"/>
  <c r="H41" i="4"/>
  <c r="H40" i="4"/>
  <c r="H39" i="4"/>
  <c r="H38" i="4"/>
  <c r="H37" i="4"/>
  <c r="H36" i="4"/>
  <c r="H35" i="4"/>
  <c r="H34" i="4"/>
  <c r="H33" i="4"/>
  <c r="H32" i="4"/>
  <c r="H28" i="4"/>
  <c r="H31" i="4"/>
  <c r="H30" i="4"/>
  <c r="H27" i="4"/>
  <c r="H26" i="4"/>
  <c r="H25" i="4"/>
  <c r="H24" i="4"/>
  <c r="H23" i="4"/>
  <c r="H22" i="4"/>
  <c r="H16" i="4"/>
  <c r="H19" i="4"/>
  <c r="H18" i="4"/>
  <c r="H17" i="4"/>
  <c r="H15" i="4"/>
  <c r="H14" i="4"/>
  <c r="H13" i="4"/>
  <c r="H10" i="4"/>
  <c r="AK826" i="3"/>
  <c r="AJ826" i="3"/>
  <c r="AI826" i="3"/>
  <c r="AH826" i="3"/>
  <c r="AG826" i="3"/>
  <c r="AF826" i="3"/>
  <c r="AK825" i="3"/>
  <c r="AK831" i="3" s="1"/>
  <c r="AJ825" i="3"/>
  <c r="AJ831" i="3" s="1"/>
  <c r="AI763" i="3"/>
  <c r="AI832" i="3" s="1"/>
  <c r="H138" i="4"/>
  <c r="H152" i="4"/>
  <c r="AG28" i="3"/>
  <c r="AG19" i="3"/>
  <c r="AG227" i="3"/>
  <c r="AG1228" i="3"/>
  <c r="AG1145" i="3"/>
  <c r="AF204" i="3"/>
  <c r="AF1154" i="3"/>
  <c r="AF1145" i="3"/>
  <c r="AF1228" i="3"/>
  <c r="AG1154" i="3"/>
  <c r="AF380" i="3"/>
  <c r="AF422" i="3"/>
  <c r="AF421" i="3"/>
  <c r="AF420" i="3"/>
  <c r="AF419" i="3"/>
  <c r="AF418" i="3"/>
  <c r="AF417" i="3"/>
  <c r="AF416" i="3"/>
  <c r="AF415" i="3"/>
  <c r="AF414" i="3"/>
  <c r="AF413" i="3"/>
  <c r="AF412" i="3"/>
  <c r="AF411" i="3"/>
  <c r="AF410" i="3"/>
  <c r="AF409" i="3"/>
  <c r="AF408" i="3"/>
  <c r="AF407" i="3"/>
  <c r="AF406" i="3"/>
  <c r="AF405" i="3"/>
  <c r="AF404" i="3"/>
  <c r="AF403" i="3"/>
  <c r="AF402" i="3"/>
  <c r="AF401" i="3"/>
  <c r="AF400" i="3"/>
  <c r="AF399" i="3"/>
  <c r="AF398" i="3"/>
  <c r="AF397" i="3"/>
  <c r="AF396" i="3"/>
  <c r="AF395" i="3"/>
  <c r="AF394" i="3"/>
  <c r="AF393" i="3"/>
  <c r="AF392" i="3"/>
  <c r="AF391" i="3"/>
  <c r="AF390" i="3"/>
  <c r="AF389" i="3"/>
  <c r="AF388" i="3"/>
  <c r="AF387" i="3"/>
  <c r="AF386" i="3"/>
  <c r="AF385" i="3"/>
  <c r="AF384" i="3"/>
  <c r="AF383" i="3"/>
  <c r="AF382" i="3"/>
  <c r="AF381" i="3"/>
  <c r="AF379" i="3"/>
  <c r="AF378" i="3"/>
  <c r="AF377" i="3"/>
  <c r="AF376" i="3"/>
  <c r="AF375" i="3"/>
  <c r="AF374" i="3"/>
  <c r="AF373" i="3"/>
  <c r="AF227" i="3"/>
  <c r="AF207" i="3"/>
  <c r="AF206" i="3"/>
  <c r="AF205" i="3"/>
  <c r="AF202" i="3"/>
  <c r="AF199" i="3"/>
  <c r="AF198" i="3"/>
  <c r="AF197" i="3"/>
  <c r="AF196" i="3"/>
  <c r="AF195" i="3"/>
  <c r="AF193" i="3"/>
  <c r="AF192" i="3"/>
  <c r="AF191" i="3"/>
  <c r="AF190" i="3"/>
  <c r="AF189" i="3"/>
  <c r="AF188" i="3"/>
  <c r="AF187" i="3"/>
  <c r="AF186" i="3"/>
  <c r="AF185" i="3"/>
  <c r="AF184" i="3"/>
  <c r="AF183" i="3"/>
  <c r="AF182" i="3"/>
  <c r="AF180" i="3"/>
  <c r="AF179" i="3"/>
  <c r="AF178" i="3"/>
  <c r="AF176" i="3"/>
  <c r="AF175" i="3"/>
  <c r="AF173" i="3"/>
  <c r="AF171" i="3"/>
  <c r="AF170" i="3"/>
  <c r="AF169" i="3"/>
  <c r="AF168" i="3"/>
  <c r="AF167" i="3"/>
  <c r="AF165" i="3"/>
  <c r="AF164" i="3"/>
  <c r="AF163" i="3"/>
  <c r="AF162" i="3"/>
  <c r="AF160" i="3"/>
  <c r="AF159" i="3"/>
  <c r="AF157" i="3"/>
  <c r="AF156" i="3"/>
  <c r="AF155" i="3"/>
  <c r="AF154" i="3"/>
  <c r="AF152" i="3"/>
  <c r="AF151" i="3"/>
  <c r="AF150" i="3"/>
  <c r="AF149" i="3"/>
  <c r="AF148" i="3"/>
  <c r="AF146" i="3"/>
  <c r="AF145" i="3"/>
  <c r="AF144" i="3"/>
  <c r="AF143" i="3"/>
  <c r="AF139" i="3"/>
  <c r="AF131" i="3"/>
  <c r="AF27" i="3"/>
  <c r="AF19" i="3"/>
  <c r="AF18" i="3"/>
  <c r="AF17" i="3"/>
  <c r="AF371" i="3"/>
  <c r="AF366" i="3"/>
  <c r="AF361" i="3"/>
  <c r="AF331" i="3"/>
  <c r="AF326" i="3"/>
  <c r="AF129" i="3"/>
  <c r="AF120" i="3"/>
  <c r="AF113" i="3"/>
  <c r="AF103" i="3"/>
  <c r="AF100" i="3"/>
  <c r="AF98" i="3"/>
  <c r="AF94" i="3"/>
  <c r="AF93" i="3"/>
  <c r="AF91" i="3"/>
  <c r="AF88" i="3"/>
  <c r="AF87" i="3"/>
  <c r="AF86" i="3"/>
  <c r="AF83" i="3"/>
  <c r="AF80" i="3"/>
  <c r="AF79" i="3"/>
  <c r="AF74" i="3"/>
  <c r="AF73" i="3"/>
  <c r="AF72" i="3"/>
  <c r="AF70" i="3"/>
  <c r="AF68" i="3"/>
  <c r="AF66" i="3"/>
  <c r="AF65" i="3"/>
  <c r="AF52" i="3"/>
  <c r="AF46" i="3"/>
  <c r="AF45" i="3"/>
  <c r="AF30" i="3"/>
  <c r="AF14" i="3"/>
  <c r="AF10" i="3"/>
  <c r="AF9" i="3"/>
  <c r="AF6" i="3"/>
  <c r="AF5" i="3"/>
  <c r="AF4" i="3"/>
  <c r="AK498" i="3"/>
  <c r="AJ498" i="3"/>
  <c r="AG15" i="3"/>
  <c r="AG6" i="3"/>
  <c r="AG129" i="3"/>
  <c r="AG120" i="3"/>
  <c r="AG74" i="3"/>
  <c r="AG72" i="3"/>
  <c r="AI227" i="3"/>
  <c r="AH227" i="3"/>
  <c r="AK138" i="3"/>
  <c r="AJ138" i="3"/>
  <c r="AK227" i="3"/>
  <c r="AJ227" i="3"/>
  <c r="AI6" i="3"/>
  <c r="AH6" i="3"/>
  <c r="AI15" i="3"/>
  <c r="AH15" i="3"/>
  <c r="AI19" i="3"/>
  <c r="AH19" i="3"/>
  <c r="AI28" i="3"/>
  <c r="AH28" i="3"/>
  <c r="AI120" i="3"/>
  <c r="AH120" i="3"/>
  <c r="AI129" i="3"/>
  <c r="AH129" i="3"/>
  <c r="AK502" i="3"/>
  <c r="AJ502" i="3"/>
  <c r="AK6" i="3"/>
  <c r="AJ6" i="3"/>
  <c r="AK15" i="3"/>
  <c r="AJ15" i="3"/>
  <c r="AK19" i="3"/>
  <c r="AJ19" i="3"/>
  <c r="AK28" i="3"/>
  <c r="AJ28" i="3"/>
  <c r="AK37" i="3"/>
  <c r="AJ37" i="3"/>
  <c r="AK120" i="3"/>
  <c r="AJ120" i="3"/>
  <c r="AK129" i="3"/>
  <c r="AJ129" i="3"/>
  <c r="AG499" i="3"/>
  <c r="AK1390" i="3"/>
  <c r="AJ1390" i="3"/>
  <c r="AI1390" i="3"/>
  <c r="AH1390" i="3"/>
  <c r="AK1389" i="3"/>
  <c r="AJ1389" i="3"/>
  <c r="AI1389" i="3"/>
  <c r="AH1389" i="3"/>
  <c r="AK1546" i="3"/>
  <c r="AJ1546" i="3"/>
  <c r="AG1546" i="3"/>
  <c r="AG1390" i="3"/>
  <c r="AG1389" i="3"/>
  <c r="AF499" i="3"/>
  <c r="AF33" i="3"/>
  <c r="P244" i="5"/>
  <c r="M244" i="5"/>
  <c r="P242" i="5"/>
  <c r="M242" i="5"/>
  <c r="AF15" i="3"/>
  <c r="P239" i="5"/>
  <c r="D239" i="5"/>
  <c r="M239" i="5"/>
  <c r="G239" i="5"/>
  <c r="AG1140" i="3"/>
  <c r="AF1140" i="3"/>
  <c r="AK166" i="3"/>
  <c r="AK229" i="3" s="1"/>
  <c r="AK67" i="3"/>
  <c r="AJ68" i="3"/>
  <c r="AK71" i="3"/>
  <c r="AK70" i="3"/>
  <c r="AK69" i="3"/>
  <c r="AK68" i="3"/>
  <c r="AJ71" i="3"/>
  <c r="AJ70" i="3"/>
  <c r="AJ69" i="3"/>
  <c r="AJ67" i="3"/>
  <c r="AK170" i="3"/>
  <c r="AK169" i="3"/>
  <c r="AK168" i="3"/>
  <c r="AK167" i="3"/>
  <c r="AJ170" i="3"/>
  <c r="AJ169" i="3"/>
  <c r="AJ168" i="3"/>
  <c r="AJ167" i="3"/>
  <c r="AJ166" i="3"/>
  <c r="AK1034" i="3"/>
  <c r="AJ1034" i="3"/>
  <c r="AK1032" i="3"/>
  <c r="AJ1032" i="3"/>
  <c r="AI499" i="3"/>
  <c r="AH499" i="3"/>
  <c r="K132" i="4"/>
  <c r="K158" i="4"/>
  <c r="E465" i="4"/>
  <c r="F477" i="4" s="1"/>
  <c r="R487" i="4" s="1"/>
  <c r="Q572" i="4" s="1"/>
  <c r="E456" i="4"/>
  <c r="E458" i="4" s="1"/>
  <c r="E459" i="4" s="1"/>
  <c r="O459" i="4" s="1"/>
  <c r="O568" i="4" s="1"/>
  <c r="E428" i="4"/>
  <c r="E450" i="4" s="1"/>
  <c r="E423" i="4"/>
  <c r="E424" i="4" s="1"/>
  <c r="E406" i="4"/>
  <c r="P536" i="4"/>
  <c r="P538" i="4" s="1"/>
  <c r="O538" i="4" s="1"/>
  <c r="E257" i="4"/>
  <c r="E259" i="4" s="1"/>
  <c r="O259" i="4" s="1"/>
  <c r="O559" i="4" s="1"/>
  <c r="E253" i="4"/>
  <c r="R254" i="4" s="1"/>
  <c r="Q556" i="4" s="1"/>
  <c r="E513" i="4"/>
  <c r="R523" i="4" s="1"/>
  <c r="Q579" i="4" s="1"/>
  <c r="B458" i="4"/>
  <c r="B445" i="4"/>
  <c r="B444" i="4"/>
  <c r="B443" i="4"/>
  <c r="B442" i="4"/>
  <c r="B441" i="4"/>
  <c r="B440" i="4"/>
  <c r="B439" i="4"/>
  <c r="B438" i="4"/>
  <c r="B437" i="4"/>
  <c r="B436" i="4"/>
  <c r="B435" i="4"/>
  <c r="B434" i="4"/>
  <c r="B433" i="4"/>
  <c r="B432" i="4"/>
  <c r="B430" i="4"/>
  <c r="B411" i="4"/>
  <c r="AK3080" i="3"/>
  <c r="AJ3080" i="3"/>
  <c r="T189" i="4"/>
  <c r="AI3080" i="3"/>
  <c r="AH3080" i="3"/>
  <c r="AG1010" i="3"/>
  <c r="AF1010" i="3"/>
  <c r="T10" i="4"/>
  <c r="R231" i="4"/>
  <c r="Q544" i="4" s="1"/>
  <c r="R233" i="4"/>
  <c r="Q545" i="4" s="1"/>
  <c r="R248" i="4"/>
  <c r="Q584" i="4" s="1"/>
  <c r="AI215" i="3"/>
  <c r="Z233" i="4"/>
  <c r="AK499" i="3"/>
  <c r="AJ499" i="3"/>
  <c r="AI1201" i="3"/>
  <c r="AI1061" i="3"/>
  <c r="AI139" i="3"/>
  <c r="AI38" i="3"/>
  <c r="AI1154" i="3"/>
  <c r="AI1020" i="3"/>
  <c r="AI1017" i="3"/>
  <c r="AI1228" i="3"/>
  <c r="AI1151" i="3"/>
  <c r="AI502" i="3"/>
  <c r="AI436" i="3"/>
  <c r="AI214" i="3"/>
  <c r="AI210" i="3"/>
  <c r="AI168" i="3"/>
  <c r="AI145" i="3"/>
  <c r="AI143" i="3"/>
  <c r="AI138" i="3"/>
  <c r="AI131" i="3"/>
  <c r="AI22" i="3"/>
  <c r="AI21" i="3"/>
  <c r="AI18" i="3"/>
  <c r="AI17" i="3"/>
  <c r="AI5" i="3"/>
  <c r="AI116" i="3"/>
  <c r="AI115" i="3"/>
  <c r="AI111" i="3"/>
  <c r="AI69" i="3"/>
  <c r="AI46" i="3"/>
  <c r="AI44" i="3"/>
  <c r="AI37" i="3"/>
  <c r="AI30" i="3"/>
  <c r="AI23" i="3"/>
  <c r="AI10" i="3"/>
  <c r="AI9" i="3"/>
  <c r="AI8" i="3"/>
  <c r="AI4" i="3"/>
  <c r="L155" i="4"/>
  <c r="L177" i="4" s="1"/>
  <c r="I155" i="4"/>
  <c r="I177" i="4" s="1"/>
  <c r="G155" i="4"/>
  <c r="G177" i="4" s="1"/>
  <c r="G153" i="4"/>
  <c r="G179" i="4" s="1"/>
  <c r="I152" i="4"/>
  <c r="I176" i="4" s="1"/>
  <c r="I227" i="4" s="1"/>
  <c r="G152" i="4"/>
  <c r="G176" i="4" s="1"/>
  <c r="G227" i="4" s="1"/>
  <c r="K147" i="4"/>
  <c r="T147" i="4" s="1"/>
  <c r="V147" i="4" s="1"/>
  <c r="X147" i="4" s="1"/>
  <c r="K146" i="4"/>
  <c r="T146" i="4" s="1"/>
  <c r="V146" i="4" s="1"/>
  <c r="X146" i="4" s="1"/>
  <c r="I143" i="4"/>
  <c r="G143" i="4"/>
  <c r="N56" i="4"/>
  <c r="I56" i="4"/>
  <c r="G56" i="4"/>
  <c r="I52" i="4"/>
  <c r="G52" i="4"/>
  <c r="K140" i="4"/>
  <c r="I140" i="4"/>
  <c r="G140" i="4"/>
  <c r="N139" i="4"/>
  <c r="K139" i="4"/>
  <c r="I139" i="4"/>
  <c r="G139" i="4"/>
  <c r="K138" i="4"/>
  <c r="I138" i="4"/>
  <c r="G138" i="4"/>
  <c r="K137" i="4"/>
  <c r="I137" i="4"/>
  <c r="G137" i="4"/>
  <c r="K136" i="4"/>
  <c r="I136" i="4"/>
  <c r="G136" i="4"/>
  <c r="K135" i="4"/>
  <c r="I135" i="4"/>
  <c r="G135" i="4"/>
  <c r="L134" i="4"/>
  <c r="K134" i="4"/>
  <c r="I134" i="4"/>
  <c r="G134" i="4"/>
  <c r="N132" i="4"/>
  <c r="L132" i="4"/>
  <c r="I132" i="4"/>
  <c r="G132" i="4"/>
  <c r="K131" i="4"/>
  <c r="I131" i="4"/>
  <c r="G131" i="4"/>
  <c r="I127" i="4"/>
  <c r="G127" i="4"/>
  <c r="I125" i="4"/>
  <c r="G125" i="4"/>
  <c r="L119" i="4"/>
  <c r="I119" i="4"/>
  <c r="G119" i="4"/>
  <c r="L118" i="4"/>
  <c r="I118" i="4"/>
  <c r="G118" i="4"/>
  <c r="I109" i="4"/>
  <c r="G109" i="4"/>
  <c r="L100" i="4"/>
  <c r="I100" i="4"/>
  <c r="G100" i="4"/>
  <c r="I110" i="4"/>
  <c r="G110" i="4"/>
  <c r="I58" i="4"/>
  <c r="G58" i="4"/>
  <c r="N57" i="4"/>
  <c r="L57" i="4"/>
  <c r="I57" i="4"/>
  <c r="G57" i="4"/>
  <c r="N55" i="4"/>
  <c r="L55" i="4"/>
  <c r="I55" i="4"/>
  <c r="G55" i="4"/>
  <c r="N54" i="4"/>
  <c r="L54" i="4"/>
  <c r="I54" i="4"/>
  <c r="G54" i="4"/>
  <c r="L53" i="4"/>
  <c r="I53" i="4"/>
  <c r="G53" i="4"/>
  <c r="L51" i="4"/>
  <c r="I51" i="4"/>
  <c r="G51" i="4"/>
  <c r="N47" i="4"/>
  <c r="L47" i="4"/>
  <c r="I47" i="4"/>
  <c r="G47" i="4"/>
  <c r="I50" i="4"/>
  <c r="G50" i="4"/>
  <c r="N49" i="4"/>
  <c r="I49" i="4"/>
  <c r="G49" i="4"/>
  <c r="N46" i="4"/>
  <c r="L46" i="4"/>
  <c r="I46" i="4"/>
  <c r="G46" i="4"/>
  <c r="N45" i="4"/>
  <c r="L45" i="4"/>
  <c r="I45" i="4"/>
  <c r="G45" i="4"/>
  <c r="L29" i="4"/>
  <c r="I29" i="4"/>
  <c r="G29" i="4"/>
  <c r="L44" i="4"/>
  <c r="I44" i="4"/>
  <c r="G44" i="4"/>
  <c r="L43" i="4"/>
  <c r="I43" i="4"/>
  <c r="G43" i="4"/>
  <c r="L42" i="4"/>
  <c r="I42" i="4"/>
  <c r="G42" i="4"/>
  <c r="L41" i="4"/>
  <c r="I41" i="4"/>
  <c r="G41" i="4"/>
  <c r="N40" i="4"/>
  <c r="L40" i="4"/>
  <c r="I40" i="4"/>
  <c r="G40" i="4"/>
  <c r="I39" i="4"/>
  <c r="G39" i="4"/>
  <c r="N38" i="4"/>
  <c r="L38" i="4"/>
  <c r="I38" i="4"/>
  <c r="G38" i="4"/>
  <c r="L37" i="4"/>
  <c r="I37" i="4"/>
  <c r="G37" i="4"/>
  <c r="L36" i="4"/>
  <c r="I36" i="4"/>
  <c r="G36" i="4"/>
  <c r="I35" i="4"/>
  <c r="G35" i="4"/>
  <c r="L34" i="4"/>
  <c r="I34" i="4"/>
  <c r="G34" i="4"/>
  <c r="L33" i="4"/>
  <c r="I33" i="4"/>
  <c r="G33" i="4"/>
  <c r="N32" i="4"/>
  <c r="L32" i="4"/>
  <c r="I32" i="4"/>
  <c r="G32" i="4"/>
  <c r="P28" i="4"/>
  <c r="I28" i="4"/>
  <c r="G28" i="4"/>
  <c r="P31" i="4"/>
  <c r="I31" i="4"/>
  <c r="G31" i="4"/>
  <c r="N30" i="4"/>
  <c r="L30" i="4"/>
  <c r="I30" i="4"/>
  <c r="G30" i="4"/>
  <c r="P27" i="4"/>
  <c r="I27" i="4"/>
  <c r="G27" i="4"/>
  <c r="I26" i="4"/>
  <c r="G26" i="4"/>
  <c r="F26" i="4"/>
  <c r="P25" i="4"/>
  <c r="I25" i="4"/>
  <c r="G25" i="4"/>
  <c r="P24" i="4"/>
  <c r="L24" i="4"/>
  <c r="I24" i="4"/>
  <c r="G24" i="4"/>
  <c r="P23" i="4"/>
  <c r="L23" i="4"/>
  <c r="I23" i="4"/>
  <c r="G23" i="4"/>
  <c r="P22" i="4"/>
  <c r="N22" i="4"/>
  <c r="L22" i="4"/>
  <c r="I22" i="4"/>
  <c r="G22" i="4"/>
  <c r="I19" i="4"/>
  <c r="G19" i="4"/>
  <c r="I18" i="4"/>
  <c r="G18" i="4"/>
  <c r="I17" i="4"/>
  <c r="G17" i="4"/>
  <c r="I16" i="4"/>
  <c r="G16" i="4"/>
  <c r="I15" i="4"/>
  <c r="G15" i="4"/>
  <c r="I14" i="4"/>
  <c r="G14" i="4"/>
  <c r="I13" i="4"/>
  <c r="G13" i="4"/>
  <c r="N10" i="4"/>
  <c r="I10" i="4"/>
  <c r="G10" i="4"/>
  <c r="AH2520" i="3"/>
  <c r="AG2520" i="3"/>
  <c r="AH2468" i="3"/>
  <c r="AG2468" i="3"/>
  <c r="AK2220" i="3"/>
  <c r="AJ2220" i="3"/>
  <c r="AI2220" i="3"/>
  <c r="AH2220" i="3"/>
  <c r="AG2220" i="3"/>
  <c r="AF2220" i="3"/>
  <c r="AI2373" i="3"/>
  <c r="AH2373" i="3"/>
  <c r="AK2322" i="3"/>
  <c r="AJ2322" i="3"/>
  <c r="AI2322" i="3"/>
  <c r="AH2322" i="3"/>
  <c r="AG2322" i="3"/>
  <c r="AF2322" i="3"/>
  <c r="AG2288" i="3"/>
  <c r="AF2288" i="3"/>
  <c r="AK2277" i="3"/>
  <c r="AK2291" i="3" s="1"/>
  <c r="AJ2277" i="3"/>
  <c r="AJ2288" i="3" s="1"/>
  <c r="AI2277" i="3"/>
  <c r="AH2277" i="3"/>
  <c r="AK2117" i="3"/>
  <c r="AJ2117" i="3"/>
  <c r="AI2117" i="3"/>
  <c r="AH2117" i="3"/>
  <c r="AG2117" i="3"/>
  <c r="AF2117" i="3"/>
  <c r="AK2111" i="3"/>
  <c r="AJ2111" i="3"/>
  <c r="AI2111" i="3"/>
  <c r="AH2111" i="3"/>
  <c r="AG2111" i="3"/>
  <c r="AF2111" i="3"/>
  <c r="AK2107" i="3"/>
  <c r="AJ2107" i="3"/>
  <c r="AI2107" i="3"/>
  <c r="AH2107" i="3"/>
  <c r="AG2107" i="3"/>
  <c r="AF2107" i="3"/>
  <c r="AK2091" i="3"/>
  <c r="AJ2091" i="3"/>
  <c r="AI2091" i="3"/>
  <c r="AH2091" i="3"/>
  <c r="AG2091" i="3"/>
  <c r="AF2091" i="3"/>
  <c r="AK2088" i="3"/>
  <c r="AJ2088" i="3"/>
  <c r="AI2088" i="3"/>
  <c r="AH2088" i="3"/>
  <c r="AG2088" i="3"/>
  <c r="AF2088" i="3"/>
  <c r="AK2086" i="3"/>
  <c r="AJ2086" i="3"/>
  <c r="AI2086" i="3"/>
  <c r="AH2086" i="3"/>
  <c r="AG2086" i="3"/>
  <c r="AF2086" i="3"/>
  <c r="AK2084" i="3"/>
  <c r="AJ2084" i="3"/>
  <c r="AI2084" i="3"/>
  <c r="AH2084" i="3"/>
  <c r="AG2084" i="3"/>
  <c r="AF2084" i="3"/>
  <c r="AK2082" i="3"/>
  <c r="AJ2082" i="3"/>
  <c r="AI2082" i="3"/>
  <c r="AH2082" i="3"/>
  <c r="AG2082" i="3"/>
  <c r="AF2082" i="3"/>
  <c r="AK2079" i="3"/>
  <c r="AJ2079" i="3"/>
  <c r="AI2079" i="3"/>
  <c r="AH2079" i="3"/>
  <c r="AG2079" i="3"/>
  <c r="AF2079" i="3"/>
  <c r="AK2077" i="3"/>
  <c r="AJ2077" i="3"/>
  <c r="AI2077" i="3"/>
  <c r="AH2077" i="3"/>
  <c r="AG2077" i="3"/>
  <c r="AF2077" i="3"/>
  <c r="AK2072" i="3"/>
  <c r="AJ2072" i="3"/>
  <c r="AI2072" i="3"/>
  <c r="AH2072" i="3"/>
  <c r="AG2072" i="3"/>
  <c r="AF2072" i="3"/>
  <c r="AK2070" i="3"/>
  <c r="AJ2070" i="3"/>
  <c r="AI2070" i="3"/>
  <c r="AH2070" i="3"/>
  <c r="AG2070" i="3"/>
  <c r="AF2070" i="3"/>
  <c r="AK2068" i="3"/>
  <c r="AJ2068" i="3"/>
  <c r="AI2068" i="3"/>
  <c r="AH2068" i="3"/>
  <c r="AG2068" i="3"/>
  <c r="AF2068" i="3"/>
  <c r="AK2065" i="3"/>
  <c r="AJ2065" i="3"/>
  <c r="AK2062" i="3"/>
  <c r="AJ2062" i="3"/>
  <c r="AI2062" i="3"/>
  <c r="AH2062" i="3"/>
  <c r="AG2062" i="3"/>
  <c r="AF2062" i="3"/>
  <c r="AK2060" i="3"/>
  <c r="AJ2060" i="3"/>
  <c r="AI2060" i="3"/>
  <c r="AH2060" i="3"/>
  <c r="AG2060" i="3"/>
  <c r="AF2060" i="3"/>
  <c r="AK2045" i="3"/>
  <c r="AJ2045" i="3"/>
  <c r="AI2045" i="3"/>
  <c r="AH2045" i="3"/>
  <c r="AG2045" i="3"/>
  <c r="AF2045" i="3"/>
  <c r="AK2016" i="3"/>
  <c r="AJ2016" i="3"/>
  <c r="AI2016" i="3"/>
  <c r="AH2016" i="3"/>
  <c r="AG2016" i="3"/>
  <c r="AF2016" i="3"/>
  <c r="AK2005" i="3"/>
  <c r="AJ2005" i="3"/>
  <c r="AI2005" i="3"/>
  <c r="AH2005" i="3"/>
  <c r="AG2005" i="3"/>
  <c r="AF2005" i="3"/>
  <c r="AK1998" i="3"/>
  <c r="AJ1998" i="3"/>
  <c r="AI1998" i="3"/>
  <c r="AH1998" i="3"/>
  <c r="AG1998" i="3"/>
  <c r="AF1998" i="3"/>
  <c r="AK1988" i="3"/>
  <c r="AJ1988" i="3"/>
  <c r="AI1988" i="3"/>
  <c r="AH1988" i="3"/>
  <c r="AG1988" i="3"/>
  <c r="AF1988" i="3"/>
  <c r="AK1975" i="3"/>
  <c r="AJ1975" i="3"/>
  <c r="AI1975" i="3"/>
  <c r="AH1975" i="3"/>
  <c r="AG1975" i="3"/>
  <c r="AF1975" i="3"/>
  <c r="AK1960" i="3"/>
  <c r="AJ1960" i="3"/>
  <c r="AI1960" i="3"/>
  <c r="AH1960" i="3"/>
  <c r="AG1960" i="3"/>
  <c r="AF1960" i="3"/>
  <c r="AK1951" i="3"/>
  <c r="AJ1951" i="3"/>
  <c r="AI1951" i="3"/>
  <c r="AH1951" i="3"/>
  <c r="AG1951" i="3"/>
  <c r="AF1951" i="3"/>
  <c r="AK1936" i="3"/>
  <c r="AJ1936" i="3"/>
  <c r="AI1936" i="3"/>
  <c r="AH1936" i="3"/>
  <c r="AG1936" i="3"/>
  <c r="AF1936" i="3"/>
  <c r="AK1931" i="3"/>
  <c r="AJ1931" i="3"/>
  <c r="AI1931" i="3"/>
  <c r="AH1931" i="3"/>
  <c r="AG1931" i="3"/>
  <c r="AF1931" i="3"/>
  <c r="AK1929" i="3"/>
  <c r="AJ1929" i="3"/>
  <c r="AI1929" i="3"/>
  <c r="AH1929" i="3"/>
  <c r="AG1929" i="3"/>
  <c r="AF1929" i="3"/>
  <c r="AK1926" i="3"/>
  <c r="AJ1926" i="3"/>
  <c r="AI1926" i="3"/>
  <c r="AH1926" i="3"/>
  <c r="AG1926" i="3"/>
  <c r="AF1926" i="3"/>
  <c r="AK1921" i="3"/>
  <c r="AJ1921" i="3"/>
  <c r="AI1921" i="3"/>
  <c r="AH1921" i="3"/>
  <c r="AG1921" i="3"/>
  <c r="AF1921" i="3"/>
  <c r="AK1910" i="3"/>
  <c r="AJ1910" i="3"/>
  <c r="AI1910" i="3"/>
  <c r="AH1910" i="3"/>
  <c r="AG1910" i="3"/>
  <c r="AF1910" i="3"/>
  <c r="AK1896" i="3"/>
  <c r="AJ1896" i="3"/>
  <c r="AI1896" i="3"/>
  <c r="AH1896" i="3"/>
  <c r="AG1896" i="3"/>
  <c r="AF1896" i="3"/>
  <c r="AK1885" i="3"/>
  <c r="AJ1885" i="3"/>
  <c r="AI1885" i="3"/>
  <c r="AH1885" i="3"/>
  <c r="AG1885" i="3"/>
  <c r="AF1885" i="3"/>
  <c r="AK1873" i="3"/>
  <c r="AJ1873" i="3"/>
  <c r="AI1873" i="3"/>
  <c r="AH1873" i="3"/>
  <c r="AG1873" i="3"/>
  <c r="AF1873" i="3"/>
  <c r="AK1866" i="3"/>
  <c r="AJ1866" i="3"/>
  <c r="AI1866" i="3"/>
  <c r="AH1866" i="3"/>
  <c r="AG1866" i="3"/>
  <c r="AF1866" i="3"/>
  <c r="AK1856" i="3"/>
  <c r="AJ1856" i="3"/>
  <c r="AI1856" i="3"/>
  <c r="AH1856" i="3"/>
  <c r="AG1856" i="3"/>
  <c r="AF1856" i="3"/>
  <c r="AK1841" i="3"/>
  <c r="AJ1841" i="3"/>
  <c r="AI1841" i="3"/>
  <c r="AH1841" i="3"/>
  <c r="AG1841" i="3"/>
  <c r="AF1841" i="3"/>
  <c r="AK1830" i="3"/>
  <c r="AJ1830" i="3"/>
  <c r="AI1830" i="3"/>
  <c r="AH1830" i="3"/>
  <c r="AG1830" i="3"/>
  <c r="AF1830" i="3"/>
  <c r="AK1817" i="3"/>
  <c r="AJ1817" i="3"/>
  <c r="AI1817" i="3"/>
  <c r="AH1817" i="3"/>
  <c r="AG1817" i="3"/>
  <c r="AF1817" i="3"/>
  <c r="AK1809" i="3"/>
  <c r="AJ1809" i="3"/>
  <c r="AI1809" i="3"/>
  <c r="AH1809" i="3"/>
  <c r="AG1809" i="3"/>
  <c r="AF1809" i="3"/>
  <c r="AK1805" i="3"/>
  <c r="AJ1805" i="3"/>
  <c r="AI1805" i="3"/>
  <c r="AH1805" i="3"/>
  <c r="AG1805" i="3"/>
  <c r="AF1805" i="3"/>
  <c r="AK1799" i="3"/>
  <c r="AJ1799" i="3"/>
  <c r="AI1799" i="3"/>
  <c r="AH1799" i="3"/>
  <c r="AG1799" i="3"/>
  <c r="AF1799" i="3"/>
  <c r="AK1795" i="3"/>
  <c r="AJ1795" i="3"/>
  <c r="AI1795" i="3"/>
  <c r="AH1795" i="3"/>
  <c r="AG1795" i="3"/>
  <c r="AF1795" i="3"/>
  <c r="AK1789" i="3"/>
  <c r="AJ1789" i="3"/>
  <c r="AI1789" i="3"/>
  <c r="AH1789" i="3"/>
  <c r="AG1789" i="3"/>
  <c r="AF1789" i="3"/>
  <c r="AK1768" i="3"/>
  <c r="AJ1768" i="3"/>
  <c r="AI1768" i="3"/>
  <c r="AH1768" i="3"/>
  <c r="AG1768" i="3"/>
  <c r="AF1768" i="3"/>
  <c r="AK1759" i="3"/>
  <c r="AJ1759" i="3"/>
  <c r="AI1759" i="3"/>
  <c r="AH1759" i="3"/>
  <c r="AG1759" i="3"/>
  <c r="AF1759" i="3"/>
  <c r="AK1753" i="3"/>
  <c r="AJ1753" i="3"/>
  <c r="AI1753" i="3"/>
  <c r="AH1753" i="3"/>
  <c r="AG1753" i="3"/>
  <c r="AF1753" i="3"/>
  <c r="AK1742" i="3"/>
  <c r="AJ1742" i="3"/>
  <c r="AI1742" i="3"/>
  <c r="AH1742" i="3"/>
  <c r="AG1742" i="3"/>
  <c r="AF1742" i="3"/>
  <c r="AK1734" i="3"/>
  <c r="AJ1734" i="3"/>
  <c r="AI1734" i="3"/>
  <c r="AH1734" i="3"/>
  <c r="AG1734" i="3"/>
  <c r="AF1734" i="3"/>
  <c r="AK1730" i="3"/>
  <c r="AJ1730" i="3"/>
  <c r="AI1730" i="3"/>
  <c r="AH1730" i="3"/>
  <c r="AG1730" i="3"/>
  <c r="AF1730" i="3"/>
  <c r="AK1719" i="3"/>
  <c r="AJ1719" i="3"/>
  <c r="AI1719" i="3"/>
  <c r="AH1719" i="3"/>
  <c r="AG1719" i="3"/>
  <c r="AF1719" i="3"/>
  <c r="AK1707" i="3"/>
  <c r="AJ1707" i="3"/>
  <c r="AI1707" i="3"/>
  <c r="AH1707" i="3"/>
  <c r="AG1707" i="3"/>
  <c r="AF1707" i="3"/>
  <c r="AK1703" i="3"/>
  <c r="AJ1703" i="3"/>
  <c r="AI1703" i="3"/>
  <c r="AH1703" i="3"/>
  <c r="AG1703" i="3"/>
  <c r="AF1703" i="3"/>
  <c r="AK1694" i="3"/>
  <c r="AJ1694" i="3"/>
  <c r="AI1694" i="3"/>
  <c r="AH1694" i="3"/>
  <c r="AG1694" i="3"/>
  <c r="AF1694" i="3"/>
  <c r="AK1683" i="3"/>
  <c r="AJ1683" i="3"/>
  <c r="AI1683" i="3"/>
  <c r="AH1683" i="3"/>
  <c r="AG1683" i="3"/>
  <c r="AF1683" i="3"/>
  <c r="AK1675" i="3"/>
  <c r="AJ1675" i="3"/>
  <c r="AI1675" i="3"/>
  <c r="AH1675" i="3"/>
  <c r="AG1675" i="3"/>
  <c r="AF1675" i="3"/>
  <c r="AK1665" i="3"/>
  <c r="AJ1665" i="3"/>
  <c r="AI1665" i="3"/>
  <c r="AH1665" i="3"/>
  <c r="AG1665" i="3"/>
  <c r="AF1665" i="3"/>
  <c r="AK1660" i="3"/>
  <c r="AJ1660" i="3"/>
  <c r="AI1660" i="3"/>
  <c r="AH1660" i="3"/>
  <c r="AG1660" i="3"/>
  <c r="AF1660" i="3"/>
  <c r="AK1647" i="3"/>
  <c r="AJ1647" i="3"/>
  <c r="AI1647" i="3"/>
  <c r="AH1647" i="3"/>
  <c r="AG1647" i="3"/>
  <c r="AF1647" i="3"/>
  <c r="AK1637" i="3"/>
  <c r="AJ1637" i="3"/>
  <c r="AI1637" i="3"/>
  <c r="AH1637" i="3"/>
  <c r="AG1637" i="3"/>
  <c r="AF1637" i="3"/>
  <c r="AK1633" i="3"/>
  <c r="AJ1633" i="3"/>
  <c r="AI1633" i="3"/>
  <c r="AH1633" i="3"/>
  <c r="AG1633" i="3"/>
  <c r="AF1633" i="3"/>
  <c r="AK1601" i="3"/>
  <c r="AJ1601" i="3"/>
  <c r="AK1587" i="3"/>
  <c r="AJ1587" i="3"/>
  <c r="AI1587" i="3"/>
  <c r="AH1587" i="3"/>
  <c r="AG1587" i="3"/>
  <c r="AF1587" i="3"/>
  <c r="AK1578" i="3"/>
  <c r="AJ1578" i="3"/>
  <c r="AI1578" i="3"/>
  <c r="AH1578" i="3"/>
  <c r="AG1578" i="3"/>
  <c r="AF1578" i="3"/>
  <c r="AK1559" i="3"/>
  <c r="AJ1559" i="3"/>
  <c r="AI1559" i="3"/>
  <c r="AH1559" i="3"/>
  <c r="AG1559" i="3"/>
  <c r="AF1559" i="3"/>
  <c r="AF1439" i="3"/>
  <c r="AF1436" i="3"/>
  <c r="AF1282" i="3"/>
  <c r="AF1279" i="3"/>
  <c r="AH1228" i="3"/>
  <c r="AI1227" i="3"/>
  <c r="AH1227" i="3"/>
  <c r="AI1223" i="3"/>
  <c r="AH1223" i="3"/>
  <c r="AH1201" i="3"/>
  <c r="AH1154" i="3"/>
  <c r="AH1140" i="3"/>
  <c r="AH1135" i="3"/>
  <c r="AH1125" i="3"/>
  <c r="AH1114" i="3"/>
  <c r="AI1108" i="3"/>
  <c r="AH1108" i="3"/>
  <c r="AI1104" i="3"/>
  <c r="AH1104" i="3"/>
  <c r="AH1061" i="3"/>
  <c r="AH1005" i="3"/>
  <c r="AK1000" i="3"/>
  <c r="AJ1000" i="3"/>
  <c r="AH1000" i="3"/>
  <c r="AH989" i="3"/>
  <c r="AH976" i="3"/>
  <c r="AK888" i="3"/>
  <c r="AL856" i="3" s="1"/>
  <c r="AM856" i="3" s="1"/>
  <c r="AN856" i="3" s="1"/>
  <c r="AO856" i="3" s="1"/>
  <c r="AJ888" i="3"/>
  <c r="AI888" i="3"/>
  <c r="AH888" i="3"/>
  <c r="AG888" i="3"/>
  <c r="AF888" i="3"/>
  <c r="AD854" i="3" s="1"/>
  <c r="AI890" i="3"/>
  <c r="AI966" i="3" s="1"/>
  <c r="AH890" i="3"/>
  <c r="AH966" i="3" s="1"/>
  <c r="AI423" i="3"/>
  <c r="AH423" i="3"/>
  <c r="AG423" i="3"/>
  <c r="AF370" i="3"/>
  <c r="AF369" i="3"/>
  <c r="AF368" i="3"/>
  <c r="AF367" i="3"/>
  <c r="AF365" i="3"/>
  <c r="AF364" i="3"/>
  <c r="AF363" i="3"/>
  <c r="AF362" i="3"/>
  <c r="AF360" i="3"/>
  <c r="AF359" i="3"/>
  <c r="AF358" i="3"/>
  <c r="AF357" i="3"/>
  <c r="AF356" i="3"/>
  <c r="AF355" i="3"/>
  <c r="AF354" i="3"/>
  <c r="AF353" i="3"/>
  <c r="AF352" i="3"/>
  <c r="AF351" i="3"/>
  <c r="AF350" i="3"/>
  <c r="AF349" i="3"/>
  <c r="AF348" i="3"/>
  <c r="AF347" i="3"/>
  <c r="AF346" i="3"/>
  <c r="AF345" i="3"/>
  <c r="AF344" i="3"/>
  <c r="AF343" i="3"/>
  <c r="AF342" i="3"/>
  <c r="AF341" i="3"/>
  <c r="AF340" i="3"/>
  <c r="AF339" i="3"/>
  <c r="AF338" i="3"/>
  <c r="AF337" i="3"/>
  <c r="AF336" i="3"/>
  <c r="AF335" i="3"/>
  <c r="AF334" i="3"/>
  <c r="AF333" i="3"/>
  <c r="AF332" i="3"/>
  <c r="AF330" i="3"/>
  <c r="AF329" i="3"/>
  <c r="AF328" i="3"/>
  <c r="AF327" i="3"/>
  <c r="AF325" i="3"/>
  <c r="AF324" i="3"/>
  <c r="AF323" i="3"/>
  <c r="AF322" i="3"/>
  <c r="AF321" i="3"/>
  <c r="AG199" i="3"/>
  <c r="AG198" i="3"/>
  <c r="AG197" i="3"/>
  <c r="AG195" i="3"/>
  <c r="AG193" i="3"/>
  <c r="AG190" i="3"/>
  <c r="AH139" i="3"/>
  <c r="AH219" i="3" s="1"/>
  <c r="AG100" i="3"/>
  <c r="AG99" i="3"/>
  <c r="AG98" i="3"/>
  <c r="AG96" i="3"/>
  <c r="AG94" i="3"/>
  <c r="AG91" i="3"/>
  <c r="AH38" i="3"/>
  <c r="AG30" i="3"/>
  <c r="AH5" i="3"/>
  <c r="I153" i="4"/>
  <c r="I179" i="4" s="1"/>
  <c r="S182" i="4"/>
  <c r="R182" i="4"/>
  <c r="Q182" i="4"/>
  <c r="P182" i="4"/>
  <c r="O182" i="4"/>
  <c r="N182" i="4"/>
  <c r="L182" i="4"/>
  <c r="J182" i="4"/>
  <c r="I182" i="4"/>
  <c r="H182" i="4"/>
  <c r="G182" i="4"/>
  <c r="F182" i="4"/>
  <c r="T181" i="4"/>
  <c r="S181" i="4"/>
  <c r="R181" i="4"/>
  <c r="Q181" i="4"/>
  <c r="O181" i="4"/>
  <c r="N181" i="4"/>
  <c r="N226" i="4" s="1"/>
  <c r="L181" i="4"/>
  <c r="K181" i="4"/>
  <c r="J181" i="4"/>
  <c r="J226" i="4" s="1"/>
  <c r="F181" i="4"/>
  <c r="T180" i="4"/>
  <c r="R180" i="4"/>
  <c r="Q180" i="4"/>
  <c r="P180" i="4"/>
  <c r="O180" i="4"/>
  <c r="N180" i="4"/>
  <c r="L180" i="4"/>
  <c r="K180" i="4"/>
  <c r="J180" i="4"/>
  <c r="I180" i="4"/>
  <c r="H180" i="4"/>
  <c r="G180" i="4"/>
  <c r="F180" i="4"/>
  <c r="R179" i="4"/>
  <c r="Q179" i="4"/>
  <c r="O179" i="4"/>
  <c r="N179" i="4"/>
  <c r="N228" i="4" s="1"/>
  <c r="L179" i="4"/>
  <c r="K179" i="4"/>
  <c r="J179" i="4"/>
  <c r="F179" i="4"/>
  <c r="S178" i="4"/>
  <c r="R178" i="4"/>
  <c r="Q178" i="4"/>
  <c r="P178" i="4"/>
  <c r="O178" i="4"/>
  <c r="N178" i="4"/>
  <c r="L178" i="4"/>
  <c r="J178" i="4"/>
  <c r="I178" i="4"/>
  <c r="H178" i="4"/>
  <c r="G178" i="4"/>
  <c r="F178" i="4"/>
  <c r="T177" i="4"/>
  <c r="R177" i="4"/>
  <c r="Q177" i="4"/>
  <c r="P177" i="4"/>
  <c r="O177" i="4"/>
  <c r="N177" i="4"/>
  <c r="K177" i="4"/>
  <c r="J177" i="4"/>
  <c r="F177" i="4"/>
  <c r="T176" i="4"/>
  <c r="R176" i="4"/>
  <c r="Q176" i="4"/>
  <c r="P176" i="4"/>
  <c r="O176" i="4"/>
  <c r="L176" i="4"/>
  <c r="J176" i="4"/>
  <c r="J227" i="4" s="1"/>
  <c r="F176" i="4"/>
  <c r="T175" i="4"/>
  <c r="S175" i="4"/>
  <c r="Q175" i="4"/>
  <c r="P175" i="4"/>
  <c r="K175" i="4"/>
  <c r="J175" i="4"/>
  <c r="F175" i="4"/>
  <c r="S174" i="4"/>
  <c r="R174" i="4"/>
  <c r="Q174" i="4"/>
  <c r="P174" i="4"/>
  <c r="O174" i="4"/>
  <c r="J174" i="4"/>
  <c r="J225" i="4" s="1"/>
  <c r="F174" i="4"/>
  <c r="T173" i="4"/>
  <c r="S173" i="4"/>
  <c r="P173" i="4"/>
  <c r="N173" i="4"/>
  <c r="N245" i="4" s="1"/>
  <c r="L173" i="4"/>
  <c r="K173" i="4"/>
  <c r="I173" i="4"/>
  <c r="I245" i="4" s="1"/>
  <c r="H173" i="4"/>
  <c r="H245" i="4" s="1"/>
  <c r="G173" i="4"/>
  <c r="G245" i="4" s="1"/>
  <c r="F173" i="4"/>
  <c r="S172" i="4"/>
  <c r="Q172" i="4"/>
  <c r="J172" i="4"/>
  <c r="J223" i="4" s="1"/>
  <c r="O123" i="4"/>
  <c r="V123" i="4" s="1"/>
  <c r="X123" i="4" s="1"/>
  <c r="O120" i="4"/>
  <c r="V120" i="4" s="1"/>
  <c r="X120" i="4" s="1"/>
  <c r="O76" i="4"/>
  <c r="V76" i="4" s="1"/>
  <c r="X76" i="4" s="1"/>
  <c r="O92" i="4"/>
  <c r="V92" i="4" s="1"/>
  <c r="X92" i="4" s="1"/>
  <c r="O86" i="4"/>
  <c r="V86" i="4" s="1"/>
  <c r="X86" i="4" s="1"/>
  <c r="O83" i="4"/>
  <c r="V83" i="4" s="1"/>
  <c r="X83" i="4" s="1"/>
  <c r="O82" i="4"/>
  <c r="V82" i="4" s="1"/>
  <c r="X82" i="4" s="1"/>
  <c r="O81" i="4"/>
  <c r="V81" i="4" s="1"/>
  <c r="X81" i="4" s="1"/>
  <c r="O80" i="4"/>
  <c r="V80" i="4" s="1"/>
  <c r="X80" i="4" s="1"/>
  <c r="O79" i="4"/>
  <c r="V79" i="4" s="1"/>
  <c r="X79" i="4" s="1"/>
  <c r="O70" i="4"/>
  <c r="V70" i="4" s="1"/>
  <c r="X70" i="4" s="1"/>
  <c r="O69" i="4"/>
  <c r="V69" i="4" s="1"/>
  <c r="X69" i="4" s="1"/>
  <c r="O65" i="4"/>
  <c r="V65" i="4" s="1"/>
  <c r="X65" i="4" s="1"/>
  <c r="P244" i="1"/>
  <c r="M244" i="1"/>
  <c r="P242" i="1"/>
  <c r="M242" i="1"/>
  <c r="M239" i="1"/>
  <c r="G239" i="1"/>
  <c r="P239" i="1"/>
  <c r="D239" i="1"/>
  <c r="E282" i="4"/>
  <c r="N152" i="4"/>
  <c r="N176" i="4" s="1"/>
  <c r="N227" i="4" s="1"/>
  <c r="N138" i="4"/>
  <c r="F35" i="4"/>
  <c r="AM2373" i="3"/>
  <c r="F186" i="4"/>
  <c r="F189" i="4"/>
  <c r="F201" i="4" s="1"/>
  <c r="E425" i="4"/>
  <c r="AO2288" i="3"/>
  <c r="N131" i="4"/>
  <c r="D162" i="4"/>
  <c r="S162" i="4" s="1"/>
  <c r="V162" i="4" s="1"/>
  <c r="X162" i="4" s="1"/>
  <c r="D48" i="4"/>
  <c r="E444" i="4"/>
  <c r="R426" i="4"/>
  <c r="Q566" i="4" s="1"/>
  <c r="E263" i="4"/>
  <c r="R128" i="4"/>
  <c r="R459" i="4"/>
  <c r="Q568" i="4" s="1"/>
  <c r="R130" i="4"/>
  <c r="R73" i="4"/>
  <c r="Q128" i="4"/>
  <c r="Q115" i="4"/>
  <c r="Q91" i="4"/>
  <c r="R38" i="4"/>
  <c r="R27" i="4"/>
  <c r="Q67" i="4"/>
  <c r="R143" i="4"/>
  <c r="Q102" i="4"/>
  <c r="E291" i="4"/>
  <c r="R109" i="4"/>
  <c r="Q99" i="4"/>
  <c r="E275" i="4"/>
  <c r="Q90" i="4"/>
  <c r="R99" i="4"/>
  <c r="E288" i="4"/>
  <c r="E305" i="4"/>
  <c r="E299" i="4"/>
  <c r="E320" i="4"/>
  <c r="E292" i="4"/>
  <c r="E274" i="4"/>
  <c r="E268" i="4"/>
  <c r="E270" i="4"/>
  <c r="E294" i="4"/>
  <c r="E297" i="4"/>
  <c r="E314" i="4"/>
  <c r="E306" i="4"/>
  <c r="E301" i="4"/>
  <c r="E281" i="4"/>
  <c r="E280" i="4"/>
  <c r="Q583" i="4"/>
  <c r="E286" i="4"/>
  <c r="E319" i="4"/>
  <c r="E311" i="4"/>
  <c r="E313" i="4"/>
  <c r="E318" i="4"/>
  <c r="E265" i="4"/>
  <c r="E296" i="4"/>
  <c r="E290" i="4"/>
  <c r="E272" i="4"/>
  <c r="E303" i="4"/>
  <c r="R421" i="4"/>
  <c r="Q565" i="4" s="1"/>
  <c r="AQ1170" i="3"/>
  <c r="T141" i="4"/>
  <c r="E279" i="4" l="1"/>
  <c r="E283" i="4"/>
  <c r="R520" i="4"/>
  <c r="Q578" i="4" s="1"/>
  <c r="R323" i="4"/>
  <c r="Q560" i="4" s="1"/>
  <c r="E277" i="4"/>
  <c r="E276" i="4"/>
  <c r="E309" i="4"/>
  <c r="E302" i="4"/>
  <c r="E304" i="4"/>
  <c r="E264" i="4"/>
  <c r="E266" i="4"/>
  <c r="E269" i="4"/>
  <c r="E316" i="4"/>
  <c r="E317" i="4"/>
  <c r="E298" i="4"/>
  <c r="E289" i="4"/>
  <c r="E300" i="4"/>
  <c r="E271" i="4"/>
  <c r="E267" i="4"/>
  <c r="E284" i="4"/>
  <c r="E295" i="4"/>
  <c r="E312" i="4"/>
  <c r="E310" i="4"/>
  <c r="E278" i="4"/>
  <c r="E307" i="4"/>
  <c r="E321" i="4"/>
  <c r="E285" i="4"/>
  <c r="E287" i="4"/>
  <c r="E293" i="4"/>
  <c r="E409" i="4"/>
  <c r="E408" i="4"/>
  <c r="E407" i="4"/>
  <c r="R112" i="4"/>
  <c r="Q130" i="4"/>
  <c r="R67" i="4"/>
  <c r="R64" i="4"/>
  <c r="Q71" i="4"/>
  <c r="R23" i="4"/>
  <c r="R26" i="4"/>
  <c r="R49" i="4"/>
  <c r="R126" i="4"/>
  <c r="R94" i="4"/>
  <c r="Q87" i="4"/>
  <c r="R96" i="4"/>
  <c r="R103" i="4"/>
  <c r="R33" i="4"/>
  <c r="R89" i="4"/>
  <c r="Q88" i="4"/>
  <c r="R115" i="4"/>
  <c r="R47" i="4"/>
  <c r="Q78" i="4"/>
  <c r="Q111" i="4"/>
  <c r="R35" i="4"/>
  <c r="R129" i="4"/>
  <c r="R45" i="4"/>
  <c r="Q60" i="4"/>
  <c r="R90" i="4"/>
  <c r="U137" i="4"/>
  <c r="Q75" i="4"/>
  <c r="Q114" i="4"/>
  <c r="R30" i="4"/>
  <c r="R122" i="4"/>
  <c r="R101" i="4"/>
  <c r="Q107" i="4"/>
  <c r="R127" i="4"/>
  <c r="Q85" i="4"/>
  <c r="R59" i="4"/>
  <c r="Q77" i="4"/>
  <c r="R28" i="4"/>
  <c r="R48" i="4"/>
  <c r="R61" i="4"/>
  <c r="Q97" i="4"/>
  <c r="R116" i="4"/>
  <c r="R32" i="4"/>
  <c r="R113" i="4"/>
  <c r="Q64" i="4"/>
  <c r="AQ2125" i="3"/>
  <c r="AP2122" i="3"/>
  <c r="Q116" i="4"/>
  <c r="U191" i="4"/>
  <c r="U201" i="4" s="1"/>
  <c r="R87" i="4"/>
  <c r="Q94" i="4"/>
  <c r="R71" i="4"/>
  <c r="Q62" i="4"/>
  <c r="Q73" i="4"/>
  <c r="R102" i="4"/>
  <c r="R125" i="4"/>
  <c r="R84" i="4"/>
  <c r="E327" i="4"/>
  <c r="R402" i="4" s="1"/>
  <c r="Q563" i="4" s="1"/>
  <c r="R118" i="4"/>
  <c r="R85" i="4"/>
  <c r="R34" i="4"/>
  <c r="R75" i="4"/>
  <c r="R41" i="4"/>
  <c r="U136" i="4"/>
  <c r="R124" i="4"/>
  <c r="R100" i="4"/>
  <c r="U140" i="4"/>
  <c r="R58" i="4"/>
  <c r="R40" i="4"/>
  <c r="R68" i="4"/>
  <c r="Q101" i="4"/>
  <c r="U141" i="4"/>
  <c r="V141" i="4" s="1"/>
  <c r="R91" i="4"/>
  <c r="R119" i="4"/>
  <c r="R51" i="4"/>
  <c r="R44" i="4"/>
  <c r="Q108" i="4"/>
  <c r="R50" i="4"/>
  <c r="R22" i="4"/>
  <c r="R42" i="4"/>
  <c r="Q74" i="4"/>
  <c r="Q95" i="4"/>
  <c r="Q113" i="4"/>
  <c r="Q103" i="4"/>
  <c r="R97" i="4"/>
  <c r="U131" i="4"/>
  <c r="Q68" i="4"/>
  <c r="R117" i="4"/>
  <c r="Q122" i="4"/>
  <c r="U135" i="4"/>
  <c r="R25" i="4"/>
  <c r="R72" i="4"/>
  <c r="Q96" i="4"/>
  <c r="R37" i="4"/>
  <c r="R36" i="4"/>
  <c r="R24" i="4"/>
  <c r="Q112" i="4"/>
  <c r="R43" i="4"/>
  <c r="R110" i="4"/>
  <c r="Q190" i="4"/>
  <c r="Q201" i="4" s="1"/>
  <c r="U138" i="4"/>
  <c r="R121" i="4"/>
  <c r="R52" i="4"/>
  <c r="U132" i="4"/>
  <c r="R106" i="4"/>
  <c r="R56" i="4"/>
  <c r="R108" i="4"/>
  <c r="R39" i="4"/>
  <c r="R60" i="4"/>
  <c r="Q105" i="4"/>
  <c r="R107" i="4"/>
  <c r="Q104" i="4"/>
  <c r="R31" i="4"/>
  <c r="Q93" i="4"/>
  <c r="Q72" i="4"/>
  <c r="Q89" i="4"/>
  <c r="R111" i="4"/>
  <c r="Q129" i="4"/>
  <c r="R77" i="4"/>
  <c r="R104" i="4"/>
  <c r="U10" i="4"/>
  <c r="U172" i="4" s="1"/>
  <c r="Q59" i="4"/>
  <c r="R78" i="4"/>
  <c r="F469" i="4"/>
  <c r="Q84" i="4"/>
  <c r="R53" i="4"/>
  <c r="R88" i="4"/>
  <c r="Q98" i="4"/>
  <c r="Q117" i="4"/>
  <c r="U134" i="4"/>
  <c r="R46" i="4"/>
  <c r="R105" i="4"/>
  <c r="R98" i="4"/>
  <c r="R57" i="4"/>
  <c r="R10" i="4"/>
  <c r="R66" i="4"/>
  <c r="R62" i="4"/>
  <c r="R95" i="4"/>
  <c r="R29" i="4"/>
  <c r="Q66" i="4"/>
  <c r="R63" i="4"/>
  <c r="Q121" i="4"/>
  <c r="Q61" i="4"/>
  <c r="R54" i="4"/>
  <c r="Q63" i="4"/>
  <c r="U139" i="4"/>
  <c r="R93" i="4"/>
  <c r="R114" i="4"/>
  <c r="R74" i="4"/>
  <c r="R192" i="4"/>
  <c r="U133" i="4"/>
  <c r="U142" i="4"/>
  <c r="N192" i="4"/>
  <c r="N201" i="4" s="1"/>
  <c r="I193" i="4"/>
  <c r="I201" i="4" s="1"/>
  <c r="H192" i="4"/>
  <c r="H201" i="4" s="1"/>
  <c r="D192" i="4"/>
  <c r="R472" i="4"/>
  <c r="F470" i="4"/>
  <c r="AF232" i="3"/>
  <c r="E467" i="4"/>
  <c r="E491" i="4"/>
  <c r="E495" i="4" s="1"/>
  <c r="E468" i="4"/>
  <c r="H239" i="5"/>
  <c r="I239" i="5" s="1"/>
  <c r="Q239" i="5"/>
  <c r="R239" i="5" s="1"/>
  <c r="E500" i="4"/>
  <c r="E504" i="4" s="1"/>
  <c r="E254" i="4"/>
  <c r="O254" i="4" s="1"/>
  <c r="O556" i="4" s="1"/>
  <c r="E399" i="4"/>
  <c r="Q567" i="4"/>
  <c r="E375" i="4"/>
  <c r="Q239" i="1"/>
  <c r="R239" i="1" s="1"/>
  <c r="Q244" i="5"/>
  <c r="R244" i="5" s="1"/>
  <c r="AM2293" i="3"/>
  <c r="Q242" i="1"/>
  <c r="R242" i="1" s="1"/>
  <c r="F465" i="4"/>
  <c r="I482" i="4"/>
  <c r="T482" i="4" s="1"/>
  <c r="I470" i="4"/>
  <c r="U468" i="4" s="1"/>
  <c r="G467" i="4"/>
  <c r="S465" i="4" s="1"/>
  <c r="H482" i="4"/>
  <c r="S482" i="4" s="1"/>
  <c r="H470" i="4"/>
  <c r="T468" i="4" s="1"/>
  <c r="I467" i="4"/>
  <c r="U465" i="4" s="1"/>
  <c r="H480" i="4"/>
  <c r="S480" i="4" s="1"/>
  <c r="J479" i="4"/>
  <c r="U479" i="4" s="1"/>
  <c r="G470" i="4"/>
  <c r="S468" i="4" s="1"/>
  <c r="I469" i="4"/>
  <c r="U467" i="4" s="1"/>
  <c r="Z571" i="4" s="1"/>
  <c r="H469" i="4"/>
  <c r="T467" i="4" s="1"/>
  <c r="G469" i="4"/>
  <c r="S467" i="4" s="1"/>
  <c r="I480" i="4"/>
  <c r="T480" i="4" s="1"/>
  <c r="H467" i="4"/>
  <c r="T465" i="4" s="1"/>
  <c r="I479" i="4"/>
  <c r="T479" i="4" s="1"/>
  <c r="H479" i="4"/>
  <c r="S479" i="4" s="1"/>
  <c r="J480" i="4"/>
  <c r="U480" i="4" s="1"/>
  <c r="J482" i="4"/>
  <c r="U482" i="4" s="1"/>
  <c r="Q244" i="1"/>
  <c r="R244" i="1" s="1"/>
  <c r="Q242" i="5"/>
  <c r="R242" i="5" s="1"/>
  <c r="AN2603" i="3"/>
  <c r="AN2602" i="3"/>
  <c r="AN2538" i="3"/>
  <c r="AN2539" i="3"/>
  <c r="T158" i="4"/>
  <c r="V158" i="4" s="1"/>
  <c r="X158" i="4" s="1"/>
  <c r="AN2583" i="3"/>
  <c r="AN2582" i="3"/>
  <c r="AN2524" i="3"/>
  <c r="AN2523" i="3"/>
  <c r="G482" i="4"/>
  <c r="E482" i="4" s="1"/>
  <c r="T590" i="4"/>
  <c r="T589" i="4"/>
  <c r="S589" i="4"/>
  <c r="S590" i="4"/>
  <c r="G477" i="4"/>
  <c r="F481" i="4"/>
  <c r="E440" i="4"/>
  <c r="E523" i="4"/>
  <c r="Q523" i="4" s="1"/>
  <c r="O523" i="4" s="1"/>
  <c r="O579" i="4" s="1"/>
  <c r="E376" i="4"/>
  <c r="E441" i="4"/>
  <c r="E360" i="4"/>
  <c r="E437" i="4"/>
  <c r="E435" i="4"/>
  <c r="E443" i="4"/>
  <c r="E448" i="4"/>
  <c r="R453" i="4"/>
  <c r="K189" i="4"/>
  <c r="E438" i="4"/>
  <c r="E430" i="4"/>
  <c r="S198" i="4"/>
  <c r="V198" i="4" s="1"/>
  <c r="K194" i="4"/>
  <c r="E436" i="4"/>
  <c r="E432" i="4"/>
  <c r="E446" i="4"/>
  <c r="E334" i="4"/>
  <c r="E387" i="4"/>
  <c r="E445" i="4"/>
  <c r="E439" i="4"/>
  <c r="E433" i="4"/>
  <c r="E434" i="4"/>
  <c r="E442" i="4"/>
  <c r="R526" i="4"/>
  <c r="Q595" i="4" s="1"/>
  <c r="E449" i="4"/>
  <c r="E447" i="4"/>
  <c r="T200" i="4"/>
  <c r="V200" i="4" s="1"/>
  <c r="T197" i="4"/>
  <c r="K191" i="4"/>
  <c r="T191" i="4" s="1"/>
  <c r="E415" i="4"/>
  <c r="E411" i="4"/>
  <c r="E416" i="4"/>
  <c r="R259" i="4"/>
  <c r="Q559" i="4" s="1"/>
  <c r="F480" i="4"/>
  <c r="E480" i="4" s="1"/>
  <c r="E418" i="4"/>
  <c r="E417" i="4"/>
  <c r="E414" i="4"/>
  <c r="E419" i="4"/>
  <c r="G479" i="4"/>
  <c r="E479" i="4" s="1"/>
  <c r="E413" i="4"/>
  <c r="AL2291" i="3"/>
  <c r="AO2524" i="3"/>
  <c r="AO2523" i="3"/>
  <c r="AO2538" i="3"/>
  <c r="AO2539" i="3"/>
  <c r="AO2583" i="3"/>
  <c r="AO2582" i="3"/>
  <c r="AO2603" i="3"/>
  <c r="AO2602" i="3"/>
  <c r="T239" i="5"/>
  <c r="T239" i="1"/>
  <c r="H239" i="1"/>
  <c r="I239" i="1" s="1"/>
  <c r="E515" i="4"/>
  <c r="G515" i="4" s="1"/>
  <c r="AG219" i="3"/>
  <c r="P189" i="4"/>
  <c r="R506" i="4"/>
  <c r="Q574" i="4" s="1"/>
  <c r="E501" i="4"/>
  <c r="E518" i="4"/>
  <c r="G518" i="4" s="1"/>
  <c r="E516" i="4"/>
  <c r="F516" i="4" s="1"/>
  <c r="M1" i="8"/>
  <c r="R1" i="5"/>
  <c r="T1" i="1"/>
  <c r="V1" i="1"/>
  <c r="U1" i="1"/>
  <c r="AI219" i="3"/>
  <c r="AJ219" i="3"/>
  <c r="AK219" i="3"/>
  <c r="AN219" i="3"/>
  <c r="AN227" i="3" s="1"/>
  <c r="AF219" i="3"/>
  <c r="AO219" i="3"/>
  <c r="AO227" i="3" s="1"/>
  <c r="P179" i="4"/>
  <c r="AM2290" i="3"/>
  <c r="AN599" i="3"/>
  <c r="AN607" i="3"/>
  <c r="AN615" i="3"/>
  <c r="AN623" i="3"/>
  <c r="AN631" i="3"/>
  <c r="AN639" i="3"/>
  <c r="AN592" i="3"/>
  <c r="AN600" i="3"/>
  <c r="AN608" i="3"/>
  <c r="AN616" i="3"/>
  <c r="AN624" i="3"/>
  <c r="AN640" i="3"/>
  <c r="AN591" i="3"/>
  <c r="AN593" i="3"/>
  <c r="AN601" i="3"/>
  <c r="AN609" i="3"/>
  <c r="AN617" i="3"/>
  <c r="AN625" i="3"/>
  <c r="AN633" i="3"/>
  <c r="AN594" i="3"/>
  <c r="AN602" i="3"/>
  <c r="AN610" i="3"/>
  <c r="AN618" i="3"/>
  <c r="AN626" i="3"/>
  <c r="AN634" i="3"/>
  <c r="AN595" i="3"/>
  <c r="AN603" i="3"/>
  <c r="AN611" i="3"/>
  <c r="AN619" i="3"/>
  <c r="AN627" i="3"/>
  <c r="AN635" i="3"/>
  <c r="AN596" i="3"/>
  <c r="AN604" i="3"/>
  <c r="AN612" i="3"/>
  <c r="AN620" i="3"/>
  <c r="AN628" i="3"/>
  <c r="AN636" i="3"/>
  <c r="AN597" i="3"/>
  <c r="AN605" i="3"/>
  <c r="AN613" i="3"/>
  <c r="AN621" i="3"/>
  <c r="AN629" i="3"/>
  <c r="AN637" i="3"/>
  <c r="AN598" i="3"/>
  <c r="AN606" i="3"/>
  <c r="AN614" i="3"/>
  <c r="AN622" i="3"/>
  <c r="AN630" i="3"/>
  <c r="AN638" i="3"/>
  <c r="AO591" i="3"/>
  <c r="AO2380" i="3"/>
  <c r="AO2382" i="3" s="1"/>
  <c r="AO2411" i="3" s="1"/>
  <c r="AO120" i="3"/>
  <c r="AO129" i="3" s="1"/>
  <c r="S180" i="4"/>
  <c r="V180" i="4" s="1"/>
  <c r="AM1135" i="3"/>
  <c r="AM1154" i="3" s="1"/>
  <c r="AL887" i="3"/>
  <c r="AM887" i="3" s="1"/>
  <c r="AN887" i="3" s="1"/>
  <c r="M41" i="4"/>
  <c r="O41" i="4" s="1"/>
  <c r="M23" i="4"/>
  <c r="O23" i="4" s="1"/>
  <c r="V23" i="4" s="1"/>
  <c r="X23" i="4" s="1"/>
  <c r="M34" i="4"/>
  <c r="O34" i="4" s="1"/>
  <c r="M37" i="4"/>
  <c r="O37" i="4" s="1"/>
  <c r="V37" i="4" s="1"/>
  <c r="X37" i="4" s="1"/>
  <c r="M42" i="4"/>
  <c r="O42" i="4" s="1"/>
  <c r="M46" i="4"/>
  <c r="O46" i="4" s="1"/>
  <c r="M53" i="4"/>
  <c r="O53" i="4" s="1"/>
  <c r="AL311" i="3"/>
  <c r="L192" i="4"/>
  <c r="L201" i="4" s="1"/>
  <c r="AK2288" i="3"/>
  <c r="K178" i="4"/>
  <c r="D26" i="4"/>
  <c r="O26" i="4" s="1"/>
  <c r="AN120" i="3"/>
  <c r="AN129" i="3" s="1"/>
  <c r="AL860" i="3"/>
  <c r="AM860" i="3" s="1"/>
  <c r="AN860" i="3" s="1"/>
  <c r="AN2121" i="3"/>
  <c r="AQ228" i="3"/>
  <c r="AL838" i="3"/>
  <c r="AM838" i="3" s="1"/>
  <c r="AN838" i="3" s="1"/>
  <c r="AO838" i="3" s="1"/>
  <c r="AL854" i="3"/>
  <c r="AM854" i="3" s="1"/>
  <c r="AN854" i="3" s="1"/>
  <c r="AQ2291" i="3"/>
  <c r="AL842" i="3"/>
  <c r="AM842" i="3" s="1"/>
  <c r="AN842" i="3" s="1"/>
  <c r="AO2122" i="3"/>
  <c r="AO2127" i="3"/>
  <c r="AL849" i="3"/>
  <c r="AM849" i="3" s="1"/>
  <c r="AN849" i="3" s="1"/>
  <c r="AL859" i="3"/>
  <c r="AM859" i="3" s="1"/>
  <c r="AN859" i="3" s="1"/>
  <c r="AM1020" i="3"/>
  <c r="AM1109" i="3" s="1"/>
  <c r="G228" i="4"/>
  <c r="M155" i="4"/>
  <c r="M177" i="4" s="1"/>
  <c r="AK641" i="3"/>
  <c r="D174" i="4"/>
  <c r="D225" i="4" s="1"/>
  <c r="AO748" i="3"/>
  <c r="E517" i="4"/>
  <c r="F517" i="4" s="1"/>
  <c r="I181" i="4"/>
  <c r="I226" i="4" s="1"/>
  <c r="AP2288" i="3"/>
  <c r="N186" i="4" s="1"/>
  <c r="H175" i="4"/>
  <c r="H246" i="4" s="1"/>
  <c r="AJ2291" i="3"/>
  <c r="AI234" i="3"/>
  <c r="AN2411" i="3"/>
  <c r="AN2413" i="3" s="1"/>
  <c r="M118" i="4"/>
  <c r="O118" i="4" s="1"/>
  <c r="L175" i="4"/>
  <c r="G201" i="4"/>
  <c r="O58" i="4"/>
  <c r="AM227" i="3"/>
  <c r="O10" i="4"/>
  <c r="I169" i="4"/>
  <c r="N170" i="4"/>
  <c r="K174" i="4"/>
  <c r="AJ228" i="3"/>
  <c r="AF230" i="3"/>
  <c r="AN1109" i="3"/>
  <c r="AM2411" i="3"/>
  <c r="AM2413" i="3" s="1"/>
  <c r="I172" i="4"/>
  <c r="I223" i="4" s="1"/>
  <c r="AL861" i="3"/>
  <c r="AL863" i="3"/>
  <c r="AF231" i="3"/>
  <c r="AL878" i="3"/>
  <c r="AL872" i="3"/>
  <c r="AK228" i="3"/>
  <c r="AM2292" i="3"/>
  <c r="AL866" i="3"/>
  <c r="AM866" i="3" s="1"/>
  <c r="E426" i="4"/>
  <c r="O426" i="4" s="1"/>
  <c r="O566" i="4" s="1"/>
  <c r="AJ829" i="3"/>
  <c r="AP228" i="3"/>
  <c r="D189" i="4" s="1"/>
  <c r="AL883" i="3"/>
  <c r="AI2288" i="3"/>
  <c r="AI2291" i="3"/>
  <c r="K182" i="4"/>
  <c r="T138" i="4"/>
  <c r="AG230" i="3"/>
  <c r="AH2288" i="3"/>
  <c r="AH2291" i="3"/>
  <c r="N174" i="4"/>
  <c r="N225" i="4" s="1"/>
  <c r="AN2291" i="3"/>
  <c r="AN2288" i="3"/>
  <c r="AO228" i="3"/>
  <c r="AK829" i="3"/>
  <c r="AL1020" i="3"/>
  <c r="AL1109" i="3" s="1"/>
  <c r="AN1228" i="3"/>
  <c r="AM2291" i="3"/>
  <c r="E235" i="4"/>
  <c r="O235" i="4" s="1"/>
  <c r="AI2127" i="3"/>
  <c r="AM311" i="3"/>
  <c r="E153" i="4"/>
  <c r="E169" i="4" s="1"/>
  <c r="E197" i="4" s="1"/>
  <c r="L170" i="4"/>
  <c r="K186" i="4"/>
  <c r="AM2289" i="3"/>
  <c r="AM2288" i="3"/>
  <c r="T148" i="4"/>
  <c r="D153" i="4"/>
  <c r="D179" i="4" s="1"/>
  <c r="E179" i="4" s="1"/>
  <c r="AN632" i="3"/>
  <c r="AN696" i="3"/>
  <c r="AO1228" i="3"/>
  <c r="AF228" i="3"/>
  <c r="AF423" i="3"/>
  <c r="AJ229" i="3"/>
  <c r="AF1547" i="3"/>
  <c r="AF1546" i="3"/>
  <c r="AL880" i="3"/>
  <c r="AM880" i="3" s="1"/>
  <c r="AN880" i="3" s="1"/>
  <c r="AO880" i="3" s="1"/>
  <c r="AL885" i="3"/>
  <c r="AL843" i="3"/>
  <c r="AM843" i="3" s="1"/>
  <c r="AN843" i="3" s="1"/>
  <c r="AO2118" i="3"/>
  <c r="AO2126" i="3"/>
  <c r="AL877" i="3"/>
  <c r="AM877" i="3" s="1"/>
  <c r="AN877" i="3" s="1"/>
  <c r="AL882" i="3"/>
  <c r="AM882" i="3" s="1"/>
  <c r="AL879" i="3"/>
  <c r="AM879" i="3" s="1"/>
  <c r="AN879" i="3" s="1"/>
  <c r="AO2121" i="3"/>
  <c r="AL862" i="3"/>
  <c r="AL867" i="3"/>
  <c r="AL2362" i="3"/>
  <c r="AL2363" i="3"/>
  <c r="AL873" i="3"/>
  <c r="AM873" i="3" s="1"/>
  <c r="AL847" i="3"/>
  <c r="AM847" i="3" s="1"/>
  <c r="AN847" i="3" s="1"/>
  <c r="AL884" i="3"/>
  <c r="AL850" i="3"/>
  <c r="AL871" i="3"/>
  <c r="AL845" i="3"/>
  <c r="AL857" i="3"/>
  <c r="AL886" i="3"/>
  <c r="AL868" i="3"/>
  <c r="AL881" i="3"/>
  <c r="AL855" i="3"/>
  <c r="AL844" i="3"/>
  <c r="AL875" i="3"/>
  <c r="AL841" i="3"/>
  <c r="AL870" i="3"/>
  <c r="AL852" i="3"/>
  <c r="AL865" i="3"/>
  <c r="AL839" i="3"/>
  <c r="AL876" i="3"/>
  <c r="AL874" i="3"/>
  <c r="AM874" i="3" s="1"/>
  <c r="AN874" i="3" s="1"/>
  <c r="AL840" i="3"/>
  <c r="AM840" i="3" s="1"/>
  <c r="AN840" i="3" s="1"/>
  <c r="AL869" i="3"/>
  <c r="AL851" i="3"/>
  <c r="AM851" i="3" s="1"/>
  <c r="AN851" i="3" s="1"/>
  <c r="AL864" i="3"/>
  <c r="AM864" i="3" s="1"/>
  <c r="AN864" i="3" s="1"/>
  <c r="AL846" i="3"/>
  <c r="AM846" i="3" s="1"/>
  <c r="AN846" i="3" s="1"/>
  <c r="AF1390" i="3"/>
  <c r="AF1389" i="3"/>
  <c r="T131" i="4"/>
  <c r="V131" i="4" s="1"/>
  <c r="X131" i="4" s="1"/>
  <c r="AI228" i="3"/>
  <c r="AN228" i="3"/>
  <c r="AL848" i="3"/>
  <c r="AL853" i="3"/>
  <c r="AM853" i="3" s="1"/>
  <c r="AL858" i="3"/>
  <c r="AM858" i="3" s="1"/>
  <c r="AN858" i="3" s="1"/>
  <c r="AK2121" i="3"/>
  <c r="AI2121" i="3"/>
  <c r="AG2127" i="3"/>
  <c r="M32" i="4"/>
  <c r="O32" i="4" s="1"/>
  <c r="M40" i="4"/>
  <c r="O40" i="4" s="1"/>
  <c r="M29" i="4"/>
  <c r="O29" i="4" s="1"/>
  <c r="M47" i="4"/>
  <c r="O47" i="4" s="1"/>
  <c r="O27" i="4"/>
  <c r="V27" i="4" s="1"/>
  <c r="X27" i="4" s="1"/>
  <c r="D173" i="4"/>
  <c r="D245" i="4" s="1"/>
  <c r="J228" i="4"/>
  <c r="P172" i="4"/>
  <c r="AK2118" i="3"/>
  <c r="AG2121" i="3"/>
  <c r="AK2122" i="3"/>
  <c r="AG2122" i="3"/>
  <c r="AI2122" i="3"/>
  <c r="AG2125" i="3"/>
  <c r="AI2125" i="3"/>
  <c r="AK2126" i="3"/>
  <c r="AG2126" i="3"/>
  <c r="AI2126" i="3"/>
  <c r="AK2127" i="3"/>
  <c r="AQ311" i="3"/>
  <c r="T182" i="4"/>
  <c r="V182" i="4" s="1"/>
  <c r="O56" i="4"/>
  <c r="F172" i="4"/>
  <c r="F183" i="4" s="1"/>
  <c r="AM2121" i="3"/>
  <c r="AM2122" i="3"/>
  <c r="AL129" i="3"/>
  <c r="F239" i="4"/>
  <c r="F242" i="4" s="1"/>
  <c r="O242" i="4" s="1"/>
  <c r="Q242" i="4" s="1"/>
  <c r="S547" i="4" s="1"/>
  <c r="AD862" i="3"/>
  <c r="AE840" i="3"/>
  <c r="AE859" i="3"/>
  <c r="AD852" i="3"/>
  <c r="AD839" i="3"/>
  <c r="AE847" i="3"/>
  <c r="AD858" i="3"/>
  <c r="AD886" i="3"/>
  <c r="AE876" i="3"/>
  <c r="AE843" i="3"/>
  <c r="AD865" i="3"/>
  <c r="AD866" i="3"/>
  <c r="AD874" i="3"/>
  <c r="AD856" i="3"/>
  <c r="AD880" i="3"/>
  <c r="AE861" i="3"/>
  <c r="AE864" i="3"/>
  <c r="AD868" i="3"/>
  <c r="AD850" i="3"/>
  <c r="AD876" i="3"/>
  <c r="AD846" i="3"/>
  <c r="AD873" i="3"/>
  <c r="AD845" i="3"/>
  <c r="AD859" i="3"/>
  <c r="AE866" i="3"/>
  <c r="AE877" i="3"/>
  <c r="AE845" i="3"/>
  <c r="AE879" i="3"/>
  <c r="AD863" i="3"/>
  <c r="AE878" i="3"/>
  <c r="AE871" i="3"/>
  <c r="AE886" i="3"/>
  <c r="AE848" i="3"/>
  <c r="AE841" i="3"/>
  <c r="AE855" i="3"/>
  <c r="AD842" i="3"/>
  <c r="AE882" i="3"/>
  <c r="AE885" i="3"/>
  <c r="AD841" i="3"/>
  <c r="AD848" i="3"/>
  <c r="AE856" i="3"/>
  <c r="AE850" i="3"/>
  <c r="AD872" i="3"/>
  <c r="AE887" i="3"/>
  <c r="AD864" i="3"/>
  <c r="AD878" i="3"/>
  <c r="AE851" i="3"/>
  <c r="AE849" i="3"/>
  <c r="AE881" i="3"/>
  <c r="AD881" i="3"/>
  <c r="AD879" i="3"/>
  <c r="AD871" i="3"/>
  <c r="AE883" i="3"/>
  <c r="AD844" i="3"/>
  <c r="AE870" i="3"/>
  <c r="AD861" i="3"/>
  <c r="AD883" i="3"/>
  <c r="AD857" i="3"/>
  <c r="AD870" i="3"/>
  <c r="AD875" i="3"/>
  <c r="AE872" i="3"/>
  <c r="AD885" i="3"/>
  <c r="AD877" i="3"/>
  <c r="AD867" i="3"/>
  <c r="AE880" i="3"/>
  <c r="AE857" i="3"/>
  <c r="AE860" i="3"/>
  <c r="AE838" i="3"/>
  <c r="AD843" i="3"/>
  <c r="AE873" i="3"/>
  <c r="AE874" i="3"/>
  <c r="AD869" i="3"/>
  <c r="AE869" i="3"/>
  <c r="AE844" i="3"/>
  <c r="AE862" i="3"/>
  <c r="AD838" i="3"/>
  <c r="AD860" i="3"/>
  <c r="AD847" i="3"/>
  <c r="AE868" i="3"/>
  <c r="AE867" i="3"/>
  <c r="AE884" i="3"/>
  <c r="AE854" i="3"/>
  <c r="AD840" i="3"/>
  <c r="AE875" i="3"/>
  <c r="AE839" i="3"/>
  <c r="AD887" i="3"/>
  <c r="AE846" i="3"/>
  <c r="AE853" i="3"/>
  <c r="AD849" i="3"/>
  <c r="AE842" i="3"/>
  <c r="AE852" i="3"/>
  <c r="AD853" i="3"/>
  <c r="AD851" i="3"/>
  <c r="AD855" i="3"/>
  <c r="AD882" i="3"/>
  <c r="AD884" i="3"/>
  <c r="AE858" i="3"/>
  <c r="AE865" i="3"/>
  <c r="AE863" i="3"/>
  <c r="O25" i="4"/>
  <c r="AO1109" i="3"/>
  <c r="AO2125" i="3"/>
  <c r="AM641" i="3"/>
  <c r="M51" i="4"/>
  <c r="O51" i="4" s="1"/>
  <c r="AP856" i="3"/>
  <c r="P16" i="4"/>
  <c r="V16" i="4" s="1"/>
  <c r="X16" i="4" s="1"/>
  <c r="M30" i="4"/>
  <c r="O30" i="4" s="1"/>
  <c r="V30" i="4" s="1"/>
  <c r="X30" i="4" s="1"/>
  <c r="M24" i="4"/>
  <c r="O24" i="4" s="1"/>
  <c r="V24" i="4" s="1"/>
  <c r="X24" i="4" s="1"/>
  <c r="M55" i="4"/>
  <c r="O55" i="4" s="1"/>
  <c r="V55" i="4" s="1"/>
  <c r="X55" i="4" s="1"/>
  <c r="M44" i="4"/>
  <c r="O44" i="4" s="1"/>
  <c r="M134" i="4"/>
  <c r="T134" i="4" s="1"/>
  <c r="M45" i="4"/>
  <c r="O45" i="4" s="1"/>
  <c r="W641" i="3"/>
  <c r="M133" i="4"/>
  <c r="T133" i="4" s="1"/>
  <c r="M48" i="4"/>
  <c r="O48" i="4" s="1"/>
  <c r="V48" i="4" s="1"/>
  <c r="X48" i="4" s="1"/>
  <c r="T139" i="4"/>
  <c r="AP2121" i="3"/>
  <c r="M38" i="4"/>
  <c r="O38" i="4" s="1"/>
  <c r="V38" i="4" s="1"/>
  <c r="X38" i="4" s="1"/>
  <c r="M43" i="4"/>
  <c r="O43" i="4" s="1"/>
  <c r="M54" i="4"/>
  <c r="O54" i="4" s="1"/>
  <c r="M57" i="4"/>
  <c r="O57" i="4" s="1"/>
  <c r="M100" i="4"/>
  <c r="O100" i="4" s="1"/>
  <c r="M119" i="4"/>
  <c r="O119" i="4" s="1"/>
  <c r="M36" i="4"/>
  <c r="O36" i="4" s="1"/>
  <c r="M132" i="4"/>
  <c r="H641" i="3"/>
  <c r="AM2118" i="3"/>
  <c r="AM2126" i="3"/>
  <c r="AM2127" i="3"/>
  <c r="G169" i="4"/>
  <c r="G170" i="4"/>
  <c r="F170" i="4"/>
  <c r="F169" i="4"/>
  <c r="L174" i="4"/>
  <c r="N169" i="4"/>
  <c r="T136" i="4"/>
  <c r="G181" i="4"/>
  <c r="G226" i="4" s="1"/>
  <c r="O31" i="4"/>
  <c r="N641" i="3"/>
  <c r="AH641" i="3"/>
  <c r="S641" i="3"/>
  <c r="AL227" i="3"/>
  <c r="AM2125" i="3"/>
  <c r="AL641" i="3"/>
  <c r="O50" i="4"/>
  <c r="O126" i="4"/>
  <c r="AP227" i="3"/>
  <c r="P15" i="4"/>
  <c r="V15" i="4" s="1"/>
  <c r="X15" i="4" s="1"/>
  <c r="G174" i="4"/>
  <c r="G225" i="4" s="1"/>
  <c r="J246" i="4"/>
  <c r="M22" i="4"/>
  <c r="O22" i="4" s="1"/>
  <c r="L169" i="4"/>
  <c r="K641" i="3"/>
  <c r="AA641" i="3"/>
  <c r="AI641" i="3"/>
  <c r="L641" i="3"/>
  <c r="T641" i="3"/>
  <c r="AB641" i="3"/>
  <c r="AJ641" i="3"/>
  <c r="M641" i="3"/>
  <c r="U641" i="3"/>
  <c r="AC641" i="3"/>
  <c r="F641" i="3"/>
  <c r="AD641" i="3"/>
  <c r="G641" i="3"/>
  <c r="O641" i="3"/>
  <c r="AE641" i="3"/>
  <c r="P641" i="3"/>
  <c r="X641" i="3"/>
  <c r="AF641" i="3"/>
  <c r="I641" i="3"/>
  <c r="J641" i="3"/>
  <c r="R641" i="3"/>
  <c r="Z641" i="3"/>
  <c r="AM129" i="3"/>
  <c r="T142" i="4"/>
  <c r="O127" i="4"/>
  <c r="I174" i="4"/>
  <c r="I225" i="4" s="1"/>
  <c r="P13" i="4"/>
  <c r="V13" i="4" s="1"/>
  <c r="X13" i="4" s="1"/>
  <c r="O49" i="4"/>
  <c r="S195" i="4"/>
  <c r="V195" i="4" s="1"/>
  <c r="AQ1109" i="3"/>
  <c r="AP2127" i="3"/>
  <c r="P14" i="4"/>
  <c r="V14" i="4" s="1"/>
  <c r="X14" i="4" s="1"/>
  <c r="AO2373" i="3"/>
  <c r="AQ227" i="3"/>
  <c r="O28" i="4"/>
  <c r="V28" i="4" s="1"/>
  <c r="X28" i="4" s="1"/>
  <c r="N172" i="4"/>
  <c r="N223" i="4" s="1"/>
  <c r="AO696" i="3"/>
  <c r="AH2121" i="3"/>
  <c r="AO311" i="3"/>
  <c r="K196" i="4"/>
  <c r="T196" i="4" s="1"/>
  <c r="V196" i="4" s="1"/>
  <c r="AQ1228" i="3"/>
  <c r="I175" i="4"/>
  <c r="O110" i="4"/>
  <c r="K169" i="4"/>
  <c r="K170" i="4"/>
  <c r="D224" i="4"/>
  <c r="T172" i="4"/>
  <c r="P199" i="4"/>
  <c r="L172" i="4"/>
  <c r="M33" i="4"/>
  <c r="I170" i="4"/>
  <c r="H228" i="4"/>
  <c r="AL1228" i="3"/>
  <c r="Y641" i="3"/>
  <c r="AP1109" i="3"/>
  <c r="O52" i="4"/>
  <c r="V52" i="4" s="1"/>
  <c r="X52" i="4" s="1"/>
  <c r="O143" i="4"/>
  <c r="V143" i="4" s="1"/>
  <c r="X143" i="4" s="1"/>
  <c r="AP129" i="3"/>
  <c r="AQ2118" i="3"/>
  <c r="AQ2126" i="3"/>
  <c r="O35" i="4"/>
  <c r="V35" i="4" s="1"/>
  <c r="X35" i="4" s="1"/>
  <c r="O109" i="4"/>
  <c r="V109" i="4" s="1"/>
  <c r="X109" i="4" s="1"/>
  <c r="O125" i="4"/>
  <c r="D175" i="4"/>
  <c r="AN311" i="3"/>
  <c r="AF2125" i="3"/>
  <c r="AF2126" i="3"/>
  <c r="AH2126" i="3"/>
  <c r="AJ2126" i="3"/>
  <c r="AF2127" i="3"/>
  <c r="AH2127" i="3"/>
  <c r="AJ2127" i="3"/>
  <c r="AQ2121" i="3"/>
  <c r="AQ2122" i="3"/>
  <c r="AP1228" i="3"/>
  <c r="AQ129" i="3"/>
  <c r="AL2118" i="3"/>
  <c r="AL2121" i="3"/>
  <c r="AL2122" i="3"/>
  <c r="AL2125" i="3"/>
  <c r="AL2126" i="3"/>
  <c r="AL2127" i="3"/>
  <c r="D181" i="4"/>
  <c r="D226" i="4" s="1"/>
  <c r="N175" i="4"/>
  <c r="AP311" i="3"/>
  <c r="H176" i="4"/>
  <c r="H227" i="4" s="1"/>
  <c r="O227" i="4" s="1"/>
  <c r="S152" i="4"/>
  <c r="H169" i="4"/>
  <c r="H170" i="4"/>
  <c r="H181" i="4"/>
  <c r="H226" i="4" s="1"/>
  <c r="H172" i="4"/>
  <c r="H174" i="4"/>
  <c r="H225" i="4" s="1"/>
  <c r="T135" i="4"/>
  <c r="P17" i="4"/>
  <c r="V17" i="4" s="1"/>
  <c r="X17" i="4" s="1"/>
  <c r="P18" i="4"/>
  <c r="V18" i="4" s="1"/>
  <c r="X18" i="4" s="1"/>
  <c r="O124" i="4"/>
  <c r="AH2125" i="3"/>
  <c r="G172" i="4"/>
  <c r="P19" i="4"/>
  <c r="Q641" i="3"/>
  <c r="AG641" i="3"/>
  <c r="T140" i="4"/>
  <c r="T137" i="4"/>
  <c r="G175" i="4"/>
  <c r="G246" i="4" s="1"/>
  <c r="O39" i="4"/>
  <c r="V641" i="3"/>
  <c r="I228" i="4"/>
  <c r="AJ2118" i="3"/>
  <c r="AJ2121" i="3"/>
  <c r="AF2121" i="3"/>
  <c r="AH2122" i="3"/>
  <c r="AJ2122" i="3"/>
  <c r="AF2122" i="3"/>
  <c r="AK2125" i="3"/>
  <c r="K200" i="4"/>
  <c r="AP2118" i="3"/>
  <c r="AP2125" i="3"/>
  <c r="AP2126" i="3"/>
  <c r="AJ2125" i="3"/>
  <c r="AQ2127" i="3"/>
  <c r="AN2118" i="3"/>
  <c r="AN2122" i="3"/>
  <c r="AN2125" i="3"/>
  <c r="AN2126" i="3"/>
  <c r="AN2127" i="3"/>
  <c r="E323" i="4" l="1"/>
  <c r="O323" i="4" s="1"/>
  <c r="O560" i="4" s="1"/>
  <c r="V118" i="4"/>
  <c r="X118" i="4" s="1"/>
  <c r="V46" i="4"/>
  <c r="X46" i="4" s="1"/>
  <c r="V47" i="4"/>
  <c r="X47" i="4" s="1"/>
  <c r="V29" i="4"/>
  <c r="X29" i="4" s="1"/>
  <c r="V32" i="4"/>
  <c r="X32" i="4" s="1"/>
  <c r="R497" i="4"/>
  <c r="Q573" i="4" s="1"/>
  <c r="E400" i="4"/>
  <c r="E358" i="4"/>
  <c r="E365" i="4"/>
  <c r="E383" i="4"/>
  <c r="E336" i="4"/>
  <c r="E386" i="4"/>
  <c r="V139" i="4"/>
  <c r="X139" i="4" s="1"/>
  <c r="E337" i="4"/>
  <c r="E329" i="4"/>
  <c r="E344" i="4"/>
  <c r="E341" i="4"/>
  <c r="E398" i="4"/>
  <c r="E342" i="4"/>
  <c r="E331" i="4"/>
  <c r="E338" i="4"/>
  <c r="E361" i="4"/>
  <c r="E332" i="4"/>
  <c r="E378" i="4"/>
  <c r="E382" i="4"/>
  <c r="V126" i="4"/>
  <c r="X126" i="4" s="1"/>
  <c r="V100" i="4"/>
  <c r="X100" i="4" s="1"/>
  <c r="E369" i="4"/>
  <c r="E372" i="4"/>
  <c r="E366" i="4"/>
  <c r="E348" i="4"/>
  <c r="E384" i="4"/>
  <c r="E385" i="4"/>
  <c r="V127" i="4"/>
  <c r="X127" i="4" s="1"/>
  <c r="E355" i="4"/>
  <c r="E370" i="4"/>
  <c r="E347" i="4"/>
  <c r="E392" i="4"/>
  <c r="E343" i="4"/>
  <c r="E377" i="4"/>
  <c r="E379" i="4"/>
  <c r="E391" i="4"/>
  <c r="E363" i="4"/>
  <c r="E362" i="4"/>
  <c r="E354" i="4"/>
  <c r="E367" i="4"/>
  <c r="E346" i="4"/>
  <c r="E345" i="4"/>
  <c r="E333" i="4"/>
  <c r="E330" i="4"/>
  <c r="E381" i="4"/>
  <c r="E368" i="4"/>
  <c r="F386" i="1"/>
  <c r="O386" i="1" s="1"/>
  <c r="E386" i="1"/>
  <c r="N386" i="1" s="1"/>
  <c r="C386" i="1"/>
  <c r="L386" i="1" s="1"/>
  <c r="B386" i="1"/>
  <c r="D201" i="4"/>
  <c r="F123" i="1"/>
  <c r="C484" i="1"/>
  <c r="F484" i="1"/>
  <c r="B484" i="1"/>
  <c r="K484" i="1" s="1"/>
  <c r="E484" i="1"/>
  <c r="N484" i="1" s="1"/>
  <c r="E421" i="4"/>
  <c r="O421" i="4" s="1"/>
  <c r="O565" i="4" s="1"/>
  <c r="V136" i="4"/>
  <c r="X136" i="4" s="1"/>
  <c r="V45" i="4"/>
  <c r="X45" i="4" s="1"/>
  <c r="V125" i="4"/>
  <c r="X125" i="4" s="1"/>
  <c r="V42" i="4"/>
  <c r="X42" i="4" s="1"/>
  <c r="V26" i="4"/>
  <c r="X26" i="4" s="1"/>
  <c r="V124" i="4"/>
  <c r="X124" i="4" s="1"/>
  <c r="V49" i="4"/>
  <c r="X49" i="4" s="1"/>
  <c r="V36" i="4"/>
  <c r="X36" i="4" s="1"/>
  <c r="E502" i="4"/>
  <c r="E503" i="4" s="1"/>
  <c r="E506" i="4" s="1"/>
  <c r="O506" i="4" s="1"/>
  <c r="V51" i="4"/>
  <c r="X51" i="4" s="1"/>
  <c r="V140" i="4"/>
  <c r="X140" i="4" s="1"/>
  <c r="V31" i="4"/>
  <c r="X31" i="4" s="1"/>
  <c r="R175" i="4"/>
  <c r="V57" i="4"/>
  <c r="X57" i="4" s="1"/>
  <c r="V53" i="4"/>
  <c r="X53" i="4" s="1"/>
  <c r="R189" i="4"/>
  <c r="R201" i="4" s="1"/>
  <c r="V34" i="4"/>
  <c r="X34" i="4" s="1"/>
  <c r="V142" i="4"/>
  <c r="V54" i="4"/>
  <c r="X54" i="4" s="1"/>
  <c r="V43" i="4"/>
  <c r="X43" i="4" s="1"/>
  <c r="V50" i="4"/>
  <c r="X50" i="4" s="1"/>
  <c r="V58" i="4"/>
  <c r="X58" i="4" s="1"/>
  <c r="V44" i="4"/>
  <c r="X44" i="4" s="1"/>
  <c r="V135" i="4"/>
  <c r="X135" i="4" s="1"/>
  <c r="V10" i="4"/>
  <c r="X10" i="4" s="1"/>
  <c r="V56" i="4"/>
  <c r="X56" i="4" s="1"/>
  <c r="V133" i="4"/>
  <c r="X133" i="4" s="1"/>
  <c r="V40" i="4"/>
  <c r="X40" i="4" s="1"/>
  <c r="V25" i="4"/>
  <c r="X25" i="4" s="1"/>
  <c r="V110" i="4"/>
  <c r="X110" i="4" s="1"/>
  <c r="O192" i="4"/>
  <c r="V192" i="4" s="1"/>
  <c r="U169" i="4"/>
  <c r="Q169" i="4"/>
  <c r="R173" i="4"/>
  <c r="R172" i="4"/>
  <c r="U174" i="4"/>
  <c r="U183" i="4" s="1"/>
  <c r="Q173" i="4"/>
  <c r="Q183" i="4" s="1"/>
  <c r="Q202" i="4" s="1"/>
  <c r="F472" i="4"/>
  <c r="Q472" i="4" s="1"/>
  <c r="T571" i="4" s="1"/>
  <c r="V138" i="4"/>
  <c r="X138" i="4" s="1"/>
  <c r="V41" i="4"/>
  <c r="X41" i="4" s="1"/>
  <c r="V22" i="4"/>
  <c r="X22" i="4" s="1"/>
  <c r="V134" i="4"/>
  <c r="X134" i="4" s="1"/>
  <c r="R169" i="4"/>
  <c r="E357" i="4"/>
  <c r="E374" i="4"/>
  <c r="S194" i="4"/>
  <c r="O193" i="4"/>
  <c r="V193" i="4" s="1"/>
  <c r="E472" i="4"/>
  <c r="P472" i="4" s="1"/>
  <c r="S571" i="4" s="1"/>
  <c r="E492" i="4"/>
  <c r="E493" i="4"/>
  <c r="Q596" i="4"/>
  <c r="Q571" i="4"/>
  <c r="R510" i="4"/>
  <c r="Y571" i="4"/>
  <c r="Z572" i="4"/>
  <c r="Y572" i="4"/>
  <c r="G468" i="4"/>
  <c r="S466" i="4" s="1"/>
  <c r="U571" i="4" s="1"/>
  <c r="H468" i="4"/>
  <c r="T466" i="4" s="1"/>
  <c r="V571" i="4" s="1"/>
  <c r="I468" i="4"/>
  <c r="U466" i="4" s="1"/>
  <c r="W571" i="4" s="1"/>
  <c r="X571" i="4"/>
  <c r="X572" i="4"/>
  <c r="AP689" i="3"/>
  <c r="AQ689" i="3" s="1"/>
  <c r="AP681" i="3"/>
  <c r="AQ681" i="3" s="1"/>
  <c r="AP673" i="3"/>
  <c r="AQ673" i="3" s="1"/>
  <c r="AP665" i="3"/>
  <c r="AQ665" i="3" s="1"/>
  <c r="AP657" i="3"/>
  <c r="AQ657" i="3" s="1"/>
  <c r="AP649" i="3"/>
  <c r="AQ649" i="3" s="1"/>
  <c r="AP663" i="3"/>
  <c r="AQ663" i="3" s="1"/>
  <c r="AP693" i="3"/>
  <c r="AQ693" i="3" s="1"/>
  <c r="AP653" i="3"/>
  <c r="AQ653" i="3" s="1"/>
  <c r="AP684" i="3"/>
  <c r="AQ684" i="3" s="1"/>
  <c r="AP660" i="3"/>
  <c r="AQ660" i="3" s="1"/>
  <c r="AP683" i="3"/>
  <c r="AQ683" i="3" s="1"/>
  <c r="AP659" i="3"/>
  <c r="AQ659" i="3" s="1"/>
  <c r="AP666" i="3"/>
  <c r="AQ666" i="3" s="1"/>
  <c r="AP688" i="3"/>
  <c r="AQ688" i="3" s="1"/>
  <c r="AP680" i="3"/>
  <c r="AQ680" i="3" s="1"/>
  <c r="AP672" i="3"/>
  <c r="AQ672" i="3" s="1"/>
  <c r="AP664" i="3"/>
  <c r="AQ664" i="3" s="1"/>
  <c r="AP656" i="3"/>
  <c r="AQ656" i="3" s="1"/>
  <c r="AP648" i="3"/>
  <c r="AQ648" i="3" s="1"/>
  <c r="AP671" i="3"/>
  <c r="AQ671" i="3" s="1"/>
  <c r="AP647" i="3"/>
  <c r="AQ647" i="3" s="1"/>
  <c r="AP677" i="3"/>
  <c r="AQ677" i="3" s="1"/>
  <c r="AP691" i="3"/>
  <c r="AQ691" i="3" s="1"/>
  <c r="AP674" i="3"/>
  <c r="AQ674" i="3" s="1"/>
  <c r="AP695" i="3"/>
  <c r="AQ695" i="3" s="1"/>
  <c r="AP687" i="3"/>
  <c r="AQ687" i="3" s="1"/>
  <c r="AP679" i="3"/>
  <c r="AQ679" i="3" s="1"/>
  <c r="AP655" i="3"/>
  <c r="AQ655" i="3" s="1"/>
  <c r="AP685" i="3"/>
  <c r="AQ685" i="3" s="1"/>
  <c r="AP661" i="3"/>
  <c r="AQ661" i="3" s="1"/>
  <c r="AP692" i="3"/>
  <c r="AQ692" i="3" s="1"/>
  <c r="AP668" i="3"/>
  <c r="AQ668" i="3" s="1"/>
  <c r="AP675" i="3"/>
  <c r="AQ675" i="3" s="1"/>
  <c r="AP682" i="3"/>
  <c r="AQ682" i="3" s="1"/>
  <c r="AP650" i="3"/>
  <c r="AQ650" i="3" s="1"/>
  <c r="AP694" i="3"/>
  <c r="AQ694" i="3" s="1"/>
  <c r="AP686" i="3"/>
  <c r="AQ686" i="3" s="1"/>
  <c r="AP678" i="3"/>
  <c r="AQ678" i="3" s="1"/>
  <c r="AP670" i="3"/>
  <c r="AQ670" i="3" s="1"/>
  <c r="AP662" i="3"/>
  <c r="AQ662" i="3" s="1"/>
  <c r="AP654" i="3"/>
  <c r="AQ654" i="3" s="1"/>
  <c r="AP646" i="3"/>
  <c r="AQ646" i="3" s="1"/>
  <c r="AP669" i="3"/>
  <c r="AQ669" i="3" s="1"/>
  <c r="AP676" i="3"/>
  <c r="AQ676" i="3" s="1"/>
  <c r="AP652" i="3"/>
  <c r="AQ652" i="3" s="1"/>
  <c r="AP667" i="3"/>
  <c r="AQ667" i="3" s="1"/>
  <c r="AP651" i="3"/>
  <c r="AQ651" i="3" s="1"/>
  <c r="AP690" i="3"/>
  <c r="AQ690" i="3" s="1"/>
  <c r="AP658" i="3"/>
  <c r="AQ658" i="3" s="1"/>
  <c r="AP741" i="3"/>
  <c r="AP733" i="3"/>
  <c r="AP725" i="3"/>
  <c r="AP717" i="3"/>
  <c r="AP709" i="3"/>
  <c r="AP701" i="3"/>
  <c r="AP705" i="3"/>
  <c r="AP735" i="3"/>
  <c r="AP726" i="3"/>
  <c r="AP740" i="3"/>
  <c r="AP732" i="3"/>
  <c r="AP724" i="3"/>
  <c r="AP716" i="3"/>
  <c r="AP708" i="3"/>
  <c r="AP700" i="3"/>
  <c r="AP721" i="3"/>
  <c r="AP711" i="3"/>
  <c r="AP702" i="3"/>
  <c r="AP747" i="3"/>
  <c r="AP739" i="3"/>
  <c r="AP731" i="3"/>
  <c r="AP723" i="3"/>
  <c r="AP715" i="3"/>
  <c r="AP707" i="3"/>
  <c r="AP699" i="3"/>
  <c r="AP729" i="3"/>
  <c r="AP746" i="3"/>
  <c r="AP738" i="3"/>
  <c r="AP730" i="3"/>
  <c r="AP722" i="3"/>
  <c r="AP714" i="3"/>
  <c r="AP706" i="3"/>
  <c r="AP698" i="3"/>
  <c r="AP745" i="3"/>
  <c r="AP713" i="3"/>
  <c r="AP743" i="3"/>
  <c r="AP703" i="3"/>
  <c r="AP742" i="3"/>
  <c r="AP710" i="3"/>
  <c r="AP737" i="3"/>
  <c r="AP719" i="3"/>
  <c r="AP718" i="3"/>
  <c r="AP744" i="3"/>
  <c r="AP736" i="3"/>
  <c r="AP728" i="3"/>
  <c r="AP720" i="3"/>
  <c r="AP712" i="3"/>
  <c r="AP704" i="3"/>
  <c r="AP727" i="3"/>
  <c r="AP734" i="3"/>
  <c r="N3" i="1"/>
  <c r="E3" i="1"/>
  <c r="E481" i="4"/>
  <c r="J481" i="4"/>
  <c r="I481" i="4"/>
  <c r="H481" i="4"/>
  <c r="T178" i="4"/>
  <c r="V178" i="4" s="1"/>
  <c r="K106" i="1"/>
  <c r="K348" i="1" s="1"/>
  <c r="E404" i="1"/>
  <c r="N404" i="1" s="1"/>
  <c r="F483" i="4"/>
  <c r="F487" i="4" s="1"/>
  <c r="G520" i="4"/>
  <c r="Q520" i="4" s="1"/>
  <c r="Q526" i="4" s="1"/>
  <c r="O596" i="4" s="1"/>
  <c r="E453" i="4"/>
  <c r="O453" i="4" s="1"/>
  <c r="O567" i="4" s="1"/>
  <c r="G483" i="4"/>
  <c r="F443" i="1"/>
  <c r="O443" i="1" s="1"/>
  <c r="O241" i="1"/>
  <c r="C528" i="1"/>
  <c r="L528" i="1" s="1"/>
  <c r="B434" i="1"/>
  <c r="K434" i="1" s="1"/>
  <c r="F119" i="1"/>
  <c r="O149" i="1"/>
  <c r="B420" i="1"/>
  <c r="K420" i="1" s="1"/>
  <c r="E612" i="1"/>
  <c r="N612" i="1" s="1"/>
  <c r="E398" i="1"/>
  <c r="N398" i="1" s="1"/>
  <c r="C405" i="1"/>
  <c r="F120" i="1"/>
  <c r="E71" i="1"/>
  <c r="B598" i="1"/>
  <c r="K598" i="1" s="1"/>
  <c r="B424" i="1"/>
  <c r="K424" i="1" s="1"/>
  <c r="B595" i="1"/>
  <c r="K595" i="1" s="1"/>
  <c r="C499" i="1"/>
  <c r="L499" i="1" s="1"/>
  <c r="N170" i="1"/>
  <c r="F234" i="1"/>
  <c r="E605" i="1"/>
  <c r="N605" i="1" s="1"/>
  <c r="K116" i="1"/>
  <c r="K351" i="1" s="1"/>
  <c r="B451" i="1"/>
  <c r="K451" i="1" s="1"/>
  <c r="K109" i="1"/>
  <c r="C591" i="1"/>
  <c r="L591" i="1" s="1"/>
  <c r="F605" i="1"/>
  <c r="O605" i="1" s="1"/>
  <c r="O35" i="1"/>
  <c r="C589" i="1"/>
  <c r="E116" i="1"/>
  <c r="E351" i="1" s="1"/>
  <c r="K120" i="1"/>
  <c r="C418" i="1"/>
  <c r="L418" i="1" s="1"/>
  <c r="B564" i="1"/>
  <c r="K564" i="1" s="1"/>
  <c r="C28" i="1"/>
  <c r="N72" i="1"/>
  <c r="C142" i="1"/>
  <c r="B419" i="1"/>
  <c r="K419" i="1" s="1"/>
  <c r="E435" i="1"/>
  <c r="N435" i="1" s="1"/>
  <c r="B391" i="1"/>
  <c r="K391" i="1" s="1"/>
  <c r="E416" i="1"/>
  <c r="N416" i="1" s="1"/>
  <c r="L241" i="1"/>
  <c r="E390" i="1"/>
  <c r="N390" i="1" s="1"/>
  <c r="C235" i="1"/>
  <c r="F516" i="1"/>
  <c r="N29" i="1"/>
  <c r="B664" i="1"/>
  <c r="C200" i="1"/>
  <c r="C433" i="1"/>
  <c r="L433" i="1" s="1"/>
  <c r="E565" i="1"/>
  <c r="N565" i="1" s="1"/>
  <c r="K122" i="1"/>
  <c r="K315" i="1" s="1"/>
  <c r="B602" i="1"/>
  <c r="K602" i="1" s="1"/>
  <c r="L200" i="1"/>
  <c r="F128" i="1"/>
  <c r="E561" i="1"/>
  <c r="N561" i="1" s="1"/>
  <c r="B521" i="1"/>
  <c r="K521" i="1" s="1"/>
  <c r="K249" i="1"/>
  <c r="F244" i="1"/>
  <c r="B70" i="1"/>
  <c r="B522" i="1"/>
  <c r="C390" i="1"/>
  <c r="L390" i="1" s="1"/>
  <c r="C440" i="1"/>
  <c r="L440" i="1" s="1"/>
  <c r="E394" i="1"/>
  <c r="C402" i="1"/>
  <c r="L402" i="1" s="1"/>
  <c r="B583" i="1"/>
  <c r="K583" i="1" s="1"/>
  <c r="E250" i="1"/>
  <c r="K159" i="1"/>
  <c r="E388" i="1"/>
  <c r="N388" i="1" s="1"/>
  <c r="F173" i="1"/>
  <c r="B670" i="1"/>
  <c r="O143" i="1"/>
  <c r="C531" i="1"/>
  <c r="L531" i="1" s="1"/>
  <c r="B596" i="1"/>
  <c r="K596" i="1" s="1"/>
  <c r="E441" i="1"/>
  <c r="N441" i="1" s="1"/>
  <c r="E572" i="1"/>
  <c r="B449" i="1"/>
  <c r="K449" i="1" s="1"/>
  <c r="B148" i="1"/>
  <c r="B418" i="1"/>
  <c r="E158" i="1"/>
  <c r="F426" i="1"/>
  <c r="O426" i="1" s="1"/>
  <c r="E172" i="1"/>
  <c r="F485" i="1"/>
  <c r="O485" i="1" s="1"/>
  <c r="E147" i="1"/>
  <c r="B247" i="1"/>
  <c r="F250" i="1"/>
  <c r="C66" i="1"/>
  <c r="O104" i="1"/>
  <c r="O346" i="1" s="1"/>
  <c r="E37" i="1"/>
  <c r="F430" i="1"/>
  <c r="O430" i="1" s="1"/>
  <c r="E606" i="1"/>
  <c r="N606" i="1" s="1"/>
  <c r="L125" i="1"/>
  <c r="B568" i="1"/>
  <c r="K568" i="1" s="1"/>
  <c r="B133" i="1"/>
  <c r="E593" i="1"/>
  <c r="N593" i="1" s="1"/>
  <c r="B154" i="1"/>
  <c r="C564" i="1"/>
  <c r="L564" i="1" s="1"/>
  <c r="K236" i="1"/>
  <c r="B399" i="1"/>
  <c r="K399" i="1" s="1"/>
  <c r="E591" i="1"/>
  <c r="N591" i="1" s="1"/>
  <c r="L121" i="1"/>
  <c r="E156" i="1"/>
  <c r="L151" i="1"/>
  <c r="C37" i="1"/>
  <c r="N161" i="1"/>
  <c r="E103" i="1"/>
  <c r="E312" i="1" s="1"/>
  <c r="B503" i="1"/>
  <c r="K503" i="1" s="1"/>
  <c r="K141" i="1"/>
  <c r="F610" i="1"/>
  <c r="O610" i="1" s="1"/>
  <c r="C31" i="1"/>
  <c r="F404" i="1"/>
  <c r="O404" i="1" s="1"/>
  <c r="B142" i="1"/>
  <c r="O64" i="1"/>
  <c r="L115" i="1"/>
  <c r="L350" i="1" s="1"/>
  <c r="N34" i="1"/>
  <c r="B667" i="1"/>
  <c r="O135" i="1"/>
  <c r="E130" i="1"/>
  <c r="B570" i="1"/>
  <c r="K570" i="1" s="1"/>
  <c r="C576" i="1"/>
  <c r="L576" i="1" s="1"/>
  <c r="B597" i="1"/>
  <c r="K597" i="1" s="1"/>
  <c r="N35" i="1"/>
  <c r="F658" i="1"/>
  <c r="F624" i="1"/>
  <c r="O624" i="1" s="1"/>
  <c r="B176" i="1"/>
  <c r="O120" i="1"/>
  <c r="F533" i="1"/>
  <c r="O533" i="1" s="1"/>
  <c r="C665" i="1"/>
  <c r="B502" i="1"/>
  <c r="K502" i="1" s="1"/>
  <c r="C489" i="1"/>
  <c r="L489" i="1" s="1"/>
  <c r="L114" i="1"/>
  <c r="E107" i="1"/>
  <c r="F113" i="1"/>
  <c r="B497" i="1"/>
  <c r="K497" i="1" s="1"/>
  <c r="B165" i="1"/>
  <c r="C243" i="1"/>
  <c r="K148" i="1"/>
  <c r="E164" i="1"/>
  <c r="C519" i="1"/>
  <c r="L519" i="1" s="1"/>
  <c r="N237" i="1"/>
  <c r="K171" i="1"/>
  <c r="C561" i="1"/>
  <c r="F409" i="1"/>
  <c r="O409" i="1" s="1"/>
  <c r="B124" i="1"/>
  <c r="C426" i="1"/>
  <c r="L426" i="1" s="1"/>
  <c r="B660" i="1"/>
  <c r="K70" i="1"/>
  <c r="B388" i="1"/>
  <c r="K388" i="1" s="1"/>
  <c r="E528" i="1"/>
  <c r="E564" i="1"/>
  <c r="N564" i="1" s="1"/>
  <c r="E423" i="1"/>
  <c r="N423" i="1" s="1"/>
  <c r="F561" i="1"/>
  <c r="O561" i="1" s="1"/>
  <c r="F236" i="1"/>
  <c r="N240" i="1"/>
  <c r="F602" i="1"/>
  <c r="N113" i="1"/>
  <c r="B108" i="1"/>
  <c r="C441" i="1"/>
  <c r="L441" i="1" s="1"/>
  <c r="F417" i="1"/>
  <c r="O417" i="1" s="1"/>
  <c r="C511" i="1"/>
  <c r="L511" i="1" s="1"/>
  <c r="C438" i="1"/>
  <c r="L438" i="1" s="1"/>
  <c r="L236" i="1"/>
  <c r="F384" i="1"/>
  <c r="O384" i="1" s="1"/>
  <c r="E383" i="1"/>
  <c r="N383" i="1" s="1"/>
  <c r="B573" i="1"/>
  <c r="K127" i="1"/>
  <c r="K316" i="1" s="1"/>
  <c r="E31" i="1"/>
  <c r="L118" i="1"/>
  <c r="L353" i="1" s="1"/>
  <c r="C155" i="1"/>
  <c r="N32" i="1"/>
  <c r="E178" i="1"/>
  <c r="B499" i="1"/>
  <c r="K499" i="1" s="1"/>
  <c r="F620" i="1"/>
  <c r="C571" i="1"/>
  <c r="L69" i="1"/>
  <c r="F135" i="1"/>
  <c r="F147" i="1"/>
  <c r="E660" i="1"/>
  <c r="L161" i="1"/>
  <c r="L176" i="1"/>
  <c r="B410" i="1"/>
  <c r="K410" i="1" s="1"/>
  <c r="B612" i="1"/>
  <c r="E573" i="1"/>
  <c r="N573" i="1" s="1"/>
  <c r="B126" i="1"/>
  <c r="F150" i="1"/>
  <c r="B387" i="1"/>
  <c r="K387" i="1" s="1"/>
  <c r="N179" i="1"/>
  <c r="N69" i="1"/>
  <c r="C132" i="1"/>
  <c r="F235" i="1"/>
  <c r="B109" i="1"/>
  <c r="E513" i="1"/>
  <c r="N513" i="1" s="1"/>
  <c r="K386" i="1"/>
  <c r="F429" i="1"/>
  <c r="O429" i="1" s="1"/>
  <c r="F581" i="1"/>
  <c r="O581" i="1" s="1"/>
  <c r="C480" i="1"/>
  <c r="L480" i="1" s="1"/>
  <c r="L159" i="1"/>
  <c r="F403" i="1"/>
  <c r="O403" i="1" s="1"/>
  <c r="F34" i="1"/>
  <c r="L238" i="1"/>
  <c r="E592" i="1"/>
  <c r="N592" i="1" s="1"/>
  <c r="F419" i="1"/>
  <c r="O419" i="1" s="1"/>
  <c r="C140" i="1"/>
  <c r="O127" i="1"/>
  <c r="O316" i="1" s="1"/>
  <c r="B125" i="1"/>
  <c r="B111" i="1"/>
  <c r="L31" i="1"/>
  <c r="F180" i="1"/>
  <c r="E581" i="1"/>
  <c r="N581" i="1" s="1"/>
  <c r="C234" i="1"/>
  <c r="F33" i="1"/>
  <c r="F109" i="1"/>
  <c r="C68" i="1"/>
  <c r="L105" i="1"/>
  <c r="C654" i="1"/>
  <c r="C655" i="1" s="1"/>
  <c r="L175" i="1"/>
  <c r="L178" i="1"/>
  <c r="L33" i="1"/>
  <c r="F238" i="1"/>
  <c r="C122" i="1"/>
  <c r="C315" i="1" s="1"/>
  <c r="B628" i="1"/>
  <c r="K628" i="1" s="1"/>
  <c r="F126" i="1"/>
  <c r="E242" i="1"/>
  <c r="E162" i="1"/>
  <c r="E512" i="1"/>
  <c r="N512" i="1" s="1"/>
  <c r="F35" i="1"/>
  <c r="F626" i="1"/>
  <c r="O626" i="1" s="1"/>
  <c r="N166" i="1"/>
  <c r="C111" i="1"/>
  <c r="B516" i="1"/>
  <c r="K516" i="1" s="1"/>
  <c r="E583" i="1"/>
  <c r="N583" i="1" s="1"/>
  <c r="F448" i="1"/>
  <c r="O448" i="1" s="1"/>
  <c r="F136" i="1"/>
  <c r="F318" i="1" s="1"/>
  <c r="C238" i="1"/>
  <c r="C410" i="1"/>
  <c r="L410" i="1" s="1"/>
  <c r="O154" i="1"/>
  <c r="K161" i="1"/>
  <c r="C63" i="1"/>
  <c r="F170" i="1"/>
  <c r="E487" i="1"/>
  <c r="N487" i="1" s="1"/>
  <c r="B153" i="1"/>
  <c r="F414" i="1"/>
  <c r="O414" i="1" s="1"/>
  <c r="B490" i="1"/>
  <c r="K490" i="1" s="1"/>
  <c r="E452" i="1"/>
  <c r="N452" i="1" s="1"/>
  <c r="B563" i="1"/>
  <c r="K563" i="1" s="1"/>
  <c r="O248" i="1"/>
  <c r="N101" i="1"/>
  <c r="N310" i="1" s="1"/>
  <c r="B529" i="1"/>
  <c r="K529" i="1" s="1"/>
  <c r="C506" i="1"/>
  <c r="L506" i="1" s="1"/>
  <c r="E140" i="1"/>
  <c r="B504" i="1"/>
  <c r="K504" i="1" s="1"/>
  <c r="E518" i="1"/>
  <c r="C401" i="1"/>
  <c r="L401" i="1" s="1"/>
  <c r="E100" i="1"/>
  <c r="E309" i="1" s="1"/>
  <c r="O28" i="1"/>
  <c r="O114" i="1"/>
  <c r="B435" i="1"/>
  <c r="B412" i="1"/>
  <c r="K412" i="1" s="1"/>
  <c r="O122" i="1"/>
  <c r="O315" i="1" s="1"/>
  <c r="N115" i="1"/>
  <c r="N350" i="1" s="1"/>
  <c r="C173" i="1"/>
  <c r="F571" i="1"/>
  <c r="L36" i="1"/>
  <c r="L137" i="1"/>
  <c r="L354" i="1" s="1"/>
  <c r="C147" i="1"/>
  <c r="C523" i="1"/>
  <c r="L523" i="1" s="1"/>
  <c r="N111" i="1"/>
  <c r="F118" i="1"/>
  <c r="F353" i="1" s="1"/>
  <c r="F606" i="1"/>
  <c r="O606" i="1" s="1"/>
  <c r="E113" i="1"/>
  <c r="F451" i="1"/>
  <c r="O451" i="1" s="1"/>
  <c r="C104" i="1"/>
  <c r="C346" i="1" s="1"/>
  <c r="N127" i="1"/>
  <c r="N316" i="1" s="1"/>
  <c r="F454" i="1"/>
  <c r="O454" i="1" s="1"/>
  <c r="F143" i="1"/>
  <c r="C240" i="1"/>
  <c r="F666" i="1"/>
  <c r="E439" i="1"/>
  <c r="B103" i="1"/>
  <c r="B345" i="1" s="1"/>
  <c r="E492" i="1"/>
  <c r="N492" i="1" s="1"/>
  <c r="N248" i="1"/>
  <c r="C161" i="1"/>
  <c r="B119" i="1"/>
  <c r="F72" i="1"/>
  <c r="C398" i="1"/>
  <c r="L398" i="1" s="1"/>
  <c r="F566" i="1"/>
  <c r="O566" i="1" s="1"/>
  <c r="O137" i="1"/>
  <c r="O354" i="1" s="1"/>
  <c r="F390" i="1"/>
  <c r="O390" i="1" s="1"/>
  <c r="E124" i="1"/>
  <c r="C242" i="1"/>
  <c r="C250" i="1"/>
  <c r="E70" i="1"/>
  <c r="E493" i="1"/>
  <c r="E506" i="1"/>
  <c r="N506" i="1" s="1"/>
  <c r="E165" i="1"/>
  <c r="E413" i="1"/>
  <c r="N413" i="1" s="1"/>
  <c r="E125" i="1"/>
  <c r="B661" i="1"/>
  <c r="F569" i="1"/>
  <c r="O569" i="1" s="1"/>
  <c r="E136" i="1"/>
  <c r="N28" i="1"/>
  <c r="C105" i="1"/>
  <c r="C347" i="1" s="1"/>
  <c r="C574" i="1"/>
  <c r="L574" i="1" s="1"/>
  <c r="L142" i="1"/>
  <c r="C496" i="1"/>
  <c r="L496" i="1" s="1"/>
  <c r="L140" i="1"/>
  <c r="F395" i="1"/>
  <c r="O395" i="1" s="1"/>
  <c r="L109" i="1"/>
  <c r="B575" i="1"/>
  <c r="K575" i="1" s="1"/>
  <c r="C533" i="1"/>
  <c r="C131" i="1"/>
  <c r="C317" i="1" s="1"/>
  <c r="C449" i="1"/>
  <c r="L449" i="1" s="1"/>
  <c r="F122" i="1"/>
  <c r="F315" i="1" s="1"/>
  <c r="K247" i="1"/>
  <c r="C497" i="1"/>
  <c r="L497" i="1" s="1"/>
  <c r="E110" i="1"/>
  <c r="E314" i="1" s="1"/>
  <c r="B452" i="1"/>
  <c r="K452" i="1" s="1"/>
  <c r="F163" i="1"/>
  <c r="B445" i="1"/>
  <c r="K445" i="1" s="1"/>
  <c r="B100" i="1"/>
  <c r="B309" i="1" s="1"/>
  <c r="N172" i="1"/>
  <c r="C409" i="1"/>
  <c r="L409" i="1" s="1"/>
  <c r="O158" i="1"/>
  <c r="L135" i="1"/>
  <c r="B432" i="1"/>
  <c r="K432" i="1" s="1"/>
  <c r="N131" i="1"/>
  <c r="N317" i="1" s="1"/>
  <c r="C592" i="1"/>
  <c r="L592" i="1" s="1"/>
  <c r="F587" i="1"/>
  <c r="O587" i="1" s="1"/>
  <c r="C114" i="1"/>
  <c r="L141" i="1"/>
  <c r="E65" i="1"/>
  <c r="F158" i="1"/>
  <c r="C429" i="1"/>
  <c r="L429" i="1" s="1"/>
  <c r="E252" i="1"/>
  <c r="E445" i="1"/>
  <c r="N445" i="1" s="1"/>
  <c r="E522" i="1"/>
  <c r="N522" i="1" s="1"/>
  <c r="C609" i="1"/>
  <c r="L609" i="1" s="1"/>
  <c r="N147" i="1"/>
  <c r="C241" i="1"/>
  <c r="L155" i="1"/>
  <c r="E417" i="1"/>
  <c r="E507" i="1"/>
  <c r="O101" i="1"/>
  <c r="O310" i="1" s="1"/>
  <c r="E517" i="1"/>
  <c r="N517" i="1" s="1"/>
  <c r="F599" i="1"/>
  <c r="O599" i="1" s="1"/>
  <c r="E611" i="1"/>
  <c r="N611" i="1" s="1"/>
  <c r="E504" i="1"/>
  <c r="N504" i="1" s="1"/>
  <c r="B572" i="1"/>
  <c r="B618" i="1"/>
  <c r="K618" i="1" s="1"/>
  <c r="B495" i="1"/>
  <c r="F591" i="1"/>
  <c r="O591" i="1" s="1"/>
  <c r="C590" i="1"/>
  <c r="L590" i="1" s="1"/>
  <c r="N103" i="1"/>
  <c r="N312" i="1" s="1"/>
  <c r="F174" i="1"/>
  <c r="B409" i="1"/>
  <c r="K409" i="1" s="1"/>
  <c r="K118" i="1"/>
  <c r="K178" i="1"/>
  <c r="C248" i="1"/>
  <c r="B401" i="1"/>
  <c r="K401" i="1" s="1"/>
  <c r="E117" i="1"/>
  <c r="E352" i="1" s="1"/>
  <c r="L164" i="1"/>
  <c r="B63" i="1"/>
  <c r="E610" i="1"/>
  <c r="N610" i="1" s="1"/>
  <c r="E608" i="1"/>
  <c r="N608" i="1" s="1"/>
  <c r="C152" i="1"/>
  <c r="N247" i="1"/>
  <c r="E133" i="1"/>
  <c r="F518" i="1"/>
  <c r="O518" i="1" s="1"/>
  <c r="F400" i="1"/>
  <c r="O400" i="1" s="1"/>
  <c r="C569" i="1"/>
  <c r="L569" i="1" s="1"/>
  <c r="L28" i="1"/>
  <c r="K149" i="1"/>
  <c r="E626" i="1"/>
  <c r="E500" i="1"/>
  <c r="E577" i="1"/>
  <c r="N577" i="1" s="1"/>
  <c r="N105" i="1"/>
  <c r="N347" i="1" s="1"/>
  <c r="B519" i="1"/>
  <c r="K519" i="1" s="1"/>
  <c r="E141" i="1"/>
  <c r="B241" i="1"/>
  <c r="N124" i="1"/>
  <c r="B138" i="1"/>
  <c r="B355" i="1" s="1"/>
  <c r="K31" i="1"/>
  <c r="M31" i="1" s="1"/>
  <c r="B390" i="1"/>
  <c r="K390" i="1" s="1"/>
  <c r="F622" i="1"/>
  <c r="O622" i="1" s="1"/>
  <c r="F570" i="1"/>
  <c r="O570" i="1" s="1"/>
  <c r="C658" i="1"/>
  <c r="E489" i="1"/>
  <c r="N489" i="1" s="1"/>
  <c r="B131" i="1"/>
  <c r="B317" i="1" s="1"/>
  <c r="C119" i="1"/>
  <c r="B665" i="1"/>
  <c r="D665" i="1" s="1"/>
  <c r="B604" i="1"/>
  <c r="K604" i="1" s="1"/>
  <c r="K112" i="1"/>
  <c r="C166" i="1"/>
  <c r="O29" i="1"/>
  <c r="C145" i="1"/>
  <c r="E661" i="1"/>
  <c r="B157" i="1"/>
  <c r="F663" i="1"/>
  <c r="F105" i="1"/>
  <c r="F347" i="1" s="1"/>
  <c r="C149" i="1"/>
  <c r="F129" i="1"/>
  <c r="F156" i="1"/>
  <c r="N119" i="1"/>
  <c r="C393" i="1"/>
  <c r="L393" i="1" s="1"/>
  <c r="N174" i="1"/>
  <c r="B507" i="1"/>
  <c r="K507" i="1" s="1"/>
  <c r="F490" i="1"/>
  <c r="O490" i="1" s="1"/>
  <c r="C383" i="1"/>
  <c r="L383" i="1" s="1"/>
  <c r="F124" i="1"/>
  <c r="C138" i="1"/>
  <c r="C355" i="1" s="1"/>
  <c r="O164" i="1"/>
  <c r="L148" i="1"/>
  <c r="E127" i="1"/>
  <c r="F662" i="1"/>
  <c r="C432" i="1"/>
  <c r="L432" i="1" s="1"/>
  <c r="B128" i="1"/>
  <c r="C236" i="1"/>
  <c r="B101" i="1"/>
  <c r="B310" i="1" s="1"/>
  <c r="F520" i="1"/>
  <c r="O520" i="1" s="1"/>
  <c r="C430" i="1"/>
  <c r="L430" i="1" s="1"/>
  <c r="E485" i="1"/>
  <c r="E602" i="1"/>
  <c r="N602" i="1" s="1"/>
  <c r="O133" i="1"/>
  <c r="O179" i="1"/>
  <c r="C427" i="1"/>
  <c r="L427" i="1" s="1"/>
  <c r="B621" i="1"/>
  <c r="K621" i="1" s="1"/>
  <c r="O103" i="1"/>
  <c r="O312" i="1" s="1"/>
  <c r="O124" i="1"/>
  <c r="B118" i="1"/>
  <c r="B353" i="1" s="1"/>
  <c r="F568" i="1"/>
  <c r="C135" i="1"/>
  <c r="F589" i="1"/>
  <c r="O589" i="1" s="1"/>
  <c r="B491" i="1"/>
  <c r="K491" i="1" s="1"/>
  <c r="F159" i="1"/>
  <c r="O151" i="1"/>
  <c r="E531" i="1"/>
  <c r="N531" i="1" s="1"/>
  <c r="C488" i="1"/>
  <c r="L488" i="1" s="1"/>
  <c r="B237" i="1"/>
  <c r="F406" i="1"/>
  <c r="O406" i="1" s="1"/>
  <c r="N137" i="1"/>
  <c r="C597" i="1"/>
  <c r="E387" i="1"/>
  <c r="N387" i="1" s="1"/>
  <c r="E588" i="1"/>
  <c r="N588" i="1" s="1"/>
  <c r="F415" i="1"/>
  <c r="E526" i="1"/>
  <c r="N526" i="1" s="1"/>
  <c r="C663" i="1"/>
  <c r="B389" i="1"/>
  <c r="K389" i="1" s="1"/>
  <c r="F603" i="1"/>
  <c r="O603" i="1" s="1"/>
  <c r="L103" i="1"/>
  <c r="L312" i="1" s="1"/>
  <c r="F71" i="1"/>
  <c r="O63" i="1"/>
  <c r="C33" i="1"/>
  <c r="N246" i="1"/>
  <c r="C130" i="1"/>
  <c r="C494" i="1"/>
  <c r="L494" i="1" s="1"/>
  <c r="E490" i="1"/>
  <c r="N490" i="1" s="1"/>
  <c r="F405" i="1"/>
  <c r="O405" i="1" s="1"/>
  <c r="N178" i="1"/>
  <c r="L120" i="1"/>
  <c r="L122" i="1"/>
  <c r="L315" i="1" s="1"/>
  <c r="K138" i="1"/>
  <c r="K355" i="1" s="1"/>
  <c r="F392" i="1"/>
  <c r="O392" i="1" s="1"/>
  <c r="B603" i="1"/>
  <c r="K603" i="1" s="1"/>
  <c r="F444" i="1"/>
  <c r="O444" i="1" s="1"/>
  <c r="C137" i="1"/>
  <c r="C354" i="1" s="1"/>
  <c r="K150" i="1"/>
  <c r="F246" i="1"/>
  <c r="B453" i="1"/>
  <c r="K453" i="1" s="1"/>
  <c r="B427" i="1"/>
  <c r="K166" i="1"/>
  <c r="B251" i="1"/>
  <c r="L102" i="1"/>
  <c r="L311" i="1" s="1"/>
  <c r="B486" i="1"/>
  <c r="K486" i="1" s="1"/>
  <c r="E244" i="1"/>
  <c r="E569" i="1"/>
  <c r="N569" i="1" s="1"/>
  <c r="P569" i="1" s="1"/>
  <c r="C513" i="1"/>
  <c r="K243" i="1"/>
  <c r="E243" i="1"/>
  <c r="B28" i="1"/>
  <c r="B505" i="1"/>
  <c r="K505" i="1" s="1"/>
  <c r="E180" i="1"/>
  <c r="O107" i="1"/>
  <c r="B236" i="1"/>
  <c r="C453" i="1"/>
  <c r="L453" i="1" s="1"/>
  <c r="C29" i="1"/>
  <c r="B488" i="1"/>
  <c r="K488" i="1" s="1"/>
  <c r="C610" i="1"/>
  <c r="L610" i="1" s="1"/>
  <c r="L143" i="1"/>
  <c r="C656" i="1"/>
  <c r="K71" i="1"/>
  <c r="L136" i="1"/>
  <c r="L318" i="1" s="1"/>
  <c r="O102" i="1"/>
  <c r="O311" i="1" s="1"/>
  <c r="F153" i="1"/>
  <c r="N173" i="1"/>
  <c r="C179" i="1"/>
  <c r="F157" i="1"/>
  <c r="B506" i="1"/>
  <c r="K506" i="1" s="1"/>
  <c r="M506" i="1" s="1"/>
  <c r="F592" i="1"/>
  <c r="O592" i="1" s="1"/>
  <c r="C170" i="1"/>
  <c r="C623" i="1"/>
  <c r="L623" i="1" s="1"/>
  <c r="L162" i="1"/>
  <c r="N104" i="1"/>
  <c r="N346" i="1" s="1"/>
  <c r="F501" i="1"/>
  <c r="O501" i="1" s="1"/>
  <c r="F117" i="1"/>
  <c r="F352" i="1" s="1"/>
  <c r="N236" i="1"/>
  <c r="O148" i="1"/>
  <c r="L165" i="1"/>
  <c r="C517" i="1"/>
  <c r="B440" i="1"/>
  <c r="C34" i="1"/>
  <c r="B158" i="1"/>
  <c r="K113" i="1"/>
  <c r="E562" i="1"/>
  <c r="N562" i="1" s="1"/>
  <c r="E534" i="1"/>
  <c r="N534" i="1" s="1"/>
  <c r="N162" i="1"/>
  <c r="N102" i="1"/>
  <c r="F436" i="1"/>
  <c r="F166" i="1"/>
  <c r="F621" i="1"/>
  <c r="O621" i="1" s="1"/>
  <c r="E580" i="1"/>
  <c r="N580" i="1" s="1"/>
  <c r="B500" i="1"/>
  <c r="K500" i="1" s="1"/>
  <c r="F496" i="1"/>
  <c r="O496" i="1" s="1"/>
  <c r="L127" i="1"/>
  <c r="L316" i="1" s="1"/>
  <c r="B252" i="1"/>
  <c r="F614" i="1"/>
  <c r="O614" i="1" s="1"/>
  <c r="B117" i="1"/>
  <c r="B352" i="1" s="1"/>
  <c r="F578" i="1"/>
  <c r="O578" i="1" s="1"/>
  <c r="B170" i="1"/>
  <c r="F450" i="1"/>
  <c r="O450" i="1" s="1"/>
  <c r="B569" i="1"/>
  <c r="K569" i="1" s="1"/>
  <c r="M569" i="1" s="1"/>
  <c r="C582" i="1"/>
  <c r="L582" i="1" s="1"/>
  <c r="L170" i="1"/>
  <c r="O155" i="1"/>
  <c r="B405" i="1"/>
  <c r="K405" i="1" s="1"/>
  <c r="N36" i="1"/>
  <c r="B248" i="1"/>
  <c r="N116" i="1"/>
  <c r="N351" i="1" s="1"/>
  <c r="O157" i="1"/>
  <c r="K175" i="1"/>
  <c r="B606" i="1"/>
  <c r="N128" i="1"/>
  <c r="B511" i="1"/>
  <c r="K511" i="1" s="1"/>
  <c r="K156" i="1"/>
  <c r="N37" i="1"/>
  <c r="O162" i="1"/>
  <c r="O129" i="1"/>
  <c r="C570" i="1"/>
  <c r="L570" i="1" s="1"/>
  <c r="E142" i="1"/>
  <c r="E163" i="1"/>
  <c r="L113" i="1"/>
  <c r="B129" i="1"/>
  <c r="E597" i="1"/>
  <c r="N597" i="1" s="1"/>
  <c r="B242" i="1"/>
  <c r="F530" i="1"/>
  <c r="O530" i="1" s="1"/>
  <c r="B384" i="1"/>
  <c r="K384" i="1" s="1"/>
  <c r="K132" i="1"/>
  <c r="C65" i="1"/>
  <c r="B617" i="1"/>
  <c r="K617" i="1" s="1"/>
  <c r="C153" i="1"/>
  <c r="N154" i="1"/>
  <c r="B69" i="1"/>
  <c r="K66" i="1"/>
  <c r="F564" i="1"/>
  <c r="O564" i="1" s="1"/>
  <c r="C583" i="1"/>
  <c r="L583" i="1" s="1"/>
  <c r="F252" i="1"/>
  <c r="F237" i="1"/>
  <c r="B152" i="1"/>
  <c r="E111" i="1"/>
  <c r="C394" i="1"/>
  <c r="L394" i="1" s="1"/>
  <c r="E665" i="1"/>
  <c r="K176" i="1"/>
  <c r="M176" i="1" s="1"/>
  <c r="F155" i="1"/>
  <c r="F563" i="1"/>
  <c r="O563" i="1" s="1"/>
  <c r="F482" i="1"/>
  <c r="O482" i="1" s="1"/>
  <c r="F665" i="1"/>
  <c r="L243" i="1"/>
  <c r="E594" i="1"/>
  <c r="N594" i="1" s="1"/>
  <c r="C615" i="1"/>
  <c r="L615" i="1" s="1"/>
  <c r="F424" i="1"/>
  <c r="O424" i="1" s="1"/>
  <c r="E179" i="1"/>
  <c r="F507" i="1"/>
  <c r="O507" i="1" s="1"/>
  <c r="E246" i="1"/>
  <c r="C121" i="1"/>
  <c r="E568" i="1"/>
  <c r="N568" i="1" s="1"/>
  <c r="K137" i="1"/>
  <c r="K354" i="1" s="1"/>
  <c r="B175" i="1"/>
  <c r="F416" i="1"/>
  <c r="O416" i="1" s="1"/>
  <c r="B178" i="1"/>
  <c r="F31" i="1"/>
  <c r="F604" i="1"/>
  <c r="O604" i="1" s="1"/>
  <c r="F519" i="1"/>
  <c r="O519" i="1" s="1"/>
  <c r="C71" i="1"/>
  <c r="B35" i="1"/>
  <c r="L154" i="1"/>
  <c r="E132" i="1"/>
  <c r="E236" i="1"/>
  <c r="F574" i="1"/>
  <c r="O574" i="1" s="1"/>
  <c r="C419" i="1"/>
  <c r="L419" i="1" s="1"/>
  <c r="N107" i="1"/>
  <c r="K136" i="1"/>
  <c r="K318" i="1" s="1"/>
  <c r="E429" i="1"/>
  <c r="G429" i="1" s="1"/>
  <c r="F387" i="1"/>
  <c r="O387" i="1" s="1"/>
  <c r="B147" i="1"/>
  <c r="B663" i="1"/>
  <c r="E575" i="1"/>
  <c r="N575" i="1" s="1"/>
  <c r="L171" i="1"/>
  <c r="F427" i="1"/>
  <c r="O427" i="1" s="1"/>
  <c r="K240" i="1"/>
  <c r="C404" i="1"/>
  <c r="L404" i="1" s="1"/>
  <c r="C514" i="1"/>
  <c r="L514" i="1" s="1"/>
  <c r="E419" i="1"/>
  <c r="N419" i="1" s="1"/>
  <c r="F503" i="1"/>
  <c r="O503" i="1" s="1"/>
  <c r="N165" i="1"/>
  <c r="E66" i="1"/>
  <c r="B610" i="1"/>
  <c r="K610" i="1" s="1"/>
  <c r="M610" i="1" s="1"/>
  <c r="K28" i="1"/>
  <c r="C512" i="1"/>
  <c r="L512" i="1" s="1"/>
  <c r="B526" i="1"/>
  <c r="F130" i="1"/>
  <c r="B439" i="1"/>
  <c r="K439" i="1" s="1"/>
  <c r="L100" i="1"/>
  <c r="L309" i="1" s="1"/>
  <c r="E401" i="1"/>
  <c r="B443" i="1"/>
  <c r="K443" i="1" s="1"/>
  <c r="B429" i="1"/>
  <c r="K429" i="1" s="1"/>
  <c r="E448" i="1"/>
  <c r="E412" i="1"/>
  <c r="B441" i="1"/>
  <c r="K441" i="1" s="1"/>
  <c r="B385" i="1"/>
  <c r="K385" i="1" s="1"/>
  <c r="E408" i="1"/>
  <c r="N408" i="1" s="1"/>
  <c r="E145" i="1"/>
  <c r="F240" i="1"/>
  <c r="B613" i="1"/>
  <c r="K613" i="1" s="1"/>
  <c r="C174" i="1"/>
  <c r="K200" i="1"/>
  <c r="B530" i="1"/>
  <c r="E603" i="1"/>
  <c r="N603" i="1" s="1"/>
  <c r="E433" i="1"/>
  <c r="N433" i="1" s="1"/>
  <c r="F567" i="1"/>
  <c r="O567" i="1" s="1"/>
  <c r="E241" i="1"/>
  <c r="B203" i="1"/>
  <c r="N71" i="1"/>
  <c r="E509" i="1"/>
  <c r="N509" i="1" s="1"/>
  <c r="K111" i="1"/>
  <c r="F669" i="1"/>
  <c r="C399" i="1"/>
  <c r="C150" i="1"/>
  <c r="O144" i="1"/>
  <c r="B626" i="1"/>
  <c r="K626" i="1" s="1"/>
  <c r="C123" i="1"/>
  <c r="F140" i="1"/>
  <c r="B134" i="1"/>
  <c r="B493" i="1"/>
  <c r="L152" i="1"/>
  <c r="C516" i="1"/>
  <c r="L516" i="1" s="1"/>
  <c r="M516" i="1" s="1"/>
  <c r="C396" i="1"/>
  <c r="L396" i="1" s="1"/>
  <c r="C450" i="1"/>
  <c r="L450" i="1" s="1"/>
  <c r="C136" i="1"/>
  <c r="C318" i="1" s="1"/>
  <c r="F162" i="1"/>
  <c r="E669" i="1"/>
  <c r="E395" i="1"/>
  <c r="N395" i="1" s="1"/>
  <c r="B172" i="1"/>
  <c r="N235" i="1"/>
  <c r="B571" i="1"/>
  <c r="K571" i="1" s="1"/>
  <c r="F522" i="1"/>
  <c r="O522" i="1" s="1"/>
  <c r="E529" i="1"/>
  <c r="N529" i="1" s="1"/>
  <c r="B431" i="1"/>
  <c r="K431" i="1" s="1"/>
  <c r="C103" i="1"/>
  <c r="C312" i="1" s="1"/>
  <c r="F428" i="1"/>
  <c r="O428" i="1" s="1"/>
  <c r="E131" i="1"/>
  <c r="E317" i="1" s="1"/>
  <c r="L157" i="1"/>
  <c r="O237" i="1"/>
  <c r="N238" i="1"/>
  <c r="B524" i="1"/>
  <c r="K524" i="1" s="1"/>
  <c r="K135" i="1"/>
  <c r="L71" i="1"/>
  <c r="F121" i="1"/>
  <c r="B566" i="1"/>
  <c r="C414" i="1"/>
  <c r="L414" i="1" s="1"/>
  <c r="E436" i="1"/>
  <c r="N436" i="1" s="1"/>
  <c r="K108" i="1"/>
  <c r="K313" i="1" s="1"/>
  <c r="B616" i="1"/>
  <c r="K616" i="1" s="1"/>
  <c r="O180" i="1"/>
  <c r="C505" i="1"/>
  <c r="L505" i="1" s="1"/>
  <c r="E105" i="1"/>
  <c r="K68" i="1"/>
  <c r="B454" i="1"/>
  <c r="K454" i="1" s="1"/>
  <c r="B415" i="1"/>
  <c r="K415" i="1" s="1"/>
  <c r="E431" i="1"/>
  <c r="N431" i="1" s="1"/>
  <c r="E400" i="1"/>
  <c r="G400" i="1" s="1"/>
  <c r="B395" i="1"/>
  <c r="K395" i="1" s="1"/>
  <c r="C669" i="1"/>
  <c r="E520" i="1"/>
  <c r="N520" i="1" s="1"/>
  <c r="F418" i="1"/>
  <c r="O418" i="1" s="1"/>
  <c r="C428" i="1"/>
  <c r="B72" i="1"/>
  <c r="B533" i="1"/>
  <c r="K533" i="1" s="1"/>
  <c r="C182" i="1"/>
  <c r="C384" i="1"/>
  <c r="L384" i="1" s="1"/>
  <c r="E418" i="1"/>
  <c r="N418" i="1" s="1"/>
  <c r="E235" i="1"/>
  <c r="L172" i="1"/>
  <c r="C526" i="1"/>
  <c r="L526" i="1" s="1"/>
  <c r="L117" i="1"/>
  <c r="L352" i="1" s="1"/>
  <c r="B517" i="1"/>
  <c r="K517" i="1" s="1"/>
  <c r="O112" i="1"/>
  <c r="E175" i="1"/>
  <c r="E35" i="1"/>
  <c r="E149" i="1"/>
  <c r="K100" i="1"/>
  <c r="E667" i="1"/>
  <c r="C535" i="1"/>
  <c r="L535" i="1" s="1"/>
  <c r="N132" i="1"/>
  <c r="C451" i="1"/>
  <c r="L451" i="1" s="1"/>
  <c r="K103" i="1"/>
  <c r="C406" i="1"/>
  <c r="L406" i="1" s="1"/>
  <c r="F251" i="1"/>
  <c r="N158" i="1"/>
  <c r="F598" i="1"/>
  <c r="O598" i="1" s="1"/>
  <c r="F151" i="1"/>
  <c r="K172" i="1"/>
  <c r="C485" i="1"/>
  <c r="L485" i="1" s="1"/>
  <c r="O125" i="1"/>
  <c r="C601" i="1"/>
  <c r="O111" i="1"/>
  <c r="B581" i="1"/>
  <c r="K581" i="1" s="1"/>
  <c r="C120" i="1"/>
  <c r="C482" i="1"/>
  <c r="L482" i="1" s="1"/>
  <c r="B382" i="1"/>
  <c r="K382" i="1" s="1"/>
  <c r="B411" i="1"/>
  <c r="F435" i="1"/>
  <c r="B140" i="1"/>
  <c r="E122" i="1"/>
  <c r="E315" i="1" s="1"/>
  <c r="B200" i="1"/>
  <c r="E72" i="1"/>
  <c r="E414" i="1"/>
  <c r="N414" i="1" s="1"/>
  <c r="F137" i="1"/>
  <c r="F354" i="1" s="1"/>
  <c r="C657" i="1"/>
  <c r="F512" i="1"/>
  <c r="O512" i="1" s="1"/>
  <c r="E428" i="1"/>
  <c r="N428" i="1" s="1"/>
  <c r="E406" i="1"/>
  <c r="E453" i="1"/>
  <c r="N453" i="1" s="1"/>
  <c r="E403" i="1"/>
  <c r="N403" i="1" s="1"/>
  <c r="L128" i="1"/>
  <c r="O176" i="1"/>
  <c r="F407" i="1"/>
  <c r="O407" i="1" s="1"/>
  <c r="F410" i="1"/>
  <c r="O410" i="1" s="1"/>
  <c r="L72" i="1"/>
  <c r="C503" i="1"/>
  <c r="O251" i="1"/>
  <c r="E601" i="1"/>
  <c r="N601" i="1" s="1"/>
  <c r="B68" i="1"/>
  <c r="L251" i="1"/>
  <c r="O142" i="1"/>
  <c r="K33" i="1"/>
  <c r="M33" i="1" s="1"/>
  <c r="C118" i="1"/>
  <c r="C353" i="1" s="1"/>
  <c r="C666" i="1"/>
  <c r="F111" i="1"/>
  <c r="L237" i="1"/>
  <c r="F412" i="1"/>
  <c r="O412" i="1" s="1"/>
  <c r="E152" i="1"/>
  <c r="E663" i="1"/>
  <c r="O141" i="1"/>
  <c r="K179" i="1"/>
  <c r="F502" i="1"/>
  <c r="O502" i="1" s="1"/>
  <c r="K129" i="1"/>
  <c r="C490" i="1"/>
  <c r="L490" i="1" s="1"/>
  <c r="F389" i="1"/>
  <c r="O389" i="1" s="1"/>
  <c r="B654" i="1"/>
  <c r="B655" i="1" s="1"/>
  <c r="E102" i="1"/>
  <c r="E311" i="1" s="1"/>
  <c r="B450" i="1"/>
  <c r="K450" i="1" s="1"/>
  <c r="E396" i="1"/>
  <c r="N396" i="1" s="1"/>
  <c r="B447" i="1"/>
  <c r="K447" i="1" s="1"/>
  <c r="B407" i="1"/>
  <c r="K407" i="1" s="1"/>
  <c r="E426" i="1"/>
  <c r="N426" i="1" s="1"/>
  <c r="E392" i="1"/>
  <c r="N392" i="1" s="1"/>
  <c r="K165" i="1"/>
  <c r="B244" i="1"/>
  <c r="L101" i="1"/>
  <c r="L310" i="1" s="1"/>
  <c r="E389" i="1"/>
  <c r="N389" i="1" s="1"/>
  <c r="C522" i="1"/>
  <c r="L522" i="1" s="1"/>
  <c r="E176" i="1"/>
  <c r="E440" i="1"/>
  <c r="E410" i="1"/>
  <c r="N410" i="1" s="1"/>
  <c r="N114" i="1"/>
  <c r="P114" i="1" s="1"/>
  <c r="C32" i="1"/>
  <c r="N123" i="1"/>
  <c r="K119" i="1"/>
  <c r="F493" i="1"/>
  <c r="O493" i="1" s="1"/>
  <c r="C171" i="1"/>
  <c r="F654" i="1"/>
  <c r="F242" i="1"/>
  <c r="G242" i="1" s="1"/>
  <c r="T242" i="1" s="1"/>
  <c r="B141" i="1"/>
  <c r="F576" i="1"/>
  <c r="O576" i="1" s="1"/>
  <c r="O109" i="1"/>
  <c r="K115" i="1"/>
  <c r="K350" i="1" s="1"/>
  <c r="C141" i="1"/>
  <c r="B436" i="1"/>
  <c r="K436" i="1" s="1"/>
  <c r="E508" i="1"/>
  <c r="N68" i="1"/>
  <c r="B587" i="1"/>
  <c r="K587" i="1" s="1"/>
  <c r="O246" i="1"/>
  <c r="F594" i="1"/>
  <c r="O594" i="1" s="1"/>
  <c r="K125" i="1"/>
  <c r="N171" i="1"/>
  <c r="N159" i="1"/>
  <c r="C164" i="1"/>
  <c r="F616" i="1"/>
  <c r="O616" i="1" s="1"/>
  <c r="O173" i="1"/>
  <c r="B496" i="1"/>
  <c r="D496" i="1" s="1"/>
  <c r="E101" i="1"/>
  <c r="B71" i="1"/>
  <c r="F514" i="1"/>
  <c r="K157" i="1"/>
  <c r="B182" i="1"/>
  <c r="E384" i="1"/>
  <c r="N384" i="1" s="1"/>
  <c r="E666" i="1"/>
  <c r="O171" i="1"/>
  <c r="C158" i="1"/>
  <c r="K234" i="1"/>
  <c r="B585" i="1"/>
  <c r="B422" i="1"/>
  <c r="K422" i="1" s="1"/>
  <c r="N65" i="1"/>
  <c r="C424" i="1"/>
  <c r="L424" i="1" s="1"/>
  <c r="E516" i="1"/>
  <c r="N516" i="1" s="1"/>
  <c r="K134" i="1"/>
  <c r="C417" i="1"/>
  <c r="L417" i="1" s="1"/>
  <c r="B250" i="1"/>
  <c r="D250" i="1" s="1"/>
  <c r="O116" i="1"/>
  <c r="O351" i="1" s="1"/>
  <c r="B403" i="1"/>
  <c r="K403" i="1" s="1"/>
  <c r="E438" i="1"/>
  <c r="N438" i="1" s="1"/>
  <c r="E420" i="1"/>
  <c r="E382" i="1"/>
  <c r="N382" i="1" s="1"/>
  <c r="L247" i="1"/>
  <c r="C397" i="1"/>
  <c r="L397" i="1" s="1"/>
  <c r="C172" i="1"/>
  <c r="N241" i="1"/>
  <c r="E427" i="1"/>
  <c r="N427" i="1" s="1"/>
  <c r="C487" i="1"/>
  <c r="L487" i="1" s="1"/>
  <c r="B137" i="1"/>
  <c r="B354" i="1" s="1"/>
  <c r="C423" i="1"/>
  <c r="L423" i="1" s="1"/>
  <c r="E402" i="1"/>
  <c r="N402" i="1" s="1"/>
  <c r="B601" i="1"/>
  <c r="K601" i="1" s="1"/>
  <c r="N125" i="1"/>
  <c r="C620" i="1"/>
  <c r="L620" i="1" s="1"/>
  <c r="L66" i="1"/>
  <c r="B107" i="1"/>
  <c r="B591" i="1"/>
  <c r="K591" i="1" s="1"/>
  <c r="L180" i="1"/>
  <c r="F382" i="1"/>
  <c r="O382" i="1" s="1"/>
  <c r="F575" i="1"/>
  <c r="O575" i="1" s="1"/>
  <c r="L111" i="1"/>
  <c r="C530" i="1"/>
  <c r="L530" i="1" s="1"/>
  <c r="O243" i="1"/>
  <c r="E662" i="1"/>
  <c r="K162" i="1"/>
  <c r="N70" i="1"/>
  <c r="C413" i="1"/>
  <c r="L413" i="1" s="1"/>
  <c r="N112" i="1"/>
  <c r="L145" i="1"/>
  <c r="E134" i="1"/>
  <c r="B579" i="1"/>
  <c r="K579" i="1" s="1"/>
  <c r="B402" i="1"/>
  <c r="K402" i="1" s="1"/>
  <c r="M402" i="1" s="1"/>
  <c r="F618" i="1"/>
  <c r="O618" i="1" s="1"/>
  <c r="O33" i="1"/>
  <c r="E596" i="1"/>
  <c r="N596" i="1" s="1"/>
  <c r="E454" i="1"/>
  <c r="N454" i="1" s="1"/>
  <c r="F107" i="1"/>
  <c r="E115" i="1"/>
  <c r="F664" i="1"/>
  <c r="C621" i="1"/>
  <c r="L621" i="1" s="1"/>
  <c r="L129" i="1"/>
  <c r="C568" i="1"/>
  <c r="L568" i="1" s="1"/>
  <c r="B423" i="1"/>
  <c r="K423" i="1" s="1"/>
  <c r="C110" i="1"/>
  <c r="C314" i="1" s="1"/>
  <c r="C452" i="1"/>
  <c r="L452" i="1" s="1"/>
  <c r="F133" i="1"/>
  <c r="E656" i="1"/>
  <c r="F154" i="1"/>
  <c r="B448" i="1"/>
  <c r="K448" i="1" s="1"/>
  <c r="E486" i="1"/>
  <c r="N486" i="1" s="1"/>
  <c r="F596" i="1"/>
  <c r="O596" i="1" s="1"/>
  <c r="N157" i="1"/>
  <c r="O71" i="1"/>
  <c r="N148" i="1"/>
  <c r="O161" i="1"/>
  <c r="B531" i="1"/>
  <c r="K531" i="1" s="1"/>
  <c r="B238" i="1"/>
  <c r="O108" i="1"/>
  <c r="O313" i="1" s="1"/>
  <c r="C439" i="1"/>
  <c r="L439" i="1" s="1"/>
  <c r="E171" i="1"/>
  <c r="B65" i="1"/>
  <c r="K163" i="1"/>
  <c r="C566" i="1"/>
  <c r="L566" i="1" s="1"/>
  <c r="B417" i="1"/>
  <c r="K417" i="1" s="1"/>
  <c r="B249" i="1"/>
  <c r="B36" i="1"/>
  <c r="B416" i="1"/>
  <c r="K416" i="1" s="1"/>
  <c r="E444" i="1"/>
  <c r="C436" i="1"/>
  <c r="L436" i="1" s="1"/>
  <c r="C144" i="1"/>
  <c r="E108" i="1"/>
  <c r="E313" i="1" s="1"/>
  <c r="C580" i="1"/>
  <c r="L580" i="1" s="1"/>
  <c r="O174" i="1"/>
  <c r="F494" i="1"/>
  <c r="O494" i="1" s="1"/>
  <c r="N108" i="1"/>
  <c r="N313" i="1" s="1"/>
  <c r="F68" i="1"/>
  <c r="K121" i="1"/>
  <c r="F383" i="1"/>
  <c r="B520" i="1"/>
  <c r="K520" i="1" s="1"/>
  <c r="F249" i="1"/>
  <c r="F431" i="1"/>
  <c r="O431" i="1" s="1"/>
  <c r="B592" i="1"/>
  <c r="K592" i="1" s="1"/>
  <c r="C520" i="1"/>
  <c r="L520" i="1" s="1"/>
  <c r="F613" i="1"/>
  <c r="O613" i="1" s="1"/>
  <c r="E112" i="1"/>
  <c r="F134" i="1"/>
  <c r="B161" i="1"/>
  <c r="F623" i="1"/>
  <c r="O623" i="1" s="1"/>
  <c r="E491" i="1"/>
  <c r="N491" i="1" s="1"/>
  <c r="F521" i="1"/>
  <c r="O521" i="1" s="1"/>
  <c r="E120" i="1"/>
  <c r="F517" i="1"/>
  <c r="O517" i="1" s="1"/>
  <c r="E68" i="1"/>
  <c r="E621" i="1"/>
  <c r="C627" i="1"/>
  <c r="C178" i="1"/>
  <c r="L134" i="1"/>
  <c r="N164" i="1"/>
  <c r="C246" i="1"/>
  <c r="F152" i="1"/>
  <c r="F627" i="1"/>
  <c r="E622" i="1"/>
  <c r="O178" i="1"/>
  <c r="B396" i="1"/>
  <c r="K396" i="1" s="1"/>
  <c r="F176" i="1"/>
  <c r="C616" i="1"/>
  <c r="L616" i="1" s="1"/>
  <c r="N64" i="1"/>
  <c r="C420" i="1"/>
  <c r="F508" i="1"/>
  <c r="O508" i="1" s="1"/>
  <c r="C577" i="1"/>
  <c r="O66" i="1"/>
  <c r="C249" i="1"/>
  <c r="B414" i="1"/>
  <c r="K414" i="1" s="1"/>
  <c r="K246" i="1"/>
  <c r="O115" i="1"/>
  <c r="O350" i="1" s="1"/>
  <c r="B151" i="1"/>
  <c r="N134" i="1"/>
  <c r="C175" i="1"/>
  <c r="B534" i="1"/>
  <c r="K534" i="1" s="1"/>
  <c r="C180" i="1"/>
  <c r="B582" i="1"/>
  <c r="K582" i="1" s="1"/>
  <c r="K130" i="1"/>
  <c r="B145" i="1"/>
  <c r="D145" i="1" s="1"/>
  <c r="F489" i="1"/>
  <c r="O489" i="1" s="1"/>
  <c r="B413" i="1"/>
  <c r="K413" i="1" s="1"/>
  <c r="C525" i="1"/>
  <c r="L525" i="1" s="1"/>
  <c r="E138" i="1"/>
  <c r="E355" i="1" s="1"/>
  <c r="B482" i="1"/>
  <c r="F401" i="1"/>
  <c r="O401" i="1" s="1"/>
  <c r="B658" i="1"/>
  <c r="D658" i="1" s="1"/>
  <c r="E393" i="1"/>
  <c r="N393" i="1" s="1"/>
  <c r="C481" i="1"/>
  <c r="C382" i="1"/>
  <c r="L382" i="1" s="1"/>
  <c r="K180" i="1"/>
  <c r="C109" i="1"/>
  <c r="C596" i="1"/>
  <c r="L596" i="1" s="1"/>
  <c r="M596" i="1" s="1"/>
  <c r="O131" i="1"/>
  <c r="O317" i="1" s="1"/>
  <c r="C447" i="1"/>
  <c r="L447" i="1" s="1"/>
  <c r="B627" i="1"/>
  <c r="K627" i="1" s="1"/>
  <c r="C124" i="1"/>
  <c r="K154" i="1"/>
  <c r="C613" i="1"/>
  <c r="L613" i="1" s="1"/>
  <c r="O117" i="1"/>
  <c r="O352" i="1" s="1"/>
  <c r="K105" i="1"/>
  <c r="K347" i="1" s="1"/>
  <c r="B518" i="1"/>
  <c r="K518" i="1" s="1"/>
  <c r="K104" i="1"/>
  <c r="B498" i="1"/>
  <c r="K498" i="1" s="1"/>
  <c r="K35" i="1"/>
  <c r="B622" i="1"/>
  <c r="K622" i="1" s="1"/>
  <c r="N130" i="1"/>
  <c r="E570" i="1"/>
  <c r="N570" i="1" s="1"/>
  <c r="L138" i="1"/>
  <c r="L355" i="1" s="1"/>
  <c r="B144" i="1"/>
  <c r="F588" i="1"/>
  <c r="O588" i="1" s="1"/>
  <c r="B586" i="1"/>
  <c r="K586" i="1" s="1"/>
  <c r="F580" i="1"/>
  <c r="B590" i="1"/>
  <c r="K590" i="1" s="1"/>
  <c r="L64" i="1"/>
  <c r="C608" i="1"/>
  <c r="L608" i="1" s="1"/>
  <c r="E620" i="1"/>
  <c r="N620" i="1" s="1"/>
  <c r="O156" i="1"/>
  <c r="O240" i="1"/>
  <c r="K131" i="1"/>
  <c r="K317" i="1" s="1"/>
  <c r="L179" i="1"/>
  <c r="F422" i="1"/>
  <c r="O422" i="1" s="1"/>
  <c r="N144" i="1"/>
  <c r="F115" i="1"/>
  <c r="F350" i="1" s="1"/>
  <c r="B110" i="1"/>
  <c r="B314" i="1" s="1"/>
  <c r="O37" i="1"/>
  <c r="C498" i="1"/>
  <c r="L498" i="1" s="1"/>
  <c r="F178" i="1"/>
  <c r="B33" i="1"/>
  <c r="D33" i="1" s="1"/>
  <c r="E533" i="1"/>
  <c r="L166" i="1"/>
  <c r="E126" i="1"/>
  <c r="B66" i="1"/>
  <c r="B513" i="1"/>
  <c r="K513" i="1" s="1"/>
  <c r="B120" i="1"/>
  <c r="B155" i="1"/>
  <c r="O159" i="1"/>
  <c r="F175" i="1"/>
  <c r="B485" i="1"/>
  <c r="B64" i="1"/>
  <c r="B594" i="1"/>
  <c r="K594" i="1" s="1"/>
  <c r="B240" i="1"/>
  <c r="E449" i="1"/>
  <c r="N449" i="1" s="1"/>
  <c r="N33" i="1"/>
  <c r="B438" i="1"/>
  <c r="B243" i="1"/>
  <c r="B666" i="1"/>
  <c r="C117" i="1"/>
  <c r="C352" i="1" s="1"/>
  <c r="B127" i="1"/>
  <c r="B316" i="1" s="1"/>
  <c r="B605" i="1"/>
  <c r="K605" i="1" s="1"/>
  <c r="N63" i="1"/>
  <c r="F148" i="1"/>
  <c r="C102" i="1"/>
  <c r="C311" i="1" s="1"/>
  <c r="C507" i="1"/>
  <c r="L507" i="1" s="1"/>
  <c r="C163" i="1"/>
  <c r="L158" i="1"/>
  <c r="N122" i="1"/>
  <c r="N315" i="1" s="1"/>
  <c r="L35" i="1"/>
  <c r="B115" i="1"/>
  <c r="B350" i="1" s="1"/>
  <c r="E584" i="1"/>
  <c r="N584" i="1" s="1"/>
  <c r="F499" i="1"/>
  <c r="O499" i="1" s="1"/>
  <c r="C400" i="1"/>
  <c r="L400" i="1" s="1"/>
  <c r="E616" i="1"/>
  <c r="O238" i="1"/>
  <c r="B512" i="1"/>
  <c r="K512" i="1" s="1"/>
  <c r="O105" i="1"/>
  <c r="O347" i="1" s="1"/>
  <c r="E521" i="1"/>
  <c r="N521" i="1" s="1"/>
  <c r="C36" i="1"/>
  <c r="E34" i="1"/>
  <c r="B156" i="1"/>
  <c r="F670" i="1"/>
  <c r="F585" i="1"/>
  <c r="O585" i="1" s="1"/>
  <c r="B528" i="1"/>
  <c r="K528" i="1" s="1"/>
  <c r="B561" i="1"/>
  <c r="K561" i="1" s="1"/>
  <c r="E155" i="1"/>
  <c r="E422" i="1"/>
  <c r="N422" i="1" s="1"/>
  <c r="N118" i="1"/>
  <c r="N353" i="1" s="1"/>
  <c r="B580" i="1"/>
  <c r="K580" i="1" s="1"/>
  <c r="E424" i="1"/>
  <c r="O113" i="1"/>
  <c r="O140" i="1"/>
  <c r="C128" i="1"/>
  <c r="O163" i="1"/>
  <c r="O153" i="1"/>
  <c r="E657" i="1"/>
  <c r="B535" i="1"/>
  <c r="K535" i="1" s="1"/>
  <c r="F573" i="1"/>
  <c r="O573" i="1" s="1"/>
  <c r="C72" i="1"/>
  <c r="C579" i="1"/>
  <c r="L579" i="1" s="1"/>
  <c r="F393" i="1"/>
  <c r="O393" i="1" s="1"/>
  <c r="C518" i="1"/>
  <c r="L518" i="1" s="1"/>
  <c r="L65" i="1"/>
  <c r="F141" i="1"/>
  <c r="E480" i="1"/>
  <c r="N480" i="1" s="1"/>
  <c r="K248" i="1"/>
  <c r="N243" i="1"/>
  <c r="F132" i="1"/>
  <c r="C107" i="1"/>
  <c r="F434" i="1"/>
  <c r="O434" i="1" s="1"/>
  <c r="C126" i="1"/>
  <c r="F659" i="1"/>
  <c r="F505" i="1"/>
  <c r="O505" i="1" s="1"/>
  <c r="C408" i="1"/>
  <c r="L408" i="1" s="1"/>
  <c r="C431" i="1"/>
  <c r="L431" i="1" s="1"/>
  <c r="E627" i="1"/>
  <c r="N627" i="1" s="1"/>
  <c r="B159" i="1"/>
  <c r="O69" i="1"/>
  <c r="L130" i="1"/>
  <c r="B433" i="1"/>
  <c r="K433" i="1" s="1"/>
  <c r="E499" i="1"/>
  <c r="N499" i="1" s="1"/>
  <c r="C151" i="1"/>
  <c r="F116" i="1"/>
  <c r="F351" i="1" s="1"/>
  <c r="B164" i="1"/>
  <c r="E148" i="1"/>
  <c r="B162" i="1"/>
  <c r="C628" i="1"/>
  <c r="L628" i="1" s="1"/>
  <c r="C594" i="1"/>
  <c r="N31" i="1"/>
  <c r="L246" i="1"/>
  <c r="C617" i="1"/>
  <c r="L617" i="1" s="1"/>
  <c r="B608" i="1"/>
  <c r="K608" i="1" s="1"/>
  <c r="F593" i="1"/>
  <c r="O593" i="1" s="1"/>
  <c r="E154" i="1"/>
  <c r="L173" i="1"/>
  <c r="E497" i="1"/>
  <c r="N497" i="1" s="1"/>
  <c r="O235" i="1"/>
  <c r="E623" i="1"/>
  <c r="F504" i="1"/>
  <c r="O504" i="1" s="1"/>
  <c r="N163" i="1"/>
  <c r="B235" i="1"/>
  <c r="C115" i="1"/>
  <c r="C350" i="1" s="1"/>
  <c r="B576" i="1"/>
  <c r="K576" i="1" s="1"/>
  <c r="F495" i="1"/>
  <c r="O495" i="1" s="1"/>
  <c r="B620" i="1"/>
  <c r="K620" i="1" s="1"/>
  <c r="M620" i="1" s="1"/>
  <c r="K101" i="1"/>
  <c r="K310" i="1" s="1"/>
  <c r="O65" i="1"/>
  <c r="C587" i="1"/>
  <c r="L587" i="1" s="1"/>
  <c r="M587" i="1" s="1"/>
  <c r="F32" i="1"/>
  <c r="C509" i="1"/>
  <c r="L509" i="1" s="1"/>
  <c r="C165" i="1"/>
  <c r="B567" i="1"/>
  <c r="K567" i="1" s="1"/>
  <c r="E498" i="1"/>
  <c r="F608" i="1"/>
  <c r="E501" i="1"/>
  <c r="N501" i="1" s="1"/>
  <c r="P501" i="1" s="1"/>
  <c r="E530" i="1"/>
  <c r="N530" i="1" s="1"/>
  <c r="F453" i="1"/>
  <c r="O453" i="1" s="1"/>
  <c r="C252" i="1"/>
  <c r="O170" i="1"/>
  <c r="F28" i="1"/>
  <c r="B514" i="1"/>
  <c r="K514" i="1" s="1"/>
  <c r="B149" i="1"/>
  <c r="B122" i="1"/>
  <c r="B315" i="1" s="1"/>
  <c r="B492" i="1"/>
  <c r="K492" i="1" s="1"/>
  <c r="C416" i="1"/>
  <c r="L416" i="1" s="1"/>
  <c r="B163" i="1"/>
  <c r="E407" i="1"/>
  <c r="N407" i="1" s="1"/>
  <c r="F125" i="1"/>
  <c r="L107" i="1"/>
  <c r="B565" i="1"/>
  <c r="K565" i="1" s="1"/>
  <c r="F667" i="1"/>
  <c r="L126" i="1"/>
  <c r="L110" i="1"/>
  <c r="L314" i="1" s="1"/>
  <c r="E144" i="1"/>
  <c r="C602" i="1"/>
  <c r="L602" i="1" s="1"/>
  <c r="C444" i="1"/>
  <c r="L444" i="1" s="1"/>
  <c r="C100" i="1"/>
  <c r="N100" i="1"/>
  <c r="N309" i="1" s="1"/>
  <c r="L163" i="1"/>
  <c r="N135" i="1"/>
  <c r="E582" i="1"/>
  <c r="N582" i="1" s="1"/>
  <c r="O34" i="1"/>
  <c r="C626" i="1"/>
  <c r="K173" i="1"/>
  <c r="F534" i="1"/>
  <c r="O534" i="1" s="1"/>
  <c r="B599" i="1"/>
  <c r="K599" i="1" s="1"/>
  <c r="F529" i="1"/>
  <c r="O529" i="1" s="1"/>
  <c r="E109" i="1"/>
  <c r="F413" i="1"/>
  <c r="O413" i="1" s="1"/>
  <c r="F247" i="1"/>
  <c r="B116" i="1"/>
  <c r="B351" i="1" s="1"/>
  <c r="F243" i="1"/>
  <c r="O165" i="1"/>
  <c r="C113" i="1"/>
  <c r="E618" i="1"/>
  <c r="N618" i="1" s="1"/>
  <c r="K144" i="1"/>
  <c r="C593" i="1"/>
  <c r="L593" i="1" s="1"/>
  <c r="C521" i="1"/>
  <c r="L521" i="1" s="1"/>
  <c r="L149" i="1"/>
  <c r="F441" i="1"/>
  <c r="B669" i="1"/>
  <c r="K72" i="1"/>
  <c r="K153" i="1"/>
  <c r="C624" i="1"/>
  <c r="L624" i="1" s="1"/>
  <c r="F394" i="1"/>
  <c r="O394" i="1" s="1"/>
  <c r="F164" i="1"/>
  <c r="E135" i="1"/>
  <c r="E494" i="1"/>
  <c r="N494" i="1" s="1"/>
  <c r="F127" i="1"/>
  <c r="F316" i="1" s="1"/>
  <c r="B383" i="1"/>
  <c r="K383" i="1" s="1"/>
  <c r="F525" i="1"/>
  <c r="O525" i="1" s="1"/>
  <c r="C116" i="1"/>
  <c r="C351" i="1" s="1"/>
  <c r="K147" i="1"/>
  <c r="K107" i="1"/>
  <c r="F432" i="1"/>
  <c r="O432" i="1" s="1"/>
  <c r="F579" i="1"/>
  <c r="F535" i="1"/>
  <c r="O535" i="1" s="1"/>
  <c r="E585" i="1"/>
  <c r="N585" i="1" s="1"/>
  <c r="B487" i="1"/>
  <c r="K487" i="1" s="1"/>
  <c r="M487" i="1" s="1"/>
  <c r="C237" i="1"/>
  <c r="E514" i="1"/>
  <c r="N514" i="1" s="1"/>
  <c r="L174" i="1"/>
  <c r="F497" i="1"/>
  <c r="O497" i="1" s="1"/>
  <c r="F171" i="1"/>
  <c r="E566" i="1"/>
  <c r="N566" i="1" s="1"/>
  <c r="K238" i="1"/>
  <c r="E385" i="1"/>
  <c r="N385" i="1" s="1"/>
  <c r="B123" i="1"/>
  <c r="L123" i="1"/>
  <c r="C387" i="1"/>
  <c r="L387" i="1" s="1"/>
  <c r="B234" i="1"/>
  <c r="O150" i="1"/>
  <c r="O70" i="1"/>
  <c r="C129" i="1"/>
  <c r="L132" i="1"/>
  <c r="F385" i="1"/>
  <c r="O385" i="1" s="1"/>
  <c r="F565" i="1"/>
  <c r="O565" i="1" s="1"/>
  <c r="F149" i="1"/>
  <c r="B408" i="1"/>
  <c r="K408" i="1" s="1"/>
  <c r="E659" i="1"/>
  <c r="G659" i="1" s="1"/>
  <c r="L112" i="1"/>
  <c r="B143" i="1"/>
  <c r="O152" i="1"/>
  <c r="E481" i="1"/>
  <c r="N481" i="1" s="1"/>
  <c r="N66" i="1"/>
  <c r="F402" i="1"/>
  <c r="O402" i="1" s="1"/>
  <c r="P402" i="1" s="1"/>
  <c r="C391" i="1"/>
  <c r="L391" i="1" s="1"/>
  <c r="K140" i="1"/>
  <c r="F241" i="1"/>
  <c r="O166" i="1"/>
  <c r="L104" i="1"/>
  <c r="L346" i="1" s="1"/>
  <c r="O121" i="1"/>
  <c r="K29" i="1"/>
  <c r="F486" i="1"/>
  <c r="O486" i="1" s="1"/>
  <c r="F161" i="1"/>
  <c r="F615" i="1"/>
  <c r="O615" i="1" s="1"/>
  <c r="C101" i="1"/>
  <c r="C310" i="1" s="1"/>
  <c r="E151" i="1"/>
  <c r="N140" i="1"/>
  <c r="B562" i="1"/>
  <c r="K562" i="1" s="1"/>
  <c r="K158" i="1"/>
  <c r="F397" i="1"/>
  <c r="O397" i="1" s="1"/>
  <c r="E432" i="1"/>
  <c r="N432" i="1" s="1"/>
  <c r="C584" i="1"/>
  <c r="N141" i="1"/>
  <c r="E535" i="1"/>
  <c r="N535" i="1" s="1"/>
  <c r="E33" i="1"/>
  <c r="C598" i="1"/>
  <c r="L598" i="1" s="1"/>
  <c r="N120" i="1"/>
  <c r="B404" i="1"/>
  <c r="K404" i="1" s="1"/>
  <c r="C403" i="1"/>
  <c r="L403" i="1" s="1"/>
  <c r="C127" i="1"/>
  <c r="C316" i="1" s="1"/>
  <c r="F64" i="1"/>
  <c r="C148" i="1"/>
  <c r="F110" i="1"/>
  <c r="F314" i="1" s="1"/>
  <c r="B150" i="1"/>
  <c r="F481" i="1"/>
  <c r="O481" i="1" s="1"/>
  <c r="F524" i="1"/>
  <c r="O524" i="1" s="1"/>
  <c r="C251" i="1"/>
  <c r="F449" i="1"/>
  <c r="O449" i="1" s="1"/>
  <c r="F423" i="1"/>
  <c r="O423" i="1" s="1"/>
  <c r="F396" i="1"/>
  <c r="O396" i="1" s="1"/>
  <c r="O126" i="1"/>
  <c r="B593" i="1"/>
  <c r="K593" i="1" s="1"/>
  <c r="C492" i="1"/>
  <c r="L492" i="1" s="1"/>
  <c r="C670" i="1"/>
  <c r="C247" i="1"/>
  <c r="F447" i="1"/>
  <c r="O447" i="1" s="1"/>
  <c r="B508" i="1"/>
  <c r="B615" i="1"/>
  <c r="E391" i="1"/>
  <c r="N391" i="1" s="1"/>
  <c r="N180" i="1"/>
  <c r="E587" i="1"/>
  <c r="N587" i="1" s="1"/>
  <c r="K123" i="1"/>
  <c r="C599" i="1"/>
  <c r="L599" i="1" s="1"/>
  <c r="L70" i="1"/>
  <c r="F248" i="1"/>
  <c r="N117" i="1"/>
  <c r="N352" i="1" s="1"/>
  <c r="E247" i="1"/>
  <c r="E670" i="1"/>
  <c r="N153" i="1"/>
  <c r="K251" i="1"/>
  <c r="E599" i="1"/>
  <c r="N599" i="1" s="1"/>
  <c r="B398" i="1"/>
  <c r="C595" i="1"/>
  <c r="L595" i="1" s="1"/>
  <c r="F661" i="1"/>
  <c r="F420" i="1"/>
  <c r="O420" i="1" s="1"/>
  <c r="C565" i="1"/>
  <c r="L565" i="1" s="1"/>
  <c r="F101" i="1"/>
  <c r="F310" i="1" s="1"/>
  <c r="C125" i="1"/>
  <c r="E234" i="1"/>
  <c r="B31" i="1"/>
  <c r="D31" i="1" s="1"/>
  <c r="E434" i="1"/>
  <c r="N434" i="1" s="1"/>
  <c r="B480" i="1"/>
  <c r="K480" i="1" s="1"/>
  <c r="O247" i="1"/>
  <c r="O72" i="1"/>
  <c r="L116" i="1"/>
  <c r="L351" i="1" s="1"/>
  <c r="E567" i="1"/>
  <c r="N567" i="1" s="1"/>
  <c r="K143" i="1"/>
  <c r="L124" i="1"/>
  <c r="O128" i="1"/>
  <c r="P128" i="1" s="1"/>
  <c r="B32" i="1"/>
  <c r="E430" i="1"/>
  <c r="N430" i="1" s="1"/>
  <c r="E613" i="1"/>
  <c r="N613" i="1" s="1"/>
  <c r="E411" i="1"/>
  <c r="N411" i="1" s="1"/>
  <c r="L34" i="1"/>
  <c r="C157" i="1"/>
  <c r="B29" i="1"/>
  <c r="F433" i="1"/>
  <c r="O433" i="1" s="1"/>
  <c r="F492" i="1"/>
  <c r="F70" i="1"/>
  <c r="C660" i="1"/>
  <c r="B112" i="1"/>
  <c r="F656" i="1"/>
  <c r="K241" i="1"/>
  <c r="K102" i="1"/>
  <c r="K311" i="1" s="1"/>
  <c r="C159" i="1"/>
  <c r="F595" i="1"/>
  <c r="O595" i="1" s="1"/>
  <c r="L119" i="1"/>
  <c r="E150" i="1"/>
  <c r="G150" i="1" s="1"/>
  <c r="K151" i="1"/>
  <c r="B121" i="1"/>
  <c r="B659" i="1"/>
  <c r="N176" i="1"/>
  <c r="E519" i="1"/>
  <c r="N519" i="1" s="1"/>
  <c r="E240" i="1"/>
  <c r="B574" i="1"/>
  <c r="K574" i="1" s="1"/>
  <c r="F572" i="1"/>
  <c r="O572" i="1" s="1"/>
  <c r="C412" i="1"/>
  <c r="L412" i="1" s="1"/>
  <c r="E563" i="1"/>
  <c r="N563" i="1" s="1"/>
  <c r="C434" i="1"/>
  <c r="L434" i="1" s="1"/>
  <c r="K37" i="1"/>
  <c r="B609" i="1"/>
  <c r="K609" i="1" s="1"/>
  <c r="F583" i="1"/>
  <c r="E658" i="1"/>
  <c r="K32" i="1"/>
  <c r="E143" i="1"/>
  <c r="B180" i="1"/>
  <c r="E604" i="1"/>
  <c r="N604" i="1" s="1"/>
  <c r="N151" i="1"/>
  <c r="L37" i="1"/>
  <c r="B509" i="1"/>
  <c r="K509" i="1" s="1"/>
  <c r="F510" i="1"/>
  <c r="O510" i="1" s="1"/>
  <c r="F584" i="1"/>
  <c r="O584" i="1" s="1"/>
  <c r="C664" i="1"/>
  <c r="E137" i="1"/>
  <c r="E354" i="1" s="1"/>
  <c r="F102" i="1"/>
  <c r="F311" i="1" s="1"/>
  <c r="E447" i="1"/>
  <c r="L32" i="1"/>
  <c r="F138" i="1"/>
  <c r="F355" i="1" s="1"/>
  <c r="B657" i="1"/>
  <c r="N129" i="1"/>
  <c r="C435" i="1"/>
  <c r="L435" i="1" s="1"/>
  <c r="F452" i="1"/>
  <c r="O452" i="1" s="1"/>
  <c r="C392" i="1"/>
  <c r="L392" i="1" s="1"/>
  <c r="B523" i="1"/>
  <c r="K523" i="1" s="1"/>
  <c r="F590" i="1"/>
  <c r="O590" i="1" s="1"/>
  <c r="N149" i="1"/>
  <c r="N133" i="1"/>
  <c r="P133" i="1" s="1"/>
  <c r="F144" i="1"/>
  <c r="B428" i="1"/>
  <c r="K428" i="1" s="1"/>
  <c r="B525" i="1"/>
  <c r="K525" i="1" s="1"/>
  <c r="N234" i="1"/>
  <c r="C606" i="1"/>
  <c r="L606" i="1" s="1"/>
  <c r="E482" i="1"/>
  <c r="N482" i="1" s="1"/>
  <c r="O147" i="1"/>
  <c r="K237" i="1"/>
  <c r="O484" i="1"/>
  <c r="B114" i="1"/>
  <c r="D114" i="1" s="1"/>
  <c r="B397" i="1"/>
  <c r="K397" i="1" s="1"/>
  <c r="B406" i="1"/>
  <c r="K406" i="1" s="1"/>
  <c r="M406" i="1" s="1"/>
  <c r="O36" i="1"/>
  <c r="O130" i="1"/>
  <c r="E624" i="1"/>
  <c r="N624" i="1" s="1"/>
  <c r="N121" i="1"/>
  <c r="F660" i="1"/>
  <c r="O110" i="1"/>
  <c r="O314" i="1" s="1"/>
  <c r="C395" i="1"/>
  <c r="L395" i="1" s="1"/>
  <c r="C581" i="1"/>
  <c r="L581" i="1" s="1"/>
  <c r="L156" i="1"/>
  <c r="N136" i="1"/>
  <c r="N318" i="1" s="1"/>
  <c r="K133" i="1"/>
  <c r="N249" i="1"/>
  <c r="E405" i="1"/>
  <c r="N405" i="1" s="1"/>
  <c r="L248" i="1"/>
  <c r="C407" i="1"/>
  <c r="L407" i="1" s="1"/>
  <c r="E496" i="1"/>
  <c r="N496" i="1" s="1"/>
  <c r="K155" i="1"/>
  <c r="M155" i="1" s="1"/>
  <c r="F112" i="1"/>
  <c r="E159" i="1"/>
  <c r="B392" i="1"/>
  <c r="K392" i="1" s="1"/>
  <c r="B179" i="1"/>
  <c r="E614" i="1"/>
  <c r="N614" i="1" s="1"/>
  <c r="C603" i="1"/>
  <c r="L603" i="1" s="1"/>
  <c r="F509" i="1"/>
  <c r="O509" i="1" s="1"/>
  <c r="K164" i="1"/>
  <c r="B113" i="1"/>
  <c r="K117" i="1"/>
  <c r="K352" i="1" s="1"/>
  <c r="C573" i="1"/>
  <c r="L573" i="1" s="1"/>
  <c r="E29" i="1"/>
  <c r="C486" i="1"/>
  <c r="L486" i="1" s="1"/>
  <c r="B400" i="1"/>
  <c r="K400" i="1" s="1"/>
  <c r="F63" i="1"/>
  <c r="F179" i="1"/>
  <c r="G179" i="1" s="1"/>
  <c r="E523" i="1"/>
  <c r="N523" i="1" s="1"/>
  <c r="E598" i="1"/>
  <c r="C35" i="1"/>
  <c r="C611" i="1"/>
  <c r="L611" i="1" s="1"/>
  <c r="C572" i="1"/>
  <c r="L572" i="1" s="1"/>
  <c r="F36" i="1"/>
  <c r="E495" i="1"/>
  <c r="C604" i="1"/>
  <c r="C134" i="1"/>
  <c r="E525" i="1"/>
  <c r="E617" i="1"/>
  <c r="N617" i="1" s="1"/>
  <c r="C661" i="1"/>
  <c r="E590" i="1"/>
  <c r="N590" i="1" s="1"/>
  <c r="L133" i="1"/>
  <c r="B614" i="1"/>
  <c r="K614" i="1" s="1"/>
  <c r="C567" i="1"/>
  <c r="L567" i="1" s="1"/>
  <c r="F601" i="1"/>
  <c r="O601" i="1" s="1"/>
  <c r="K126" i="1"/>
  <c r="B578" i="1"/>
  <c r="K578" i="1" s="1"/>
  <c r="C411" i="1"/>
  <c r="L411" i="1" s="1"/>
  <c r="E503" i="1"/>
  <c r="N503" i="1" s="1"/>
  <c r="F445" i="1"/>
  <c r="O445" i="1" s="1"/>
  <c r="F388" i="1"/>
  <c r="O388" i="1" s="1"/>
  <c r="P388" i="1" s="1"/>
  <c r="F411" i="1"/>
  <c r="E450" i="1"/>
  <c r="O138" i="1"/>
  <c r="O355" i="1" s="1"/>
  <c r="B589" i="1"/>
  <c r="K589" i="1" s="1"/>
  <c r="C112" i="1"/>
  <c r="E114" i="1"/>
  <c r="C563" i="1"/>
  <c r="B105" i="1"/>
  <c r="L147" i="1"/>
  <c r="E170" i="1"/>
  <c r="F131" i="1"/>
  <c r="F562" i="1"/>
  <c r="O562" i="1" s="1"/>
  <c r="L234" i="1"/>
  <c r="F498" i="1"/>
  <c r="O498" i="1" s="1"/>
  <c r="E589" i="1"/>
  <c r="N589" i="1" s="1"/>
  <c r="F488" i="1"/>
  <c r="O488" i="1" s="1"/>
  <c r="F114" i="1"/>
  <c r="F69" i="1"/>
  <c r="L249" i="1"/>
  <c r="E415" i="1"/>
  <c r="N415" i="1" s="1"/>
  <c r="E174" i="1"/>
  <c r="E576" i="1"/>
  <c r="N576" i="1" s="1"/>
  <c r="N175" i="1"/>
  <c r="O118" i="1"/>
  <c r="O353" i="1" s="1"/>
  <c r="P353" i="1" s="1"/>
  <c r="L235" i="1"/>
  <c r="C605" i="1"/>
  <c r="L605" i="1" s="1"/>
  <c r="E586" i="1"/>
  <c r="N586" i="1" s="1"/>
  <c r="E237" i="1"/>
  <c r="B104" i="1"/>
  <c r="B346" i="1" s="1"/>
  <c r="B444" i="1"/>
  <c r="K444" i="1" s="1"/>
  <c r="C578" i="1"/>
  <c r="L578" i="1" s="1"/>
  <c r="F657" i="1"/>
  <c r="C388" i="1"/>
  <c r="L388" i="1" s="1"/>
  <c r="F577" i="1"/>
  <c r="O577" i="1" s="1"/>
  <c r="F611" i="1"/>
  <c r="O611" i="1" s="1"/>
  <c r="F29" i="1"/>
  <c r="E166" i="1"/>
  <c r="F526" i="1"/>
  <c r="O526" i="1" s="1"/>
  <c r="F491" i="1"/>
  <c r="O491" i="1" s="1"/>
  <c r="B577" i="1"/>
  <c r="K577" i="1" s="1"/>
  <c r="C70" i="1"/>
  <c r="L29" i="1"/>
  <c r="B136" i="1"/>
  <c r="B318" i="1" s="1"/>
  <c r="E654" i="1"/>
  <c r="E655" i="1" s="1"/>
  <c r="E628" i="1"/>
  <c r="N628" i="1" s="1"/>
  <c r="C510" i="1"/>
  <c r="L510" i="1" s="1"/>
  <c r="N150" i="1"/>
  <c r="B656" i="1"/>
  <c r="F142" i="1"/>
  <c r="K63" i="1"/>
  <c r="K114" i="1"/>
  <c r="B483" i="1"/>
  <c r="K483" i="1" s="1"/>
  <c r="C662" i="1"/>
  <c r="C454" i="1"/>
  <c r="L454" i="1" s="1"/>
  <c r="E118" i="1"/>
  <c r="E353" i="1" s="1"/>
  <c r="F66" i="1"/>
  <c r="O123" i="1"/>
  <c r="K174" i="1"/>
  <c r="E129" i="1"/>
  <c r="B494" i="1"/>
  <c r="K494" i="1" s="1"/>
  <c r="K128" i="1"/>
  <c r="E488" i="1"/>
  <c r="N488" i="1" s="1"/>
  <c r="F628" i="1"/>
  <c r="O628" i="1" s="1"/>
  <c r="C162" i="1"/>
  <c r="E238" i="1"/>
  <c r="E615" i="1"/>
  <c r="L484" i="1"/>
  <c r="F100" i="1"/>
  <c r="F309" i="1" s="1"/>
  <c r="F439" i="1"/>
  <c r="O439" i="1" s="1"/>
  <c r="K64" i="1"/>
  <c r="E399" i="1"/>
  <c r="F440" i="1"/>
  <c r="O440" i="1" s="1"/>
  <c r="B174" i="1"/>
  <c r="C176" i="1"/>
  <c r="O31" i="1"/>
  <c r="C534" i="1"/>
  <c r="L534" i="1" s="1"/>
  <c r="E505" i="1"/>
  <c r="N505" i="1" s="1"/>
  <c r="E443" i="1"/>
  <c r="N443" i="1" s="1"/>
  <c r="K170" i="1"/>
  <c r="C529" i="1"/>
  <c r="F391" i="1"/>
  <c r="O391" i="1" s="1"/>
  <c r="N142" i="1"/>
  <c r="O175" i="1"/>
  <c r="L150" i="1"/>
  <c r="K65" i="1"/>
  <c r="B102" i="1"/>
  <c r="B311" i="1" s="1"/>
  <c r="F597" i="1"/>
  <c r="O597" i="1" s="1"/>
  <c r="C445" i="1"/>
  <c r="K142" i="1"/>
  <c r="E510" i="1"/>
  <c r="N510" i="1" s="1"/>
  <c r="O136" i="1"/>
  <c r="O318" i="1" s="1"/>
  <c r="N152" i="1"/>
  <c r="C500" i="1"/>
  <c r="L500" i="1" s="1"/>
  <c r="M500" i="1" s="1"/>
  <c r="F398" i="1"/>
  <c r="O398" i="1" s="1"/>
  <c r="F483" i="1"/>
  <c r="O483" i="1" s="1"/>
  <c r="B130" i="1"/>
  <c r="C385" i="1"/>
  <c r="L385" i="1" s="1"/>
  <c r="E69" i="1"/>
  <c r="B510" i="1"/>
  <c r="K510" i="1" s="1"/>
  <c r="N126" i="1"/>
  <c r="O68" i="1"/>
  <c r="E571" i="1"/>
  <c r="N571" i="1" s="1"/>
  <c r="N109" i="1"/>
  <c r="O234" i="1"/>
  <c r="K152" i="1"/>
  <c r="N156" i="1"/>
  <c r="B34" i="1"/>
  <c r="C508" i="1"/>
  <c r="L508" i="1" s="1"/>
  <c r="O145" i="1"/>
  <c r="C422" i="1"/>
  <c r="E502" i="1"/>
  <c r="N502" i="1" s="1"/>
  <c r="E157" i="1"/>
  <c r="E511" i="1"/>
  <c r="N511" i="1" s="1"/>
  <c r="F103" i="1"/>
  <c r="B588" i="1"/>
  <c r="K588" i="1" s="1"/>
  <c r="C588" i="1"/>
  <c r="L588" i="1" s="1"/>
  <c r="F145" i="1"/>
  <c r="C504" i="1"/>
  <c r="L504" i="1" s="1"/>
  <c r="E248" i="1"/>
  <c r="E173" i="1"/>
  <c r="G173" i="1" s="1"/>
  <c r="C622" i="1"/>
  <c r="L622" i="1" s="1"/>
  <c r="C415" i="1"/>
  <c r="L415" i="1" s="1"/>
  <c r="E128" i="1"/>
  <c r="B584" i="1"/>
  <c r="K584" i="1" s="1"/>
  <c r="C502" i="1"/>
  <c r="L502" i="1" s="1"/>
  <c r="L63" i="1"/>
  <c r="B501" i="1"/>
  <c r="K501" i="1" s="1"/>
  <c r="B132" i="1"/>
  <c r="L144" i="1"/>
  <c r="F609" i="1"/>
  <c r="O609" i="1" s="1"/>
  <c r="E579" i="1"/>
  <c r="N579" i="1" s="1"/>
  <c r="B171" i="1"/>
  <c r="C64" i="1"/>
  <c r="C483" i="1"/>
  <c r="L483" i="1" s="1"/>
  <c r="K36" i="1"/>
  <c r="B166" i="1"/>
  <c r="E153" i="1"/>
  <c r="O132" i="1"/>
  <c r="F480" i="1"/>
  <c r="O480" i="1" s="1"/>
  <c r="C389" i="1"/>
  <c r="L389" i="1" s="1"/>
  <c r="B135" i="1"/>
  <c r="L153" i="1"/>
  <c r="E524" i="1"/>
  <c r="N524" i="1" s="1"/>
  <c r="F165" i="1"/>
  <c r="L68" i="1"/>
  <c r="L108" i="1"/>
  <c r="E121" i="1"/>
  <c r="K235" i="1"/>
  <c r="E595" i="1"/>
  <c r="N595" i="1" s="1"/>
  <c r="N155" i="1"/>
  <c r="B246" i="1"/>
  <c r="F531" i="1"/>
  <c r="G531" i="1" s="1"/>
  <c r="B394" i="1"/>
  <c r="K394" i="1" s="1"/>
  <c r="B662" i="1"/>
  <c r="F108" i="1"/>
  <c r="B481" i="1"/>
  <c r="K481" i="1" s="1"/>
  <c r="B173" i="1"/>
  <c r="C575" i="1"/>
  <c r="L575" i="1" s="1"/>
  <c r="F65" i="1"/>
  <c r="K110" i="1"/>
  <c r="K314" i="1" s="1"/>
  <c r="C614" i="1"/>
  <c r="L614" i="1" s="1"/>
  <c r="E609" i="1"/>
  <c r="N609" i="1" s="1"/>
  <c r="O32" i="1"/>
  <c r="F438" i="1"/>
  <c r="F617" i="1"/>
  <c r="O617" i="1" s="1"/>
  <c r="F506" i="1"/>
  <c r="O506" i="1" s="1"/>
  <c r="E119" i="1"/>
  <c r="F399" i="1"/>
  <c r="O399" i="1" s="1"/>
  <c r="B37" i="1"/>
  <c r="N145" i="1"/>
  <c r="C244" i="1"/>
  <c r="O249" i="1"/>
  <c r="N143" i="1"/>
  <c r="C156" i="1"/>
  <c r="E123" i="1"/>
  <c r="G123" i="1" s="1"/>
  <c r="C133" i="1"/>
  <c r="O134" i="1"/>
  <c r="B430" i="1"/>
  <c r="K430" i="1" s="1"/>
  <c r="O100" i="1"/>
  <c r="O309" i="1" s="1"/>
  <c r="C69" i="1"/>
  <c r="E104" i="1"/>
  <c r="E346" i="1" s="1"/>
  <c r="E451" i="1"/>
  <c r="N451" i="1" s="1"/>
  <c r="C448" i="1"/>
  <c r="L448" i="1" s="1"/>
  <c r="C491" i="1"/>
  <c r="L491" i="1" s="1"/>
  <c r="B426" i="1"/>
  <c r="K426" i="1" s="1"/>
  <c r="E63" i="1"/>
  <c r="L131" i="1"/>
  <c r="L317" i="1" s="1"/>
  <c r="K124" i="1"/>
  <c r="B393" i="1"/>
  <c r="K393" i="1" s="1"/>
  <c r="C586" i="1"/>
  <c r="L586" i="1" s="1"/>
  <c r="E574" i="1"/>
  <c r="N574" i="1" s="1"/>
  <c r="C562" i="1"/>
  <c r="L562" i="1" s="1"/>
  <c r="C618" i="1"/>
  <c r="L618" i="1" s="1"/>
  <c r="N110" i="1"/>
  <c r="C501" i="1"/>
  <c r="L501" i="1" s="1"/>
  <c r="F104" i="1"/>
  <c r="F346" i="1" s="1"/>
  <c r="C495" i="1"/>
  <c r="L495" i="1" s="1"/>
  <c r="F408" i="1"/>
  <c r="O408" i="1" s="1"/>
  <c r="F523" i="1"/>
  <c r="O523" i="1" s="1"/>
  <c r="E161" i="1"/>
  <c r="F582" i="1"/>
  <c r="O582" i="1" s="1"/>
  <c r="N251" i="1"/>
  <c r="F612" i="1"/>
  <c r="O612" i="1" s="1"/>
  <c r="E251" i="1"/>
  <c r="C108" i="1"/>
  <c r="C313" i="1" s="1"/>
  <c r="B489" i="1"/>
  <c r="K489" i="1" s="1"/>
  <c r="O236" i="1"/>
  <c r="C585" i="1"/>
  <c r="L585" i="1" s="1"/>
  <c r="F511" i="1"/>
  <c r="O511" i="1" s="1"/>
  <c r="P511" i="1" s="1"/>
  <c r="C659" i="1"/>
  <c r="E36" i="1"/>
  <c r="E664" i="1"/>
  <c r="E483" i="1"/>
  <c r="N483" i="1" s="1"/>
  <c r="E578" i="1"/>
  <c r="N578" i="1" s="1"/>
  <c r="K145" i="1"/>
  <c r="O119" i="1"/>
  <c r="K34" i="1"/>
  <c r="L240" i="1"/>
  <c r="C154" i="1"/>
  <c r="N138" i="1"/>
  <c r="N355" i="1" s="1"/>
  <c r="E28" i="1"/>
  <c r="F37" i="1"/>
  <c r="F172" i="1"/>
  <c r="K69" i="1"/>
  <c r="F513" i="1"/>
  <c r="O513" i="1" s="1"/>
  <c r="B611" i="1"/>
  <c r="K611" i="1" s="1"/>
  <c r="C493" i="1"/>
  <c r="L493" i="1" s="1"/>
  <c r="F520" i="4"/>
  <c r="P520" i="4" s="1"/>
  <c r="P526" i="4" s="1"/>
  <c r="O595" i="4" s="1"/>
  <c r="O172" i="1"/>
  <c r="P172" i="1" s="1"/>
  <c r="F168" i="1"/>
  <c r="F167" i="1"/>
  <c r="C167" i="1"/>
  <c r="B167" i="1"/>
  <c r="K168" i="1"/>
  <c r="E168" i="1"/>
  <c r="E167" i="1"/>
  <c r="C168" i="1"/>
  <c r="B168" i="1"/>
  <c r="L168" i="1"/>
  <c r="O168" i="1"/>
  <c r="O167" i="1"/>
  <c r="N168" i="1"/>
  <c r="N167" i="1"/>
  <c r="K167" i="1"/>
  <c r="L167" i="1"/>
  <c r="F528" i="1"/>
  <c r="O528" i="1" s="1"/>
  <c r="E32" i="1"/>
  <c r="B624" i="1"/>
  <c r="K624" i="1" s="1"/>
  <c r="C143" i="1"/>
  <c r="F487" i="1"/>
  <c r="O487" i="1" s="1"/>
  <c r="E409" i="1"/>
  <c r="N409" i="1" s="1"/>
  <c r="E64" i="1"/>
  <c r="C667" i="1"/>
  <c r="F500" i="1"/>
  <c r="O500" i="1" s="1"/>
  <c r="F586" i="1"/>
  <c r="O586" i="1" s="1"/>
  <c r="B623" i="1"/>
  <c r="K623" i="1" s="1"/>
  <c r="M623" i="1" s="1"/>
  <c r="C443" i="1"/>
  <c r="L443" i="1" s="1"/>
  <c r="E249" i="1"/>
  <c r="C612" i="1"/>
  <c r="L612" i="1" s="1"/>
  <c r="E397" i="1"/>
  <c r="N397" i="1" s="1"/>
  <c r="E106" i="1"/>
  <c r="E348" i="1" s="1"/>
  <c r="O106" i="1"/>
  <c r="O348" i="1" s="1"/>
  <c r="C106" i="1"/>
  <c r="N106" i="1"/>
  <c r="C524" i="1"/>
  <c r="L524" i="1" s="1"/>
  <c r="L106" i="1"/>
  <c r="L348" i="1" s="1"/>
  <c r="F106" i="1"/>
  <c r="F348" i="1" s="1"/>
  <c r="B106" i="1"/>
  <c r="B348" i="1" s="1"/>
  <c r="D2" i="2"/>
  <c r="E2" i="2" s="1"/>
  <c r="N99" i="1"/>
  <c r="E653" i="1"/>
  <c r="E344" i="1"/>
  <c r="B2" i="2"/>
  <c r="C2" i="2" s="1"/>
  <c r="N277" i="1"/>
  <c r="N560" i="1"/>
  <c r="N27" i="1"/>
  <c r="N653" i="1"/>
  <c r="N381" i="1"/>
  <c r="E277" i="1"/>
  <c r="E62" i="1"/>
  <c r="E27" i="1"/>
  <c r="N479" i="1"/>
  <c r="N344" i="1"/>
  <c r="N308" i="1"/>
  <c r="E479" i="1"/>
  <c r="E99" i="1"/>
  <c r="E308" i="1"/>
  <c r="E560" i="1"/>
  <c r="E381" i="1"/>
  <c r="N62" i="1"/>
  <c r="T1" i="5"/>
  <c r="V1" i="5"/>
  <c r="U1" i="5"/>
  <c r="K182" i="1"/>
  <c r="Q1" i="8"/>
  <c r="P1" i="8"/>
  <c r="O1" i="8"/>
  <c r="S155" i="4"/>
  <c r="V155" i="4" s="1"/>
  <c r="X155" i="4" s="1"/>
  <c r="D172" i="4"/>
  <c r="D223" i="4" s="1"/>
  <c r="L182" i="1"/>
  <c r="O189" i="4"/>
  <c r="AM1228" i="3"/>
  <c r="K231" i="1"/>
  <c r="AO887" i="3"/>
  <c r="AP887" i="3" s="1"/>
  <c r="AQ887" i="3" s="1"/>
  <c r="B231" i="1"/>
  <c r="E520" i="4"/>
  <c r="E526" i="4" s="1"/>
  <c r="K186" i="1"/>
  <c r="AO842" i="3"/>
  <c r="B186" i="1"/>
  <c r="N200" i="1"/>
  <c r="AQ856" i="3"/>
  <c r="K204" i="1"/>
  <c r="B204" i="1"/>
  <c r="K203" i="1"/>
  <c r="P547" i="4"/>
  <c r="E200" i="1"/>
  <c r="AO859" i="3"/>
  <c r="AO858" i="3"/>
  <c r="F184" i="4"/>
  <c r="D228" i="4"/>
  <c r="O228" i="4" s="1"/>
  <c r="B198" i="1"/>
  <c r="AO641" i="3"/>
  <c r="AO860" i="3"/>
  <c r="AM883" i="3"/>
  <c r="AM869" i="3"/>
  <c r="AN869" i="3" s="1"/>
  <c r="AM872" i="3"/>
  <c r="AM841" i="3"/>
  <c r="AN841" i="3" s="1"/>
  <c r="AP838" i="3"/>
  <c r="E182" i="1" s="1"/>
  <c r="AM868" i="3"/>
  <c r="AO854" i="3"/>
  <c r="K198" i="1"/>
  <c r="E170" i="4"/>
  <c r="F202" i="4"/>
  <c r="F187" i="4"/>
  <c r="L183" i="4"/>
  <c r="L187" i="4" s="1"/>
  <c r="AM863" i="3"/>
  <c r="AM871" i="3"/>
  <c r="AM862" i="3"/>
  <c r="AN862" i="3" s="1"/>
  <c r="AM885" i="3"/>
  <c r="AN641" i="3"/>
  <c r="D170" i="4"/>
  <c r="K183" i="4"/>
  <c r="K233" i="4" s="1"/>
  <c r="O233" i="4" s="1"/>
  <c r="V148" i="4"/>
  <c r="X148" i="4" s="1"/>
  <c r="T153" i="4"/>
  <c r="T179" i="4" s="1"/>
  <c r="AM852" i="3"/>
  <c r="AM878" i="3"/>
  <c r="AM861" i="3"/>
  <c r="B223" i="1"/>
  <c r="AM867" i="3"/>
  <c r="B224" i="1"/>
  <c r="AM870" i="3"/>
  <c r="B193" i="1"/>
  <c r="AO849" i="3"/>
  <c r="K193" i="1"/>
  <c r="Q235" i="4"/>
  <c r="S546" i="4" s="1"/>
  <c r="P546" i="4"/>
  <c r="K223" i="1"/>
  <c r="AM839" i="3"/>
  <c r="AM881" i="3"/>
  <c r="AM865" i="3"/>
  <c r="AN865" i="3" s="1"/>
  <c r="AN873" i="3"/>
  <c r="AM886" i="3"/>
  <c r="AM857" i="3"/>
  <c r="AN857" i="3" s="1"/>
  <c r="AM845" i="3"/>
  <c r="AN845" i="3" s="1"/>
  <c r="AM875" i="3"/>
  <c r="AN875" i="3" s="1"/>
  <c r="D169" i="4"/>
  <c r="AM844" i="3"/>
  <c r="AM850" i="3"/>
  <c r="AM848" i="3"/>
  <c r="AM876" i="3"/>
  <c r="AN876" i="3" s="1"/>
  <c r="AM855" i="3"/>
  <c r="AN855" i="3" s="1"/>
  <c r="AM884" i="3"/>
  <c r="AN884" i="3" s="1"/>
  <c r="AN866" i="3"/>
  <c r="O225" i="4"/>
  <c r="Q225" i="4" s="1"/>
  <c r="M169" i="4"/>
  <c r="K224" i="1"/>
  <c r="K202" i="1"/>
  <c r="M175" i="4"/>
  <c r="AN882" i="3"/>
  <c r="B202" i="1"/>
  <c r="B221" i="1"/>
  <c r="AO877" i="3"/>
  <c r="K221" i="1"/>
  <c r="AO879" i="3"/>
  <c r="AN853" i="3"/>
  <c r="T132" i="4"/>
  <c r="V132" i="4" s="1"/>
  <c r="X132" i="4" s="1"/>
  <c r="M174" i="4"/>
  <c r="C224" i="1"/>
  <c r="AP880" i="3"/>
  <c r="L224" i="1"/>
  <c r="K201" i="4"/>
  <c r="O226" i="4"/>
  <c r="Q226" i="4" s="1"/>
  <c r="U226" i="4" s="1"/>
  <c r="W226" i="4" s="1"/>
  <c r="K190" i="1"/>
  <c r="B190" i="1"/>
  <c r="AO846" i="3"/>
  <c r="K218" i="1"/>
  <c r="B218" i="1"/>
  <c r="AO874" i="3"/>
  <c r="AO851" i="3"/>
  <c r="B195" i="1"/>
  <c r="K195" i="1"/>
  <c r="K184" i="1"/>
  <c r="AO840" i="3"/>
  <c r="B184" i="1"/>
  <c r="B187" i="1"/>
  <c r="K187" i="1"/>
  <c r="AO843" i="3"/>
  <c r="K208" i="1"/>
  <c r="B208" i="1"/>
  <c r="AO864" i="3"/>
  <c r="B191" i="1"/>
  <c r="AO847" i="3"/>
  <c r="K191" i="1"/>
  <c r="I246" i="4"/>
  <c r="I249" i="4" s="1"/>
  <c r="I183" i="4"/>
  <c r="V199" i="4"/>
  <c r="P201" i="4"/>
  <c r="O224" i="4"/>
  <c r="N246" i="4"/>
  <c r="N249" i="4" s="1"/>
  <c r="N183" i="4"/>
  <c r="D246" i="4"/>
  <c r="O33" i="4"/>
  <c r="V33" i="4" s="1"/>
  <c r="X33" i="4" s="1"/>
  <c r="M170" i="4"/>
  <c r="M172" i="4"/>
  <c r="Q227" i="4"/>
  <c r="U227" i="4" s="1"/>
  <c r="W227" i="4" s="1"/>
  <c r="H223" i="4"/>
  <c r="H249" i="4" s="1"/>
  <c r="H183" i="4"/>
  <c r="H184" i="4" s="1"/>
  <c r="V152" i="4"/>
  <c r="X152" i="4" s="1"/>
  <c r="S176" i="4"/>
  <c r="V176" i="4" s="1"/>
  <c r="V137" i="4"/>
  <c r="X137" i="4" s="1"/>
  <c r="V119" i="4"/>
  <c r="X119" i="4" s="1"/>
  <c r="O175" i="4"/>
  <c r="V39" i="4"/>
  <c r="X39" i="4" s="1"/>
  <c r="V19" i="4"/>
  <c r="P169" i="4"/>
  <c r="P181" i="4"/>
  <c r="G223" i="4"/>
  <c r="G183" i="4"/>
  <c r="T201" i="4"/>
  <c r="V191" i="4"/>
  <c r="M574" i="1" l="1"/>
  <c r="G108" i="1"/>
  <c r="G533" i="1"/>
  <c r="D65" i="1"/>
  <c r="F386" i="5"/>
  <c r="C386" i="5"/>
  <c r="E386" i="5"/>
  <c r="B386" i="5"/>
  <c r="F386" i="8"/>
  <c r="D386" i="8"/>
  <c r="C386" i="8"/>
  <c r="E386" i="8"/>
  <c r="J386" i="8" s="1"/>
  <c r="B386" i="8"/>
  <c r="D246" i="1"/>
  <c r="M68" i="1"/>
  <c r="I187" i="8"/>
  <c r="F484" i="8"/>
  <c r="E484" i="8"/>
  <c r="D484" i="8"/>
  <c r="C484" i="8"/>
  <c r="H484" i="8" s="1"/>
  <c r="B484" i="8"/>
  <c r="G484" i="8" s="1"/>
  <c r="B485" i="8"/>
  <c r="G485" i="8" s="1"/>
  <c r="K193" i="5"/>
  <c r="C482" i="5"/>
  <c r="C484" i="5"/>
  <c r="F484" i="5"/>
  <c r="B482" i="5"/>
  <c r="B484" i="5"/>
  <c r="E482" i="5"/>
  <c r="E484" i="5"/>
  <c r="F482" i="5"/>
  <c r="O482" i="5" s="1"/>
  <c r="V189" i="4"/>
  <c r="V175" i="4"/>
  <c r="P609" i="1"/>
  <c r="Q184" i="4"/>
  <c r="D241" i="1"/>
  <c r="U184" i="4"/>
  <c r="U202" i="4"/>
  <c r="R183" i="4"/>
  <c r="R202" i="4" s="1"/>
  <c r="E402" i="4"/>
  <c r="O402" i="4" s="1"/>
  <c r="O563" i="4" s="1"/>
  <c r="O472" i="4"/>
  <c r="O571" i="4" s="1"/>
  <c r="P241" i="1"/>
  <c r="V194" i="4"/>
  <c r="E494" i="4"/>
  <c r="E497" i="4" s="1"/>
  <c r="O497" i="4" s="1"/>
  <c r="O573" i="4" s="1"/>
  <c r="Q589" i="4"/>
  <c r="Q590" i="4"/>
  <c r="O531" i="1"/>
  <c r="P531" i="1" s="1"/>
  <c r="D402" i="1"/>
  <c r="P64" i="1"/>
  <c r="AP630" i="3"/>
  <c r="AQ737" i="3"/>
  <c r="AQ630" i="3" s="1"/>
  <c r="AP605" i="3"/>
  <c r="AQ712" i="3"/>
  <c r="AQ605" i="3" s="1"/>
  <c r="AP603" i="3"/>
  <c r="AQ710" i="3"/>
  <c r="AQ603" i="3" s="1"/>
  <c r="AP607" i="3"/>
  <c r="AQ714" i="3"/>
  <c r="AQ607" i="3" s="1"/>
  <c r="AP608" i="3"/>
  <c r="AQ715" i="3"/>
  <c r="AQ608" i="3" s="1"/>
  <c r="AP593" i="3"/>
  <c r="AQ700" i="3"/>
  <c r="AQ593" i="3" s="1"/>
  <c r="AP598" i="3"/>
  <c r="AQ705" i="3"/>
  <c r="AQ598" i="3" s="1"/>
  <c r="AP599" i="3"/>
  <c r="AQ706" i="3"/>
  <c r="AQ599" i="3" s="1"/>
  <c r="AP613" i="3"/>
  <c r="AQ720" i="3"/>
  <c r="AQ613" i="3" s="1"/>
  <c r="AP635" i="3"/>
  <c r="AQ742" i="3"/>
  <c r="AQ635" i="3" s="1"/>
  <c r="AP615" i="3"/>
  <c r="AQ722" i="3"/>
  <c r="AQ615" i="3" s="1"/>
  <c r="AP616" i="3"/>
  <c r="AQ723" i="3"/>
  <c r="AQ616" i="3" s="1"/>
  <c r="AQ708" i="3"/>
  <c r="AQ601" i="3" s="1"/>
  <c r="AP601" i="3"/>
  <c r="AP594" i="3"/>
  <c r="AQ701" i="3"/>
  <c r="AQ594" i="3" s="1"/>
  <c r="AP628" i="3"/>
  <c r="AQ735" i="3"/>
  <c r="AQ628" i="3" s="1"/>
  <c r="AP621" i="3"/>
  <c r="AQ728" i="3"/>
  <c r="AQ621" i="3" s="1"/>
  <c r="AP596" i="3"/>
  <c r="AQ703" i="3"/>
  <c r="AQ596" i="3" s="1"/>
  <c r="AQ730" i="3"/>
  <c r="AQ623" i="3" s="1"/>
  <c r="AP623" i="3"/>
  <c r="AQ731" i="3"/>
  <c r="AQ624" i="3" s="1"/>
  <c r="AP624" i="3"/>
  <c r="AP609" i="3"/>
  <c r="J96" i="4" s="1"/>
  <c r="O96" i="4" s="1"/>
  <c r="V96" i="4" s="1"/>
  <c r="X96" i="4" s="1"/>
  <c r="AQ716" i="3"/>
  <c r="AQ609" i="3" s="1"/>
  <c r="AP602" i="3"/>
  <c r="AQ709" i="3"/>
  <c r="AQ602" i="3" s="1"/>
  <c r="AQ704" i="3"/>
  <c r="AQ597" i="3" s="1"/>
  <c r="AP597" i="3"/>
  <c r="AP629" i="3"/>
  <c r="AQ736" i="3"/>
  <c r="AQ629" i="3" s="1"/>
  <c r="AQ743" i="3"/>
  <c r="AQ636" i="3" s="1"/>
  <c r="AP636" i="3"/>
  <c r="AP631" i="3"/>
  <c r="AQ738" i="3"/>
  <c r="AQ631" i="3" s="1"/>
  <c r="AP632" i="3"/>
  <c r="AQ739" i="3"/>
  <c r="AQ632" i="3" s="1"/>
  <c r="AP617" i="3"/>
  <c r="AQ724" i="3"/>
  <c r="AQ617" i="3" s="1"/>
  <c r="AQ717" i="3"/>
  <c r="AQ610" i="3" s="1"/>
  <c r="AP610" i="3"/>
  <c r="AP637" i="3"/>
  <c r="AQ744" i="3"/>
  <c r="AQ637" i="3" s="1"/>
  <c r="AP606" i="3"/>
  <c r="AQ713" i="3"/>
  <c r="AQ606" i="3" s="1"/>
  <c r="AP639" i="3"/>
  <c r="AQ746" i="3"/>
  <c r="AQ639" i="3" s="1"/>
  <c r="AP640" i="3"/>
  <c r="J114" i="4" s="1"/>
  <c r="O114" i="4" s="1"/>
  <c r="V114" i="4" s="1"/>
  <c r="X114" i="4" s="1"/>
  <c r="AQ747" i="3"/>
  <c r="AQ640" i="3" s="1"/>
  <c r="AQ732" i="3"/>
  <c r="AQ625" i="3" s="1"/>
  <c r="AP625" i="3"/>
  <c r="AP618" i="3"/>
  <c r="AQ725" i="3"/>
  <c r="AQ618" i="3" s="1"/>
  <c r="AQ707" i="3"/>
  <c r="AQ600" i="3" s="1"/>
  <c r="AP600" i="3"/>
  <c r="AP627" i="3"/>
  <c r="AQ734" i="3"/>
  <c r="AQ627" i="3" s="1"/>
  <c r="AP611" i="3"/>
  <c r="AQ718" i="3"/>
  <c r="AQ611" i="3" s="1"/>
  <c r="AP638" i="3"/>
  <c r="AQ745" i="3"/>
  <c r="AQ638" i="3" s="1"/>
  <c r="AP622" i="3"/>
  <c r="AQ729" i="3"/>
  <c r="AQ622" i="3" s="1"/>
  <c r="AP595" i="3"/>
  <c r="AQ702" i="3"/>
  <c r="AQ595" i="3" s="1"/>
  <c r="AQ740" i="3"/>
  <c r="AQ633" i="3" s="1"/>
  <c r="AP633" i="3"/>
  <c r="J108" i="4" s="1"/>
  <c r="O108" i="4" s="1"/>
  <c r="V108" i="4" s="1"/>
  <c r="X108" i="4" s="1"/>
  <c r="AQ733" i="3"/>
  <c r="AQ626" i="3" s="1"/>
  <c r="AP626" i="3"/>
  <c r="AP614" i="3"/>
  <c r="AQ721" i="3"/>
  <c r="AQ614" i="3" s="1"/>
  <c r="AP620" i="3"/>
  <c r="AQ727" i="3"/>
  <c r="AQ620" i="3" s="1"/>
  <c r="AP612" i="3"/>
  <c r="AQ719" i="3"/>
  <c r="AQ612" i="3" s="1"/>
  <c r="AP591" i="3"/>
  <c r="J129" i="4" s="1"/>
  <c r="O129" i="4" s="1"/>
  <c r="V129" i="4" s="1"/>
  <c r="X129" i="4" s="1"/>
  <c r="AQ698" i="3"/>
  <c r="AQ591" i="3" s="1"/>
  <c r="AP592" i="3"/>
  <c r="AQ699" i="3"/>
  <c r="AQ592" i="3" s="1"/>
  <c r="AP604" i="3"/>
  <c r="AQ711" i="3"/>
  <c r="AQ604" i="3" s="1"/>
  <c r="AQ726" i="3"/>
  <c r="AQ619" i="3" s="1"/>
  <c r="AP619" i="3"/>
  <c r="AP634" i="3"/>
  <c r="AQ741" i="3"/>
  <c r="AQ634" i="3" s="1"/>
  <c r="M499" i="1"/>
  <c r="K3" i="8"/>
  <c r="C3" i="8"/>
  <c r="H3" i="8"/>
  <c r="F3" i="8"/>
  <c r="D3" i="8"/>
  <c r="J3" i="8"/>
  <c r="B3" i="8"/>
  <c r="G3" i="8"/>
  <c r="E3" i="8"/>
  <c r="I3" i="8"/>
  <c r="B3" i="1"/>
  <c r="F3" i="1"/>
  <c r="G3" i="1" s="1"/>
  <c r="O3" i="1"/>
  <c r="P3" i="1" s="1"/>
  <c r="K3" i="1"/>
  <c r="P350" i="1"/>
  <c r="D240" i="1"/>
  <c r="M348" i="1"/>
  <c r="D436" i="1"/>
  <c r="P610" i="1"/>
  <c r="Q610" i="1" s="1"/>
  <c r="R610" i="1" s="1"/>
  <c r="M72" i="1"/>
  <c r="D406" i="1"/>
  <c r="M480" i="1"/>
  <c r="P111" i="1"/>
  <c r="M234" i="1"/>
  <c r="P72" i="1"/>
  <c r="D235" i="1"/>
  <c r="M317" i="1"/>
  <c r="P484" i="1"/>
  <c r="E483" i="4"/>
  <c r="G490" i="4" s="1"/>
  <c r="G487" i="4"/>
  <c r="S481" i="4"/>
  <c r="U572" i="4" s="1"/>
  <c r="H483" i="4"/>
  <c r="H487" i="4" s="1"/>
  <c r="T481" i="4"/>
  <c r="V572" i="4" s="1"/>
  <c r="I483" i="4"/>
  <c r="I487" i="4" s="1"/>
  <c r="U481" i="4"/>
  <c r="W572" i="4" s="1"/>
  <c r="J483" i="4"/>
  <c r="J487" i="4" s="1"/>
  <c r="G131" i="1"/>
  <c r="I194" i="8"/>
  <c r="M318" i="1"/>
  <c r="P249" i="1"/>
  <c r="E349" i="1"/>
  <c r="C14" i="2"/>
  <c r="N2" i="5"/>
  <c r="E2" i="5"/>
  <c r="O598" i="4"/>
  <c r="G438" i="1"/>
  <c r="P238" i="1"/>
  <c r="D516" i="1"/>
  <c r="D154" i="1"/>
  <c r="P234" i="1"/>
  <c r="P586" i="1"/>
  <c r="D627" i="1"/>
  <c r="G420" i="1"/>
  <c r="P68" i="1"/>
  <c r="O67" i="1"/>
  <c r="L627" i="1"/>
  <c r="M627" i="1" s="1"/>
  <c r="D587" i="1"/>
  <c r="G501" i="1"/>
  <c r="D135" i="1"/>
  <c r="D64" i="1"/>
  <c r="M502" i="1"/>
  <c r="M128" i="1"/>
  <c r="Q128" i="1" s="1"/>
  <c r="R128" i="1" s="1"/>
  <c r="M351" i="1"/>
  <c r="M158" i="1"/>
  <c r="P66" i="1"/>
  <c r="D107" i="1"/>
  <c r="G180" i="1"/>
  <c r="D597" i="1"/>
  <c r="P522" i="1"/>
  <c r="M598" i="1"/>
  <c r="N420" i="1"/>
  <c r="P420" i="1" s="1"/>
  <c r="D390" i="1"/>
  <c r="G37" i="1"/>
  <c r="P578" i="1"/>
  <c r="P451" i="1"/>
  <c r="M153" i="1"/>
  <c r="P445" i="1"/>
  <c r="D121" i="1"/>
  <c r="G154" i="1"/>
  <c r="M592" i="1"/>
  <c r="D158" i="1"/>
  <c r="G71" i="1"/>
  <c r="D346" i="1"/>
  <c r="P587" i="1"/>
  <c r="Q587" i="1" s="1"/>
  <c r="R587" i="1" s="1"/>
  <c r="M492" i="1"/>
  <c r="P413" i="1"/>
  <c r="D128" i="1"/>
  <c r="P347" i="1"/>
  <c r="P37" i="1"/>
  <c r="D249" i="1"/>
  <c r="G448" i="1"/>
  <c r="M236" i="1"/>
  <c r="P385" i="1"/>
  <c r="P618" i="1"/>
  <c r="P389" i="1"/>
  <c r="D72" i="1"/>
  <c r="P101" i="1"/>
  <c r="P386" i="1"/>
  <c r="P161" i="1"/>
  <c r="G490" i="1"/>
  <c r="D598" i="1"/>
  <c r="G386" i="1"/>
  <c r="M448" i="1"/>
  <c r="G522" i="1"/>
  <c r="O438" i="1"/>
  <c r="P438" i="1" s="1"/>
  <c r="G117" i="1"/>
  <c r="O569" i="4"/>
  <c r="D610" i="1"/>
  <c r="D574" i="1"/>
  <c r="M494" i="1"/>
  <c r="D179" i="1"/>
  <c r="H179" i="1" s="1"/>
  <c r="I179" i="1" s="1"/>
  <c r="D482" i="1"/>
  <c r="M531" i="1"/>
  <c r="P137" i="1"/>
  <c r="D315" i="1"/>
  <c r="D531" i="1"/>
  <c r="H531" i="1" s="1"/>
  <c r="I531" i="1" s="1"/>
  <c r="P577" i="1"/>
  <c r="M352" i="1"/>
  <c r="G240" i="1"/>
  <c r="P352" i="1"/>
  <c r="G151" i="1"/>
  <c r="D129" i="1"/>
  <c r="M238" i="1"/>
  <c r="P144" i="1"/>
  <c r="P427" i="1"/>
  <c r="M511" i="1"/>
  <c r="Q511" i="1" s="1"/>
  <c r="R511" i="1" s="1"/>
  <c r="D617" i="1"/>
  <c r="P513" i="1"/>
  <c r="G170" i="1"/>
  <c r="P519" i="1"/>
  <c r="G241" i="1"/>
  <c r="M535" i="1"/>
  <c r="G133" i="1"/>
  <c r="T133" i="1" s="1"/>
  <c r="D200" i="1"/>
  <c r="D494" i="1"/>
  <c r="G165" i="1"/>
  <c r="B284" i="1"/>
  <c r="M156" i="1"/>
  <c r="P36" i="1"/>
  <c r="D124" i="1"/>
  <c r="D396" i="1"/>
  <c r="B312" i="1"/>
  <c r="D312" i="1" s="1"/>
  <c r="D487" i="1"/>
  <c r="D608" i="1"/>
  <c r="M36" i="1"/>
  <c r="D251" i="1"/>
  <c r="D126" i="1"/>
  <c r="D103" i="1"/>
  <c r="M175" i="1"/>
  <c r="M120" i="1"/>
  <c r="M608" i="1"/>
  <c r="I202" i="8"/>
  <c r="I190" i="8"/>
  <c r="D591" i="1"/>
  <c r="D112" i="1"/>
  <c r="G311" i="1"/>
  <c r="D657" i="1"/>
  <c r="D123" i="1"/>
  <c r="H123" i="1" s="1"/>
  <c r="I123" i="1" s="1"/>
  <c r="D35" i="1"/>
  <c r="D153" i="1"/>
  <c r="D234" i="1"/>
  <c r="G660" i="1"/>
  <c r="D660" i="1"/>
  <c r="G658" i="1"/>
  <c r="H658" i="1" s="1"/>
  <c r="I658" i="1" s="1"/>
  <c r="M564" i="1"/>
  <c r="G29" i="1"/>
  <c r="C181" i="1"/>
  <c r="L281" i="1"/>
  <c r="G352" i="1"/>
  <c r="G416" i="1"/>
  <c r="D208" i="8"/>
  <c r="D230" i="8"/>
  <c r="D211" i="8"/>
  <c r="I184" i="8"/>
  <c r="D223" i="8"/>
  <c r="D203" i="8"/>
  <c r="I224" i="8"/>
  <c r="I195" i="8"/>
  <c r="I218" i="8"/>
  <c r="I214" i="8"/>
  <c r="J218" i="8"/>
  <c r="D193" i="8"/>
  <c r="G484" i="1"/>
  <c r="G618" i="1"/>
  <c r="N354" i="1"/>
  <c r="P354" i="1" s="1"/>
  <c r="G385" i="1"/>
  <c r="M489" i="1"/>
  <c r="M251" i="1"/>
  <c r="M450" i="1"/>
  <c r="G162" i="1"/>
  <c r="P592" i="1"/>
  <c r="P565" i="1"/>
  <c r="M396" i="1"/>
  <c r="D596" i="1"/>
  <c r="P490" i="1"/>
  <c r="G589" i="1"/>
  <c r="C349" i="1"/>
  <c r="G597" i="1"/>
  <c r="G430" i="1"/>
  <c r="O520" i="4"/>
  <c r="O578" i="4" s="1"/>
  <c r="O580" i="4" s="1"/>
  <c r="M249" i="1"/>
  <c r="P121" i="1"/>
  <c r="P140" i="1"/>
  <c r="D528" i="1"/>
  <c r="K349" i="1"/>
  <c r="P430" i="1"/>
  <c r="G249" i="1"/>
  <c r="P487" i="1"/>
  <c r="Q487" i="1" s="1"/>
  <c r="R487" i="1" s="1"/>
  <c r="M611" i="1"/>
  <c r="M240" i="1"/>
  <c r="P132" i="1"/>
  <c r="M126" i="1"/>
  <c r="B281" i="1"/>
  <c r="D149" i="1"/>
  <c r="M134" i="1"/>
  <c r="D534" i="1"/>
  <c r="E345" i="1"/>
  <c r="K482" i="1"/>
  <c r="M482" i="1" s="1"/>
  <c r="M112" i="1"/>
  <c r="D100" i="1"/>
  <c r="M580" i="1"/>
  <c r="M590" i="1"/>
  <c r="M382" i="1"/>
  <c r="G111" i="1"/>
  <c r="G587" i="1"/>
  <c r="M534" i="1"/>
  <c r="M389" i="1"/>
  <c r="M562" i="1"/>
  <c r="G157" i="1"/>
  <c r="P176" i="1"/>
  <c r="M311" i="1"/>
  <c r="D316" i="1"/>
  <c r="G152" i="1"/>
  <c r="G444" i="1"/>
  <c r="P603" i="1"/>
  <c r="G236" i="1"/>
  <c r="M148" i="1"/>
  <c r="G124" i="1"/>
  <c r="D389" i="1"/>
  <c r="G172" i="1"/>
  <c r="T172" i="1" s="1"/>
  <c r="D448" i="1"/>
  <c r="G119" i="1"/>
  <c r="P597" i="1"/>
  <c r="P589" i="1"/>
  <c r="T589" i="1" s="1"/>
  <c r="M143" i="1"/>
  <c r="D626" i="1"/>
  <c r="D155" i="1"/>
  <c r="M505" i="1"/>
  <c r="Q506" i="4"/>
  <c r="M593" i="1"/>
  <c r="L597" i="1"/>
  <c r="M597" i="1" s="1"/>
  <c r="P562" i="1"/>
  <c r="P105" i="1"/>
  <c r="G164" i="1"/>
  <c r="P240" i="1"/>
  <c r="T240" i="1" s="1"/>
  <c r="M616" i="1"/>
  <c r="M103" i="1"/>
  <c r="G665" i="1"/>
  <c r="H665" i="1" s="1"/>
  <c r="I665" i="1" s="1"/>
  <c r="G244" i="1"/>
  <c r="T244" i="1" s="1"/>
  <c r="D582" i="1"/>
  <c r="L345" i="1"/>
  <c r="D69" i="1"/>
  <c r="P116" i="1"/>
  <c r="M116" i="1"/>
  <c r="M137" i="1"/>
  <c r="D244" i="1"/>
  <c r="P32" i="1"/>
  <c r="M588" i="1"/>
  <c r="G129" i="1"/>
  <c r="M114" i="1"/>
  <c r="Q114" i="1" s="1"/>
  <c r="R114" i="1" s="1"/>
  <c r="D318" i="1"/>
  <c r="G617" i="1"/>
  <c r="D662" i="1"/>
  <c r="P156" i="1"/>
  <c r="Q156" i="1" s="1"/>
  <c r="R156" i="1" s="1"/>
  <c r="P142" i="1"/>
  <c r="M29" i="1"/>
  <c r="P149" i="1"/>
  <c r="D32" i="1"/>
  <c r="G315" i="1"/>
  <c r="P617" i="1"/>
  <c r="G570" i="1"/>
  <c r="G405" i="1"/>
  <c r="N345" i="1"/>
  <c r="G565" i="1"/>
  <c r="D174" i="1"/>
  <c r="P71" i="1"/>
  <c r="M178" i="1"/>
  <c r="P606" i="1"/>
  <c r="P570" i="1"/>
  <c r="D137" i="1"/>
  <c r="D104" i="1"/>
  <c r="M314" i="1"/>
  <c r="D166" i="1"/>
  <c r="B282" i="1"/>
  <c r="D656" i="1"/>
  <c r="M147" i="1"/>
  <c r="M164" i="1"/>
  <c r="G125" i="1"/>
  <c r="L181" i="1"/>
  <c r="P351" i="1"/>
  <c r="G122" i="1"/>
  <c r="M109" i="1"/>
  <c r="M354" i="1"/>
  <c r="D564" i="1"/>
  <c r="D593" i="1"/>
  <c r="D354" i="1"/>
  <c r="G562" i="1"/>
  <c r="P236" i="1"/>
  <c r="T236" i="1" s="1"/>
  <c r="M241" i="1"/>
  <c r="N38" i="1"/>
  <c r="D147" i="1"/>
  <c r="M431" i="1"/>
  <c r="D317" i="1"/>
  <c r="G413" i="1"/>
  <c r="G529" i="1"/>
  <c r="P488" i="1"/>
  <c r="M123" i="1"/>
  <c r="G101" i="1"/>
  <c r="M247" i="1"/>
  <c r="D661" i="1"/>
  <c r="D588" i="1"/>
  <c r="G114" i="1"/>
  <c r="H114" i="1" s="1"/>
  <c r="I114" i="1" s="1"/>
  <c r="F349" i="1"/>
  <c r="G612" i="1"/>
  <c r="P407" i="1"/>
  <c r="D411" i="1"/>
  <c r="M512" i="1"/>
  <c r="M486" i="1"/>
  <c r="D435" i="1"/>
  <c r="D424" i="1"/>
  <c r="I212" i="10"/>
  <c r="B193" i="10" s="1"/>
  <c r="P612" i="1"/>
  <c r="T612" i="1" s="1"/>
  <c r="P126" i="1"/>
  <c r="P152" i="1"/>
  <c r="P510" i="1"/>
  <c r="G525" i="1"/>
  <c r="P585" i="1"/>
  <c r="P596" i="1"/>
  <c r="Q596" i="1" s="1"/>
  <c r="R596" i="1" s="1"/>
  <c r="G68" i="1"/>
  <c r="P28" i="1"/>
  <c r="G397" i="1"/>
  <c r="B446" i="1"/>
  <c r="D136" i="1"/>
  <c r="K435" i="1"/>
  <c r="M435" i="1" s="1"/>
  <c r="K496" i="1"/>
  <c r="M496" i="1" s="1"/>
  <c r="C425" i="1"/>
  <c r="P486" i="1"/>
  <c r="M423" i="1"/>
  <c r="P512" i="1"/>
  <c r="M412" i="1"/>
  <c r="P384" i="1"/>
  <c r="K411" i="1"/>
  <c r="M411" i="1" s="1"/>
  <c r="P405" i="1"/>
  <c r="D502" i="1"/>
  <c r="D506" i="1"/>
  <c r="N400" i="1"/>
  <c r="P400" i="1" s="1"/>
  <c r="T400" i="1" s="1"/>
  <c r="N429" i="1"/>
  <c r="P429" i="1" s="1"/>
  <c r="T429" i="1" s="1"/>
  <c r="D486" i="1"/>
  <c r="D500" i="1"/>
  <c r="M524" i="1"/>
  <c r="N448" i="1"/>
  <c r="P448" i="1" s="1"/>
  <c r="G481" i="1"/>
  <c r="D451" i="1"/>
  <c r="G485" i="1"/>
  <c r="G431" i="1"/>
  <c r="D386" i="1"/>
  <c r="H386" i="1" s="1"/>
  <c r="I386" i="1" s="1"/>
  <c r="P481" i="1"/>
  <c r="D512" i="1"/>
  <c r="M491" i="1"/>
  <c r="P431" i="1"/>
  <c r="D492" i="1"/>
  <c r="P491" i="1"/>
  <c r="P419" i="1"/>
  <c r="B184" i="5"/>
  <c r="B224" i="5"/>
  <c r="K208" i="5"/>
  <c r="D423" i="1"/>
  <c r="P397" i="1"/>
  <c r="B218" i="5"/>
  <c r="J234" i="9"/>
  <c r="C193" i="9" s="1"/>
  <c r="L422" i="1"/>
  <c r="M422" i="1" s="1"/>
  <c r="K221" i="5"/>
  <c r="B195" i="5"/>
  <c r="C224" i="5"/>
  <c r="G384" i="1"/>
  <c r="I234" i="9"/>
  <c r="B193" i="9" s="1"/>
  <c r="M603" i="1"/>
  <c r="P494" i="1"/>
  <c r="K187" i="5"/>
  <c r="B187" i="5"/>
  <c r="P145" i="1"/>
  <c r="M509" i="1"/>
  <c r="M248" i="1"/>
  <c r="M180" i="1"/>
  <c r="D144" i="1"/>
  <c r="D182" i="1"/>
  <c r="M113" i="1"/>
  <c r="D352" i="1"/>
  <c r="D237" i="1"/>
  <c r="P317" i="1"/>
  <c r="P409" i="1"/>
  <c r="P346" i="1"/>
  <c r="P561" i="1"/>
  <c r="D664" i="1"/>
  <c r="G351" i="1"/>
  <c r="P159" i="1"/>
  <c r="D171" i="1"/>
  <c r="G176" i="1"/>
  <c r="M129" i="1"/>
  <c r="P453" i="1"/>
  <c r="M172" i="1"/>
  <c r="Q172" i="1" s="1"/>
  <c r="R172" i="1" s="1"/>
  <c r="D172" i="1"/>
  <c r="N281" i="1"/>
  <c r="P614" i="1"/>
  <c r="M162" i="1"/>
  <c r="M243" i="1"/>
  <c r="M355" i="1"/>
  <c r="P246" i="1"/>
  <c r="E281" i="1"/>
  <c r="P174" i="1"/>
  <c r="D152" i="1"/>
  <c r="M432" i="1"/>
  <c r="M452" i="1"/>
  <c r="G666" i="1"/>
  <c r="D173" i="1"/>
  <c r="H173" i="1" s="1"/>
  <c r="I173" i="1" s="1"/>
  <c r="M401" i="1"/>
  <c r="M105" i="1"/>
  <c r="G235" i="1"/>
  <c r="M570" i="1"/>
  <c r="M151" i="1"/>
  <c r="D66" i="1"/>
  <c r="G250" i="1"/>
  <c r="T250" i="1" s="1"/>
  <c r="P112" i="1"/>
  <c r="D654" i="1"/>
  <c r="D655" i="1" s="1"/>
  <c r="D429" i="1"/>
  <c r="H429" i="1" s="1"/>
  <c r="I429" i="1" s="1"/>
  <c r="E184" i="8"/>
  <c r="D190" i="8"/>
  <c r="D221" i="8"/>
  <c r="I210" i="8"/>
  <c r="D188" i="8"/>
  <c r="N525" i="1"/>
  <c r="P525" i="1" s="1"/>
  <c r="D224" i="8"/>
  <c r="G577" i="1"/>
  <c r="I215" i="8"/>
  <c r="J198" i="8"/>
  <c r="M69" i="1"/>
  <c r="M124" i="1"/>
  <c r="G28" i="1"/>
  <c r="M567" i="1"/>
  <c r="M35" i="1"/>
  <c r="P613" i="1"/>
  <c r="P171" i="1"/>
  <c r="D141" i="1"/>
  <c r="G121" i="1"/>
  <c r="D493" i="1"/>
  <c r="D178" i="1"/>
  <c r="G155" i="1"/>
  <c r="M132" i="1"/>
  <c r="M453" i="1"/>
  <c r="G70" i="1"/>
  <c r="P154" i="1"/>
  <c r="D68" i="1"/>
  <c r="D573" i="1"/>
  <c r="P120" i="1"/>
  <c r="E284" i="1"/>
  <c r="D133" i="1"/>
  <c r="M390" i="1"/>
  <c r="P35" i="1"/>
  <c r="M436" i="1"/>
  <c r="D195" i="8"/>
  <c r="J187" i="8"/>
  <c r="I217" i="8"/>
  <c r="I221" i="8"/>
  <c r="J190" i="8"/>
  <c r="G605" i="1"/>
  <c r="D226" i="8"/>
  <c r="G510" i="1"/>
  <c r="I203" i="8"/>
  <c r="P104" i="1"/>
  <c r="E442" i="1"/>
  <c r="D235" i="8"/>
  <c r="K169" i="1"/>
  <c r="E191" i="8"/>
  <c r="D218" i="8"/>
  <c r="I208" i="8"/>
  <c r="D202" i="8"/>
  <c r="D225" i="8"/>
  <c r="D205" i="8"/>
  <c r="D198" i="8"/>
  <c r="G585" i="1"/>
  <c r="P131" i="1"/>
  <c r="D37" i="1"/>
  <c r="D183" i="8"/>
  <c r="G116" i="1"/>
  <c r="J193" i="8"/>
  <c r="G595" i="1"/>
  <c r="D222" i="8"/>
  <c r="G573" i="1"/>
  <c r="J182" i="8"/>
  <c r="G392" i="1"/>
  <c r="E208" i="8"/>
  <c r="J195" i="8"/>
  <c r="D184" i="8"/>
  <c r="D197" i="8"/>
  <c r="I223" i="8"/>
  <c r="D192" i="8"/>
  <c r="I193" i="8"/>
  <c r="D217" i="8"/>
  <c r="I198" i="8"/>
  <c r="I207" i="8"/>
  <c r="G115" i="1"/>
  <c r="E350" i="1"/>
  <c r="G350" i="1" s="1"/>
  <c r="N417" i="1"/>
  <c r="P417" i="1" s="1"/>
  <c r="G417" i="1"/>
  <c r="N493" i="1"/>
  <c r="P493" i="1" s="1"/>
  <c r="G493" i="1"/>
  <c r="D111" i="1"/>
  <c r="L571" i="1"/>
  <c r="M571" i="1" s="1"/>
  <c r="D571" i="1"/>
  <c r="O579" i="1"/>
  <c r="P579" i="1" s="1"/>
  <c r="G579" i="1"/>
  <c r="K438" i="1"/>
  <c r="M438" i="1" s="1"/>
  <c r="D438" i="1"/>
  <c r="O580" i="1"/>
  <c r="P580" i="1" s="1"/>
  <c r="G580" i="1"/>
  <c r="L481" i="1"/>
  <c r="M481" i="1" s="1"/>
  <c r="D481" i="1"/>
  <c r="D420" i="1"/>
  <c r="L420" i="1"/>
  <c r="M420" i="1" s="1"/>
  <c r="N406" i="1"/>
  <c r="P406" i="1" s="1"/>
  <c r="Q406" i="1" s="1"/>
  <c r="R406" i="1" s="1"/>
  <c r="G406" i="1"/>
  <c r="K353" i="1"/>
  <c r="M353" i="1" s="1"/>
  <c r="Q353" i="1" s="1"/>
  <c r="R353" i="1" s="1"/>
  <c r="M118" i="1"/>
  <c r="D443" i="1"/>
  <c r="P404" i="1"/>
  <c r="G404" i="1"/>
  <c r="E280" i="1"/>
  <c r="L347" i="1"/>
  <c r="M347" i="1" s="1"/>
  <c r="N485" i="1"/>
  <c r="P485" i="1" s="1"/>
  <c r="D583" i="1"/>
  <c r="K566" i="1"/>
  <c r="M566" i="1" s="1"/>
  <c r="D566" i="1"/>
  <c r="O436" i="1"/>
  <c r="P436" i="1" s="1"/>
  <c r="G436" i="1"/>
  <c r="N626" i="1"/>
  <c r="N629" i="1" s="1"/>
  <c r="E629" i="1"/>
  <c r="L561" i="1"/>
  <c r="M561" i="1" s="1"/>
  <c r="D561" i="1"/>
  <c r="O411" i="1"/>
  <c r="P411" i="1" s="1"/>
  <c r="G411" i="1"/>
  <c r="H411" i="1" s="1"/>
  <c r="I411" i="1" s="1"/>
  <c r="L604" i="1"/>
  <c r="M604" i="1" s="1"/>
  <c r="D604" i="1"/>
  <c r="L594" i="1"/>
  <c r="M594" i="1" s="1"/>
  <c r="D594" i="1"/>
  <c r="K606" i="1"/>
  <c r="M606" i="1" s="1"/>
  <c r="D606" i="1"/>
  <c r="L517" i="1"/>
  <c r="M517" i="1" s="1"/>
  <c r="D517" i="1"/>
  <c r="L513" i="1"/>
  <c r="M513" i="1" s="1"/>
  <c r="D513" i="1"/>
  <c r="G415" i="1"/>
  <c r="O415" i="1"/>
  <c r="P415" i="1" s="1"/>
  <c r="K572" i="1"/>
  <c r="M572" i="1" s="1"/>
  <c r="D572" i="1"/>
  <c r="B313" i="1"/>
  <c r="B349" i="1"/>
  <c r="D108" i="1"/>
  <c r="H108" i="1" s="1"/>
  <c r="I108" i="1" s="1"/>
  <c r="E532" i="1"/>
  <c r="D433" i="1"/>
  <c r="F442" i="1"/>
  <c r="D432" i="1"/>
  <c r="D453" i="1"/>
  <c r="D491" i="1"/>
  <c r="E316" i="1"/>
  <c r="G316" i="1" s="1"/>
  <c r="G517" i="1"/>
  <c r="K573" i="1"/>
  <c r="M573" i="1" s="1"/>
  <c r="G453" i="1"/>
  <c r="O627" i="1"/>
  <c r="P627" i="1" s="1"/>
  <c r="G627" i="1"/>
  <c r="K309" i="1"/>
  <c r="M309" i="1" s="1"/>
  <c r="M100" i="1"/>
  <c r="K440" i="1"/>
  <c r="M440" i="1" s="1"/>
  <c r="D440" i="1"/>
  <c r="K427" i="1"/>
  <c r="M427" i="1" s="1"/>
  <c r="D427" i="1"/>
  <c r="E169" i="1"/>
  <c r="N447" i="1"/>
  <c r="P447" i="1" s="1"/>
  <c r="G447" i="1"/>
  <c r="O455" i="1"/>
  <c r="G171" i="1"/>
  <c r="K585" i="1"/>
  <c r="M585" i="1" s="1"/>
  <c r="D585" i="1"/>
  <c r="D503" i="1"/>
  <c r="L503" i="1"/>
  <c r="M503" i="1" s="1"/>
  <c r="N311" i="1"/>
  <c r="P311" i="1" s="1"/>
  <c r="P102" i="1"/>
  <c r="C280" i="1"/>
  <c r="D122" i="1"/>
  <c r="O620" i="1"/>
  <c r="P620" i="1" s="1"/>
  <c r="Q620" i="1" s="1"/>
  <c r="G620" i="1"/>
  <c r="O516" i="1"/>
  <c r="P516" i="1" s="1"/>
  <c r="Q516" i="1" s="1"/>
  <c r="R516" i="1" s="1"/>
  <c r="G516" i="1"/>
  <c r="P517" i="1"/>
  <c r="M122" i="1"/>
  <c r="D401" i="1"/>
  <c r="G614" i="1"/>
  <c r="K493" i="1"/>
  <c r="M493" i="1" s="1"/>
  <c r="M138" i="1"/>
  <c r="L399" i="1"/>
  <c r="M399" i="1" s="1"/>
  <c r="D399" i="1"/>
  <c r="G626" i="1"/>
  <c r="L529" i="1"/>
  <c r="L532" i="1" s="1"/>
  <c r="C532" i="1"/>
  <c r="G657" i="1"/>
  <c r="E347" i="1"/>
  <c r="G347" i="1" s="1"/>
  <c r="G105" i="1"/>
  <c r="P124" i="1"/>
  <c r="D452" i="1"/>
  <c r="N528" i="1"/>
  <c r="N532" i="1" s="1"/>
  <c r="M102" i="1"/>
  <c r="L280" i="1"/>
  <c r="P118" i="1"/>
  <c r="K612" i="1"/>
  <c r="M612" i="1" s="1"/>
  <c r="D612" i="1"/>
  <c r="L589" i="1"/>
  <c r="M589" i="1" s="1"/>
  <c r="D589" i="1"/>
  <c r="D29" i="1"/>
  <c r="E318" i="1"/>
  <c r="G318" i="1" s="1"/>
  <c r="G136" i="1"/>
  <c r="G603" i="1"/>
  <c r="G593" i="1"/>
  <c r="D393" i="1"/>
  <c r="G503" i="1"/>
  <c r="D131" i="1"/>
  <c r="K418" i="1"/>
  <c r="M418" i="1" s="1"/>
  <c r="D418" i="1"/>
  <c r="L405" i="1"/>
  <c r="M405" i="1" s="1"/>
  <c r="D405" i="1"/>
  <c r="L445" i="1"/>
  <c r="M445" i="1" s="1"/>
  <c r="D445" i="1"/>
  <c r="K398" i="1"/>
  <c r="M398" i="1" s="1"/>
  <c r="D398" i="1"/>
  <c r="L584" i="1"/>
  <c r="M584" i="1" s="1"/>
  <c r="D584" i="1"/>
  <c r="O441" i="1"/>
  <c r="P441" i="1" s="1"/>
  <c r="G441" i="1"/>
  <c r="D567" i="1"/>
  <c r="O514" i="1"/>
  <c r="P514" i="1" s="1"/>
  <c r="G514" i="1"/>
  <c r="N518" i="1"/>
  <c r="P518" i="1" s="1"/>
  <c r="G518" i="1"/>
  <c r="D407" i="1"/>
  <c r="D441" i="1"/>
  <c r="N444" i="1"/>
  <c r="P444" i="1" s="1"/>
  <c r="G613" i="1"/>
  <c r="G606" i="1"/>
  <c r="D529" i="1"/>
  <c r="P563" i="1"/>
  <c r="D430" i="1"/>
  <c r="K177" i="1"/>
  <c r="P355" i="1"/>
  <c r="G661" i="1"/>
  <c r="D148" i="1"/>
  <c r="P166" i="1"/>
  <c r="P309" i="1"/>
  <c r="M565" i="1"/>
  <c r="D151" i="1"/>
  <c r="D163" i="1"/>
  <c r="D666" i="1"/>
  <c r="M64" i="1"/>
  <c r="N284" i="1"/>
  <c r="C282" i="1"/>
  <c r="M163" i="1"/>
  <c r="G656" i="1"/>
  <c r="G664" i="1"/>
  <c r="P243" i="1"/>
  <c r="P65" i="1"/>
  <c r="D164" i="1"/>
  <c r="G440" i="1"/>
  <c r="M237" i="1"/>
  <c r="P403" i="1"/>
  <c r="G72" i="1"/>
  <c r="G667" i="1"/>
  <c r="M157" i="1"/>
  <c r="D150" i="1"/>
  <c r="H150" i="1" s="1"/>
  <c r="I150" i="1" s="1"/>
  <c r="G145" i="1"/>
  <c r="H145" i="1" s="1"/>
  <c r="I145" i="1" s="1"/>
  <c r="M171" i="1"/>
  <c r="G237" i="1"/>
  <c r="M617" i="1"/>
  <c r="G166" i="1"/>
  <c r="D34" i="1"/>
  <c r="P173" i="1"/>
  <c r="M488" i="1"/>
  <c r="G243" i="1"/>
  <c r="D663" i="1"/>
  <c r="G662" i="1"/>
  <c r="G663" i="1"/>
  <c r="D248" i="1"/>
  <c r="G252" i="1"/>
  <c r="T252" i="1" s="1"/>
  <c r="G163" i="1"/>
  <c r="C67" i="1"/>
  <c r="G126" i="1"/>
  <c r="G34" i="1"/>
  <c r="D109" i="1"/>
  <c r="G31" i="1"/>
  <c r="H31" i="1" s="1"/>
  <c r="I31" i="1" s="1"/>
  <c r="G409" i="1"/>
  <c r="G158" i="1"/>
  <c r="P143" i="1"/>
  <c r="G561" i="1"/>
  <c r="M583" i="1"/>
  <c r="E38" i="1"/>
  <c r="P574" i="1"/>
  <c r="Q574" i="1" s="1"/>
  <c r="R574" i="1" s="1"/>
  <c r="M170" i="1"/>
  <c r="G353" i="1"/>
  <c r="G495" i="1"/>
  <c r="G234" i="1"/>
  <c r="M149" i="1"/>
  <c r="P170" i="1"/>
  <c r="M439" i="1"/>
  <c r="G130" i="1"/>
  <c r="E224" i="8"/>
  <c r="D196" i="8"/>
  <c r="D216" i="8"/>
  <c r="P155" i="1"/>
  <c r="Q155" i="1" s="1"/>
  <c r="R155" i="1" s="1"/>
  <c r="M483" i="1"/>
  <c r="G488" i="1"/>
  <c r="M510" i="1"/>
  <c r="M444" i="1"/>
  <c r="D563" i="1"/>
  <c r="B181" i="1"/>
  <c r="G563" i="1"/>
  <c r="D125" i="1"/>
  <c r="D670" i="1"/>
  <c r="G149" i="1"/>
  <c r="G247" i="1"/>
  <c r="G144" i="1"/>
  <c r="D252" i="1"/>
  <c r="P163" i="1"/>
  <c r="M104" i="1"/>
  <c r="M135" i="1"/>
  <c r="M200" i="1"/>
  <c r="G412" i="1"/>
  <c r="P107" i="1"/>
  <c r="G156" i="1"/>
  <c r="G251" i="1"/>
  <c r="M430" i="1"/>
  <c r="P489" i="1"/>
  <c r="P593" i="1"/>
  <c r="M393" i="1"/>
  <c r="J224" i="8"/>
  <c r="P503" i="1"/>
  <c r="G314" i="1"/>
  <c r="G128" i="1"/>
  <c r="T128" i="1" s="1"/>
  <c r="G110" i="1"/>
  <c r="N314" i="1"/>
  <c r="P314" i="1" s="1"/>
  <c r="P110" i="1"/>
  <c r="O608" i="1"/>
  <c r="O619" i="1" s="1"/>
  <c r="G608" i="1"/>
  <c r="N623" i="1"/>
  <c r="P623" i="1" s="1"/>
  <c r="G623" i="1"/>
  <c r="K485" i="1"/>
  <c r="M485" i="1" s="1"/>
  <c r="D485" i="1"/>
  <c r="L577" i="1"/>
  <c r="M577" i="1" s="1"/>
  <c r="D577" i="1"/>
  <c r="N622" i="1"/>
  <c r="P622" i="1" s="1"/>
  <c r="G622" i="1"/>
  <c r="N621" i="1"/>
  <c r="P621" i="1" s="1"/>
  <c r="E625" i="1"/>
  <c r="G134" i="1"/>
  <c r="F283" i="1"/>
  <c r="O383" i="1"/>
  <c r="P383" i="1" s="1"/>
  <c r="G383" i="1"/>
  <c r="N508" i="1"/>
  <c r="P508" i="1" s="1"/>
  <c r="G508" i="1"/>
  <c r="F655" i="1"/>
  <c r="G654" i="1"/>
  <c r="G655" i="1" s="1"/>
  <c r="L428" i="1"/>
  <c r="M428" i="1" s="1"/>
  <c r="D428" i="1"/>
  <c r="N401" i="1"/>
  <c r="P401" i="1" s="1"/>
  <c r="G401" i="1"/>
  <c r="M166" i="1"/>
  <c r="O568" i="1"/>
  <c r="P568" i="1" s="1"/>
  <c r="G568" i="1"/>
  <c r="N500" i="1"/>
  <c r="P500" i="1" s="1"/>
  <c r="Q500" i="1" s="1"/>
  <c r="R500" i="1" s="1"/>
  <c r="G500" i="1"/>
  <c r="D495" i="1"/>
  <c r="K495" i="1"/>
  <c r="M495" i="1" s="1"/>
  <c r="G507" i="1"/>
  <c r="N507" i="1"/>
  <c r="P507" i="1" s="1"/>
  <c r="N282" i="1"/>
  <c r="L533" i="1"/>
  <c r="C536" i="1"/>
  <c r="D533" i="1"/>
  <c r="H533" i="1" s="1"/>
  <c r="I533" i="1" s="1"/>
  <c r="N439" i="1"/>
  <c r="P439" i="1" s="1"/>
  <c r="G439" i="1"/>
  <c r="O571" i="1"/>
  <c r="P571" i="1" s="1"/>
  <c r="G571" i="1"/>
  <c r="P248" i="1"/>
  <c r="O253" i="1"/>
  <c r="P573" i="1"/>
  <c r="B280" i="1"/>
  <c r="D142" i="1"/>
  <c r="N394" i="1"/>
  <c r="P394" i="1" s="1"/>
  <c r="G394" i="1"/>
  <c r="F282" i="1"/>
  <c r="F317" i="1"/>
  <c r="G317" i="1" s="1"/>
  <c r="N598" i="1"/>
  <c r="P598" i="1" s="1"/>
  <c r="G598" i="1"/>
  <c r="K615" i="1"/>
  <c r="M615" i="1" s="1"/>
  <c r="D615" i="1"/>
  <c r="N424" i="1"/>
  <c r="P424" i="1" s="1"/>
  <c r="G424" i="1"/>
  <c r="G621" i="1"/>
  <c r="G138" i="1"/>
  <c r="D605" i="1"/>
  <c r="D383" i="1"/>
  <c r="G403" i="1"/>
  <c r="D143" i="1"/>
  <c r="L313" i="1"/>
  <c r="M313" i="1" s="1"/>
  <c r="L349" i="1"/>
  <c r="G69" i="1"/>
  <c r="E73" i="1"/>
  <c r="M383" i="1"/>
  <c r="K278" i="1"/>
  <c r="P138" i="1"/>
  <c r="D579" i="1"/>
  <c r="D488" i="1"/>
  <c r="G427" i="1"/>
  <c r="N615" i="1"/>
  <c r="P615" i="1" s="1"/>
  <c r="G615" i="1"/>
  <c r="O492" i="1"/>
  <c r="P492" i="1" s="1"/>
  <c r="G492" i="1"/>
  <c r="F671" i="1"/>
  <c r="G670" i="1"/>
  <c r="G396" i="1"/>
  <c r="M419" i="1"/>
  <c r="N440" i="1"/>
  <c r="P440" i="1" s="1"/>
  <c r="M579" i="1"/>
  <c r="G609" i="1"/>
  <c r="T609" i="1" s="1"/>
  <c r="F312" i="1"/>
  <c r="G312" i="1" s="1"/>
  <c r="F345" i="1"/>
  <c r="O583" i="1"/>
  <c r="P583" i="1" s="1"/>
  <c r="G583" i="1"/>
  <c r="N616" i="1"/>
  <c r="P616" i="1" s="1"/>
  <c r="G616" i="1"/>
  <c r="D415" i="1"/>
  <c r="D419" i="1"/>
  <c r="M117" i="1"/>
  <c r="P117" i="1"/>
  <c r="D414" i="1"/>
  <c r="G100" i="1"/>
  <c r="O282" i="1"/>
  <c r="D511" i="1"/>
  <c r="D117" i="1"/>
  <c r="N253" i="1"/>
  <c r="P251" i="1"/>
  <c r="D613" i="1"/>
  <c r="M415" i="1"/>
  <c r="G426" i="1"/>
  <c r="D565" i="1"/>
  <c r="M414" i="1"/>
  <c r="G309" i="1"/>
  <c r="P392" i="1"/>
  <c r="P247" i="1"/>
  <c r="P566" i="1"/>
  <c r="P235" i="1"/>
  <c r="D243" i="1"/>
  <c r="D130" i="1"/>
  <c r="G66" i="1"/>
  <c r="M605" i="1"/>
  <c r="D562" i="1"/>
  <c r="P483" i="1"/>
  <c r="G628" i="1"/>
  <c r="N177" i="1"/>
  <c r="D105" i="1"/>
  <c r="M581" i="1"/>
  <c r="N245" i="1"/>
  <c r="M392" i="1"/>
  <c r="D157" i="1"/>
  <c r="M408" i="1"/>
  <c r="P497" i="1"/>
  <c r="D351" i="1"/>
  <c r="D165" i="1"/>
  <c r="M576" i="1"/>
  <c r="M173" i="1"/>
  <c r="M628" i="1"/>
  <c r="G120" i="1"/>
  <c r="D353" i="1"/>
  <c r="P428" i="1"/>
  <c r="P418" i="1"/>
  <c r="M316" i="1"/>
  <c r="P506" i="1"/>
  <c r="Q506" i="1" s="1"/>
  <c r="R506" i="1" s="1"/>
  <c r="M63" i="1"/>
  <c r="K67" i="1"/>
  <c r="M133" i="1"/>
  <c r="Q133" i="1" s="1"/>
  <c r="R133" i="1" s="1"/>
  <c r="F668" i="1"/>
  <c r="P567" i="1"/>
  <c r="M174" i="1"/>
  <c r="O38" i="1"/>
  <c r="D162" i="1"/>
  <c r="D350" i="1"/>
  <c r="P449" i="1"/>
  <c r="D120" i="1"/>
  <c r="K284" i="1"/>
  <c r="M246" i="1"/>
  <c r="P521" i="1"/>
  <c r="G596" i="1"/>
  <c r="L253" i="1"/>
  <c r="E278" i="1"/>
  <c r="N280" i="1"/>
  <c r="O146" i="1"/>
  <c r="G435" i="1"/>
  <c r="P125" i="1"/>
  <c r="M395" i="1"/>
  <c r="O181" i="1"/>
  <c r="D526" i="1"/>
  <c r="D175" i="1"/>
  <c r="E668" i="1"/>
  <c r="M66" i="1"/>
  <c r="P530" i="1"/>
  <c r="P157" i="1"/>
  <c r="P148" i="1"/>
  <c r="N181" i="1"/>
  <c r="P387" i="1"/>
  <c r="G159" i="1"/>
  <c r="D355" i="1"/>
  <c r="P29" i="1"/>
  <c r="C668" i="1"/>
  <c r="B67" i="1"/>
  <c r="G174" i="1"/>
  <c r="P611" i="1"/>
  <c r="P147" i="1"/>
  <c r="M140" i="1"/>
  <c r="D242" i="1"/>
  <c r="H242" i="1" s="1"/>
  <c r="I242" i="1" s="1"/>
  <c r="D161" i="1"/>
  <c r="D412" i="1"/>
  <c r="G140" i="1"/>
  <c r="P414" i="1"/>
  <c r="C245" i="1"/>
  <c r="G33" i="1"/>
  <c r="H33" i="1" s="1"/>
  <c r="I33" i="1" s="1"/>
  <c r="P179" i="1"/>
  <c r="M161" i="1"/>
  <c r="E181" i="1"/>
  <c r="G602" i="1"/>
  <c r="K73" i="1"/>
  <c r="M519" i="1"/>
  <c r="G107" i="1"/>
  <c r="F625" i="1"/>
  <c r="D667" i="1"/>
  <c r="M141" i="1"/>
  <c r="P591" i="1"/>
  <c r="G147" i="1"/>
  <c r="G572" i="1"/>
  <c r="M159" i="1"/>
  <c r="M315" i="1"/>
  <c r="P390" i="1"/>
  <c r="D28" i="1"/>
  <c r="P624" i="1"/>
  <c r="G355" i="1"/>
  <c r="P595" i="1"/>
  <c r="P408" i="1"/>
  <c r="O435" i="1"/>
  <c r="P435" i="1" s="1"/>
  <c r="M504" i="1"/>
  <c r="D603" i="1"/>
  <c r="D431" i="1"/>
  <c r="K346" i="1"/>
  <c r="M346" i="1" s="1"/>
  <c r="G591" i="1"/>
  <c r="F38" i="1"/>
  <c r="L563" i="1"/>
  <c r="D422" i="1"/>
  <c r="P594" i="1"/>
  <c r="N572" i="1"/>
  <c r="P572" i="1" s="1"/>
  <c r="L67" i="1"/>
  <c r="P454" i="1"/>
  <c r="G530" i="1"/>
  <c r="D521" i="1"/>
  <c r="L169" i="1"/>
  <c r="K283" i="1"/>
  <c r="P524" i="1"/>
  <c r="P109" i="1"/>
  <c r="P509" i="1"/>
  <c r="P496" i="1"/>
  <c r="M130" i="1"/>
  <c r="D36" i="1"/>
  <c r="G178" i="1"/>
  <c r="M498" i="1"/>
  <c r="G454" i="1"/>
  <c r="B73" i="1"/>
  <c r="M125" i="1"/>
  <c r="D140" i="1"/>
  <c r="G35" i="1"/>
  <c r="G624" i="1"/>
  <c r="M417" i="1"/>
  <c r="F532" i="1"/>
  <c r="D180" i="1"/>
  <c r="G387" i="1"/>
  <c r="T387" i="1" s="1"/>
  <c r="G137" i="1"/>
  <c r="K526" i="1"/>
  <c r="M526" i="1" s="1"/>
  <c r="G445" i="1"/>
  <c r="D509" i="1"/>
  <c r="P581" i="1"/>
  <c r="G390" i="1"/>
  <c r="D238" i="1"/>
  <c r="D191" i="8"/>
  <c r="E310" i="1"/>
  <c r="G310" i="1" s="1"/>
  <c r="E182" i="8"/>
  <c r="O602" i="1"/>
  <c r="P602" i="1" s="1"/>
  <c r="G414" i="1"/>
  <c r="G592" i="1"/>
  <c r="F200" i="8"/>
  <c r="F446" i="1"/>
  <c r="M407" i="1"/>
  <c r="D395" i="1"/>
  <c r="D384" i="1"/>
  <c r="D417" i="1"/>
  <c r="D387" i="1"/>
  <c r="D575" i="1"/>
  <c r="G521" i="1"/>
  <c r="D138" i="1"/>
  <c r="M70" i="1"/>
  <c r="D621" i="1"/>
  <c r="G452" i="1"/>
  <c r="M150" i="1"/>
  <c r="P129" i="1"/>
  <c r="P180" i="1"/>
  <c r="G382" i="1"/>
  <c r="D450" i="1"/>
  <c r="G443" i="1"/>
  <c r="M101" i="1"/>
  <c r="N412" i="1"/>
  <c r="P412" i="1" s="1"/>
  <c r="G398" i="1"/>
  <c r="G567" i="1"/>
  <c r="G402" i="1"/>
  <c r="T402" i="1" s="1"/>
  <c r="D525" i="1"/>
  <c r="D518" i="1"/>
  <c r="G410" i="1"/>
  <c r="P452" i="1"/>
  <c r="P34" i="1"/>
  <c r="M387" i="1"/>
  <c r="G611" i="1"/>
  <c r="K312" i="1"/>
  <c r="M312" i="1" s="1"/>
  <c r="M575" i="1"/>
  <c r="K345" i="1"/>
  <c r="D489" i="1"/>
  <c r="G512" i="1"/>
  <c r="D510" i="1"/>
  <c r="M591" i="1"/>
  <c r="F455" i="1"/>
  <c r="G528" i="1"/>
  <c r="G581" i="1"/>
  <c r="G451" i="1"/>
  <c r="G36" i="1"/>
  <c r="G494" i="1"/>
  <c r="D569" i="1"/>
  <c r="G576" i="1"/>
  <c r="G449" i="1"/>
  <c r="P178" i="1"/>
  <c r="D483" i="1"/>
  <c r="G588" i="1"/>
  <c r="B425" i="1"/>
  <c r="P398" i="1"/>
  <c r="M518" i="1"/>
  <c r="P410" i="1"/>
  <c r="D592" i="1"/>
  <c r="D311" i="1"/>
  <c r="D454" i="1"/>
  <c r="D447" i="1"/>
  <c r="E146" i="1"/>
  <c r="M521" i="1"/>
  <c r="P526" i="1"/>
  <c r="Q526" i="1" s="1"/>
  <c r="R526" i="1" s="1"/>
  <c r="G486" i="1"/>
  <c r="D404" i="1"/>
  <c r="O349" i="1"/>
  <c r="M523" i="1"/>
  <c r="K253" i="1"/>
  <c r="D102" i="1"/>
  <c r="F73" i="1"/>
  <c r="G578" i="1"/>
  <c r="D212" i="8"/>
  <c r="P576" i="1"/>
  <c r="E203" i="8"/>
  <c r="D444" i="1"/>
  <c r="M34" i="1"/>
  <c r="L146" i="1"/>
  <c r="P534" i="1"/>
  <c r="M514" i="1"/>
  <c r="G175" i="1"/>
  <c r="M154" i="1"/>
  <c r="M413" i="1"/>
  <c r="G526" i="1"/>
  <c r="M525" i="1"/>
  <c r="G496" i="1"/>
  <c r="H496" i="1" s="1"/>
  <c r="I496" i="1" s="1"/>
  <c r="D523" i="1"/>
  <c r="D63" i="1"/>
  <c r="G408" i="1"/>
  <c r="M454" i="1"/>
  <c r="D409" i="1"/>
  <c r="M621" i="1"/>
  <c r="M404" i="1"/>
  <c r="G506" i="1"/>
  <c r="G594" i="1"/>
  <c r="E446" i="1"/>
  <c r="D519" i="1"/>
  <c r="D227" i="8"/>
  <c r="D616" i="1"/>
  <c r="D115" i="1"/>
  <c r="M106" i="1"/>
  <c r="D231" i="8"/>
  <c r="G141" i="1"/>
  <c r="M501" i="1"/>
  <c r="Q501" i="1" s="1"/>
  <c r="R501" i="1" s="1"/>
  <c r="E421" i="1"/>
  <c r="N160" i="1"/>
  <c r="G63" i="1"/>
  <c r="D659" i="1"/>
  <c r="H659" i="1" s="1"/>
  <c r="I659" i="1" s="1"/>
  <c r="G161" i="1"/>
  <c r="P432" i="1"/>
  <c r="E283" i="1"/>
  <c r="M65" i="1"/>
  <c r="P153" i="1"/>
  <c r="F160" i="1"/>
  <c r="M586" i="1"/>
  <c r="P393" i="1"/>
  <c r="O279" i="1"/>
  <c r="N67" i="1"/>
  <c r="C253" i="1"/>
  <c r="M416" i="1"/>
  <c r="M484" i="1"/>
  <c r="M397" i="1"/>
  <c r="K245" i="1"/>
  <c r="P396" i="1"/>
  <c r="K181" i="1"/>
  <c r="C607" i="1"/>
  <c r="C671" i="1"/>
  <c r="L73" i="1"/>
  <c r="E671" i="1"/>
  <c r="B283" i="1"/>
  <c r="K320" i="1"/>
  <c r="B532" i="1"/>
  <c r="E282" i="1"/>
  <c r="M384" i="1"/>
  <c r="P162" i="1"/>
  <c r="M165" i="1"/>
  <c r="C177" i="1"/>
  <c r="D236" i="1"/>
  <c r="G246" i="1"/>
  <c r="H246" i="1" s="1"/>
  <c r="I246" i="1" s="1"/>
  <c r="P63" i="1"/>
  <c r="P588" i="1"/>
  <c r="O160" i="1"/>
  <c r="P312" i="1"/>
  <c r="P164" i="1"/>
  <c r="C146" i="1"/>
  <c r="G489" i="1"/>
  <c r="M28" i="1"/>
  <c r="M409" i="1"/>
  <c r="E67" i="1"/>
  <c r="P158" i="1"/>
  <c r="P395" i="1"/>
  <c r="D119" i="1"/>
  <c r="G143" i="1"/>
  <c r="D504" i="1"/>
  <c r="M490" i="1"/>
  <c r="G109" i="1"/>
  <c r="P316" i="1"/>
  <c r="N73" i="1"/>
  <c r="P113" i="1"/>
  <c r="P237" i="1"/>
  <c r="G113" i="1"/>
  <c r="D176" i="1"/>
  <c r="P135" i="1"/>
  <c r="F619" i="1"/>
  <c r="M121" i="1"/>
  <c r="M568" i="1"/>
  <c r="D247" i="1"/>
  <c r="M449" i="1"/>
  <c r="B527" i="1"/>
  <c r="B442" i="1"/>
  <c r="P416" i="1"/>
  <c r="B208" i="5"/>
  <c r="K195" i="5"/>
  <c r="B190" i="5"/>
  <c r="D397" i="1"/>
  <c r="B146" i="1"/>
  <c r="G520" i="1"/>
  <c r="L224" i="5"/>
  <c r="B221" i="5"/>
  <c r="E357" i="1"/>
  <c r="N495" i="1"/>
  <c r="P495" i="1" s="1"/>
  <c r="D497" i="1"/>
  <c r="C629" i="1"/>
  <c r="M582" i="1"/>
  <c r="G584" i="1"/>
  <c r="G102" i="1"/>
  <c r="D530" i="1"/>
  <c r="M145" i="1"/>
  <c r="G148" i="1"/>
  <c r="M131" i="1"/>
  <c r="M115" i="1"/>
  <c r="G135" i="1"/>
  <c r="K282" i="1"/>
  <c r="P151" i="1"/>
  <c r="P122" i="1"/>
  <c r="D611" i="1"/>
  <c r="G502" i="1"/>
  <c r="E425" i="1"/>
  <c r="M71" i="1"/>
  <c r="G418" i="1"/>
  <c r="D392" i="1"/>
  <c r="G407" i="1"/>
  <c r="M497" i="1"/>
  <c r="L626" i="1"/>
  <c r="C279" i="1"/>
  <c r="P584" i="1"/>
  <c r="B629" i="1"/>
  <c r="K530" i="1"/>
  <c r="M530" i="1" s="1"/>
  <c r="L283" i="1"/>
  <c r="B668" i="1"/>
  <c r="M350" i="1"/>
  <c r="G32" i="1"/>
  <c r="C38" i="1"/>
  <c r="G419" i="1"/>
  <c r="D505" i="1"/>
  <c r="O177" i="1"/>
  <c r="G118" i="1"/>
  <c r="P315" i="1"/>
  <c r="P502" i="1"/>
  <c r="D170" i="1"/>
  <c r="P175" i="1"/>
  <c r="D628" i="1"/>
  <c r="B278" i="1"/>
  <c r="B191" i="5"/>
  <c r="K190" i="5"/>
  <c r="F139" i="1"/>
  <c r="C437" i="1"/>
  <c r="G389" i="1"/>
  <c r="G399" i="1"/>
  <c r="G491" i="1"/>
  <c r="D599" i="1"/>
  <c r="D116" i="1"/>
  <c r="L177" i="1"/>
  <c r="L160" i="1"/>
  <c r="D498" i="1"/>
  <c r="D490" i="1"/>
  <c r="B253" i="1"/>
  <c r="K281" i="1"/>
  <c r="G388" i="1"/>
  <c r="T388" i="1" s="1"/>
  <c r="G395" i="1"/>
  <c r="D416" i="1"/>
  <c r="D410" i="1"/>
  <c r="G524" i="1"/>
  <c r="G564" i="1"/>
  <c r="P150" i="1"/>
  <c r="T150" i="1" s="1"/>
  <c r="O345" i="1"/>
  <c r="D524" i="1"/>
  <c r="P108" i="1"/>
  <c r="T108" i="1" s="1"/>
  <c r="G346" i="1"/>
  <c r="B455" i="1"/>
  <c r="D403" i="1"/>
  <c r="K191" i="5"/>
  <c r="K184" i="5"/>
  <c r="K218" i="5"/>
  <c r="K279" i="1"/>
  <c r="K223" i="5"/>
  <c r="D522" i="1"/>
  <c r="D71" i="1"/>
  <c r="N399" i="1"/>
  <c r="P399" i="1" s="1"/>
  <c r="M599" i="1"/>
  <c r="G504" i="1"/>
  <c r="B193" i="5"/>
  <c r="D581" i="1"/>
  <c r="E619" i="1"/>
  <c r="D570" i="1"/>
  <c r="D602" i="1"/>
  <c r="D576" i="1"/>
  <c r="B347" i="1"/>
  <c r="D347" i="1" s="1"/>
  <c r="L284" i="1"/>
  <c r="D568" i="1"/>
  <c r="F181" i="1"/>
  <c r="M410" i="1"/>
  <c r="M127" i="1"/>
  <c r="P604" i="1"/>
  <c r="P564" i="1"/>
  <c r="G483" i="1"/>
  <c r="D118" i="1"/>
  <c r="G669" i="1"/>
  <c r="D439" i="1"/>
  <c r="C527" i="1"/>
  <c r="G487" i="1"/>
  <c r="D110" i="1"/>
  <c r="F284" i="1"/>
  <c r="N349" i="1"/>
  <c r="M119" i="1"/>
  <c r="M403" i="1"/>
  <c r="M391" i="1"/>
  <c r="C36" i="2"/>
  <c r="K139" i="1"/>
  <c r="D36" i="2"/>
  <c r="K522" i="1"/>
  <c r="M522" i="1" s="1"/>
  <c r="M111" i="1"/>
  <c r="P69" i="1"/>
  <c r="D449" i="1"/>
  <c r="G574" i="1"/>
  <c r="P504" i="1"/>
  <c r="N320" i="1"/>
  <c r="B607" i="1"/>
  <c r="O278" i="1"/>
  <c r="M520" i="1"/>
  <c r="C446" i="1"/>
  <c r="D578" i="1"/>
  <c r="M602" i="1"/>
  <c r="D499" i="1"/>
  <c r="G569" i="1"/>
  <c r="T569" i="1" s="1"/>
  <c r="G132" i="1"/>
  <c r="G393" i="1"/>
  <c r="G604" i="1"/>
  <c r="F527" i="1"/>
  <c r="G428" i="1"/>
  <c r="D586" i="1"/>
  <c r="G65" i="1"/>
  <c r="E607" i="1"/>
  <c r="G575" i="1"/>
  <c r="D520" i="1"/>
  <c r="G509" i="1"/>
  <c r="P115" i="1"/>
  <c r="C455" i="1"/>
  <c r="M578" i="1"/>
  <c r="M179" i="1"/>
  <c r="G599" i="1"/>
  <c r="G497" i="1"/>
  <c r="D501" i="1"/>
  <c r="C442" i="1"/>
  <c r="P33" i="1"/>
  <c r="G238" i="1"/>
  <c r="C283" i="1"/>
  <c r="D669" i="1"/>
  <c r="D434" i="1"/>
  <c r="D391" i="1"/>
  <c r="B25" i="2"/>
  <c r="K357" i="1"/>
  <c r="D484" i="1"/>
  <c r="D408" i="1"/>
  <c r="M434" i="1"/>
  <c r="E139" i="1"/>
  <c r="B202" i="5"/>
  <c r="J212" i="10"/>
  <c r="C193" i="10" s="1"/>
  <c r="P575" i="1"/>
  <c r="E279" i="1"/>
  <c r="M136" i="1"/>
  <c r="D601" i="1"/>
  <c r="G586" i="1"/>
  <c r="C345" i="1"/>
  <c r="D345" i="1" s="1"/>
  <c r="L601" i="1"/>
  <c r="M601" i="1" s="1"/>
  <c r="B223" i="5"/>
  <c r="F629" i="1"/>
  <c r="P103" i="1"/>
  <c r="G610" i="1"/>
  <c r="P599" i="1"/>
  <c r="D480" i="1"/>
  <c r="P127" i="1"/>
  <c r="C169" i="1"/>
  <c r="P119" i="1"/>
  <c r="C284" i="1"/>
  <c r="D127" i="1"/>
  <c r="C281" i="1"/>
  <c r="F169" i="1"/>
  <c r="D132" i="1"/>
  <c r="F313" i="1"/>
  <c r="G313" i="1" s="1"/>
  <c r="N278" i="1"/>
  <c r="D314" i="1"/>
  <c r="P100" i="1"/>
  <c r="M108" i="1"/>
  <c r="G103" i="1"/>
  <c r="M110" i="1"/>
  <c r="G104" i="1"/>
  <c r="J204" i="8"/>
  <c r="D186" i="8"/>
  <c r="E202" i="8"/>
  <c r="B186" i="5"/>
  <c r="I197" i="8"/>
  <c r="D25" i="2"/>
  <c r="C11" i="2"/>
  <c r="D14" i="2"/>
  <c r="K204" i="5"/>
  <c r="E11" i="2"/>
  <c r="C25" i="2"/>
  <c r="K198" i="5"/>
  <c r="D11" i="2"/>
  <c r="B11" i="2"/>
  <c r="E36" i="2"/>
  <c r="B36" i="2"/>
  <c r="E14" i="2"/>
  <c r="B14" i="2"/>
  <c r="K224" i="5"/>
  <c r="C182" i="5"/>
  <c r="B203" i="5"/>
  <c r="B204" i="5"/>
  <c r="E200" i="5"/>
  <c r="B125" i="9" s="1"/>
  <c r="L182" i="5"/>
  <c r="D167" i="1"/>
  <c r="O283" i="1"/>
  <c r="M614" i="1"/>
  <c r="E160" i="1"/>
  <c r="K160" i="1"/>
  <c r="F146" i="1"/>
  <c r="O284" i="1"/>
  <c r="P590" i="1"/>
  <c r="M37" i="1"/>
  <c r="P535" i="1"/>
  <c r="P499" i="1"/>
  <c r="K203" i="5"/>
  <c r="B231" i="5"/>
  <c r="K202" i="5"/>
  <c r="D187" i="8"/>
  <c r="I231" i="8"/>
  <c r="I191" i="8"/>
  <c r="D204" i="8"/>
  <c r="I204" i="8"/>
  <c r="I186" i="8"/>
  <c r="S177" i="4"/>
  <c r="V177" i="4" s="1"/>
  <c r="P168" i="1"/>
  <c r="K280" i="1"/>
  <c r="C73" i="1"/>
  <c r="M235" i="1"/>
  <c r="E455" i="1"/>
  <c r="B320" i="1"/>
  <c r="P318" i="1"/>
  <c r="M32" i="1"/>
  <c r="C160" i="1"/>
  <c r="G248" i="1"/>
  <c r="D508" i="1"/>
  <c r="G64" i="1"/>
  <c r="N146" i="1"/>
  <c r="O73" i="1"/>
  <c r="L278" i="1"/>
  <c r="G498" i="1"/>
  <c r="P31" i="1"/>
  <c r="Q31" i="1" s="1"/>
  <c r="R31" i="1" s="1"/>
  <c r="P505" i="1"/>
  <c r="D156" i="1"/>
  <c r="M400" i="1"/>
  <c r="G434" i="1"/>
  <c r="L279" i="1"/>
  <c r="P523" i="1"/>
  <c r="F279" i="1"/>
  <c r="G582" i="1"/>
  <c r="M618" i="1"/>
  <c r="L38" i="1"/>
  <c r="N450" i="1"/>
  <c r="P450" i="1" s="1"/>
  <c r="O425" i="1"/>
  <c r="B38" i="1"/>
  <c r="P136" i="1"/>
  <c r="G127" i="1"/>
  <c r="G480" i="1"/>
  <c r="M622" i="1"/>
  <c r="G142" i="1"/>
  <c r="G112" i="1"/>
  <c r="D168" i="1"/>
  <c r="O245" i="1"/>
  <c r="G153" i="1"/>
  <c r="O169" i="1"/>
  <c r="D388" i="1"/>
  <c r="M167" i="1"/>
  <c r="G167" i="1"/>
  <c r="O320" i="1"/>
  <c r="M394" i="1"/>
  <c r="B421" i="1"/>
  <c r="F281" i="1"/>
  <c r="D382" i="1"/>
  <c r="P70" i="1"/>
  <c r="K508" i="1"/>
  <c r="M508" i="1" s="1"/>
  <c r="K146" i="1"/>
  <c r="D618" i="1"/>
  <c r="M426" i="1"/>
  <c r="F280" i="1"/>
  <c r="B169" i="1"/>
  <c r="M507" i="1"/>
  <c r="F278" i="1"/>
  <c r="B139" i="1"/>
  <c r="O139" i="1"/>
  <c r="N498" i="1"/>
  <c r="P498" i="1" s="1"/>
  <c r="G450" i="1"/>
  <c r="D394" i="1"/>
  <c r="O357" i="1"/>
  <c r="D413" i="1"/>
  <c r="D535" i="1"/>
  <c r="G523" i="1"/>
  <c r="F536" i="1"/>
  <c r="P141" i="1"/>
  <c r="N533" i="1"/>
  <c r="N536" i="1" s="1"/>
  <c r="D614" i="1"/>
  <c r="F515" i="1"/>
  <c r="P480" i="1"/>
  <c r="M168" i="1"/>
  <c r="F357" i="1"/>
  <c r="B245" i="1"/>
  <c r="P582" i="1"/>
  <c r="P434" i="1"/>
  <c r="C619" i="1"/>
  <c r="C625" i="1"/>
  <c r="M388" i="1"/>
  <c r="Q388" i="1" s="1"/>
  <c r="R388" i="1" s="1"/>
  <c r="P123" i="1"/>
  <c r="T123" i="1" s="1"/>
  <c r="K38" i="1"/>
  <c r="F253" i="1"/>
  <c r="L282" i="1"/>
  <c r="G482" i="1"/>
  <c r="D609" i="1"/>
  <c r="F67" i="1"/>
  <c r="B177" i="1"/>
  <c r="D159" i="1"/>
  <c r="M107" i="1"/>
  <c r="D590" i="1"/>
  <c r="M144" i="1"/>
  <c r="L245" i="1"/>
  <c r="G433" i="1"/>
  <c r="D622" i="1"/>
  <c r="P130" i="1"/>
  <c r="L139" i="1"/>
  <c r="B619" i="1"/>
  <c r="F245" i="1"/>
  <c r="C357" i="1"/>
  <c r="G505" i="1"/>
  <c r="N279" i="1"/>
  <c r="B357" i="1"/>
  <c r="P134" i="1"/>
  <c r="B536" i="1"/>
  <c r="B160" i="1"/>
  <c r="F177" i="1"/>
  <c r="P482" i="1"/>
  <c r="M609" i="1"/>
  <c r="Q609" i="1" s="1"/>
  <c r="O280" i="1"/>
  <c r="G391" i="1"/>
  <c r="D70" i="1"/>
  <c r="P433" i="1"/>
  <c r="O281" i="1"/>
  <c r="M142" i="1"/>
  <c r="G422" i="1"/>
  <c r="D400" i="1"/>
  <c r="H400" i="1" s="1"/>
  <c r="I400" i="1" s="1"/>
  <c r="G432" i="1"/>
  <c r="B671" i="1"/>
  <c r="P601" i="1"/>
  <c r="E515" i="1"/>
  <c r="C309" i="1"/>
  <c r="D309" i="1" s="1"/>
  <c r="M152" i="1"/>
  <c r="E245" i="1"/>
  <c r="B279" i="1"/>
  <c r="G511" i="1"/>
  <c r="F607" i="1"/>
  <c r="N283" i="1"/>
  <c r="P165" i="1"/>
  <c r="E177" i="1"/>
  <c r="P391" i="1"/>
  <c r="D134" i="1"/>
  <c r="D113" i="1"/>
  <c r="D514" i="1"/>
  <c r="L357" i="1"/>
  <c r="D595" i="1"/>
  <c r="C421" i="1"/>
  <c r="E600" i="1"/>
  <c r="F425" i="1"/>
  <c r="G513" i="1"/>
  <c r="G601" i="1"/>
  <c r="G534" i="1"/>
  <c r="L320" i="1"/>
  <c r="G423" i="1"/>
  <c r="D620" i="1"/>
  <c r="D623" i="1"/>
  <c r="C515" i="1"/>
  <c r="G519" i="1"/>
  <c r="M182" i="1"/>
  <c r="M595" i="1"/>
  <c r="F600" i="1"/>
  <c r="N139" i="1"/>
  <c r="G590" i="1"/>
  <c r="B515" i="1"/>
  <c r="D101" i="1"/>
  <c r="B600" i="1"/>
  <c r="D624" i="1"/>
  <c r="G499" i="1"/>
  <c r="F421" i="1"/>
  <c r="B437" i="1"/>
  <c r="E437" i="1"/>
  <c r="D385" i="1"/>
  <c r="F437" i="1"/>
  <c r="F320" i="1"/>
  <c r="E527" i="1"/>
  <c r="N357" i="1"/>
  <c r="D426" i="1"/>
  <c r="D507" i="1"/>
  <c r="C600" i="1"/>
  <c r="D310" i="1"/>
  <c r="M624" i="1"/>
  <c r="E536" i="1"/>
  <c r="G535" i="1"/>
  <c r="D580" i="1"/>
  <c r="G566" i="1"/>
  <c r="B625" i="1"/>
  <c r="G348" i="1"/>
  <c r="P167" i="1"/>
  <c r="G168" i="1"/>
  <c r="G106" i="1"/>
  <c r="K168" i="8"/>
  <c r="C168" i="8"/>
  <c r="E167" i="8"/>
  <c r="J168" i="8"/>
  <c r="B168" i="8"/>
  <c r="D167" i="8"/>
  <c r="G167" i="8"/>
  <c r="I168" i="8"/>
  <c r="K167" i="8"/>
  <c r="C167" i="8"/>
  <c r="F167" i="8"/>
  <c r="H168" i="8"/>
  <c r="J167" i="8"/>
  <c r="B167" i="8"/>
  <c r="G168" i="8"/>
  <c r="I167" i="8"/>
  <c r="E168" i="8"/>
  <c r="F168" i="8"/>
  <c r="H167" i="8"/>
  <c r="D168" i="8"/>
  <c r="E320" i="1"/>
  <c r="E253" i="1"/>
  <c r="N169" i="1"/>
  <c r="P106" i="1"/>
  <c r="N348" i="1"/>
  <c r="P348" i="1" s="1"/>
  <c r="J186" i="8"/>
  <c r="C348" i="1"/>
  <c r="D348" i="1" s="1"/>
  <c r="C278" i="1"/>
  <c r="C320" i="1"/>
  <c r="D106" i="1"/>
  <c r="C139" i="1"/>
  <c r="C15" i="2"/>
  <c r="B57" i="2"/>
  <c r="B10" i="2"/>
  <c r="C65" i="2"/>
  <c r="D58" i="2"/>
  <c r="B4" i="2"/>
  <c r="D20" i="2"/>
  <c r="E308" i="5"/>
  <c r="C37" i="2"/>
  <c r="C24" i="2"/>
  <c r="D15" i="2"/>
  <c r="E5" i="2"/>
  <c r="E15" i="2"/>
  <c r="B37" i="2"/>
  <c r="E20" i="2"/>
  <c r="N99" i="5"/>
  <c r="B41" i="2"/>
  <c r="E64" i="2"/>
  <c r="C47" i="2"/>
  <c r="B20" i="2"/>
  <c r="N277" i="5"/>
  <c r="E47" i="2"/>
  <c r="N479" i="5"/>
  <c r="N62" i="5"/>
  <c r="B15" i="2"/>
  <c r="B47" i="2"/>
  <c r="E479" i="5"/>
  <c r="E62" i="5"/>
  <c r="E99" i="5"/>
  <c r="B59" i="2"/>
  <c r="N381" i="5"/>
  <c r="E53" i="2"/>
  <c r="C59" i="2"/>
  <c r="E41" i="2"/>
  <c r="E653" i="5"/>
  <c r="N344" i="5"/>
  <c r="B65" i="2"/>
  <c r="D5" i="2"/>
  <c r="E42" i="2"/>
  <c r="E24" i="2"/>
  <c r="E10" i="2"/>
  <c r="D59" i="2"/>
  <c r="E48" i="2"/>
  <c r="C58" i="2"/>
  <c r="C20" i="2"/>
  <c r="C64" i="2"/>
  <c r="E560" i="5"/>
  <c r="N560" i="5"/>
  <c r="D48" i="2"/>
  <c r="E381" i="5"/>
  <c r="N308" i="5"/>
  <c r="E65" i="2"/>
  <c r="D47" i="2"/>
  <c r="N27" i="5"/>
  <c r="B48" i="2"/>
  <c r="E59" i="2"/>
  <c r="D42" i="2"/>
  <c r="E54" i="2"/>
  <c r="C48" i="2"/>
  <c r="C53" i="2"/>
  <c r="B42" i="2"/>
  <c r="N653" i="5"/>
  <c r="D41" i="2"/>
  <c r="C5" i="2"/>
  <c r="D53" i="2"/>
  <c r="B5" i="2"/>
  <c r="D65" i="2"/>
  <c r="C42" i="2"/>
  <c r="E344" i="5"/>
  <c r="D24" i="2"/>
  <c r="D37" i="2"/>
  <c r="D57" i="2"/>
  <c r="B24" i="2"/>
  <c r="C57" i="2"/>
  <c r="E57" i="2"/>
  <c r="E37" i="2"/>
  <c r="C10" i="2"/>
  <c r="E27" i="5"/>
  <c r="C4" i="2"/>
  <c r="D64" i="2"/>
  <c r="E58" i="2"/>
  <c r="D10" i="2"/>
  <c r="C41" i="2"/>
  <c r="B58" i="2"/>
  <c r="E277" i="5"/>
  <c r="B53" i="2"/>
  <c r="B64" i="2"/>
  <c r="D54" i="2"/>
  <c r="C21" i="2"/>
  <c r="D4" i="2"/>
  <c r="B54" i="2"/>
  <c r="C54" i="2"/>
  <c r="B21" i="2"/>
  <c r="E4" i="2"/>
  <c r="D21" i="2"/>
  <c r="E21" i="2"/>
  <c r="E25" i="2"/>
  <c r="O27" i="1"/>
  <c r="P27" i="1" s="1"/>
  <c r="K27" i="1"/>
  <c r="K62" i="1"/>
  <c r="O62" i="1"/>
  <c r="P62" i="1" s="1"/>
  <c r="O344" i="1"/>
  <c r="P344" i="1" s="1"/>
  <c r="K344" i="1"/>
  <c r="O560" i="1"/>
  <c r="P560" i="1" s="1"/>
  <c r="K560" i="1"/>
  <c r="B198" i="5"/>
  <c r="B560" i="8"/>
  <c r="D479" i="8"/>
  <c r="B99" i="8"/>
  <c r="I277" i="8"/>
  <c r="B62" i="8"/>
  <c r="G653" i="8"/>
  <c r="D653" i="8"/>
  <c r="J99" i="8"/>
  <c r="K277" i="8"/>
  <c r="K381" i="8"/>
  <c r="F99" i="8"/>
  <c r="C653" i="8"/>
  <c r="K653" i="8"/>
  <c r="H62" i="8"/>
  <c r="D277" i="8"/>
  <c r="I99" i="8"/>
  <c r="G27" i="8"/>
  <c r="I308" i="8"/>
  <c r="J381" i="8"/>
  <c r="B381" i="8"/>
  <c r="F560" i="8"/>
  <c r="F27" i="8"/>
  <c r="I344" i="8"/>
  <c r="C381" i="8"/>
  <c r="J62" i="8"/>
  <c r="I653" i="8"/>
  <c r="F479" i="8"/>
  <c r="G308" i="8"/>
  <c r="B479" i="8"/>
  <c r="E381" i="8"/>
  <c r="D344" i="8"/>
  <c r="B308" i="8"/>
  <c r="G381" i="8"/>
  <c r="J653" i="8"/>
  <c r="C277" i="8"/>
  <c r="F277" i="8"/>
  <c r="C308" i="8"/>
  <c r="H381" i="8"/>
  <c r="B344" i="8"/>
  <c r="E479" i="8"/>
  <c r="H277" i="8"/>
  <c r="J27" i="8"/>
  <c r="F653" i="8"/>
  <c r="I62" i="8"/>
  <c r="E308" i="8"/>
  <c r="K344" i="8"/>
  <c r="J308" i="8"/>
  <c r="E27" i="8"/>
  <c r="H479" i="8"/>
  <c r="H560" i="8"/>
  <c r="K479" i="8"/>
  <c r="G99" i="8"/>
  <c r="G344" i="8"/>
  <c r="J344" i="8"/>
  <c r="K27" i="8"/>
  <c r="H653" i="8"/>
  <c r="I27" i="8"/>
  <c r="H308" i="8"/>
  <c r="C344" i="8"/>
  <c r="H344" i="8"/>
  <c r="E560" i="8"/>
  <c r="D560" i="8"/>
  <c r="D308" i="8"/>
  <c r="K308" i="8"/>
  <c r="E99" i="8"/>
  <c r="G479" i="8"/>
  <c r="E277" i="8"/>
  <c r="J560" i="8"/>
  <c r="C27" i="8"/>
  <c r="H99" i="8"/>
  <c r="F308" i="8"/>
  <c r="J479" i="8"/>
  <c r="E62" i="8"/>
  <c r="D99" i="8"/>
  <c r="G277" i="8"/>
  <c r="G62" i="8"/>
  <c r="D381" i="8"/>
  <c r="D27" i="8"/>
  <c r="F344" i="8"/>
  <c r="I479" i="8"/>
  <c r="K99" i="8"/>
  <c r="E344" i="8"/>
  <c r="C560" i="8"/>
  <c r="J277" i="8"/>
  <c r="K62" i="8"/>
  <c r="E653" i="8"/>
  <c r="H27" i="8"/>
  <c r="C99" i="8"/>
  <c r="C479" i="8"/>
  <c r="F62" i="8"/>
  <c r="I381" i="8"/>
  <c r="I560" i="8"/>
  <c r="G560" i="8"/>
  <c r="F381" i="8"/>
  <c r="D62" i="8"/>
  <c r="B277" i="8"/>
  <c r="B653" i="8"/>
  <c r="B27" i="8"/>
  <c r="K560" i="8"/>
  <c r="C62" i="8"/>
  <c r="B381" i="1"/>
  <c r="F381" i="1"/>
  <c r="G381" i="1" s="1"/>
  <c r="K479" i="1"/>
  <c r="O479" i="1"/>
  <c r="P479" i="1" s="1"/>
  <c r="K277" i="1"/>
  <c r="O277" i="1"/>
  <c r="P277" i="1" s="1"/>
  <c r="K186" i="5"/>
  <c r="J133" i="8"/>
  <c r="F570" i="8"/>
  <c r="K570" i="8" s="1"/>
  <c r="E583" i="8"/>
  <c r="J583" i="8" s="1"/>
  <c r="E65" i="8"/>
  <c r="G210" i="8"/>
  <c r="F431" i="8"/>
  <c r="K431" i="8" s="1"/>
  <c r="I175" i="8"/>
  <c r="B382" i="8"/>
  <c r="F569" i="8"/>
  <c r="K569" i="8" s="1"/>
  <c r="G126" i="8"/>
  <c r="F614" i="8"/>
  <c r="K614" i="8" s="1"/>
  <c r="C531" i="8"/>
  <c r="H531" i="8" s="1"/>
  <c r="B179" i="8"/>
  <c r="B180" i="8"/>
  <c r="C150" i="8"/>
  <c r="B601" i="8"/>
  <c r="D594" i="8"/>
  <c r="I594" i="8" s="1"/>
  <c r="B592" i="8"/>
  <c r="G592" i="8" s="1"/>
  <c r="C628" i="8"/>
  <c r="H628" i="8" s="1"/>
  <c r="F659" i="8"/>
  <c r="D430" i="8"/>
  <c r="I430" i="8" s="1"/>
  <c r="D429" i="8"/>
  <c r="I429" i="8" s="1"/>
  <c r="C497" i="8"/>
  <c r="H497" i="8" s="1"/>
  <c r="E596" i="8"/>
  <c r="J596" i="8" s="1"/>
  <c r="E122" i="8"/>
  <c r="B72" i="8"/>
  <c r="C173" i="8"/>
  <c r="E658" i="8"/>
  <c r="C482" i="8"/>
  <c r="H482" i="8" s="1"/>
  <c r="B197" i="8"/>
  <c r="B581" i="8"/>
  <c r="G581" i="8" s="1"/>
  <c r="C166" i="8"/>
  <c r="C34" i="8"/>
  <c r="D153" i="8"/>
  <c r="H178" i="8"/>
  <c r="D495" i="8"/>
  <c r="I495" i="8" s="1"/>
  <c r="F387" i="8"/>
  <c r="K387" i="8" s="1"/>
  <c r="C516" i="8"/>
  <c r="F616" i="8"/>
  <c r="K616" i="8" s="1"/>
  <c r="F64" i="8"/>
  <c r="F144" i="8"/>
  <c r="D128" i="8"/>
  <c r="C172" i="8"/>
  <c r="H191" i="8"/>
  <c r="C149" i="8"/>
  <c r="C528" i="8"/>
  <c r="B624" i="8"/>
  <c r="G624" i="8" s="1"/>
  <c r="B34" i="8"/>
  <c r="B390" i="8"/>
  <c r="G390" i="8" s="1"/>
  <c r="B598" i="8"/>
  <c r="G598" i="8" s="1"/>
  <c r="H36" i="8"/>
  <c r="G157" i="8"/>
  <c r="B568" i="8"/>
  <c r="G568" i="8" s="1"/>
  <c r="D407" i="8"/>
  <c r="I407" i="8" s="1"/>
  <c r="G219" i="8"/>
  <c r="D591" i="8"/>
  <c r="I591" i="8" s="1"/>
  <c r="H175" i="8"/>
  <c r="F438" i="8"/>
  <c r="E440" i="8"/>
  <c r="J440" i="8" s="1"/>
  <c r="F524" i="8"/>
  <c r="K524" i="8" s="1"/>
  <c r="D32" i="8"/>
  <c r="H183" i="8"/>
  <c r="F610" i="8"/>
  <c r="K610" i="8" s="1"/>
  <c r="G178" i="8"/>
  <c r="G110" i="8"/>
  <c r="J132" i="8"/>
  <c r="B105" i="8"/>
  <c r="I157" i="8"/>
  <c r="F670" i="8"/>
  <c r="C450" i="8"/>
  <c r="H450" i="8" s="1"/>
  <c r="D482" i="8"/>
  <c r="I482" i="8" s="1"/>
  <c r="K121" i="8"/>
  <c r="I156" i="8"/>
  <c r="E575" i="8"/>
  <c r="J575" i="8" s="1"/>
  <c r="I137" i="8"/>
  <c r="I354" i="8" s="1"/>
  <c r="G153" i="8"/>
  <c r="C116" i="8"/>
  <c r="C351" i="8" s="1"/>
  <c r="F142" i="8"/>
  <c r="K159" i="8"/>
  <c r="H171" i="8"/>
  <c r="F417" i="8"/>
  <c r="K417" i="8" s="1"/>
  <c r="C575" i="8"/>
  <c r="H575" i="8" s="1"/>
  <c r="G205" i="8"/>
  <c r="B176" i="8"/>
  <c r="C423" i="8"/>
  <c r="H423" i="8" s="1"/>
  <c r="B252" i="8"/>
  <c r="J176" i="8"/>
  <c r="H32" i="8"/>
  <c r="E237" i="8"/>
  <c r="H140" i="8"/>
  <c r="B520" i="8"/>
  <c r="G520" i="8" s="1"/>
  <c r="B417" i="8"/>
  <c r="G417" i="8" s="1"/>
  <c r="J249" i="8"/>
  <c r="E580" i="8"/>
  <c r="J580" i="8" s="1"/>
  <c r="G121" i="8"/>
  <c r="K148" i="8"/>
  <c r="D483" i="8"/>
  <c r="I483" i="8" s="1"/>
  <c r="H172" i="8"/>
  <c r="C534" i="8"/>
  <c r="H534" i="8" s="1"/>
  <c r="D247" i="8"/>
  <c r="D397" i="8"/>
  <c r="I397" i="8" s="1"/>
  <c r="D175" i="8"/>
  <c r="E492" i="8"/>
  <c r="J492" i="8" s="1"/>
  <c r="F612" i="8"/>
  <c r="K612" i="8" s="1"/>
  <c r="H71" i="8"/>
  <c r="B497" i="8"/>
  <c r="G497" i="8" s="1"/>
  <c r="E29" i="8"/>
  <c r="D394" i="8"/>
  <c r="I394" i="8" s="1"/>
  <c r="B173" i="8"/>
  <c r="J243" i="8"/>
  <c r="B511" i="8"/>
  <c r="G511" i="8" s="1"/>
  <c r="I100" i="8"/>
  <c r="E244" i="8"/>
  <c r="E587" i="8"/>
  <c r="J587" i="8" s="1"/>
  <c r="D500" i="8"/>
  <c r="I500" i="8" s="1"/>
  <c r="E599" i="8"/>
  <c r="J599" i="8" s="1"/>
  <c r="C65" i="8"/>
  <c r="I113" i="8"/>
  <c r="F405" i="8"/>
  <c r="K405" i="8" s="1"/>
  <c r="F594" i="8"/>
  <c r="K594" i="8" s="1"/>
  <c r="B507" i="8"/>
  <c r="G507" i="8" s="1"/>
  <c r="F132" i="8"/>
  <c r="B213" i="8"/>
  <c r="J105" i="8"/>
  <c r="E144" i="8"/>
  <c r="D662" i="8"/>
  <c r="C519" i="8"/>
  <c r="H519" i="8" s="1"/>
  <c r="F401" i="8"/>
  <c r="K401" i="8" s="1"/>
  <c r="H148" i="8"/>
  <c r="G159" i="8"/>
  <c r="E451" i="8"/>
  <c r="J451" i="8" s="1"/>
  <c r="B241" i="8"/>
  <c r="C238" i="8"/>
  <c r="F452" i="8"/>
  <c r="K452" i="8" s="1"/>
  <c r="E581" i="8"/>
  <c r="J581" i="8" s="1"/>
  <c r="F176" i="8"/>
  <c r="C585" i="8"/>
  <c r="H585" i="8" s="1"/>
  <c r="B152" i="8"/>
  <c r="E432" i="8"/>
  <c r="J432" i="8" s="1"/>
  <c r="B399" i="8"/>
  <c r="G399" i="8" s="1"/>
  <c r="G173" i="8"/>
  <c r="F420" i="8"/>
  <c r="K420" i="8" s="1"/>
  <c r="E429" i="8"/>
  <c r="J429" i="8" s="1"/>
  <c r="C522" i="8"/>
  <c r="H522" i="8" s="1"/>
  <c r="E577" i="8"/>
  <c r="J577" i="8" s="1"/>
  <c r="C221" i="8"/>
  <c r="E411" i="8"/>
  <c r="J411" i="8" s="1"/>
  <c r="D178" i="8"/>
  <c r="C507" i="8"/>
  <c r="H507" i="8" s="1"/>
  <c r="H165" i="8"/>
  <c r="D614" i="8"/>
  <c r="I614" i="8" s="1"/>
  <c r="J154" i="8"/>
  <c r="I174" i="8"/>
  <c r="I134" i="8"/>
  <c r="K174" i="8"/>
  <c r="J125" i="8"/>
  <c r="D174" i="8"/>
  <c r="G65" i="8"/>
  <c r="B504" i="8"/>
  <c r="G504" i="8" s="1"/>
  <c r="H152" i="8"/>
  <c r="F172" i="8"/>
  <c r="E488" i="8"/>
  <c r="J488" i="8" s="1"/>
  <c r="C237" i="8"/>
  <c r="C216" i="8"/>
  <c r="B622" i="8"/>
  <c r="G622" i="8" s="1"/>
  <c r="H173" i="8"/>
  <c r="C605" i="8"/>
  <c r="H605" i="8" s="1"/>
  <c r="C500" i="8"/>
  <c r="H500" i="8" s="1"/>
  <c r="G221" i="8"/>
  <c r="B35" i="8"/>
  <c r="B569" i="8"/>
  <c r="G569" i="8" s="1"/>
  <c r="B658" i="8"/>
  <c r="B115" i="8"/>
  <c r="B350" i="8" s="1"/>
  <c r="D661" i="8"/>
  <c r="D140" i="8"/>
  <c r="J128" i="8"/>
  <c r="K166" i="8"/>
  <c r="E512" i="8"/>
  <c r="J512" i="8" s="1"/>
  <c r="H119" i="8"/>
  <c r="C601" i="8"/>
  <c r="K68" i="8"/>
  <c r="G115" i="8"/>
  <c r="G350" i="8" s="1"/>
  <c r="H161" i="8"/>
  <c r="K140" i="8"/>
  <c r="F112" i="8"/>
  <c r="I136" i="8"/>
  <c r="I318" i="8" s="1"/>
  <c r="B135" i="8"/>
  <c r="K111" i="8"/>
  <c r="G34" i="8"/>
  <c r="F508" i="8"/>
  <c r="K508" i="8" s="1"/>
  <c r="I249" i="8"/>
  <c r="E487" i="8"/>
  <c r="J487" i="8" s="1"/>
  <c r="F490" i="8"/>
  <c r="K490" i="8" s="1"/>
  <c r="E419" i="8"/>
  <c r="J419" i="8" s="1"/>
  <c r="D626" i="8"/>
  <c r="F404" i="8"/>
  <c r="K404" i="8" s="1"/>
  <c r="G113" i="8"/>
  <c r="H174" i="8"/>
  <c r="B121" i="8"/>
  <c r="B606" i="8"/>
  <c r="G606" i="8" s="1"/>
  <c r="C202" i="8"/>
  <c r="C499" i="8"/>
  <c r="H499" i="8" s="1"/>
  <c r="E108" i="8"/>
  <c r="F134" i="8"/>
  <c r="H28" i="8"/>
  <c r="C187" i="8"/>
  <c r="B103" i="8"/>
  <c r="F248" i="8"/>
  <c r="E147" i="8"/>
  <c r="B508" i="8"/>
  <c r="G508" i="8" s="1"/>
  <c r="E116" i="8"/>
  <c r="E351" i="8" s="1"/>
  <c r="D512" i="8"/>
  <c r="I512" i="8" s="1"/>
  <c r="C571" i="8"/>
  <c r="H571" i="8" s="1"/>
  <c r="B217" i="8"/>
  <c r="K132" i="8"/>
  <c r="C656" i="8"/>
  <c r="K107" i="8"/>
  <c r="C195" i="8"/>
  <c r="H29" i="8"/>
  <c r="B218" i="8"/>
  <c r="H187" i="8"/>
  <c r="F491" i="8"/>
  <c r="K491" i="8" s="1"/>
  <c r="B198" i="8"/>
  <c r="K70" i="8"/>
  <c r="B616" i="8"/>
  <c r="G616" i="8" s="1"/>
  <c r="D658" i="8"/>
  <c r="I151" i="8"/>
  <c r="B240" i="8"/>
  <c r="K106" i="8"/>
  <c r="K348" i="8" s="1"/>
  <c r="C183" i="8"/>
  <c r="H180" i="8"/>
  <c r="G140" i="8"/>
  <c r="D63" i="8"/>
  <c r="J113" i="8"/>
  <c r="F166" i="8"/>
  <c r="D163" i="8"/>
  <c r="E427" i="8"/>
  <c r="J427" i="8" s="1"/>
  <c r="H243" i="8"/>
  <c r="E517" i="8"/>
  <c r="J517" i="8" s="1"/>
  <c r="D159" i="8"/>
  <c r="B487" i="8"/>
  <c r="G487" i="8" s="1"/>
  <c r="J121" i="8"/>
  <c r="E150" i="8"/>
  <c r="F109" i="8"/>
  <c r="C412" i="8"/>
  <c r="H412" i="8" s="1"/>
  <c r="F395" i="8"/>
  <c r="K395" i="8" s="1"/>
  <c r="E435" i="8"/>
  <c r="J435" i="8" s="1"/>
  <c r="K147" i="8"/>
  <c r="D102" i="8"/>
  <c r="D311" i="8" s="1"/>
  <c r="D105" i="8"/>
  <c r="H220" i="8"/>
  <c r="D116" i="8"/>
  <c r="D351" i="8" s="1"/>
  <c r="D392" i="8"/>
  <c r="I392" i="8" s="1"/>
  <c r="H197" i="8"/>
  <c r="B593" i="8"/>
  <c r="G593" i="8" s="1"/>
  <c r="F173" i="8"/>
  <c r="G203" i="8"/>
  <c r="F104" i="8"/>
  <c r="F346" i="8" s="1"/>
  <c r="B447" i="8"/>
  <c r="F514" i="8"/>
  <c r="K514" i="8" s="1"/>
  <c r="I112" i="8"/>
  <c r="E241" i="8"/>
  <c r="B398" i="8"/>
  <c r="G398" i="8" s="1"/>
  <c r="C577" i="8"/>
  <c r="H577" i="8" s="1"/>
  <c r="C133" i="8"/>
  <c r="F605" i="8"/>
  <c r="K605" i="8" s="1"/>
  <c r="F390" i="8"/>
  <c r="K390" i="8" s="1"/>
  <c r="B122" i="8"/>
  <c r="D608" i="8"/>
  <c r="F159" i="8"/>
  <c r="D121" i="8"/>
  <c r="G224" i="8"/>
  <c r="H123" i="8"/>
  <c r="K66" i="8"/>
  <c r="B530" i="8"/>
  <c r="G530" i="8" s="1"/>
  <c r="B124" i="8"/>
  <c r="F577" i="8"/>
  <c r="K577" i="8" s="1"/>
  <c r="F521" i="8"/>
  <c r="K521" i="8" s="1"/>
  <c r="J150" i="8"/>
  <c r="D113" i="8"/>
  <c r="D599" i="8"/>
  <c r="I599" i="8" s="1"/>
  <c r="C151" i="8"/>
  <c r="F70" i="8"/>
  <c r="B529" i="8"/>
  <c r="G529" i="8" s="1"/>
  <c r="C595" i="8"/>
  <c r="H595" i="8" s="1"/>
  <c r="I101" i="8"/>
  <c r="I310" i="8" s="1"/>
  <c r="E439" i="8"/>
  <c r="J439" i="8" s="1"/>
  <c r="C63" i="8"/>
  <c r="E608" i="8"/>
  <c r="K180" i="8"/>
  <c r="E405" i="8"/>
  <c r="J405" i="8" s="1"/>
  <c r="C110" i="8"/>
  <c r="G171" i="8"/>
  <c r="I64" i="8"/>
  <c r="D585" i="8"/>
  <c r="I585" i="8" s="1"/>
  <c r="B445" i="8"/>
  <c r="G445" i="8" s="1"/>
  <c r="C191" i="8"/>
  <c r="G163" i="8"/>
  <c r="H230" i="8"/>
  <c r="C209" i="8"/>
  <c r="F588" i="8"/>
  <c r="K588" i="8" s="1"/>
  <c r="D422" i="8"/>
  <c r="H202" i="8"/>
  <c r="H186" i="8"/>
  <c r="D111" i="8"/>
  <c r="B144" i="8"/>
  <c r="I178" i="8"/>
  <c r="F443" i="8"/>
  <c r="E416" i="8"/>
  <c r="J416" i="8" s="1"/>
  <c r="I248" i="8"/>
  <c r="E393" i="8"/>
  <c r="J393" i="8" s="1"/>
  <c r="J65" i="8"/>
  <c r="F119" i="8"/>
  <c r="E383" i="8"/>
  <c r="J383" i="8" s="1"/>
  <c r="C111" i="8"/>
  <c r="B657" i="8"/>
  <c r="K161" i="8"/>
  <c r="B190" i="8"/>
  <c r="I29" i="8"/>
  <c r="B140" i="8"/>
  <c r="C182" i="8"/>
  <c r="C218" i="8"/>
  <c r="K164" i="8"/>
  <c r="F382" i="8"/>
  <c r="C178" i="8"/>
  <c r="G172" i="8"/>
  <c r="B486" i="8"/>
  <c r="G486" i="8" s="1"/>
  <c r="J64" i="8"/>
  <c r="K236" i="8"/>
  <c r="C394" i="8"/>
  <c r="H394" i="8" s="1"/>
  <c r="C223" i="8"/>
  <c r="G240" i="8"/>
  <c r="C109" i="8"/>
  <c r="C663" i="8"/>
  <c r="D384" i="8"/>
  <c r="I384" i="8" s="1"/>
  <c r="C143" i="8"/>
  <c r="D486" i="8"/>
  <c r="I486" i="8" s="1"/>
  <c r="D396" i="8"/>
  <c r="I396" i="8" s="1"/>
  <c r="F409" i="8"/>
  <c r="K409" i="8" s="1"/>
  <c r="H226" i="8"/>
  <c r="F593" i="8"/>
  <c r="K593" i="8" s="1"/>
  <c r="C594" i="8"/>
  <c r="H594" i="8" s="1"/>
  <c r="D480" i="8"/>
  <c r="J145" i="8"/>
  <c r="E178" i="8"/>
  <c r="J122" i="8"/>
  <c r="B526" i="8"/>
  <c r="G526" i="8" s="1"/>
  <c r="H188" i="8"/>
  <c r="D240" i="8"/>
  <c r="J124" i="8"/>
  <c r="C226" i="8"/>
  <c r="C604" i="8"/>
  <c r="H604" i="8" s="1"/>
  <c r="F518" i="8"/>
  <c r="K518" i="8" s="1"/>
  <c r="C434" i="8"/>
  <c r="H434" i="8" s="1"/>
  <c r="G35" i="8"/>
  <c r="B502" i="8"/>
  <c r="G502" i="8" s="1"/>
  <c r="C135" i="8"/>
  <c r="E620" i="8"/>
  <c r="H240" i="8"/>
  <c r="C163" i="8"/>
  <c r="I170" i="8"/>
  <c r="F135" i="8"/>
  <c r="C613" i="8"/>
  <c r="H613" i="8" s="1"/>
  <c r="E667" i="8"/>
  <c r="B71" i="8"/>
  <c r="D143" i="8"/>
  <c r="C229" i="8"/>
  <c r="D252" i="8"/>
  <c r="K248" i="8"/>
  <c r="H154" i="8"/>
  <c r="H190" i="8"/>
  <c r="D243" i="8"/>
  <c r="F65" i="8"/>
  <c r="H163" i="8"/>
  <c r="F63" i="8"/>
  <c r="D34" i="8"/>
  <c r="H192" i="8"/>
  <c r="D147" i="8"/>
  <c r="C107" i="8"/>
  <c r="C210" i="8"/>
  <c r="D664" i="8"/>
  <c r="D533" i="8"/>
  <c r="B249" i="8"/>
  <c r="F525" i="8"/>
  <c r="K525" i="8" s="1"/>
  <c r="E392" i="8"/>
  <c r="J392" i="8" s="1"/>
  <c r="E114" i="8"/>
  <c r="F136" i="8"/>
  <c r="F318" i="8" s="1"/>
  <c r="I121" i="8"/>
  <c r="C113" i="8"/>
  <c r="K34" i="8"/>
  <c r="F393" i="8"/>
  <c r="K393" i="8" s="1"/>
  <c r="I176" i="8"/>
  <c r="E157" i="8"/>
  <c r="J66" i="8"/>
  <c r="E520" i="8"/>
  <c r="J520" i="8" s="1"/>
  <c r="C445" i="8"/>
  <c r="H445" i="8" s="1"/>
  <c r="B570" i="8"/>
  <c r="G570" i="8" s="1"/>
  <c r="G112" i="8"/>
  <c r="H251" i="8"/>
  <c r="B505" i="8"/>
  <c r="G505" i="8" s="1"/>
  <c r="G149" i="8"/>
  <c r="G186" i="8"/>
  <c r="D29" i="8"/>
  <c r="F535" i="8"/>
  <c r="K535" i="8" s="1"/>
  <c r="H129" i="8"/>
  <c r="F100" i="8"/>
  <c r="I110" i="8"/>
  <c r="F598" i="8"/>
  <c r="K598" i="8" s="1"/>
  <c r="F654" i="8"/>
  <c r="F655" i="8" s="1"/>
  <c r="E597" i="8"/>
  <c r="J597" i="8" s="1"/>
  <c r="D70" i="8"/>
  <c r="I238" i="8"/>
  <c r="B244" i="8"/>
  <c r="F123" i="8"/>
  <c r="E624" i="8"/>
  <c r="J624" i="8" s="1"/>
  <c r="K162" i="8"/>
  <c r="D504" i="8"/>
  <c r="I504" i="8" s="1"/>
  <c r="E128" i="8"/>
  <c r="E514" i="8"/>
  <c r="J514" i="8" s="1"/>
  <c r="E154" i="8"/>
  <c r="K165" i="8"/>
  <c r="D123" i="8"/>
  <c r="J171" i="8"/>
  <c r="J166" i="8"/>
  <c r="F152" i="8"/>
  <c r="F179" i="8"/>
  <c r="H179" i="8"/>
  <c r="F37" i="8"/>
  <c r="E164" i="8"/>
  <c r="C219" i="8"/>
  <c r="D573" i="8"/>
  <c r="I573" i="8" s="1"/>
  <c r="B518" i="8"/>
  <c r="G518" i="8" s="1"/>
  <c r="B131" i="8"/>
  <c r="D507" i="8"/>
  <c r="I507" i="8" s="1"/>
  <c r="F416" i="8"/>
  <c r="K416" i="8" s="1"/>
  <c r="D405" i="8"/>
  <c r="I405" i="8" s="1"/>
  <c r="B212" i="8"/>
  <c r="C523" i="8"/>
  <c r="H523" i="8" s="1"/>
  <c r="C189" i="8"/>
  <c r="H147" i="8"/>
  <c r="J131" i="8"/>
  <c r="H218" i="8"/>
  <c r="E511" i="8"/>
  <c r="J511" i="8" s="1"/>
  <c r="F608" i="8"/>
  <c r="B454" i="8"/>
  <c r="G454" i="8" s="1"/>
  <c r="C431" i="8"/>
  <c r="H431" i="8" s="1"/>
  <c r="D439" i="8"/>
  <c r="I439" i="8" s="1"/>
  <c r="B120" i="8"/>
  <c r="B132" i="8"/>
  <c r="B450" i="8"/>
  <c r="G450" i="8" s="1"/>
  <c r="E390" i="8"/>
  <c r="J390" i="8" s="1"/>
  <c r="E528" i="8"/>
  <c r="E28" i="8"/>
  <c r="F450" i="8"/>
  <c r="K450" i="8" s="1"/>
  <c r="H235" i="8"/>
  <c r="I124" i="8"/>
  <c r="D124" i="8"/>
  <c r="G217" i="8"/>
  <c r="K173" i="8"/>
  <c r="D496" i="8"/>
  <c r="I496" i="8" s="1"/>
  <c r="B516" i="8"/>
  <c r="C131" i="8"/>
  <c r="E173" i="8"/>
  <c r="I71" i="8"/>
  <c r="H236" i="8"/>
  <c r="G138" i="8"/>
  <c r="G355" i="8" s="1"/>
  <c r="G175" i="8"/>
  <c r="C213" i="8"/>
  <c r="E509" i="8"/>
  <c r="J509" i="8" s="1"/>
  <c r="G111" i="8"/>
  <c r="E669" i="8"/>
  <c r="E626" i="8"/>
  <c r="C521" i="8"/>
  <c r="H521" i="8" s="1"/>
  <c r="C186" i="8"/>
  <c r="E449" i="8"/>
  <c r="J449" i="8" s="1"/>
  <c r="E118" i="8"/>
  <c r="E353" i="8" s="1"/>
  <c r="E142" i="8"/>
  <c r="C587" i="8"/>
  <c r="H587" i="8" s="1"/>
  <c r="H118" i="8"/>
  <c r="H353" i="8" s="1"/>
  <c r="E530" i="8"/>
  <c r="J530" i="8" s="1"/>
  <c r="C180" i="8"/>
  <c r="J31" i="8"/>
  <c r="F103" i="8"/>
  <c r="F102" i="8"/>
  <c r="F311" i="8" s="1"/>
  <c r="D561" i="8"/>
  <c r="C562" i="8"/>
  <c r="H562" i="8" s="1"/>
  <c r="C212" i="8"/>
  <c r="G130" i="8"/>
  <c r="G31" i="8"/>
  <c r="H193" i="8"/>
  <c r="B517" i="8"/>
  <c r="G517" i="8" s="1"/>
  <c r="I200" i="8"/>
  <c r="C440" i="8"/>
  <c r="H440" i="8" s="1"/>
  <c r="D66" i="8"/>
  <c r="I173" i="8"/>
  <c r="B214" i="8"/>
  <c r="D173" i="8"/>
  <c r="K234" i="8"/>
  <c r="J238" i="8"/>
  <c r="J108" i="8"/>
  <c r="F662" i="8"/>
  <c r="C170" i="8"/>
  <c r="G134" i="8"/>
  <c r="B510" i="8"/>
  <c r="G510" i="8" s="1"/>
  <c r="F122" i="8"/>
  <c r="C247" i="8"/>
  <c r="K135" i="8"/>
  <c r="F130" i="8"/>
  <c r="K100" i="8"/>
  <c r="B483" i="8"/>
  <c r="G483" i="8" s="1"/>
  <c r="E69" i="8"/>
  <c r="C105" i="8"/>
  <c r="F383" i="8"/>
  <c r="K383" i="8" s="1"/>
  <c r="J161" i="8"/>
  <c r="E180" i="8"/>
  <c r="K122" i="8"/>
  <c r="F595" i="8"/>
  <c r="K595" i="8" s="1"/>
  <c r="C33" i="8"/>
  <c r="I243" i="8"/>
  <c r="E101" i="8"/>
  <c r="E310" i="8" s="1"/>
  <c r="D154" i="8"/>
  <c r="F449" i="8"/>
  <c r="K449" i="8" s="1"/>
  <c r="G237" i="8"/>
  <c r="B150" i="8"/>
  <c r="G216" i="8"/>
  <c r="F575" i="8"/>
  <c r="K575" i="8" s="1"/>
  <c r="C624" i="8"/>
  <c r="H624" i="8" s="1"/>
  <c r="J165" i="8"/>
  <c r="E406" i="8"/>
  <c r="J406" i="8" s="1"/>
  <c r="I386" i="8"/>
  <c r="C194" i="8"/>
  <c r="G191" i="8"/>
  <c r="G207" i="8"/>
  <c r="G200" i="8"/>
  <c r="F511" i="8"/>
  <c r="K511" i="8" s="1"/>
  <c r="F151" i="8"/>
  <c r="D517" i="8"/>
  <c r="I517" i="8" s="1"/>
  <c r="G72" i="8"/>
  <c r="I116" i="8"/>
  <c r="I351" i="8" s="1"/>
  <c r="K33" i="8"/>
  <c r="I34" i="8"/>
  <c r="B440" i="8"/>
  <c r="G440" i="8" s="1"/>
  <c r="G204" i="8"/>
  <c r="J123" i="8"/>
  <c r="D410" i="8"/>
  <c r="I410" i="8" s="1"/>
  <c r="F534" i="8"/>
  <c r="K534" i="8" s="1"/>
  <c r="I171" i="8"/>
  <c r="C227" i="8"/>
  <c r="D511" i="8"/>
  <c r="I511" i="8" s="1"/>
  <c r="H145" i="8"/>
  <c r="D499" i="8"/>
  <c r="I499" i="8" s="1"/>
  <c r="F606" i="8"/>
  <c r="K606" i="8" s="1"/>
  <c r="H105" i="8"/>
  <c r="D118" i="8"/>
  <c r="D353" i="8" s="1"/>
  <c r="B596" i="8"/>
  <c r="G596" i="8" s="1"/>
  <c r="H101" i="8"/>
  <c r="H310" i="8" s="1"/>
  <c r="E445" i="8"/>
  <c r="J445" i="8" s="1"/>
  <c r="E399" i="8"/>
  <c r="J399" i="8" s="1"/>
  <c r="E428" i="8"/>
  <c r="J428" i="8" s="1"/>
  <c r="G248" i="8"/>
  <c r="B577" i="8"/>
  <c r="G577" i="8" s="1"/>
  <c r="B444" i="8"/>
  <c r="G444" i="8" s="1"/>
  <c r="E579" i="8"/>
  <c r="J579" i="8" s="1"/>
  <c r="E417" i="8"/>
  <c r="J417" i="8" s="1"/>
  <c r="B428" i="8"/>
  <c r="G428" i="8" s="1"/>
  <c r="D385" i="8"/>
  <c r="I385" i="8" s="1"/>
  <c r="B66" i="8"/>
  <c r="C164" i="8"/>
  <c r="F161" i="8"/>
  <c r="J180" i="8"/>
  <c r="B210" i="8"/>
  <c r="J248" i="8"/>
  <c r="F601" i="8"/>
  <c r="F622" i="8"/>
  <c r="K622" i="8" s="1"/>
  <c r="C572" i="8"/>
  <c r="H572" i="8" s="1"/>
  <c r="F125" i="8"/>
  <c r="B524" i="8"/>
  <c r="G524" i="8" s="1"/>
  <c r="D563" i="8"/>
  <c r="I563" i="8" s="1"/>
  <c r="E33" i="8"/>
  <c r="I180" i="8"/>
  <c r="F592" i="8"/>
  <c r="K592" i="8" s="1"/>
  <c r="B582" i="8"/>
  <c r="G582" i="8" s="1"/>
  <c r="E412" i="8"/>
  <c r="J412" i="8" s="1"/>
  <c r="F252" i="8"/>
  <c r="K64" i="8"/>
  <c r="C155" i="8"/>
  <c r="D31" i="8"/>
  <c r="E387" i="8"/>
  <c r="J387" i="8" s="1"/>
  <c r="C224" i="8"/>
  <c r="E404" i="8"/>
  <c r="J404" i="8" s="1"/>
  <c r="C451" i="8"/>
  <c r="H451" i="8" s="1"/>
  <c r="F516" i="8"/>
  <c r="G198" i="8"/>
  <c r="J137" i="8"/>
  <c r="J354" i="8" s="1"/>
  <c r="F656" i="8"/>
  <c r="B248" i="8"/>
  <c r="E124" i="8"/>
  <c r="J34" i="8"/>
  <c r="F101" i="8"/>
  <c r="F310" i="8" s="1"/>
  <c r="F238" i="8"/>
  <c r="H124" i="8"/>
  <c r="C152" i="8"/>
  <c r="C391" i="8"/>
  <c r="H391" i="8" s="1"/>
  <c r="B126" i="8"/>
  <c r="B194" i="8"/>
  <c r="C510" i="8"/>
  <c r="H510" i="8" s="1"/>
  <c r="H128" i="8"/>
  <c r="E570" i="8"/>
  <c r="J570" i="8" s="1"/>
  <c r="I141" i="8"/>
  <c r="F568" i="8"/>
  <c r="K568" i="8" s="1"/>
  <c r="D443" i="8"/>
  <c r="J151" i="8"/>
  <c r="K118" i="8"/>
  <c r="K353" i="8" s="1"/>
  <c r="E400" i="8"/>
  <c r="J400" i="8" s="1"/>
  <c r="D562" i="8"/>
  <c r="I562" i="8" s="1"/>
  <c r="C660" i="8"/>
  <c r="D237" i="8"/>
  <c r="K117" i="8"/>
  <c r="K352" i="8" s="1"/>
  <c r="E623" i="8"/>
  <c r="J623" i="8" s="1"/>
  <c r="C608" i="8"/>
  <c r="D166" i="8"/>
  <c r="C211" i="8"/>
  <c r="B129" i="8"/>
  <c r="B621" i="8"/>
  <c r="G621" i="8" s="1"/>
  <c r="H141" i="8"/>
  <c r="D501" i="8"/>
  <c r="I501" i="8" s="1"/>
  <c r="J134" i="8"/>
  <c r="I37" i="8"/>
  <c r="D136" i="8"/>
  <c r="D318" i="8" s="1"/>
  <c r="G214" i="8"/>
  <c r="F399" i="8"/>
  <c r="K399" i="8" s="1"/>
  <c r="D234" i="8"/>
  <c r="C485" i="8"/>
  <c r="H485" i="8" s="1"/>
  <c r="D150" i="8"/>
  <c r="C518" i="8"/>
  <c r="H518" i="8" s="1"/>
  <c r="D426" i="8"/>
  <c r="D513" i="8"/>
  <c r="I513" i="8" s="1"/>
  <c r="G69" i="8"/>
  <c r="D451" i="8"/>
  <c r="I451" i="8" s="1"/>
  <c r="C602" i="8"/>
  <c r="H602" i="8" s="1"/>
  <c r="B216" i="8"/>
  <c r="G184" i="8"/>
  <c r="G193" i="8"/>
  <c r="G209" i="8"/>
  <c r="B229" i="8"/>
  <c r="H194" i="8"/>
  <c r="H31" i="8"/>
  <c r="C137" i="8"/>
  <c r="C354" i="8" s="1"/>
  <c r="E248" i="8"/>
  <c r="D401" i="8"/>
  <c r="I401" i="8" s="1"/>
  <c r="C588" i="8"/>
  <c r="H588" i="8" s="1"/>
  <c r="H112" i="8"/>
  <c r="C205" i="8"/>
  <c r="H201" i="8"/>
  <c r="B661" i="8"/>
  <c r="K31" i="8"/>
  <c r="G235" i="8"/>
  <c r="B387" i="8"/>
  <c r="G387" i="8" s="1"/>
  <c r="B564" i="8"/>
  <c r="G564" i="8" s="1"/>
  <c r="F494" i="8"/>
  <c r="K494" i="8" s="1"/>
  <c r="D104" i="8"/>
  <c r="D346" i="8" s="1"/>
  <c r="J144" i="8"/>
  <c r="F667" i="8"/>
  <c r="E31" i="8"/>
  <c r="F140" i="8"/>
  <c r="F454" i="8"/>
  <c r="K454" i="8" s="1"/>
  <c r="D155" i="8"/>
  <c r="J164" i="8"/>
  <c r="B429" i="8"/>
  <c r="G429" i="8" s="1"/>
  <c r="E606" i="8"/>
  <c r="J606" i="8" s="1"/>
  <c r="C570" i="8"/>
  <c r="H570" i="8" s="1"/>
  <c r="E666" i="8"/>
  <c r="B165" i="8"/>
  <c r="F512" i="8"/>
  <c r="K512" i="8" s="1"/>
  <c r="F582" i="8"/>
  <c r="K582" i="8" s="1"/>
  <c r="C251" i="8"/>
  <c r="B202" i="8"/>
  <c r="B393" i="8"/>
  <c r="G393" i="8" s="1"/>
  <c r="E443" i="8"/>
  <c r="B614" i="8"/>
  <c r="G614" i="8" s="1"/>
  <c r="C535" i="8"/>
  <c r="H535" i="8" s="1"/>
  <c r="D616" i="8"/>
  <c r="I616" i="8" s="1"/>
  <c r="C159" i="8"/>
  <c r="F602" i="8"/>
  <c r="K602" i="8" s="1"/>
  <c r="D452" i="8"/>
  <c r="I452" i="8" s="1"/>
  <c r="G196" i="8"/>
  <c r="D582" i="8"/>
  <c r="I582" i="8" s="1"/>
  <c r="C606" i="8"/>
  <c r="H606" i="8" s="1"/>
  <c r="D107" i="8"/>
  <c r="B182" i="8"/>
  <c r="D433" i="8"/>
  <c r="I433" i="8" s="1"/>
  <c r="B500" i="8"/>
  <c r="G500" i="8" s="1"/>
  <c r="G176" i="8"/>
  <c r="B422" i="8"/>
  <c r="C199" i="8"/>
  <c r="B535" i="8"/>
  <c r="G535" i="8" s="1"/>
  <c r="G32" i="8"/>
  <c r="E654" i="8"/>
  <c r="E655" i="8" s="1"/>
  <c r="F430" i="8"/>
  <c r="K430" i="8" s="1"/>
  <c r="F565" i="8"/>
  <c r="K565" i="8" s="1"/>
  <c r="F444" i="8"/>
  <c r="K444" i="8" s="1"/>
  <c r="J63" i="8"/>
  <c r="C197" i="8"/>
  <c r="F506" i="8"/>
  <c r="K506" i="8" s="1"/>
  <c r="G206" i="8"/>
  <c r="D108" i="8"/>
  <c r="C29" i="8"/>
  <c r="B110" i="8"/>
  <c r="C243" i="8"/>
  <c r="C147" i="8"/>
  <c r="B215" i="8"/>
  <c r="D670" i="8"/>
  <c r="J29" i="8"/>
  <c r="F429" i="8"/>
  <c r="K429" i="8" s="1"/>
  <c r="H68" i="8"/>
  <c r="C148" i="8"/>
  <c r="C185" i="8"/>
  <c r="H65" i="8"/>
  <c r="E662" i="8"/>
  <c r="E151" i="8"/>
  <c r="H137" i="8"/>
  <c r="H354" i="8" s="1"/>
  <c r="E131" i="8"/>
  <c r="F615" i="8"/>
  <c r="K615" i="8" s="1"/>
  <c r="C225" i="8"/>
  <c r="D571" i="8"/>
  <c r="I571" i="8" s="1"/>
  <c r="E121" i="8"/>
  <c r="E582" i="8"/>
  <c r="J582" i="8" s="1"/>
  <c r="I144" i="8"/>
  <c r="C203" i="8"/>
  <c r="K243" i="8"/>
  <c r="E501" i="8"/>
  <c r="J501" i="8" s="1"/>
  <c r="D171" i="8"/>
  <c r="F148" i="8"/>
  <c r="E134" i="8"/>
  <c r="D577" i="8"/>
  <c r="I577" i="8" s="1"/>
  <c r="B136" i="8"/>
  <c r="B318" i="8" s="1"/>
  <c r="K109" i="8"/>
  <c r="F69" i="8"/>
  <c r="K29" i="8"/>
  <c r="G189" i="8"/>
  <c r="C408" i="8"/>
  <c r="H408" i="8" s="1"/>
  <c r="D432" i="8"/>
  <c r="I432" i="8" s="1"/>
  <c r="C435" i="8"/>
  <c r="H435" i="8" s="1"/>
  <c r="D444" i="8"/>
  <c r="I444" i="8" s="1"/>
  <c r="C392" i="8"/>
  <c r="H392" i="8" s="1"/>
  <c r="B414" i="8"/>
  <c r="G414" i="8" s="1"/>
  <c r="B405" i="8"/>
  <c r="G405" i="8" s="1"/>
  <c r="I164" i="8"/>
  <c r="B29" i="8"/>
  <c r="D419" i="8"/>
  <c r="I419" i="8" s="1"/>
  <c r="C410" i="8"/>
  <c r="H410" i="8" s="1"/>
  <c r="D490" i="8"/>
  <c r="I490" i="8" s="1"/>
  <c r="B225" i="8"/>
  <c r="C141" i="8"/>
  <c r="G64" i="8"/>
  <c r="E422" i="8"/>
  <c r="D428" i="8"/>
  <c r="I428" i="8" s="1"/>
  <c r="G165" i="8"/>
  <c r="G114" i="8"/>
  <c r="F513" i="8"/>
  <c r="K513" i="8" s="1"/>
  <c r="F587" i="8"/>
  <c r="K587" i="8" s="1"/>
  <c r="G192" i="8"/>
  <c r="E102" i="8"/>
  <c r="E311" i="8" s="1"/>
  <c r="G199" i="8"/>
  <c r="C184" i="8"/>
  <c r="C436" i="8"/>
  <c r="H436" i="8" s="1"/>
  <c r="B659" i="8"/>
  <c r="E617" i="8"/>
  <c r="J617" i="8" s="1"/>
  <c r="C144" i="8"/>
  <c r="G164" i="8"/>
  <c r="G144" i="8"/>
  <c r="C174" i="8"/>
  <c r="D109" i="8"/>
  <c r="B195" i="8"/>
  <c r="C198" i="8"/>
  <c r="D170" i="8"/>
  <c r="G142" i="8"/>
  <c r="C623" i="8"/>
  <c r="H623" i="8" s="1"/>
  <c r="B534" i="8"/>
  <c r="G534" i="8" s="1"/>
  <c r="G195" i="8"/>
  <c r="F131" i="8"/>
  <c r="E165" i="8"/>
  <c r="K138" i="8"/>
  <c r="K355" i="8" s="1"/>
  <c r="F497" i="8"/>
  <c r="K497" i="8" s="1"/>
  <c r="H151" i="8"/>
  <c r="F432" i="8"/>
  <c r="K432" i="8" s="1"/>
  <c r="B164" i="8"/>
  <c r="F385" i="8"/>
  <c r="K385" i="8" s="1"/>
  <c r="H130" i="8"/>
  <c r="F413" i="8"/>
  <c r="K413" i="8" s="1"/>
  <c r="C403" i="8"/>
  <c r="H403" i="8" s="1"/>
  <c r="F628" i="8"/>
  <c r="K628" i="8" s="1"/>
  <c r="H127" i="8"/>
  <c r="H207" i="8"/>
  <c r="G187" i="8"/>
  <c r="D623" i="8"/>
  <c r="I623" i="8" s="1"/>
  <c r="E111" i="8"/>
  <c r="F110" i="8"/>
  <c r="C228" i="8"/>
  <c r="D151" i="8"/>
  <c r="I150" i="8"/>
  <c r="F234" i="8"/>
  <c r="C207" i="8"/>
  <c r="C127" i="8"/>
  <c r="F165" i="8"/>
  <c r="B523" i="8"/>
  <c r="G523" i="8" s="1"/>
  <c r="F147" i="8"/>
  <c r="C511" i="8"/>
  <c r="H511" i="8" s="1"/>
  <c r="H213" i="8"/>
  <c r="D383" i="8"/>
  <c r="I383" i="8" s="1"/>
  <c r="F29" i="8"/>
  <c r="I147" i="8"/>
  <c r="B231" i="8"/>
  <c r="C188" i="8"/>
  <c r="C68" i="8"/>
  <c r="B618" i="8"/>
  <c r="G618" i="8" s="1"/>
  <c r="I159" i="8"/>
  <c r="B192" i="8"/>
  <c r="E130" i="8"/>
  <c r="E115" i="8"/>
  <c r="E350" i="8" s="1"/>
  <c r="D427" i="8"/>
  <c r="I427" i="8" s="1"/>
  <c r="C490" i="8"/>
  <c r="H490" i="8" s="1"/>
  <c r="E396" i="8"/>
  <c r="J396" i="8" s="1"/>
  <c r="J119" i="8"/>
  <c r="C66" i="8"/>
  <c r="G231" i="8"/>
  <c r="I125" i="8"/>
  <c r="E401" i="8"/>
  <c r="J401" i="8" s="1"/>
  <c r="D441" i="8"/>
  <c r="I441" i="8" s="1"/>
  <c r="G226" i="8"/>
  <c r="G100" i="8"/>
  <c r="E452" i="8"/>
  <c r="J452" i="8" s="1"/>
  <c r="J126" i="8"/>
  <c r="D413" i="8"/>
  <c r="I413" i="8" s="1"/>
  <c r="B101" i="8"/>
  <c r="B310" i="8" s="1"/>
  <c r="E403" i="8"/>
  <c r="J403" i="8" s="1"/>
  <c r="D68" i="8"/>
  <c r="D565" i="8"/>
  <c r="I565" i="8" s="1"/>
  <c r="B28" i="8"/>
  <c r="D35" i="8"/>
  <c r="B171" i="8"/>
  <c r="E505" i="8"/>
  <c r="J505" i="8" s="1"/>
  <c r="H196" i="8"/>
  <c r="D524" i="8"/>
  <c r="I524" i="8" s="1"/>
  <c r="B155" i="8"/>
  <c r="D415" i="8"/>
  <c r="I415" i="8" s="1"/>
  <c r="F400" i="8"/>
  <c r="K400" i="8" s="1"/>
  <c r="B107" i="8"/>
  <c r="K35" i="8"/>
  <c r="B604" i="8"/>
  <c r="G604" i="8" s="1"/>
  <c r="I140" i="8"/>
  <c r="G251" i="8"/>
  <c r="E611" i="8"/>
  <c r="J611" i="8" s="1"/>
  <c r="J178" i="8"/>
  <c r="E414" i="8"/>
  <c r="J414" i="8" s="1"/>
  <c r="F663" i="8"/>
  <c r="E524" i="8"/>
  <c r="J524" i="8" s="1"/>
  <c r="B670" i="8"/>
  <c r="K172" i="8"/>
  <c r="C411" i="8"/>
  <c r="H411" i="8" s="1"/>
  <c r="K154" i="8"/>
  <c r="K127" i="8"/>
  <c r="B221" i="8"/>
  <c r="D180" i="8"/>
  <c r="G190" i="8"/>
  <c r="D179" i="8"/>
  <c r="B127" i="8"/>
  <c r="H219" i="8"/>
  <c r="E604" i="8"/>
  <c r="J604" i="8" s="1"/>
  <c r="H217" i="8"/>
  <c r="G183" i="8"/>
  <c r="D100" i="8"/>
  <c r="G225" i="8"/>
  <c r="C100" i="8"/>
  <c r="D391" i="8"/>
  <c r="I391" i="8" s="1"/>
  <c r="K240" i="8"/>
  <c r="F35" i="8"/>
  <c r="H182" i="8"/>
  <c r="H209" i="8"/>
  <c r="D576" i="8"/>
  <c r="I576" i="8" s="1"/>
  <c r="B205" i="8"/>
  <c r="C395" i="8"/>
  <c r="H395" i="8" s="1"/>
  <c r="G229" i="8"/>
  <c r="B448" i="8"/>
  <c r="G448" i="8" s="1"/>
  <c r="G29" i="8"/>
  <c r="B492" i="8"/>
  <c r="G492" i="8" s="1"/>
  <c r="E132" i="8"/>
  <c r="C190" i="8"/>
  <c r="G238" i="8"/>
  <c r="D404" i="8"/>
  <c r="I404" i="8" s="1"/>
  <c r="F566" i="8"/>
  <c r="K566" i="8" s="1"/>
  <c r="I127" i="8"/>
  <c r="G222" i="8"/>
  <c r="K63" i="8"/>
  <c r="H35" i="8"/>
  <c r="C32" i="8"/>
  <c r="C419" i="8"/>
  <c r="H419" i="8" s="1"/>
  <c r="C154" i="8"/>
  <c r="G154" i="8"/>
  <c r="G116" i="8"/>
  <c r="G351" i="8" s="1"/>
  <c r="J116" i="8"/>
  <c r="J351" i="8" s="1"/>
  <c r="F422" i="8"/>
  <c r="C230" i="8"/>
  <c r="H69" i="8"/>
  <c r="E444" i="8"/>
  <c r="J444" i="8" s="1"/>
  <c r="E434" i="8"/>
  <c r="J434" i="8" s="1"/>
  <c r="D449" i="8"/>
  <c r="I449" i="8" s="1"/>
  <c r="E391" i="8"/>
  <c r="J391" i="8" s="1"/>
  <c r="B565" i="8"/>
  <c r="G565" i="8" s="1"/>
  <c r="D406" i="8"/>
  <c r="I406" i="8" s="1"/>
  <c r="E407" i="8"/>
  <c r="J407" i="8" s="1"/>
  <c r="F590" i="8"/>
  <c r="K590" i="8" s="1"/>
  <c r="H189" i="8"/>
  <c r="B204" i="8"/>
  <c r="C491" i="8"/>
  <c r="H491" i="8" s="1"/>
  <c r="J37" i="8"/>
  <c r="C145" i="8"/>
  <c r="E493" i="8"/>
  <c r="J493" i="8" s="1"/>
  <c r="D156" i="8"/>
  <c r="G120" i="8"/>
  <c r="I66" i="8"/>
  <c r="I132" i="8"/>
  <c r="H223" i="8"/>
  <c r="D149" i="8"/>
  <c r="D529" i="8"/>
  <c r="I529" i="8" s="1"/>
  <c r="F445" i="8"/>
  <c r="K445" i="8" s="1"/>
  <c r="D453" i="8"/>
  <c r="I453" i="8" s="1"/>
  <c r="D494" i="8"/>
  <c r="I494" i="8" s="1"/>
  <c r="G105" i="8"/>
  <c r="D492" i="8"/>
  <c r="I492" i="8" s="1"/>
  <c r="E105" i="8"/>
  <c r="E413" i="8"/>
  <c r="J413" i="8" s="1"/>
  <c r="B109" i="8"/>
  <c r="E397" i="8"/>
  <c r="J397" i="8" s="1"/>
  <c r="B590" i="8"/>
  <c r="G590" i="8" s="1"/>
  <c r="C615" i="8"/>
  <c r="H615" i="8" s="1"/>
  <c r="D454" i="8"/>
  <c r="I454" i="8" s="1"/>
  <c r="F412" i="8"/>
  <c r="K412" i="8" s="1"/>
  <c r="C659" i="8"/>
  <c r="C487" i="8"/>
  <c r="H487" i="8" s="1"/>
  <c r="J72" i="8"/>
  <c r="E516" i="8"/>
  <c r="F138" i="8"/>
  <c r="F355" i="8" s="1"/>
  <c r="K153" i="8"/>
  <c r="D161" i="8"/>
  <c r="I68" i="8"/>
  <c r="C508" i="8"/>
  <c r="H508" i="8" s="1"/>
  <c r="F434" i="8"/>
  <c r="K434" i="8" s="1"/>
  <c r="D620" i="8"/>
  <c r="B243" i="8"/>
  <c r="F439" i="8"/>
  <c r="K439" i="8" s="1"/>
  <c r="I155" i="8"/>
  <c r="F481" i="8"/>
  <c r="K481" i="8" s="1"/>
  <c r="E448" i="8"/>
  <c r="J448" i="8" s="1"/>
  <c r="I111" i="8"/>
  <c r="J71" i="8"/>
  <c r="K72" i="8"/>
  <c r="B234" i="8"/>
  <c r="I106" i="8"/>
  <c r="I348" i="8" s="1"/>
  <c r="K101" i="8"/>
  <c r="K310" i="8" s="1"/>
  <c r="E136" i="8"/>
  <c r="E318" i="8" s="1"/>
  <c r="B207" i="8"/>
  <c r="C569" i="8"/>
  <c r="H569" i="8" s="1"/>
  <c r="F116" i="8"/>
  <c r="F351" i="8" s="1"/>
  <c r="E133" i="8"/>
  <c r="C171" i="8"/>
  <c r="G247" i="8"/>
  <c r="K115" i="8"/>
  <c r="K350" i="8" s="1"/>
  <c r="E664" i="8"/>
  <c r="D408" i="8"/>
  <c r="I408" i="8" s="1"/>
  <c r="K155" i="8"/>
  <c r="F526" i="8"/>
  <c r="K526" i="8" s="1"/>
  <c r="B137" i="8"/>
  <c r="B354" i="8" s="1"/>
  <c r="B196" i="8"/>
  <c r="D389" i="8"/>
  <c r="I389" i="8" s="1"/>
  <c r="H225" i="8"/>
  <c r="K249" i="8"/>
  <c r="C114" i="8"/>
  <c r="G107" i="8"/>
  <c r="F447" i="8"/>
  <c r="C118" i="8"/>
  <c r="C353" i="8" s="1"/>
  <c r="F661" i="8"/>
  <c r="K69" i="8"/>
  <c r="G197" i="8"/>
  <c r="C214" i="8"/>
  <c r="B185" i="8"/>
  <c r="B191" i="8"/>
  <c r="F419" i="8"/>
  <c r="K419" i="8" s="1"/>
  <c r="C153" i="8"/>
  <c r="H113" i="8"/>
  <c r="E418" i="8"/>
  <c r="J418" i="8" s="1"/>
  <c r="E423" i="8"/>
  <c r="J423" i="8" s="1"/>
  <c r="B108" i="8"/>
  <c r="B230" i="8"/>
  <c r="E525" i="8"/>
  <c r="J525" i="8" s="1"/>
  <c r="D390" i="8"/>
  <c r="I390" i="8" s="1"/>
  <c r="I152" i="8"/>
  <c r="C72" i="8"/>
  <c r="E431" i="8"/>
  <c r="J431" i="8" s="1"/>
  <c r="C208" i="8"/>
  <c r="J138" i="8"/>
  <c r="J355" i="8" s="1"/>
  <c r="H204" i="8"/>
  <c r="F424" i="8"/>
  <c r="K424" i="8" s="1"/>
  <c r="I115" i="8"/>
  <c r="I350" i="8" s="1"/>
  <c r="E529" i="8"/>
  <c r="J529" i="8" s="1"/>
  <c r="D656" i="8"/>
  <c r="B583" i="8"/>
  <c r="G583" i="8" s="1"/>
  <c r="I105" i="8"/>
  <c r="C404" i="8"/>
  <c r="H404" i="8" s="1"/>
  <c r="B203" i="8"/>
  <c r="B211" i="8"/>
  <c r="B219" i="8"/>
  <c r="G215" i="8"/>
  <c r="J115" i="8"/>
  <c r="J350" i="8" s="1"/>
  <c r="B147" i="8"/>
  <c r="C414" i="8"/>
  <c r="H414" i="8" s="1"/>
  <c r="F562" i="8"/>
  <c r="K562" i="8" s="1"/>
  <c r="D69" i="8"/>
  <c r="D438" i="8"/>
  <c r="D420" i="8"/>
  <c r="I420" i="8" s="1"/>
  <c r="G213" i="8"/>
  <c r="E155" i="8"/>
  <c r="F415" i="8"/>
  <c r="K415" i="8" s="1"/>
  <c r="H199" i="8"/>
  <c r="H198" i="8"/>
  <c r="F563" i="8"/>
  <c r="K563" i="8" s="1"/>
  <c r="C582" i="8"/>
  <c r="H582" i="8" s="1"/>
  <c r="C591" i="8"/>
  <c r="H591" i="8" s="1"/>
  <c r="D520" i="8"/>
  <c r="I520" i="8" s="1"/>
  <c r="B247" i="8"/>
  <c r="B119" i="8"/>
  <c r="B663" i="8"/>
  <c r="G230" i="8"/>
  <c r="D447" i="8"/>
  <c r="J117" i="8"/>
  <c r="J352" i="8" s="1"/>
  <c r="E534" i="8"/>
  <c r="J534" i="8" s="1"/>
  <c r="D110" i="8"/>
  <c r="B409" i="8"/>
  <c r="G409" i="8" s="1"/>
  <c r="H102" i="8"/>
  <c r="H311" i="8" s="1"/>
  <c r="G127" i="8"/>
  <c r="E389" i="8"/>
  <c r="J389" i="8" s="1"/>
  <c r="B223" i="8"/>
  <c r="J100" i="8"/>
  <c r="F244" i="8"/>
  <c r="D403" i="8"/>
  <c r="I403" i="8" s="1"/>
  <c r="K119" i="8"/>
  <c r="B436" i="8"/>
  <c r="G436" i="8" s="1"/>
  <c r="E103" i="8"/>
  <c r="G28" i="8"/>
  <c r="C661" i="8"/>
  <c r="C142" i="8"/>
  <c r="B157" i="8"/>
  <c r="B512" i="8"/>
  <c r="G512" i="8" s="1"/>
  <c r="J153" i="8"/>
  <c r="I126" i="8"/>
  <c r="F156" i="8"/>
  <c r="E243" i="8"/>
  <c r="G166" i="8"/>
  <c r="B609" i="8"/>
  <c r="G609" i="8" s="1"/>
  <c r="I118" i="8"/>
  <c r="I353" i="8" s="1"/>
  <c r="C514" i="8"/>
  <c r="H514" i="8" s="1"/>
  <c r="J156" i="8"/>
  <c r="D667" i="8"/>
  <c r="C525" i="8"/>
  <c r="H525" i="8" s="1"/>
  <c r="I154" i="8"/>
  <c r="H203" i="8"/>
  <c r="E100" i="8"/>
  <c r="E161" i="8"/>
  <c r="C495" i="8"/>
  <c r="H495" i="8" s="1"/>
  <c r="G194" i="8"/>
  <c r="H248" i="8"/>
  <c r="D596" i="8"/>
  <c r="I596" i="8" s="1"/>
  <c r="F669" i="8"/>
  <c r="F660" i="8"/>
  <c r="E246" i="8"/>
  <c r="F517" i="8"/>
  <c r="K517" i="8" s="1"/>
  <c r="F498" i="8"/>
  <c r="K498" i="8" s="1"/>
  <c r="E615" i="8"/>
  <c r="J615" i="8" s="1"/>
  <c r="E34" i="8"/>
  <c r="J147" i="8"/>
  <c r="F627" i="8"/>
  <c r="K627" i="8" s="1"/>
  <c r="E123" i="8"/>
  <c r="B222" i="8"/>
  <c r="E36" i="8"/>
  <c r="D135" i="8"/>
  <c r="C222" i="8"/>
  <c r="H224" i="8"/>
  <c r="H212" i="8"/>
  <c r="E135" i="8"/>
  <c r="E113" i="8"/>
  <c r="H116" i="8"/>
  <c r="H351" i="8" s="1"/>
  <c r="H195" i="8"/>
  <c r="B411" i="8"/>
  <c r="G411" i="8" s="1"/>
  <c r="E628" i="8"/>
  <c r="J628" i="8" s="1"/>
  <c r="G143" i="8"/>
  <c r="B128" i="8"/>
  <c r="D388" i="8"/>
  <c r="I388" i="8" s="1"/>
  <c r="J129" i="8"/>
  <c r="B250" i="8"/>
  <c r="E502" i="8"/>
  <c r="J502" i="8" s="1"/>
  <c r="C506" i="8"/>
  <c r="H506" i="8" s="1"/>
  <c r="D497" i="8"/>
  <c r="I497" i="8" s="1"/>
  <c r="C563" i="8"/>
  <c r="H563" i="8" s="1"/>
  <c r="F496" i="8"/>
  <c r="K496" i="8" s="1"/>
  <c r="C530" i="8"/>
  <c r="H530" i="8" s="1"/>
  <c r="G170" i="8"/>
  <c r="E172" i="8"/>
  <c r="E433" i="8"/>
  <c r="J433" i="8" s="1"/>
  <c r="B63" i="8"/>
  <c r="D382" i="8"/>
  <c r="E174" i="8"/>
  <c r="E594" i="8"/>
  <c r="J594" i="8" s="1"/>
  <c r="C64" i="8"/>
  <c r="I145" i="8"/>
  <c r="G36" i="8"/>
  <c r="K175" i="8"/>
  <c r="H200" i="8"/>
  <c r="F427" i="8"/>
  <c r="K427" i="8" s="1"/>
  <c r="I72" i="8"/>
  <c r="F114" i="8"/>
  <c r="D402" i="8"/>
  <c r="I402" i="8" s="1"/>
  <c r="D611" i="8"/>
  <c r="I611" i="8" s="1"/>
  <c r="D569" i="8"/>
  <c r="I569" i="8" s="1"/>
  <c r="E605" i="8"/>
  <c r="J605" i="8" s="1"/>
  <c r="K103" i="8"/>
  <c r="F573" i="8"/>
  <c r="K573" i="8" s="1"/>
  <c r="J157" i="8"/>
  <c r="E531" i="8"/>
  <c r="J531" i="8" s="1"/>
  <c r="B228" i="8"/>
  <c r="I28" i="8"/>
  <c r="B235" i="8"/>
  <c r="E240" i="8"/>
  <c r="D414" i="8"/>
  <c r="I414" i="8" s="1"/>
  <c r="C574" i="8"/>
  <c r="H574" i="8" s="1"/>
  <c r="B501" i="8"/>
  <c r="G501" i="8" s="1"/>
  <c r="D622" i="8"/>
  <c r="I622" i="8" s="1"/>
  <c r="C561" i="8"/>
  <c r="H176" i="8"/>
  <c r="E586" i="8"/>
  <c r="J586" i="8" s="1"/>
  <c r="B595" i="8"/>
  <c r="G595" i="8" s="1"/>
  <c r="K386" i="8"/>
  <c r="B102" i="8"/>
  <c r="B311" i="8" s="1"/>
  <c r="D132" i="8"/>
  <c r="C439" i="8"/>
  <c r="H439" i="8" s="1"/>
  <c r="B123" i="8"/>
  <c r="C400" i="8"/>
  <c r="H400" i="8" s="1"/>
  <c r="B441" i="8"/>
  <c r="G441" i="8" s="1"/>
  <c r="F423" i="8"/>
  <c r="K423" i="8" s="1"/>
  <c r="C433" i="8"/>
  <c r="H433" i="8" s="1"/>
  <c r="F406" i="8"/>
  <c r="K406" i="8" s="1"/>
  <c r="K71" i="8"/>
  <c r="B142" i="8"/>
  <c r="J102" i="8"/>
  <c r="J311" i="8" s="1"/>
  <c r="J69" i="8"/>
  <c r="C399" i="8"/>
  <c r="H399" i="8" s="1"/>
  <c r="I130" i="8"/>
  <c r="E382" i="8"/>
  <c r="I63" i="8"/>
  <c r="C231" i="8"/>
  <c r="B509" i="8"/>
  <c r="G509" i="8" s="1"/>
  <c r="D122" i="8"/>
  <c r="B242" i="8"/>
  <c r="D400" i="8"/>
  <c r="I400" i="8" s="1"/>
  <c r="I161" i="8"/>
  <c r="I70" i="8"/>
  <c r="B156" i="8"/>
  <c r="C132" i="8"/>
  <c r="G122" i="8"/>
  <c r="J246" i="8"/>
  <c r="D535" i="8"/>
  <c r="I535" i="8" s="1"/>
  <c r="D409" i="8"/>
  <c r="I409" i="8" s="1"/>
  <c r="C250" i="8"/>
  <c r="D399" i="8"/>
  <c r="I399" i="8" s="1"/>
  <c r="E176" i="8"/>
  <c r="H63" i="8"/>
  <c r="B251" i="8"/>
  <c r="C28" i="8"/>
  <c r="C175" i="8"/>
  <c r="G220" i="8"/>
  <c r="D621" i="8"/>
  <c r="I621" i="8" s="1"/>
  <c r="B449" i="8"/>
  <c r="G449" i="8" s="1"/>
  <c r="B572" i="8"/>
  <c r="G572" i="8" s="1"/>
  <c r="J484" i="8"/>
  <c r="F174" i="8"/>
  <c r="C658" i="8"/>
  <c r="F480" i="8"/>
  <c r="I107" i="8"/>
  <c r="F426" i="8"/>
  <c r="D606" i="8"/>
  <c r="I606" i="8" s="1"/>
  <c r="C509" i="8"/>
  <c r="H509" i="8" s="1"/>
  <c r="D106" i="8"/>
  <c r="D348" i="8" s="1"/>
  <c r="B575" i="8"/>
  <c r="G575" i="8" s="1"/>
  <c r="I251" i="8"/>
  <c r="C157" i="8"/>
  <c r="C176" i="8"/>
  <c r="B602" i="8"/>
  <c r="G602" i="8" s="1"/>
  <c r="K131" i="8"/>
  <c r="B184" i="8"/>
  <c r="E491" i="8"/>
  <c r="J491" i="8" s="1"/>
  <c r="E238" i="8"/>
  <c r="K134" i="8"/>
  <c r="E490" i="8"/>
  <c r="J490" i="8" s="1"/>
  <c r="B594" i="8"/>
  <c r="G594" i="8" s="1"/>
  <c r="G124" i="8"/>
  <c r="F528" i="8"/>
  <c r="K176" i="8"/>
  <c r="J130" i="8"/>
  <c r="K116" i="8"/>
  <c r="K351" i="8" s="1"/>
  <c r="B162" i="8"/>
  <c r="B407" i="8"/>
  <c r="G407" i="8" s="1"/>
  <c r="B69" i="8"/>
  <c r="B443" i="8"/>
  <c r="G148" i="8"/>
  <c r="B403" i="8"/>
  <c r="G403" i="8" s="1"/>
  <c r="H249" i="8"/>
  <c r="K137" i="8"/>
  <c r="K354" i="8" s="1"/>
  <c r="C621" i="8"/>
  <c r="H621" i="8" s="1"/>
  <c r="B608" i="8"/>
  <c r="B574" i="8"/>
  <c r="G574" i="8" s="1"/>
  <c r="C583" i="8"/>
  <c r="H583" i="8" s="1"/>
  <c r="B113" i="8"/>
  <c r="E610" i="8"/>
  <c r="J610" i="8" s="1"/>
  <c r="E533" i="8"/>
  <c r="E621" i="8"/>
  <c r="J621" i="8" s="1"/>
  <c r="F145" i="8"/>
  <c r="B220" i="8"/>
  <c r="B571" i="8"/>
  <c r="G571" i="8" s="1"/>
  <c r="D418" i="8"/>
  <c r="I418" i="8" s="1"/>
  <c r="K246" i="8"/>
  <c r="C140" i="8"/>
  <c r="I117" i="8"/>
  <c r="I352" i="8" s="1"/>
  <c r="D612" i="8"/>
  <c r="I612" i="8" s="1"/>
  <c r="B172" i="8"/>
  <c r="I142" i="8"/>
  <c r="E513" i="8"/>
  <c r="J513" i="8" s="1"/>
  <c r="B620" i="8"/>
  <c r="B660" i="8"/>
  <c r="F175" i="8"/>
  <c r="G185" i="8"/>
  <c r="E398" i="8"/>
  <c r="J398" i="8" s="1"/>
  <c r="H222" i="8"/>
  <c r="E585" i="8"/>
  <c r="J585" i="8" s="1"/>
  <c r="B610" i="8"/>
  <c r="G610" i="8" s="1"/>
  <c r="B656" i="8"/>
  <c r="G123" i="8"/>
  <c r="F242" i="8"/>
  <c r="K237" i="8"/>
  <c r="D434" i="8"/>
  <c r="I434" i="8" s="1"/>
  <c r="E156" i="8"/>
  <c r="C206" i="8"/>
  <c r="J152" i="8"/>
  <c r="F388" i="8"/>
  <c r="K388" i="8" s="1"/>
  <c r="B667" i="8"/>
  <c r="E129" i="8"/>
  <c r="H247" i="8"/>
  <c r="D567" i="8"/>
  <c r="I567" i="8" s="1"/>
  <c r="D72" i="8"/>
  <c r="H162" i="8"/>
  <c r="I114" i="8"/>
  <c r="J173" i="8"/>
  <c r="I172" i="8"/>
  <c r="C620" i="8"/>
  <c r="D424" i="8"/>
  <c r="I424" i="8" s="1"/>
  <c r="C115" i="8"/>
  <c r="C350" i="8" s="1"/>
  <c r="E426" i="8"/>
  <c r="G243" i="8"/>
  <c r="B615" i="8"/>
  <c r="G615" i="8" s="1"/>
  <c r="C416" i="8"/>
  <c r="H416" i="8" s="1"/>
  <c r="B33" i="8"/>
  <c r="D450" i="8"/>
  <c r="I450" i="8" s="1"/>
  <c r="B402" i="8"/>
  <c r="G402" i="8" s="1"/>
  <c r="C385" i="8"/>
  <c r="H385" i="8" s="1"/>
  <c r="F418" i="8"/>
  <c r="K418" i="8" s="1"/>
  <c r="H142" i="8"/>
  <c r="G162" i="8"/>
  <c r="D134" i="8"/>
  <c r="K108" i="8"/>
  <c r="E593" i="8"/>
  <c r="J593" i="8" s="1"/>
  <c r="E148" i="8"/>
  <c r="E138" i="8"/>
  <c r="E355" i="8" s="1"/>
  <c r="B148" i="8"/>
  <c r="J111" i="8"/>
  <c r="K110" i="8"/>
  <c r="J110" i="8"/>
  <c r="B589" i="8"/>
  <c r="G589" i="8" s="1"/>
  <c r="I119" i="8"/>
  <c r="C492" i="8"/>
  <c r="H492" i="8" s="1"/>
  <c r="F495" i="8"/>
  <c r="K495" i="8" s="1"/>
  <c r="K152" i="8"/>
  <c r="H120" i="8"/>
  <c r="D654" i="8"/>
  <c r="D655" i="8" s="1"/>
  <c r="E518" i="8"/>
  <c r="J518" i="8" s="1"/>
  <c r="G71" i="8"/>
  <c r="D502" i="8"/>
  <c r="I502" i="8" s="1"/>
  <c r="E394" i="8"/>
  <c r="J394" i="8" s="1"/>
  <c r="F31" i="8"/>
  <c r="B193" i="8"/>
  <c r="F509" i="8"/>
  <c r="K509" i="8" s="1"/>
  <c r="G101" i="8"/>
  <c r="G310" i="8" s="1"/>
  <c r="H134" i="8"/>
  <c r="C597" i="8"/>
  <c r="H597" i="8" s="1"/>
  <c r="G137" i="8"/>
  <c r="G354" i="8" s="1"/>
  <c r="B605" i="8"/>
  <c r="G605" i="8" s="1"/>
  <c r="F411" i="8"/>
  <c r="K411" i="8" s="1"/>
  <c r="G156" i="8"/>
  <c r="D522" i="8"/>
  <c r="I522" i="8" s="1"/>
  <c r="D411" i="8"/>
  <c r="I411" i="8" s="1"/>
  <c r="E564" i="8"/>
  <c r="J564" i="8" s="1"/>
  <c r="G212" i="8"/>
  <c r="H386" i="8"/>
  <c r="D487" i="8"/>
  <c r="I487" i="8" s="1"/>
  <c r="K105" i="8"/>
  <c r="B522" i="8"/>
  <c r="G522" i="8" s="1"/>
  <c r="K251" i="8"/>
  <c r="I165" i="8"/>
  <c r="D250" i="8"/>
  <c r="C424" i="8"/>
  <c r="H424" i="8" s="1"/>
  <c r="F604" i="8"/>
  <c r="K604" i="8" s="1"/>
  <c r="I237" i="8"/>
  <c r="I35" i="8"/>
  <c r="B149" i="8"/>
  <c r="C123" i="8"/>
  <c r="G211" i="8"/>
  <c r="F157" i="8"/>
  <c r="G236" i="8"/>
  <c r="C161" i="8"/>
  <c r="C383" i="8"/>
  <c r="H383" i="8" s="1"/>
  <c r="F620" i="8"/>
  <c r="E385" i="8"/>
  <c r="J385" i="8" s="1"/>
  <c r="D598" i="8"/>
  <c r="I598" i="8" s="1"/>
  <c r="B134" i="8"/>
  <c r="B599" i="8"/>
  <c r="G599" i="8" s="1"/>
  <c r="D387" i="8"/>
  <c r="I387" i="8" s="1"/>
  <c r="B480" i="8"/>
  <c r="B174" i="8"/>
  <c r="J251" i="8"/>
  <c r="J172" i="8"/>
  <c r="C156" i="8"/>
  <c r="D523" i="8"/>
  <c r="I523" i="8" s="1"/>
  <c r="H208" i="8"/>
  <c r="H121" i="8"/>
  <c r="C393" i="8"/>
  <c r="H393" i="8" s="1"/>
  <c r="B666" i="8"/>
  <c r="B419" i="8"/>
  <c r="G419" i="8" s="1"/>
  <c r="B161" i="8"/>
  <c r="J148" i="8"/>
  <c r="B141" i="8"/>
  <c r="C179" i="8"/>
  <c r="E402" i="8"/>
  <c r="J402" i="8" s="1"/>
  <c r="G179" i="8"/>
  <c r="D416" i="8"/>
  <c r="I416" i="8" s="1"/>
  <c r="H184" i="8"/>
  <c r="C382" i="8"/>
  <c r="B579" i="8"/>
  <c r="G579" i="8" s="1"/>
  <c r="J170" i="8"/>
  <c r="B226" i="8"/>
  <c r="E153" i="8"/>
  <c r="B612" i="8"/>
  <c r="G612" i="8" s="1"/>
  <c r="B401" i="8"/>
  <c r="G401" i="8" s="1"/>
  <c r="B183" i="8"/>
  <c r="E453" i="8"/>
  <c r="J453" i="8" s="1"/>
  <c r="D491" i="8"/>
  <c r="I491" i="8" s="1"/>
  <c r="H33" i="8"/>
  <c r="B111" i="8"/>
  <c r="G145" i="8"/>
  <c r="B104" i="8"/>
  <c r="B346" i="8" s="1"/>
  <c r="C590" i="8"/>
  <c r="H590" i="8" s="1"/>
  <c r="B617" i="8"/>
  <c r="G617" i="8" s="1"/>
  <c r="C614" i="8"/>
  <c r="H614" i="8" s="1"/>
  <c r="B496" i="8"/>
  <c r="G496" i="8" s="1"/>
  <c r="G218" i="8"/>
  <c r="D33" i="8"/>
  <c r="E510" i="8"/>
  <c r="J510" i="8" s="1"/>
  <c r="C657" i="8"/>
  <c r="B70" i="8"/>
  <c r="B397" i="8"/>
  <c r="G397" i="8" s="1"/>
  <c r="E395" i="8"/>
  <c r="J395" i="8" s="1"/>
  <c r="I246" i="8"/>
  <c r="H166" i="8"/>
  <c r="B452" i="8"/>
  <c r="G452" i="8" s="1"/>
  <c r="H157" i="8"/>
  <c r="F117" i="8"/>
  <c r="F352" i="8" s="1"/>
  <c r="H110" i="8"/>
  <c r="B415" i="8"/>
  <c r="G415" i="8" s="1"/>
  <c r="B588" i="8"/>
  <c r="G588" i="8" s="1"/>
  <c r="F510" i="8"/>
  <c r="K510" i="8" s="1"/>
  <c r="E665" i="8"/>
  <c r="C398" i="8"/>
  <c r="H398" i="8" s="1"/>
  <c r="E410" i="8"/>
  <c r="J410" i="8" s="1"/>
  <c r="C102" i="8"/>
  <c r="C311" i="8" s="1"/>
  <c r="E72" i="8"/>
  <c r="J237" i="8"/>
  <c r="I236" i="8"/>
  <c r="H156" i="8"/>
  <c r="I36" i="8"/>
  <c r="F441" i="8"/>
  <c r="K441" i="8" s="1"/>
  <c r="E480" i="8"/>
  <c r="C417" i="8"/>
  <c r="H417" i="8" s="1"/>
  <c r="B424" i="8"/>
  <c r="G424" i="8" s="1"/>
  <c r="H122" i="8"/>
  <c r="F398" i="8"/>
  <c r="K398" i="8" s="1"/>
  <c r="D581" i="8"/>
  <c r="I581" i="8" s="1"/>
  <c r="B423" i="8"/>
  <c r="G423" i="8" s="1"/>
  <c r="C406" i="8"/>
  <c r="H406" i="8" s="1"/>
  <c r="F402" i="8"/>
  <c r="K402" i="8" s="1"/>
  <c r="K238" i="8"/>
  <c r="F158" i="8"/>
  <c r="E162" i="8"/>
  <c r="J142" i="8"/>
  <c r="D568" i="8"/>
  <c r="I568" i="8" s="1"/>
  <c r="H150" i="8"/>
  <c r="C502" i="8"/>
  <c r="H502" i="8" s="1"/>
  <c r="E500" i="8"/>
  <c r="J500" i="8" s="1"/>
  <c r="B209" i="8"/>
  <c r="H115" i="8"/>
  <c r="H350" i="8" s="1"/>
  <c r="F120" i="8"/>
  <c r="B567" i="8"/>
  <c r="G567" i="8" s="1"/>
  <c r="B584" i="8"/>
  <c r="G584" i="8" s="1"/>
  <c r="D117" i="8"/>
  <c r="D352" i="8" s="1"/>
  <c r="D242" i="8"/>
  <c r="C121" i="8"/>
  <c r="J118" i="8"/>
  <c r="J353" i="8" s="1"/>
  <c r="I166" i="8"/>
  <c r="J155" i="8"/>
  <c r="J143" i="8"/>
  <c r="G227" i="8"/>
  <c r="C249" i="8"/>
  <c r="B587" i="8"/>
  <c r="G587" i="8" s="1"/>
  <c r="E499" i="8"/>
  <c r="J499" i="8" s="1"/>
  <c r="G104" i="8"/>
  <c r="G346" i="8" s="1"/>
  <c r="E495" i="8"/>
  <c r="J495" i="8" s="1"/>
  <c r="E454" i="8"/>
  <c r="J454" i="8" s="1"/>
  <c r="E424" i="8"/>
  <c r="J424" i="8" s="1"/>
  <c r="D395" i="8"/>
  <c r="I395" i="8" s="1"/>
  <c r="I163" i="8"/>
  <c r="I153" i="8"/>
  <c r="B68" i="8"/>
  <c r="B654" i="8"/>
  <c r="B655" i="8" s="1"/>
  <c r="G129" i="8"/>
  <c r="G108" i="8"/>
  <c r="E384" i="8"/>
  <c r="J384" i="8" s="1"/>
  <c r="D615" i="8"/>
  <c r="I615" i="8" s="1"/>
  <c r="C428" i="8"/>
  <c r="H428" i="8" s="1"/>
  <c r="D448" i="8"/>
  <c r="I448" i="8" s="1"/>
  <c r="B413" i="8"/>
  <c r="G413" i="8" s="1"/>
  <c r="B118" i="8"/>
  <c r="B353" i="8" s="1"/>
  <c r="H185" i="8"/>
  <c r="D101" i="8"/>
  <c r="D310" i="8" s="1"/>
  <c r="F397" i="8"/>
  <c r="K397" i="8" s="1"/>
  <c r="H114" i="8"/>
  <c r="D604" i="8"/>
  <c r="I604" i="8" s="1"/>
  <c r="G150" i="8"/>
  <c r="B665" i="8"/>
  <c r="F436" i="8"/>
  <c r="K436" i="8" s="1"/>
  <c r="E506" i="8"/>
  <c r="J506" i="8" s="1"/>
  <c r="J236" i="8"/>
  <c r="H117" i="8"/>
  <c r="H352" i="8" s="1"/>
  <c r="B36" i="8"/>
  <c r="H221" i="8"/>
  <c r="D435" i="8"/>
  <c r="I435" i="8" s="1"/>
  <c r="D142" i="8"/>
  <c r="D498" i="8"/>
  <c r="I498" i="8" s="1"/>
  <c r="G103" i="8"/>
  <c r="E595" i="8"/>
  <c r="J595" i="8" s="1"/>
  <c r="E450" i="8"/>
  <c r="J450" i="8" s="1"/>
  <c r="D398" i="8"/>
  <c r="I398" i="8" s="1"/>
  <c r="G249" i="8"/>
  <c r="G174" i="8"/>
  <c r="D157" i="8"/>
  <c r="B418" i="8"/>
  <c r="G418" i="8" s="1"/>
  <c r="G234" i="8"/>
  <c r="K120" i="8"/>
  <c r="C422" i="8"/>
  <c r="C426" i="8"/>
  <c r="D503" i="8"/>
  <c r="I503" i="8" s="1"/>
  <c r="E152" i="8"/>
  <c r="G201" i="8"/>
  <c r="D103" i="8"/>
  <c r="D574" i="8"/>
  <c r="I574" i="8" s="1"/>
  <c r="D587" i="8"/>
  <c r="I587" i="8" s="1"/>
  <c r="C117" i="8"/>
  <c r="C352" i="8" s="1"/>
  <c r="G228" i="8"/>
  <c r="C496" i="8"/>
  <c r="H496" i="8" s="1"/>
  <c r="G386" i="8"/>
  <c r="D509" i="8"/>
  <c r="I509" i="8" s="1"/>
  <c r="D393" i="8"/>
  <c r="I393" i="8" s="1"/>
  <c r="G180" i="8"/>
  <c r="C31" i="8"/>
  <c r="C390" i="8"/>
  <c r="H390" i="8" s="1"/>
  <c r="C193" i="8"/>
  <c r="F105" i="8"/>
  <c r="D592" i="8"/>
  <c r="I592" i="8" s="1"/>
  <c r="F237" i="8"/>
  <c r="H100" i="8"/>
  <c r="E242" i="8"/>
  <c r="D244" i="8"/>
  <c r="H144" i="8"/>
  <c r="C611" i="8"/>
  <c r="H611" i="8" s="1"/>
  <c r="E436" i="8"/>
  <c r="J436" i="8" s="1"/>
  <c r="J247" i="8"/>
  <c r="G182" i="8"/>
  <c r="B224" i="8"/>
  <c r="E576" i="8"/>
  <c r="J576" i="8" s="1"/>
  <c r="D125" i="8"/>
  <c r="B533" i="8"/>
  <c r="E109" i="8"/>
  <c r="B394" i="8"/>
  <c r="G394" i="8" s="1"/>
  <c r="H170" i="8"/>
  <c r="G147" i="8"/>
  <c r="K157" i="8"/>
  <c r="D657" i="8"/>
  <c r="C69" i="8"/>
  <c r="H210" i="8"/>
  <c r="C192" i="8"/>
  <c r="E618" i="8"/>
  <c r="J618" i="8" s="1"/>
  <c r="C666" i="8"/>
  <c r="B495" i="8"/>
  <c r="G495" i="8" s="1"/>
  <c r="B664" i="8"/>
  <c r="C240" i="8"/>
  <c r="C610" i="8"/>
  <c r="H610" i="8" s="1"/>
  <c r="B439" i="8"/>
  <c r="G439" i="8" s="1"/>
  <c r="B200" i="8"/>
  <c r="D64" i="8"/>
  <c r="E447" i="8"/>
  <c r="G202" i="8"/>
  <c r="C504" i="8"/>
  <c r="H504" i="8" s="1"/>
  <c r="B435" i="8"/>
  <c r="G435" i="8" s="1"/>
  <c r="C396" i="8"/>
  <c r="H396" i="8" s="1"/>
  <c r="C438" i="8"/>
  <c r="F414" i="8"/>
  <c r="K414" i="8" s="1"/>
  <c r="D618" i="8"/>
  <c r="I618" i="8" s="1"/>
  <c r="G223" i="8"/>
  <c r="B432" i="8"/>
  <c r="G432" i="8" s="1"/>
  <c r="E627" i="8"/>
  <c r="J627" i="8" s="1"/>
  <c r="C667" i="8"/>
  <c r="B145" i="8"/>
  <c r="B490" i="8"/>
  <c r="G490" i="8" s="1"/>
  <c r="E482" i="8"/>
  <c r="J482" i="8" s="1"/>
  <c r="F240" i="8"/>
  <c r="F137" i="8"/>
  <c r="F354" i="8" s="1"/>
  <c r="J234" i="8"/>
  <c r="I131" i="8"/>
  <c r="D172" i="8"/>
  <c r="J174" i="8"/>
  <c r="C134" i="8"/>
  <c r="B434" i="8"/>
  <c r="G434" i="8" s="1"/>
  <c r="B410" i="8"/>
  <c r="G410" i="8" s="1"/>
  <c r="C448" i="8"/>
  <c r="H448" i="8" s="1"/>
  <c r="F410" i="8"/>
  <c r="K410" i="8" s="1"/>
  <c r="B116" i="8"/>
  <c r="B351" i="8" s="1"/>
  <c r="C493" i="8"/>
  <c r="H493" i="8" s="1"/>
  <c r="C200" i="8"/>
  <c r="H106" i="8"/>
  <c r="H348" i="8" s="1"/>
  <c r="B186" i="8"/>
  <c r="F586" i="8"/>
  <c r="K586" i="8" s="1"/>
  <c r="F488" i="8"/>
  <c r="K488" i="8" s="1"/>
  <c r="J107" i="8"/>
  <c r="D65" i="8"/>
  <c r="I65" i="8"/>
  <c r="B503" i="8"/>
  <c r="G503" i="8" s="1"/>
  <c r="C488" i="8"/>
  <c r="H488" i="8" s="1"/>
  <c r="F33" i="8"/>
  <c r="E234" i="8"/>
  <c r="E125" i="8"/>
  <c r="G246" i="8"/>
  <c r="F108" i="8"/>
  <c r="B597" i="8"/>
  <c r="G597" i="8" s="1"/>
  <c r="E503" i="8"/>
  <c r="J503" i="8" s="1"/>
  <c r="B519" i="8"/>
  <c r="G519" i="8" s="1"/>
  <c r="J241" i="8"/>
  <c r="E35" i="8"/>
  <c r="B125" i="8"/>
  <c r="F143" i="8"/>
  <c r="G37" i="8"/>
  <c r="E166" i="8"/>
  <c r="D141" i="8"/>
  <c r="C483" i="8"/>
  <c r="H483" i="8" s="1"/>
  <c r="G128" i="8"/>
  <c r="B586" i="8"/>
  <c r="G586" i="8" s="1"/>
  <c r="E612" i="8"/>
  <c r="J612" i="8" s="1"/>
  <c r="D602" i="8"/>
  <c r="I602" i="8" s="1"/>
  <c r="H111" i="8"/>
  <c r="G132" i="8"/>
  <c r="C579" i="8"/>
  <c r="H579" i="8" s="1"/>
  <c r="D493" i="8"/>
  <c r="I493" i="8" s="1"/>
  <c r="F407" i="8"/>
  <c r="K407" i="8" s="1"/>
  <c r="C104" i="8"/>
  <c r="C346" i="8" s="1"/>
  <c r="F162" i="8"/>
  <c r="I108" i="8"/>
  <c r="D120" i="8"/>
  <c r="C486" i="8"/>
  <c r="H486" i="8" s="1"/>
  <c r="C654" i="8"/>
  <c r="C655" i="8" s="1"/>
  <c r="B31" i="8"/>
  <c r="C589" i="8"/>
  <c r="H589" i="8" s="1"/>
  <c r="G141" i="8"/>
  <c r="K484" i="8"/>
  <c r="C618" i="8"/>
  <c r="H618" i="8" s="1"/>
  <c r="I484" i="8"/>
  <c r="F519" i="8"/>
  <c r="K519" i="8" s="1"/>
  <c r="C407" i="8"/>
  <c r="H407" i="8" s="1"/>
  <c r="J68" i="8"/>
  <c r="E489" i="8"/>
  <c r="J489" i="8" s="1"/>
  <c r="D417" i="8"/>
  <c r="I417" i="8" s="1"/>
  <c r="E170" i="8"/>
  <c r="F68" i="8"/>
  <c r="D570" i="8"/>
  <c r="I570" i="8" s="1"/>
  <c r="I234" i="8"/>
  <c r="J109" i="8"/>
  <c r="K170" i="8"/>
  <c r="F34" i="8"/>
  <c r="D663" i="8"/>
  <c r="C593" i="8"/>
  <c r="H593" i="8" s="1"/>
  <c r="F664" i="8"/>
  <c r="E498" i="8"/>
  <c r="J498" i="8" s="1"/>
  <c r="H133" i="8"/>
  <c r="E485" i="8"/>
  <c r="J485" i="8" s="1"/>
  <c r="D126" i="8"/>
  <c r="E567" i="8"/>
  <c r="J567" i="8" s="1"/>
  <c r="D165" i="8"/>
  <c r="E578" i="8"/>
  <c r="J578" i="8" s="1"/>
  <c r="B392" i="8"/>
  <c r="G392" i="8" s="1"/>
  <c r="B669" i="8"/>
  <c r="D603" i="8"/>
  <c r="I603" i="8" s="1"/>
  <c r="D423" i="8"/>
  <c r="I423" i="8" s="1"/>
  <c r="B187" i="8"/>
  <c r="C126" i="8"/>
  <c r="E573" i="8"/>
  <c r="J573" i="8" s="1"/>
  <c r="E571" i="8"/>
  <c r="J571" i="8" s="1"/>
  <c r="G33" i="8"/>
  <c r="C234" i="8"/>
  <c r="E526" i="8"/>
  <c r="J526" i="8" s="1"/>
  <c r="H155" i="8"/>
  <c r="H135" i="8"/>
  <c r="C498" i="8"/>
  <c r="H498" i="8" s="1"/>
  <c r="C415" i="8"/>
  <c r="H415" i="8" s="1"/>
  <c r="F561" i="8"/>
  <c r="E163" i="8"/>
  <c r="D601" i="8"/>
  <c r="C665" i="8"/>
  <c r="K145" i="8"/>
  <c r="D436" i="8"/>
  <c r="I436" i="8" s="1"/>
  <c r="D580" i="8"/>
  <c r="I580" i="8" s="1"/>
  <c r="D129" i="8"/>
  <c r="B531" i="8"/>
  <c r="G531" i="8" s="1"/>
  <c r="C36" i="8"/>
  <c r="F155" i="8"/>
  <c r="H241" i="8"/>
  <c r="C129" i="8"/>
  <c r="C622" i="8"/>
  <c r="H622" i="8" s="1"/>
  <c r="E535" i="8"/>
  <c r="J535" i="8" s="1"/>
  <c r="F507" i="8"/>
  <c r="K507" i="8" s="1"/>
  <c r="J114" i="8"/>
  <c r="E496" i="8"/>
  <c r="J496" i="8" s="1"/>
  <c r="E126" i="8"/>
  <c r="C429" i="8"/>
  <c r="H429" i="8" s="1"/>
  <c r="B433" i="8"/>
  <c r="G433" i="8" s="1"/>
  <c r="K247" i="8"/>
  <c r="C201" i="8"/>
  <c r="F665" i="8"/>
  <c r="E66" i="8"/>
  <c r="B246" i="8"/>
  <c r="G109" i="8"/>
  <c r="E659" i="8"/>
  <c r="D593" i="8"/>
  <c r="I593" i="8" s="1"/>
  <c r="B64" i="8"/>
  <c r="F118" i="8"/>
  <c r="F353" i="8" s="1"/>
  <c r="F247" i="8"/>
  <c r="F576" i="8"/>
  <c r="K576" i="8" s="1"/>
  <c r="D597" i="8"/>
  <c r="I597" i="8" s="1"/>
  <c r="E588" i="8"/>
  <c r="J588" i="8" s="1"/>
  <c r="G66" i="8"/>
  <c r="F249" i="8"/>
  <c r="E566" i="8"/>
  <c r="J566" i="8" s="1"/>
  <c r="J33" i="8"/>
  <c r="F235" i="8"/>
  <c r="C564" i="8"/>
  <c r="H564" i="8" s="1"/>
  <c r="C598" i="8"/>
  <c r="H598" i="8" s="1"/>
  <c r="D579" i="8"/>
  <c r="I579" i="8" s="1"/>
  <c r="E497" i="8"/>
  <c r="J497" i="8" s="1"/>
  <c r="I128" i="8"/>
  <c r="D241" i="8"/>
  <c r="C252" i="8"/>
  <c r="H66" i="8"/>
  <c r="C196" i="8"/>
  <c r="C220" i="8"/>
  <c r="C454" i="8"/>
  <c r="H454" i="8" s="1"/>
  <c r="E609" i="8"/>
  <c r="J609" i="8" s="1"/>
  <c r="K124" i="8"/>
  <c r="F564" i="8"/>
  <c r="K564" i="8" s="1"/>
  <c r="C505" i="8"/>
  <c r="H505" i="8" s="1"/>
  <c r="F111" i="8"/>
  <c r="C526" i="8"/>
  <c r="H526" i="8" s="1"/>
  <c r="F107" i="8"/>
  <c r="C106" i="8"/>
  <c r="C348" i="8" s="1"/>
  <c r="C480" i="8"/>
  <c r="F571" i="8"/>
  <c r="K571" i="8" s="1"/>
  <c r="I138" i="8"/>
  <c r="I355" i="8" s="1"/>
  <c r="B100" i="8"/>
  <c r="B396" i="8"/>
  <c r="G396" i="8" s="1"/>
  <c r="B412" i="8"/>
  <c r="G412" i="8" s="1"/>
  <c r="H104" i="8"/>
  <c r="H346" i="8" s="1"/>
  <c r="D514" i="8"/>
  <c r="I514" i="8" s="1"/>
  <c r="F529" i="8"/>
  <c r="K529" i="8" s="1"/>
  <c r="D440" i="8"/>
  <c r="I440" i="8" s="1"/>
  <c r="C215" i="8"/>
  <c r="B566" i="8"/>
  <c r="G566" i="8" s="1"/>
  <c r="F433" i="8"/>
  <c r="K433" i="8" s="1"/>
  <c r="H125" i="8"/>
  <c r="F453" i="8"/>
  <c r="K453" i="8" s="1"/>
  <c r="F428" i="8"/>
  <c r="K428" i="8" s="1"/>
  <c r="C120" i="8"/>
  <c r="E117" i="8"/>
  <c r="E352" i="8" s="1"/>
  <c r="D148" i="8"/>
  <c r="H238" i="8"/>
  <c r="G119" i="8"/>
  <c r="F451" i="8"/>
  <c r="K451" i="8" s="1"/>
  <c r="B395" i="8"/>
  <c r="G395" i="8" s="1"/>
  <c r="E175" i="8"/>
  <c r="D572" i="8"/>
  <c r="I572" i="8" s="1"/>
  <c r="D249" i="8"/>
  <c r="F486" i="8"/>
  <c r="K486" i="8" s="1"/>
  <c r="H109" i="8"/>
  <c r="F530" i="8"/>
  <c r="K530" i="8" s="1"/>
  <c r="I122" i="8"/>
  <c r="D666" i="8"/>
  <c r="C662" i="8"/>
  <c r="J36" i="8"/>
  <c r="D176" i="8"/>
  <c r="K123" i="8"/>
  <c r="E415" i="8"/>
  <c r="J415" i="8" s="1"/>
  <c r="B175" i="8"/>
  <c r="G106" i="8"/>
  <c r="G348" i="8" s="1"/>
  <c r="I240" i="8"/>
  <c r="J175" i="8"/>
  <c r="F384" i="8"/>
  <c r="K384" i="8" s="1"/>
  <c r="B389" i="8"/>
  <c r="G389" i="8" s="1"/>
  <c r="J235" i="8"/>
  <c r="H70" i="8"/>
  <c r="B562" i="8"/>
  <c r="G562" i="8" s="1"/>
  <c r="C124" i="8"/>
  <c r="G118" i="8"/>
  <c r="G353" i="8" s="1"/>
  <c r="F154" i="8"/>
  <c r="F487" i="8"/>
  <c r="K487" i="8" s="1"/>
  <c r="C136" i="8"/>
  <c r="C318" i="8" s="1"/>
  <c r="F389" i="8"/>
  <c r="K389" i="8" s="1"/>
  <c r="I179" i="8"/>
  <c r="D588" i="8"/>
  <c r="I588" i="8" s="1"/>
  <c r="E251" i="8"/>
  <c r="G125" i="8"/>
  <c r="B151" i="8"/>
  <c r="J127" i="8"/>
  <c r="K156" i="8"/>
  <c r="K151" i="8"/>
  <c r="F250" i="8"/>
  <c r="C128" i="8"/>
  <c r="H158" i="8"/>
  <c r="B585" i="8"/>
  <c r="G585" i="8" s="1"/>
  <c r="F500" i="8"/>
  <c r="K500" i="8" s="1"/>
  <c r="I247" i="8"/>
  <c r="F523" i="8"/>
  <c r="K523" i="8" s="1"/>
  <c r="D114" i="8"/>
  <c r="E249" i="8"/>
  <c r="B563" i="8"/>
  <c r="G563" i="8" s="1"/>
  <c r="D162" i="8"/>
  <c r="E572" i="8"/>
  <c r="J572" i="8" s="1"/>
  <c r="H164" i="8"/>
  <c r="F626" i="8"/>
  <c r="E158" i="8"/>
  <c r="D505" i="8"/>
  <c r="I505" i="8" s="1"/>
  <c r="I135" i="8"/>
  <c r="J70" i="8"/>
  <c r="D112" i="8"/>
  <c r="D119" i="8"/>
  <c r="E603" i="8"/>
  <c r="J603" i="8" s="1"/>
  <c r="H231" i="8"/>
  <c r="K102" i="8"/>
  <c r="K311" i="8" s="1"/>
  <c r="D566" i="8"/>
  <c r="I566" i="8" s="1"/>
  <c r="D115" i="8"/>
  <c r="D350" i="8" s="1"/>
  <c r="F574" i="8"/>
  <c r="K574" i="8" s="1"/>
  <c r="J159" i="8"/>
  <c r="F36" i="8"/>
  <c r="E591" i="8"/>
  <c r="J591" i="8" s="1"/>
  <c r="F585" i="8"/>
  <c r="K585" i="8" s="1"/>
  <c r="E483" i="8"/>
  <c r="J483" i="8" s="1"/>
  <c r="C489" i="8"/>
  <c r="H489" i="8" s="1"/>
  <c r="F483" i="8"/>
  <c r="K483" i="8" s="1"/>
  <c r="C242" i="8"/>
  <c r="K126" i="8"/>
  <c r="F129" i="8"/>
  <c r="K144" i="8"/>
  <c r="C581" i="8"/>
  <c r="H581" i="8" s="1"/>
  <c r="B166" i="8"/>
  <c r="F591" i="8"/>
  <c r="K591" i="8" s="1"/>
  <c r="B112" i="8"/>
  <c r="B488" i="8"/>
  <c r="G488" i="8" s="1"/>
  <c r="C612" i="8"/>
  <c r="H612" i="8" s="1"/>
  <c r="D238" i="8"/>
  <c r="J103" i="8"/>
  <c r="E388" i="8"/>
  <c r="J388" i="8" s="1"/>
  <c r="E657" i="8"/>
  <c r="E494" i="8"/>
  <c r="J494" i="8" s="1"/>
  <c r="B628" i="8"/>
  <c r="G628" i="8" s="1"/>
  <c r="F520" i="8"/>
  <c r="K520" i="8" s="1"/>
  <c r="E522" i="8"/>
  <c r="J522" i="8" s="1"/>
  <c r="F106" i="8"/>
  <c r="F348" i="8" s="1"/>
  <c r="F505" i="8"/>
  <c r="K505" i="8" s="1"/>
  <c r="I31" i="8"/>
  <c r="D164" i="8"/>
  <c r="F572" i="8"/>
  <c r="K572" i="8" s="1"/>
  <c r="B613" i="8"/>
  <c r="G613" i="8" s="1"/>
  <c r="C384" i="8"/>
  <c r="H384" i="8" s="1"/>
  <c r="B404" i="8"/>
  <c r="G404" i="8" s="1"/>
  <c r="E127" i="8"/>
  <c r="C565" i="8"/>
  <c r="H565" i="8" s="1"/>
  <c r="C402" i="8"/>
  <c r="H402" i="8" s="1"/>
  <c r="B494" i="8"/>
  <c r="G494" i="8" s="1"/>
  <c r="B159" i="8"/>
  <c r="B227" i="8"/>
  <c r="B623" i="8"/>
  <c r="G623" i="8" s="1"/>
  <c r="C388" i="8"/>
  <c r="H388" i="8" s="1"/>
  <c r="D445" i="8"/>
  <c r="I445" i="8" s="1"/>
  <c r="F658" i="8"/>
  <c r="B153" i="8"/>
  <c r="B431" i="8"/>
  <c r="G431" i="8" s="1"/>
  <c r="E521" i="8"/>
  <c r="J521" i="8" s="1"/>
  <c r="D412" i="8"/>
  <c r="I412" i="8" s="1"/>
  <c r="E584" i="8"/>
  <c r="J584" i="8" s="1"/>
  <c r="E613" i="8"/>
  <c r="J613" i="8" s="1"/>
  <c r="D28" i="8"/>
  <c r="D489" i="8"/>
  <c r="I489" i="8" s="1"/>
  <c r="F609" i="8"/>
  <c r="K609" i="8" s="1"/>
  <c r="D200" i="8"/>
  <c r="F71" i="8"/>
  <c r="E592" i="8"/>
  <c r="J592" i="8" s="1"/>
  <c r="B199" i="8"/>
  <c r="I102" i="8"/>
  <c r="I311" i="8" s="1"/>
  <c r="E235" i="8"/>
  <c r="E504" i="8"/>
  <c r="J504" i="8" s="1"/>
  <c r="B65" i="8"/>
  <c r="J163" i="8"/>
  <c r="F502" i="8"/>
  <c r="K502" i="8" s="1"/>
  <c r="K141" i="8"/>
  <c r="F603" i="8"/>
  <c r="K603" i="8" s="1"/>
  <c r="F493" i="8"/>
  <c r="K493" i="8" s="1"/>
  <c r="J112" i="8"/>
  <c r="J106" i="8"/>
  <c r="J348" i="8" s="1"/>
  <c r="H126" i="8"/>
  <c r="G102" i="8"/>
  <c r="G311" i="8" s="1"/>
  <c r="C567" i="8"/>
  <c r="H567" i="8" s="1"/>
  <c r="E614" i="8"/>
  <c r="J614" i="8" s="1"/>
  <c r="D530" i="8"/>
  <c r="I530" i="8" s="1"/>
  <c r="H205" i="8"/>
  <c r="C217" i="8"/>
  <c r="E104" i="8"/>
  <c r="E346" i="8" s="1"/>
  <c r="C520" i="8"/>
  <c r="H520" i="8" s="1"/>
  <c r="E119" i="8"/>
  <c r="H72" i="8"/>
  <c r="B506" i="8"/>
  <c r="G506" i="8" s="1"/>
  <c r="C501" i="8"/>
  <c r="H501" i="8" s="1"/>
  <c r="G133" i="8"/>
  <c r="K150" i="8"/>
  <c r="C584" i="8"/>
  <c r="H584" i="8" s="1"/>
  <c r="F115" i="8"/>
  <c r="F350" i="8" s="1"/>
  <c r="F618" i="8"/>
  <c r="K618" i="8" s="1"/>
  <c r="F127" i="8"/>
  <c r="B206" i="8"/>
  <c r="E589" i="8"/>
  <c r="J589" i="8" s="1"/>
  <c r="D485" i="8"/>
  <c r="I485" i="8" s="1"/>
  <c r="B388" i="8"/>
  <c r="G388" i="8" s="1"/>
  <c r="C413" i="8"/>
  <c r="H413" i="8" s="1"/>
  <c r="B451" i="8"/>
  <c r="G451" i="8" s="1"/>
  <c r="F394" i="8"/>
  <c r="K394" i="8" s="1"/>
  <c r="H215" i="8"/>
  <c r="F403" i="8"/>
  <c r="K403" i="8" s="1"/>
  <c r="H153" i="8"/>
  <c r="E171" i="8"/>
  <c r="D508" i="8"/>
  <c r="I508" i="8" s="1"/>
  <c r="H246" i="8"/>
  <c r="D583" i="8"/>
  <c r="I583" i="8" s="1"/>
  <c r="D133" i="8"/>
  <c r="K163" i="8"/>
  <c r="B489" i="8"/>
  <c r="G489" i="8" s="1"/>
  <c r="E568" i="8"/>
  <c r="J568" i="8" s="1"/>
  <c r="E236" i="8"/>
  <c r="D613" i="8"/>
  <c r="I613" i="8" s="1"/>
  <c r="D516" i="8"/>
  <c r="E656" i="8"/>
  <c r="H143" i="8"/>
  <c r="F581" i="8"/>
  <c r="K581" i="8" s="1"/>
  <c r="H131" i="8"/>
  <c r="D431" i="8"/>
  <c r="I431" i="8" s="1"/>
  <c r="B453" i="8"/>
  <c r="G453" i="8" s="1"/>
  <c r="C596" i="8"/>
  <c r="H596" i="8" s="1"/>
  <c r="H108" i="8"/>
  <c r="I120" i="8"/>
  <c r="B163" i="8"/>
  <c r="D628" i="8"/>
  <c r="I628" i="8" s="1"/>
  <c r="E430" i="8"/>
  <c r="J430" i="8" s="1"/>
  <c r="E602" i="8"/>
  <c r="J602" i="8" s="1"/>
  <c r="K114" i="8"/>
  <c r="G151" i="8"/>
  <c r="D127" i="8"/>
  <c r="D665" i="8"/>
  <c r="F623" i="8"/>
  <c r="K623" i="8" s="1"/>
  <c r="C130" i="8"/>
  <c r="F584" i="8"/>
  <c r="K584" i="8" s="1"/>
  <c r="B406" i="8"/>
  <c r="G406" i="8" s="1"/>
  <c r="B189" i="8"/>
  <c r="F171" i="8"/>
  <c r="F128" i="8"/>
  <c r="D236" i="8"/>
  <c r="C108" i="8"/>
  <c r="F126" i="8"/>
  <c r="I143" i="8"/>
  <c r="G68" i="8"/>
  <c r="F580" i="8"/>
  <c r="K580" i="8" s="1"/>
  <c r="C389" i="8"/>
  <c r="H389" i="8" s="1"/>
  <c r="B416" i="8"/>
  <c r="G416" i="8" s="1"/>
  <c r="C452" i="8"/>
  <c r="H452" i="8" s="1"/>
  <c r="E200" i="8"/>
  <c r="I69" i="8"/>
  <c r="B384" i="8"/>
  <c r="G384" i="8" s="1"/>
  <c r="G152" i="8"/>
  <c r="H37" i="8"/>
  <c r="I123" i="8"/>
  <c r="K171" i="8"/>
  <c r="E519" i="8"/>
  <c r="J519" i="8" s="1"/>
  <c r="C418" i="8"/>
  <c r="H418" i="8" s="1"/>
  <c r="B236" i="8"/>
  <c r="H206" i="8"/>
  <c r="C576" i="8"/>
  <c r="H576" i="8" s="1"/>
  <c r="F246" i="8"/>
  <c r="K178" i="8"/>
  <c r="E663" i="8"/>
  <c r="H211" i="8"/>
  <c r="H228" i="8"/>
  <c r="C566" i="8"/>
  <c r="H566" i="8" s="1"/>
  <c r="C573" i="8"/>
  <c r="H573" i="8" s="1"/>
  <c r="B138" i="8"/>
  <c r="B355" i="8" s="1"/>
  <c r="J149" i="8"/>
  <c r="F599" i="8"/>
  <c r="K599" i="8" s="1"/>
  <c r="G136" i="8"/>
  <c r="G318" i="8" s="1"/>
  <c r="D660" i="8"/>
  <c r="F499" i="8"/>
  <c r="K499" i="8" s="1"/>
  <c r="B627" i="8"/>
  <c r="G627" i="8" s="1"/>
  <c r="F503" i="8"/>
  <c r="K503" i="8" s="1"/>
  <c r="C627" i="8"/>
  <c r="H627" i="8" s="1"/>
  <c r="G155" i="8"/>
  <c r="C616" i="8"/>
  <c r="H616" i="8" s="1"/>
  <c r="B37" i="8"/>
  <c r="H132" i="8"/>
  <c r="I158" i="8"/>
  <c r="E565" i="8"/>
  <c r="J565" i="8" s="1"/>
  <c r="B114" i="8"/>
  <c r="H138" i="8"/>
  <c r="H355" i="8" s="1"/>
  <c r="F611" i="8"/>
  <c r="K611" i="8" s="1"/>
  <c r="E252" i="8"/>
  <c r="E71" i="8"/>
  <c r="D586" i="8"/>
  <c r="I586" i="8" s="1"/>
  <c r="E507" i="8"/>
  <c r="J507" i="8" s="1"/>
  <c r="E616" i="8"/>
  <c r="J616" i="8" s="1"/>
  <c r="C235" i="8"/>
  <c r="C524" i="8"/>
  <c r="H524" i="8" s="1"/>
  <c r="E622" i="8"/>
  <c r="J622" i="8" s="1"/>
  <c r="F243" i="8"/>
  <c r="C112" i="8"/>
  <c r="F28" i="8"/>
  <c r="E569" i="8"/>
  <c r="J569" i="8" s="1"/>
  <c r="D659" i="8"/>
  <c r="D138" i="8"/>
  <c r="D355" i="8" s="1"/>
  <c r="H216" i="8"/>
  <c r="F522" i="8"/>
  <c r="K522" i="8" s="1"/>
  <c r="B201" i="8"/>
  <c r="B400" i="8"/>
  <c r="G400" i="8" s="1"/>
  <c r="B426" i="8"/>
  <c r="C444" i="8"/>
  <c r="H444" i="8" s="1"/>
  <c r="B391" i="8"/>
  <c r="G391" i="8" s="1"/>
  <c r="F440" i="8"/>
  <c r="K440" i="8" s="1"/>
  <c r="K65" i="8"/>
  <c r="C420" i="8"/>
  <c r="H420" i="8" s="1"/>
  <c r="C670" i="8"/>
  <c r="I129" i="8"/>
  <c r="F501" i="8"/>
  <c r="K501" i="8" s="1"/>
  <c r="C71" i="8"/>
  <c r="C533" i="8"/>
  <c r="D137" i="8"/>
  <c r="D354" i="8" s="1"/>
  <c r="E523" i="8"/>
  <c r="J523" i="8" s="1"/>
  <c r="D36" i="8"/>
  <c r="K130" i="8"/>
  <c r="K136" i="8"/>
  <c r="K318" i="8" s="1"/>
  <c r="E590" i="8"/>
  <c r="J590" i="8" s="1"/>
  <c r="F617" i="8"/>
  <c r="K617" i="8" s="1"/>
  <c r="B611" i="8"/>
  <c r="G611" i="8" s="1"/>
  <c r="C586" i="8"/>
  <c r="H586" i="8" s="1"/>
  <c r="B430" i="8"/>
  <c r="G430" i="8" s="1"/>
  <c r="F391" i="8"/>
  <c r="K391" i="8" s="1"/>
  <c r="F596" i="8"/>
  <c r="K596" i="8" s="1"/>
  <c r="B580" i="8"/>
  <c r="G580" i="8" s="1"/>
  <c r="F133" i="8"/>
  <c r="D481" i="8"/>
  <c r="I481" i="8" s="1"/>
  <c r="D669" i="8"/>
  <c r="G161" i="8"/>
  <c r="H159" i="8"/>
  <c r="B482" i="8"/>
  <c r="G482" i="8" s="1"/>
  <c r="E574" i="8"/>
  <c r="J574" i="8" s="1"/>
  <c r="C609" i="8"/>
  <c r="H609" i="8" s="1"/>
  <c r="E670" i="8"/>
  <c r="D526" i="8"/>
  <c r="I526" i="8" s="1"/>
  <c r="E70" i="8"/>
  <c r="C204" i="8"/>
  <c r="I162" i="8"/>
  <c r="C580" i="8"/>
  <c r="H580" i="8" s="1"/>
  <c r="C138" i="8"/>
  <c r="C355" i="8" s="1"/>
  <c r="E661" i="8"/>
  <c r="E63" i="8"/>
  <c r="E250" i="8"/>
  <c r="D595" i="8"/>
  <c r="I595" i="8" s="1"/>
  <c r="H103" i="8"/>
  <c r="I32" i="8"/>
  <c r="E481" i="8"/>
  <c r="J481" i="8" s="1"/>
  <c r="D624" i="8"/>
  <c r="I624" i="8" s="1"/>
  <c r="E409" i="8"/>
  <c r="J409" i="8" s="1"/>
  <c r="B32" i="8"/>
  <c r="C405" i="8"/>
  <c r="H405" i="8" s="1"/>
  <c r="C432" i="8"/>
  <c r="H432" i="8" s="1"/>
  <c r="D182" i="8"/>
  <c r="C387" i="8"/>
  <c r="H387" i="8" s="1"/>
  <c r="F482" i="8"/>
  <c r="K482" i="8" s="1"/>
  <c r="F567" i="8"/>
  <c r="K567" i="8" s="1"/>
  <c r="B188" i="8"/>
  <c r="D525" i="8"/>
  <c r="I525" i="8" s="1"/>
  <c r="D528" i="8"/>
  <c r="I148" i="8"/>
  <c r="F121" i="8"/>
  <c r="C664" i="8"/>
  <c r="G131" i="8"/>
  <c r="G188" i="8"/>
  <c r="B158" i="8"/>
  <c r="J120" i="8"/>
  <c r="C592" i="8"/>
  <c r="H592" i="8" s="1"/>
  <c r="B238" i="8"/>
  <c r="C248" i="8"/>
  <c r="C165" i="8"/>
  <c r="F113" i="8"/>
  <c r="J104" i="8"/>
  <c r="J346" i="8" s="1"/>
  <c r="E37" i="8"/>
  <c r="C599" i="8"/>
  <c r="H599" i="8" s="1"/>
  <c r="E438" i="8"/>
  <c r="B408" i="8"/>
  <c r="G408" i="8" s="1"/>
  <c r="B626" i="8"/>
  <c r="C103" i="8"/>
  <c r="D627" i="8"/>
  <c r="I627" i="8" s="1"/>
  <c r="D519" i="8"/>
  <c r="I519" i="8" s="1"/>
  <c r="B514" i="8"/>
  <c r="G514" i="8" s="1"/>
  <c r="C669" i="8"/>
  <c r="D145" i="8"/>
  <c r="H136" i="8"/>
  <c r="H318" i="8" s="1"/>
  <c r="B591" i="8"/>
  <c r="G591" i="8" s="1"/>
  <c r="C517" i="8"/>
  <c r="H517" i="8" s="1"/>
  <c r="K113" i="8"/>
  <c r="F163" i="8"/>
  <c r="B106" i="8"/>
  <c r="B348" i="8" s="1"/>
  <c r="D609" i="8"/>
  <c r="I609" i="8" s="1"/>
  <c r="G117" i="8"/>
  <c r="G352" i="8" s="1"/>
  <c r="F164" i="8"/>
  <c r="C494" i="8"/>
  <c r="H494" i="8" s="1"/>
  <c r="C37" i="8"/>
  <c r="E112" i="8"/>
  <c r="F579" i="8"/>
  <c r="K579" i="8" s="1"/>
  <c r="J136" i="8"/>
  <c r="J318" i="8" s="1"/>
  <c r="C409" i="8"/>
  <c r="H409" i="8" s="1"/>
  <c r="K32" i="8"/>
  <c r="E408" i="8"/>
  <c r="J408" i="8" s="1"/>
  <c r="D248" i="8"/>
  <c r="C529" i="8"/>
  <c r="H529" i="8" s="1"/>
  <c r="D130" i="8"/>
  <c r="F485" i="8"/>
  <c r="K485" i="8" s="1"/>
  <c r="K129" i="8"/>
  <c r="B498" i="8"/>
  <c r="G498" i="8" s="1"/>
  <c r="H107" i="8"/>
  <c r="D488" i="8"/>
  <c r="I488" i="8" s="1"/>
  <c r="F241" i="8"/>
  <c r="C244" i="8"/>
  <c r="D531" i="8"/>
  <c r="I531" i="8" s="1"/>
  <c r="C443" i="8"/>
  <c r="B521" i="8"/>
  <c r="G521" i="8" s="1"/>
  <c r="J35" i="8"/>
  <c r="K149" i="8"/>
  <c r="D246" i="8"/>
  <c r="G208" i="8"/>
  <c r="B117" i="8"/>
  <c r="B352" i="8" s="1"/>
  <c r="B208" i="8"/>
  <c r="J135" i="8"/>
  <c r="B420" i="8"/>
  <c r="G420" i="8" s="1"/>
  <c r="B427" i="8"/>
  <c r="G427" i="8" s="1"/>
  <c r="J28" i="8"/>
  <c r="E441" i="8"/>
  <c r="J441" i="8" s="1"/>
  <c r="D518" i="8"/>
  <c r="I518" i="8" s="1"/>
  <c r="E601" i="8"/>
  <c r="C503" i="8"/>
  <c r="H503" i="8" s="1"/>
  <c r="H227" i="8"/>
  <c r="J140" i="8"/>
  <c r="F589" i="8"/>
  <c r="K589" i="8" s="1"/>
  <c r="B491" i="8"/>
  <c r="G491" i="8" s="1"/>
  <c r="K235" i="8"/>
  <c r="I103" i="8"/>
  <c r="D589" i="8"/>
  <c r="I589" i="8" s="1"/>
  <c r="G70" i="8"/>
  <c r="I133" i="8"/>
  <c r="C122" i="8"/>
  <c r="I109" i="8"/>
  <c r="K112" i="8"/>
  <c r="B178" i="8"/>
  <c r="E562" i="8"/>
  <c r="J562" i="8" s="1"/>
  <c r="K143" i="8"/>
  <c r="F504" i="8"/>
  <c r="K504" i="8" s="1"/>
  <c r="B561" i="8"/>
  <c r="D575" i="8"/>
  <c r="I575" i="8" s="1"/>
  <c r="C427" i="8"/>
  <c r="H427" i="8" s="1"/>
  <c r="J141" i="8"/>
  <c r="D144" i="8"/>
  <c r="K125" i="8"/>
  <c r="B576" i="8"/>
  <c r="G576" i="8" s="1"/>
  <c r="J101" i="8"/>
  <c r="J310" i="8" s="1"/>
  <c r="F170" i="8"/>
  <c r="H234" i="8"/>
  <c r="J32" i="8"/>
  <c r="B143" i="8"/>
  <c r="B481" i="8"/>
  <c r="G481" i="8" s="1"/>
  <c r="F666" i="8"/>
  <c r="K128" i="8"/>
  <c r="F657" i="8"/>
  <c r="D506" i="8"/>
  <c r="I506" i="8" s="1"/>
  <c r="C241" i="8"/>
  <c r="C603" i="8"/>
  <c r="H603" i="8" s="1"/>
  <c r="I104" i="8"/>
  <c r="I346" i="8" s="1"/>
  <c r="C512" i="8"/>
  <c r="H512" i="8" s="1"/>
  <c r="K104" i="8"/>
  <c r="K346" i="8" s="1"/>
  <c r="H149" i="8"/>
  <c r="B154" i="8"/>
  <c r="E137" i="8"/>
  <c r="E354" i="8" s="1"/>
  <c r="C441" i="8"/>
  <c r="H441" i="8" s="1"/>
  <c r="C447" i="8"/>
  <c r="F72" i="8"/>
  <c r="I182" i="8"/>
  <c r="D590" i="8"/>
  <c r="I590" i="8" s="1"/>
  <c r="E143" i="8"/>
  <c r="E179" i="8"/>
  <c r="F531" i="8"/>
  <c r="K531" i="8" s="1"/>
  <c r="F32" i="8"/>
  <c r="G241" i="8"/>
  <c r="F533" i="8"/>
  <c r="K142" i="8"/>
  <c r="C70" i="8"/>
  <c r="B662" i="8"/>
  <c r="D578" i="8"/>
  <c r="I578" i="8" s="1"/>
  <c r="C101" i="8"/>
  <c r="C310" i="8" s="1"/>
  <c r="F66" i="8"/>
  <c r="C246" i="8"/>
  <c r="K133" i="8"/>
  <c r="D534" i="8"/>
  <c r="I534" i="8" s="1"/>
  <c r="B513" i="8"/>
  <c r="G513" i="8" s="1"/>
  <c r="E120" i="8"/>
  <c r="I33" i="8"/>
  <c r="C578" i="8"/>
  <c r="H578" i="8" s="1"/>
  <c r="H34" i="8"/>
  <c r="C119" i="8"/>
  <c r="B383" i="8"/>
  <c r="G383" i="8" s="1"/>
  <c r="C449" i="8"/>
  <c r="H449" i="8" s="1"/>
  <c r="J200" i="8"/>
  <c r="E420" i="8"/>
  <c r="J420" i="8" s="1"/>
  <c r="D152" i="8"/>
  <c r="F178" i="8"/>
  <c r="I149" i="8"/>
  <c r="C35" i="8"/>
  <c r="D158" i="8"/>
  <c r="H64" i="8"/>
  <c r="C513" i="8"/>
  <c r="H513" i="8" s="1"/>
  <c r="C568" i="8"/>
  <c r="H568" i="8" s="1"/>
  <c r="D521" i="8"/>
  <c r="I521" i="8" s="1"/>
  <c r="J162" i="8"/>
  <c r="E508" i="8"/>
  <c r="J508" i="8" s="1"/>
  <c r="F621" i="8"/>
  <c r="K621" i="8" s="1"/>
  <c r="C617" i="8"/>
  <c r="H617" i="8" s="1"/>
  <c r="E660" i="8"/>
  <c r="F180" i="8"/>
  <c r="C430" i="8"/>
  <c r="H430" i="8" s="1"/>
  <c r="B237" i="8"/>
  <c r="J179" i="8"/>
  <c r="B573" i="8"/>
  <c r="G573" i="8" s="1"/>
  <c r="J240" i="8"/>
  <c r="K28" i="8"/>
  <c r="B170" i="8"/>
  <c r="C397" i="8"/>
  <c r="H397" i="8" s="1"/>
  <c r="B438" i="8"/>
  <c r="K36" i="8"/>
  <c r="D131" i="8"/>
  <c r="E563" i="8"/>
  <c r="J563" i="8" s="1"/>
  <c r="D605" i="8"/>
  <c r="I605" i="8" s="1"/>
  <c r="D37" i="8"/>
  <c r="E110" i="8"/>
  <c r="C162" i="8"/>
  <c r="H229" i="8"/>
  <c r="E598" i="8"/>
  <c r="J598" i="8" s="1"/>
  <c r="F236" i="8"/>
  <c r="D251" i="8"/>
  <c r="D71" i="8"/>
  <c r="E68" i="8"/>
  <c r="E486" i="8"/>
  <c r="J486" i="8" s="1"/>
  <c r="G63" i="8"/>
  <c r="E32" i="8"/>
  <c r="D584" i="8"/>
  <c r="I584" i="8" s="1"/>
  <c r="B528" i="8"/>
  <c r="B603" i="8"/>
  <c r="G603" i="8" s="1"/>
  <c r="F153" i="8"/>
  <c r="C481" i="8"/>
  <c r="H481" i="8" s="1"/>
  <c r="F251" i="8"/>
  <c r="F489" i="8"/>
  <c r="K489" i="8" s="1"/>
  <c r="F141" i="8"/>
  <c r="B130" i="8"/>
  <c r="F124" i="8"/>
  <c r="E149" i="8"/>
  <c r="G135" i="8"/>
  <c r="D610" i="8"/>
  <c r="I610" i="8" s="1"/>
  <c r="E159" i="8"/>
  <c r="F150" i="8"/>
  <c r="F578" i="8"/>
  <c r="K578" i="8" s="1"/>
  <c r="C158" i="8"/>
  <c r="F624" i="8"/>
  <c r="K624" i="8" s="1"/>
  <c r="F613" i="8"/>
  <c r="K613" i="8" s="1"/>
  <c r="I241" i="8"/>
  <c r="F492" i="8"/>
  <c r="K492" i="8" s="1"/>
  <c r="B133" i="8"/>
  <c r="B578" i="8"/>
  <c r="G578" i="8" s="1"/>
  <c r="C401" i="8"/>
  <c r="H401" i="8" s="1"/>
  <c r="K158" i="8"/>
  <c r="C626" i="8"/>
  <c r="D510" i="8"/>
  <c r="I510" i="8" s="1"/>
  <c r="C236" i="8"/>
  <c r="B525" i="8"/>
  <c r="G525" i="8" s="1"/>
  <c r="E64" i="8"/>
  <c r="E106" i="8"/>
  <c r="E348" i="8" s="1"/>
  <c r="F149" i="8"/>
  <c r="J158" i="8"/>
  <c r="K179" i="8"/>
  <c r="E145" i="8"/>
  <c r="K37" i="8"/>
  <c r="E247" i="8"/>
  <c r="F583" i="8"/>
  <c r="K583" i="8" s="1"/>
  <c r="E561" i="8"/>
  <c r="H237" i="8"/>
  <c r="D564" i="8"/>
  <c r="I564" i="8" s="1"/>
  <c r="F597" i="8"/>
  <c r="K597" i="8" s="1"/>
  <c r="C125" i="8"/>
  <c r="F396" i="8"/>
  <c r="K396" i="8" s="1"/>
  <c r="C453" i="8"/>
  <c r="H453" i="8" s="1"/>
  <c r="E140" i="8"/>
  <c r="B499" i="8"/>
  <c r="G499" i="8" s="1"/>
  <c r="E107" i="8"/>
  <c r="G158" i="8"/>
  <c r="E141" i="8"/>
  <c r="B493" i="8"/>
  <c r="G493" i="8" s="1"/>
  <c r="D617" i="8"/>
  <c r="I617" i="8" s="1"/>
  <c r="H214" i="8"/>
  <c r="K241" i="8"/>
  <c r="F392" i="8"/>
  <c r="K392" i="8" s="1"/>
  <c r="F435" i="8"/>
  <c r="K435" i="8" s="1"/>
  <c r="F408" i="8"/>
  <c r="K408" i="8" s="1"/>
  <c r="F448" i="8"/>
  <c r="K448" i="8" s="1"/>
  <c r="B560" i="1"/>
  <c r="F560" i="1"/>
  <c r="G560" i="1" s="1"/>
  <c r="B27" i="1"/>
  <c r="F27" i="1"/>
  <c r="G27" i="1" s="1"/>
  <c r="K231" i="5"/>
  <c r="B308" i="1"/>
  <c r="F308" i="1"/>
  <c r="G308" i="1" s="1"/>
  <c r="B62" i="1"/>
  <c r="F62" i="1"/>
  <c r="G62" i="1" s="1"/>
  <c r="I235" i="8"/>
  <c r="N200" i="5"/>
  <c r="B125" i="10" s="1"/>
  <c r="F99" i="1"/>
  <c r="G99" i="1" s="1"/>
  <c r="B99" i="1"/>
  <c r="F277" i="1"/>
  <c r="G277" i="1" s="1"/>
  <c r="B277" i="1"/>
  <c r="B344" i="1"/>
  <c r="F344" i="1"/>
  <c r="G344" i="1" s="1"/>
  <c r="J101" i="10"/>
  <c r="G186" i="10" s="1"/>
  <c r="I101" i="10"/>
  <c r="D186" i="10" s="1"/>
  <c r="I100" i="10"/>
  <c r="J100" i="10"/>
  <c r="M95" i="9"/>
  <c r="N80" i="9"/>
  <c r="N98" i="9"/>
  <c r="M63" i="9"/>
  <c r="M99" i="9"/>
  <c r="D202" i="9" s="1"/>
  <c r="O167" i="5"/>
  <c r="C92" i="10" s="1"/>
  <c r="E167" i="5"/>
  <c r="N73" i="9"/>
  <c r="M96" i="9"/>
  <c r="N70" i="9"/>
  <c r="M86" i="9"/>
  <c r="F166" i="5"/>
  <c r="C91" i="9" s="1"/>
  <c r="M89" i="9"/>
  <c r="J91" i="10"/>
  <c r="I100" i="9"/>
  <c r="I98" i="10"/>
  <c r="I109" i="9"/>
  <c r="J100" i="9"/>
  <c r="F106" i="5"/>
  <c r="M65" i="9"/>
  <c r="I101" i="9"/>
  <c r="N93" i="9"/>
  <c r="M97" i="9"/>
  <c r="I97" i="10"/>
  <c r="C168" i="5"/>
  <c r="N76" i="9"/>
  <c r="N75" i="9"/>
  <c r="C167" i="5"/>
  <c r="M88" i="9"/>
  <c r="F167" i="5"/>
  <c r="C92" i="9" s="1"/>
  <c r="N92" i="9"/>
  <c r="N65" i="9"/>
  <c r="M92" i="9"/>
  <c r="N66" i="9"/>
  <c r="M82" i="9"/>
  <c r="M91" i="9"/>
  <c r="M81" i="9"/>
  <c r="J106" i="9"/>
  <c r="J98" i="10"/>
  <c r="I94" i="10"/>
  <c r="J101" i="9"/>
  <c r="M73" i="9"/>
  <c r="I110" i="9"/>
  <c r="D176" i="9" s="1"/>
  <c r="M68" i="9"/>
  <c r="O168" i="5"/>
  <c r="C93" i="10" s="1"/>
  <c r="B166" i="5"/>
  <c r="N74" i="9"/>
  <c r="J92" i="10"/>
  <c r="M65" i="10"/>
  <c r="N72" i="9"/>
  <c r="N67" i="9"/>
  <c r="N77" i="9"/>
  <c r="M84" i="9"/>
  <c r="M93" i="9"/>
  <c r="M87" i="9"/>
  <c r="E166" i="5"/>
  <c r="N101" i="9"/>
  <c r="K167" i="5"/>
  <c r="M78" i="9"/>
  <c r="N100" i="9"/>
  <c r="J94" i="10"/>
  <c r="I91" i="10"/>
  <c r="M64" i="9"/>
  <c r="J95" i="10"/>
  <c r="M94" i="9"/>
  <c r="N68" i="9"/>
  <c r="N167" i="5"/>
  <c r="N168" i="5"/>
  <c r="M80" i="9"/>
  <c r="N87" i="9"/>
  <c r="M79" i="9"/>
  <c r="N90" i="9"/>
  <c r="N97" i="9"/>
  <c r="B167" i="5"/>
  <c r="M74" i="9"/>
  <c r="N89" i="9"/>
  <c r="L168" i="5"/>
  <c r="I93" i="10"/>
  <c r="J110" i="9"/>
  <c r="G176" i="9" s="1"/>
  <c r="I104" i="9"/>
  <c r="E106" i="5"/>
  <c r="N88" i="9"/>
  <c r="M69" i="9"/>
  <c r="N71" i="9"/>
  <c r="N78" i="9"/>
  <c r="I103" i="9"/>
  <c r="M71" i="9"/>
  <c r="N85" i="9"/>
  <c r="F168" i="5"/>
  <c r="C93" i="9" s="1"/>
  <c r="M90" i="9"/>
  <c r="N64" i="9"/>
  <c r="N96" i="9"/>
  <c r="N65" i="10"/>
  <c r="M76" i="9"/>
  <c r="N83" i="9"/>
  <c r="M75" i="9"/>
  <c r="M100" i="9"/>
  <c r="N86" i="9"/>
  <c r="N95" i="9"/>
  <c r="M70" i="9"/>
  <c r="N81" i="9"/>
  <c r="I92" i="10"/>
  <c r="J107" i="9"/>
  <c r="J104" i="9"/>
  <c r="J97" i="10"/>
  <c r="C106" i="5"/>
  <c r="C348" i="5" s="1"/>
  <c r="M83" i="9"/>
  <c r="M101" i="9"/>
  <c r="J109" i="9"/>
  <c r="N63" i="9"/>
  <c r="N94" i="9"/>
  <c r="N99" i="9"/>
  <c r="G202" i="9" s="1"/>
  <c r="K168" i="5"/>
  <c r="M98" i="9"/>
  <c r="M85" i="9"/>
  <c r="M72" i="9"/>
  <c r="N79" i="9"/>
  <c r="M67" i="9"/>
  <c r="M77" i="9"/>
  <c r="N82" i="9"/>
  <c r="N91" i="9"/>
  <c r="M66" i="9"/>
  <c r="N69" i="9"/>
  <c r="I107" i="9"/>
  <c r="I95" i="10"/>
  <c r="J103" i="9"/>
  <c r="J93" i="10"/>
  <c r="B106" i="5"/>
  <c r="B168" i="5"/>
  <c r="L167" i="5"/>
  <c r="E168" i="5"/>
  <c r="N84" i="9"/>
  <c r="C166" i="5"/>
  <c r="I106" i="9"/>
  <c r="J108" i="9"/>
  <c r="G13" i="9" s="1"/>
  <c r="M102" i="9"/>
  <c r="E522" i="5"/>
  <c r="F413" i="5"/>
  <c r="O413" i="5" s="1"/>
  <c r="I199" i="10"/>
  <c r="J189" i="9"/>
  <c r="B570" i="5"/>
  <c r="B486" i="5"/>
  <c r="J142" i="10"/>
  <c r="I43" i="10"/>
  <c r="E66" i="5"/>
  <c r="B172" i="5"/>
  <c r="I198" i="10"/>
  <c r="I90" i="10"/>
  <c r="I178" i="10"/>
  <c r="I192" i="10"/>
  <c r="E513" i="5"/>
  <c r="E627" i="5"/>
  <c r="J156" i="10"/>
  <c r="G166" i="10" s="1"/>
  <c r="E118" i="5"/>
  <c r="J193" i="10"/>
  <c r="C578" i="5"/>
  <c r="L578" i="5" s="1"/>
  <c r="B520" i="5"/>
  <c r="C114" i="5"/>
  <c r="C402" i="5"/>
  <c r="L402" i="5" s="1"/>
  <c r="C614" i="5"/>
  <c r="L614" i="5" s="1"/>
  <c r="O37" i="5"/>
  <c r="I184" i="10"/>
  <c r="B522" i="5"/>
  <c r="J73" i="9"/>
  <c r="C33" i="5"/>
  <c r="C170" i="5"/>
  <c r="N92" i="10"/>
  <c r="J196" i="10"/>
  <c r="I108" i="9"/>
  <c r="D13" i="9" s="1"/>
  <c r="J96" i="10"/>
  <c r="G12" i="10" s="1"/>
  <c r="B414" i="5"/>
  <c r="B122" i="5"/>
  <c r="E580" i="5"/>
  <c r="I161" i="9"/>
  <c r="L248" i="5"/>
  <c r="M87" i="10"/>
  <c r="F614" i="5"/>
  <c r="O614" i="5" s="1"/>
  <c r="N110" i="5"/>
  <c r="E432" i="5"/>
  <c r="F122" i="5"/>
  <c r="E235" i="5"/>
  <c r="N39" i="10"/>
  <c r="O66" i="5"/>
  <c r="C7" i="10" s="1"/>
  <c r="I206" i="10"/>
  <c r="D165" i="10" s="1"/>
  <c r="F107" i="5"/>
  <c r="C32" i="9" s="1"/>
  <c r="I124" i="9"/>
  <c r="C242" i="5"/>
  <c r="B141" i="5"/>
  <c r="J78" i="9"/>
  <c r="B247" i="5"/>
  <c r="F112" i="5"/>
  <c r="C37" i="9" s="1"/>
  <c r="I181" i="9"/>
  <c r="I49" i="10"/>
  <c r="C410" i="5"/>
  <c r="L410" i="5" s="1"/>
  <c r="L159" i="5"/>
  <c r="E248" i="5"/>
  <c r="M34" i="10"/>
  <c r="N28" i="5"/>
  <c r="E665" i="5"/>
  <c r="F132" i="5"/>
  <c r="C57" i="9" s="1"/>
  <c r="K37" i="5"/>
  <c r="F613" i="5"/>
  <c r="O613" i="5" s="1"/>
  <c r="F150" i="5"/>
  <c r="C75" i="9" s="1"/>
  <c r="J105" i="9"/>
  <c r="G12" i="9" s="1"/>
  <c r="N102" i="9"/>
  <c r="J65" i="10"/>
  <c r="C387" i="5"/>
  <c r="L387" i="5" s="1"/>
  <c r="B670" i="5"/>
  <c r="B112" i="5"/>
  <c r="C144" i="5"/>
  <c r="N36" i="9"/>
  <c r="C523" i="5"/>
  <c r="L523" i="5" s="1"/>
  <c r="C661" i="5"/>
  <c r="K63" i="5"/>
  <c r="J202" i="9"/>
  <c r="J57" i="10"/>
  <c r="C596" i="5"/>
  <c r="L596" i="5" s="1"/>
  <c r="F579" i="5"/>
  <c r="O579" i="5" s="1"/>
  <c r="B105" i="5"/>
  <c r="B624" i="5"/>
  <c r="I36" i="10"/>
  <c r="E570" i="5"/>
  <c r="C401" i="5"/>
  <c r="L401" i="5" s="1"/>
  <c r="F179" i="5"/>
  <c r="C104" i="9" s="1"/>
  <c r="F564" i="5"/>
  <c r="O564" i="5" s="1"/>
  <c r="E136" i="5"/>
  <c r="C124" i="5"/>
  <c r="I198" i="9"/>
  <c r="D84" i="9" s="1"/>
  <c r="F396" i="5"/>
  <c r="O396" i="5" s="1"/>
  <c r="J126" i="9"/>
  <c r="E32" i="5"/>
  <c r="C654" i="5"/>
  <c r="C655" i="5" s="1"/>
  <c r="I76" i="9"/>
  <c r="J36" i="10"/>
  <c r="J51" i="10"/>
  <c r="F599" i="5"/>
  <c r="O599" i="5" s="1"/>
  <c r="I229" i="9"/>
  <c r="B596" i="5"/>
  <c r="L32" i="5"/>
  <c r="I102" i="9"/>
  <c r="J75" i="9"/>
  <c r="E116" i="5"/>
  <c r="N53" i="9"/>
  <c r="F627" i="5"/>
  <c r="O627" i="5" s="1"/>
  <c r="F657" i="5"/>
  <c r="B664" i="5"/>
  <c r="C623" i="5"/>
  <c r="L623" i="5" s="1"/>
  <c r="I15" i="9"/>
  <c r="J171" i="9"/>
  <c r="I115" i="10"/>
  <c r="B577" i="5"/>
  <c r="I4" i="10"/>
  <c r="D4" i="10" s="1"/>
  <c r="O246" i="5"/>
  <c r="B498" i="5"/>
  <c r="F596" i="5"/>
  <c r="O596" i="5" s="1"/>
  <c r="I182" i="9"/>
  <c r="B165" i="5"/>
  <c r="J10" i="10"/>
  <c r="G11" i="10" s="1"/>
  <c r="B163" i="5"/>
  <c r="C172" i="5"/>
  <c r="I111" i="10"/>
  <c r="M30" i="9"/>
  <c r="J81" i="9"/>
  <c r="M95" i="10"/>
  <c r="E508" i="5"/>
  <c r="E568" i="5"/>
  <c r="J181" i="10"/>
  <c r="C535" i="5"/>
  <c r="L535" i="5" s="1"/>
  <c r="I94" i="9"/>
  <c r="J4" i="9"/>
  <c r="G4" i="9" s="1"/>
  <c r="I196" i="9"/>
  <c r="C486" i="5"/>
  <c r="L486" i="5" s="1"/>
  <c r="I170" i="9"/>
  <c r="B241" i="5"/>
  <c r="I99" i="10"/>
  <c r="D13" i="10" s="1"/>
  <c r="J102" i="9"/>
  <c r="J97" i="9"/>
  <c r="F114" i="5"/>
  <c r="C39" i="9" s="1"/>
  <c r="I67" i="9"/>
  <c r="F603" i="5"/>
  <c r="O603" i="5" s="1"/>
  <c r="F441" i="5"/>
  <c r="O441" i="5" s="1"/>
  <c r="N47" i="10"/>
  <c r="J63" i="10"/>
  <c r="C111" i="5"/>
  <c r="N40" i="9"/>
  <c r="I183" i="9"/>
  <c r="B579" i="5"/>
  <c r="E137" i="5"/>
  <c r="B665" i="5"/>
  <c r="J220" i="9"/>
  <c r="E163" i="5"/>
  <c r="E145" i="5"/>
  <c r="E624" i="5"/>
  <c r="I96" i="9"/>
  <c r="I54" i="10"/>
  <c r="B400" i="5"/>
  <c r="J130" i="10"/>
  <c r="J74" i="10"/>
  <c r="C426" i="5"/>
  <c r="C36" i="5"/>
  <c r="J127" i="9"/>
  <c r="C427" i="5"/>
  <c r="L427" i="5" s="1"/>
  <c r="K35" i="5"/>
  <c r="J122" i="10"/>
  <c r="J186" i="9"/>
  <c r="I14" i="10"/>
  <c r="I214" i="9"/>
  <c r="B488" i="5"/>
  <c r="C158" i="5"/>
  <c r="I96" i="10"/>
  <c r="D12" i="10" s="1"/>
  <c r="E586" i="5"/>
  <c r="E658" i="5"/>
  <c r="J61" i="9"/>
  <c r="F37" i="5"/>
  <c r="I152" i="9"/>
  <c r="F71" i="5"/>
  <c r="I18" i="10"/>
  <c r="C589" i="5"/>
  <c r="L589" i="5" s="1"/>
  <c r="I105" i="9"/>
  <c r="D12" i="9" s="1"/>
  <c r="B128" i="5"/>
  <c r="I66" i="9"/>
  <c r="I132" i="9"/>
  <c r="F234" i="5"/>
  <c r="F69" i="5"/>
  <c r="E654" i="5"/>
  <c r="B584" i="5"/>
  <c r="E436" i="5"/>
  <c r="F419" i="5"/>
  <c r="O419" i="5" s="1"/>
  <c r="E486" i="5"/>
  <c r="J209" i="10"/>
  <c r="J143" i="9"/>
  <c r="L35" i="5"/>
  <c r="F159" i="5"/>
  <c r="C84" i="9" s="1"/>
  <c r="M36" i="9"/>
  <c r="J179" i="9"/>
  <c r="J198" i="10"/>
  <c r="I77" i="10"/>
  <c r="J231" i="9"/>
  <c r="I218" i="9"/>
  <c r="I208" i="9"/>
  <c r="O235" i="5"/>
  <c r="C160" i="10" s="1"/>
  <c r="E593" i="5"/>
  <c r="C507" i="5"/>
  <c r="L507" i="5" s="1"/>
  <c r="J63" i="9"/>
  <c r="F664" i="5"/>
  <c r="I159" i="9"/>
  <c r="I211" i="10"/>
  <c r="D168" i="10" s="1"/>
  <c r="C127" i="5"/>
  <c r="N48" i="10"/>
  <c r="I58" i="9"/>
  <c r="I28" i="9"/>
  <c r="I78" i="10"/>
  <c r="N33" i="5"/>
  <c r="I6" i="10"/>
  <c r="D6" i="10" s="1"/>
  <c r="F533" i="5"/>
  <c r="N81" i="10"/>
  <c r="N41" i="9"/>
  <c r="M48" i="10"/>
  <c r="C31" i="5"/>
  <c r="E480" i="5"/>
  <c r="F32" i="5"/>
  <c r="C497" i="5"/>
  <c r="L497" i="5" s="1"/>
  <c r="C117" i="5"/>
  <c r="C352" i="5" s="1"/>
  <c r="J189" i="10"/>
  <c r="E577" i="5"/>
  <c r="C240" i="5"/>
  <c r="N101" i="10"/>
  <c r="G202" i="10" s="1"/>
  <c r="I81" i="9"/>
  <c r="F411" i="5"/>
  <c r="O411" i="5" s="1"/>
  <c r="N33" i="9"/>
  <c r="J117" i="9"/>
  <c r="N246" i="5"/>
  <c r="B28" i="5"/>
  <c r="I93" i="9"/>
  <c r="J172" i="10"/>
  <c r="B523" i="5"/>
  <c r="F116" i="5"/>
  <c r="B158" i="5"/>
  <c r="F64" i="5"/>
  <c r="C5" i="9" s="1"/>
  <c r="I147" i="9"/>
  <c r="I119" i="10"/>
  <c r="I47" i="10"/>
  <c r="I24" i="10"/>
  <c r="M92" i="10"/>
  <c r="M53" i="9"/>
  <c r="I200" i="10"/>
  <c r="C657" i="5"/>
  <c r="F514" i="5"/>
  <c r="O514" i="5" s="1"/>
  <c r="J167" i="9"/>
  <c r="N121" i="5"/>
  <c r="M45" i="9"/>
  <c r="B171" i="5"/>
  <c r="M32" i="10"/>
  <c r="N30" i="10"/>
  <c r="B234" i="5"/>
  <c r="J42" i="10"/>
  <c r="F385" i="5"/>
  <c r="O385" i="5" s="1"/>
  <c r="F113" i="5"/>
  <c r="C38" i="9" s="1"/>
  <c r="J99" i="10"/>
  <c r="G13" i="10" s="1"/>
  <c r="E567" i="5"/>
  <c r="B180" i="5"/>
  <c r="F109" i="5"/>
  <c r="C34" i="9" s="1"/>
  <c r="B581" i="5"/>
  <c r="I50" i="9"/>
  <c r="E604" i="5"/>
  <c r="J34" i="10"/>
  <c r="C663" i="5"/>
  <c r="I157" i="10"/>
  <c r="O123" i="5"/>
  <c r="C48" i="10" s="1"/>
  <c r="B235" i="5"/>
  <c r="N243" i="5"/>
  <c r="L176" i="5"/>
  <c r="F111" i="5"/>
  <c r="C36" i="9" s="1"/>
  <c r="I134" i="10"/>
  <c r="J157" i="9"/>
  <c r="C565" i="5"/>
  <c r="L565" i="5" s="1"/>
  <c r="C498" i="5"/>
  <c r="L498" i="5" s="1"/>
  <c r="F158" i="5"/>
  <c r="C76" i="9" s="1"/>
  <c r="M27" i="10"/>
  <c r="J149" i="10"/>
  <c r="E115" i="5"/>
  <c r="E526" i="5"/>
  <c r="M66" i="10"/>
  <c r="I167" i="9"/>
  <c r="N86" i="10"/>
  <c r="I157" i="9"/>
  <c r="I73" i="10"/>
  <c r="K200" i="5"/>
  <c r="M51" i="9"/>
  <c r="B563" i="5"/>
  <c r="N49" i="10"/>
  <c r="F492" i="5"/>
  <c r="O492" i="5" s="1"/>
  <c r="J117" i="10"/>
  <c r="K68" i="5"/>
  <c r="E563" i="5"/>
  <c r="M55" i="9"/>
  <c r="B150" i="5"/>
  <c r="J72" i="9"/>
  <c r="F403" i="5"/>
  <c r="O403" i="5" s="1"/>
  <c r="B155" i="5"/>
  <c r="E597" i="5"/>
  <c r="E251" i="5"/>
  <c r="I222" i="9"/>
  <c r="D166" i="9" s="1"/>
  <c r="F152" i="5"/>
  <c r="C78" i="9" s="1"/>
  <c r="E589" i="5"/>
  <c r="M80" i="10"/>
  <c r="J56" i="9"/>
  <c r="E622" i="5"/>
  <c r="K66" i="5"/>
  <c r="J76" i="9"/>
  <c r="N38" i="10"/>
  <c r="I127" i="10"/>
  <c r="F577" i="5"/>
  <c r="O577" i="5" s="1"/>
  <c r="B564" i="5"/>
  <c r="N238" i="5"/>
  <c r="I186" i="10"/>
  <c r="D163" i="10" s="1"/>
  <c r="N79" i="10"/>
  <c r="M39" i="10"/>
  <c r="M41" i="9"/>
  <c r="F661" i="5"/>
  <c r="B182" i="5"/>
  <c r="C512" i="5"/>
  <c r="L512" i="5" s="1"/>
  <c r="C385" i="5"/>
  <c r="L385" i="5" s="1"/>
  <c r="N25" i="10"/>
  <c r="J214" i="9"/>
  <c r="J152" i="10"/>
  <c r="B569" i="5"/>
  <c r="F581" i="5"/>
  <c r="O581" i="5" s="1"/>
  <c r="E135" i="5"/>
  <c r="J109" i="10"/>
  <c r="B151" i="5"/>
  <c r="L157" i="5"/>
  <c r="C71" i="5"/>
  <c r="F522" i="5"/>
  <c r="O522" i="5" s="1"/>
  <c r="C587" i="5"/>
  <c r="L587" i="5" s="1"/>
  <c r="F117" i="5"/>
  <c r="J181" i="9"/>
  <c r="N32" i="5"/>
  <c r="I95" i="9"/>
  <c r="C433" i="5"/>
  <c r="L433" i="5" s="1"/>
  <c r="F105" i="5"/>
  <c r="I177" i="9"/>
  <c r="E603" i="5"/>
  <c r="E133" i="5"/>
  <c r="L243" i="5"/>
  <c r="M26" i="9"/>
  <c r="F574" i="5"/>
  <c r="O574" i="5" s="1"/>
  <c r="C72" i="5"/>
  <c r="O35" i="5"/>
  <c r="B444" i="5"/>
  <c r="B123" i="5"/>
  <c r="I193" i="10"/>
  <c r="E659" i="5"/>
  <c r="B66" i="5"/>
  <c r="B534" i="5"/>
  <c r="K64" i="5"/>
  <c r="B397" i="5"/>
  <c r="E453" i="5"/>
  <c r="O157" i="5"/>
  <c r="C83" i="10" s="1"/>
  <c r="I81" i="10"/>
  <c r="B119" i="5"/>
  <c r="C667" i="5"/>
  <c r="C143" i="5"/>
  <c r="E488" i="5"/>
  <c r="E234" i="5"/>
  <c r="F495" i="5"/>
  <c r="O495" i="5" s="1"/>
  <c r="I85" i="10"/>
  <c r="M37" i="10"/>
  <c r="I231" i="9"/>
  <c r="E581" i="5"/>
  <c r="I82" i="9"/>
  <c r="B147" i="5"/>
  <c r="N96" i="10"/>
  <c r="J51" i="9"/>
  <c r="K235" i="5"/>
  <c r="E481" i="5"/>
  <c r="E566" i="5"/>
  <c r="F127" i="5"/>
  <c r="F563" i="5"/>
  <c r="O563" i="5" s="1"/>
  <c r="J80" i="9"/>
  <c r="I116" i="9"/>
  <c r="J139" i="9"/>
  <c r="I37" i="10"/>
  <c r="J168" i="9"/>
  <c r="G162" i="9" s="1"/>
  <c r="O237" i="5"/>
  <c r="C162" i="10" s="1"/>
  <c r="E34" i="5"/>
  <c r="C161" i="5"/>
  <c r="I194" i="9"/>
  <c r="B667" i="5"/>
  <c r="I129" i="10"/>
  <c r="J131" i="10"/>
  <c r="E384" i="5"/>
  <c r="E125" i="5"/>
  <c r="F238" i="5"/>
  <c r="C163" i="9" s="1"/>
  <c r="E428" i="5"/>
  <c r="F561" i="5"/>
  <c r="N61" i="9"/>
  <c r="B574" i="5"/>
  <c r="J131" i="9"/>
  <c r="N34" i="5"/>
  <c r="C121" i="5"/>
  <c r="C573" i="5"/>
  <c r="L573" i="5" s="1"/>
  <c r="B136" i="5"/>
  <c r="J40" i="9"/>
  <c r="E663" i="5"/>
  <c r="B115" i="5"/>
  <c r="B102" i="5"/>
  <c r="E410" i="5"/>
  <c r="E71" i="5"/>
  <c r="E29" i="5"/>
  <c r="I220" i="9"/>
  <c r="E247" i="5"/>
  <c r="J28" i="10"/>
  <c r="I34" i="9"/>
  <c r="F29" i="5"/>
  <c r="C590" i="5"/>
  <c r="L590" i="5" s="1"/>
  <c r="F404" i="5"/>
  <c r="O404" i="5" s="1"/>
  <c r="I183" i="10"/>
  <c r="C483" i="5"/>
  <c r="L483" i="5" s="1"/>
  <c r="F573" i="5"/>
  <c r="O573" i="5" s="1"/>
  <c r="I226" i="9"/>
  <c r="I31" i="9"/>
  <c r="E667" i="5"/>
  <c r="I127" i="9"/>
  <c r="J160" i="10"/>
  <c r="G162" i="10" s="1"/>
  <c r="J192" i="9"/>
  <c r="G163" i="9" s="1"/>
  <c r="C627" i="5"/>
  <c r="L627" i="5" s="1"/>
  <c r="J86" i="9"/>
  <c r="J13" i="10"/>
  <c r="G173" i="10" s="1"/>
  <c r="F246" i="5"/>
  <c r="C388" i="5"/>
  <c r="L388" i="5" s="1"/>
  <c r="C120" i="5"/>
  <c r="J148" i="10"/>
  <c r="C393" i="5"/>
  <c r="L393" i="5" s="1"/>
  <c r="E397" i="5"/>
  <c r="F617" i="5"/>
  <c r="O617" i="5" s="1"/>
  <c r="F488" i="5"/>
  <c r="O488" i="5" s="1"/>
  <c r="E109" i="5"/>
  <c r="N103" i="10"/>
  <c r="I228" i="9"/>
  <c r="D167" i="9" s="1"/>
  <c r="F601" i="5"/>
  <c r="I120" i="10"/>
  <c r="B110" i="5"/>
  <c r="C417" i="5"/>
  <c r="L417" i="5" s="1"/>
  <c r="E596" i="5"/>
  <c r="I71" i="10"/>
  <c r="M98" i="10"/>
  <c r="B252" i="5"/>
  <c r="C575" i="5"/>
  <c r="L575" i="5" s="1"/>
  <c r="B578" i="5"/>
  <c r="B389" i="5"/>
  <c r="F171" i="5"/>
  <c r="C96" i="9" s="1"/>
  <c r="I148" i="10"/>
  <c r="M47" i="10"/>
  <c r="C530" i="5"/>
  <c r="L530" i="5" s="1"/>
  <c r="F628" i="5"/>
  <c r="O628" i="5" s="1"/>
  <c r="K182" i="5"/>
  <c r="J144" i="10"/>
  <c r="K103" i="5"/>
  <c r="M82" i="10"/>
  <c r="I84" i="10"/>
  <c r="B130" i="5"/>
  <c r="L29" i="5"/>
  <c r="F444" i="5"/>
  <c r="O444" i="5" s="1"/>
  <c r="I195" i="9"/>
  <c r="F491" i="5"/>
  <c r="O491" i="5" s="1"/>
  <c r="J67" i="9"/>
  <c r="E444" i="5"/>
  <c r="B395" i="5"/>
  <c r="J199" i="9"/>
  <c r="I121" i="10"/>
  <c r="M96" i="10"/>
  <c r="N157" i="5"/>
  <c r="E450" i="5"/>
  <c r="B138" i="5"/>
  <c r="K241" i="5"/>
  <c r="J35" i="9"/>
  <c r="C502" i="5"/>
  <c r="L502" i="5" s="1"/>
  <c r="J76" i="10"/>
  <c r="E393" i="5"/>
  <c r="E528" i="5"/>
  <c r="I76" i="10"/>
  <c r="B426" i="5"/>
  <c r="I160" i="10"/>
  <c r="D162" i="10" s="1"/>
  <c r="E569" i="5"/>
  <c r="C180" i="5"/>
  <c r="B669" i="5"/>
  <c r="C140" i="5"/>
  <c r="I150" i="10"/>
  <c r="D161" i="10" s="1"/>
  <c r="N94" i="10"/>
  <c r="J55" i="10"/>
  <c r="F583" i="5"/>
  <c r="O583" i="5" s="1"/>
  <c r="I168" i="9"/>
  <c r="D162" i="9" s="1"/>
  <c r="B237" i="5"/>
  <c r="L28" i="5"/>
  <c r="B449" i="5"/>
  <c r="J169" i="10"/>
  <c r="B416" i="5"/>
  <c r="J28" i="9"/>
  <c r="E394" i="5"/>
  <c r="O36" i="5"/>
  <c r="F432" i="5"/>
  <c r="O432" i="5" s="1"/>
  <c r="E535" i="5"/>
  <c r="E107" i="5"/>
  <c r="J87" i="10"/>
  <c r="E440" i="5"/>
  <c r="B418" i="5"/>
  <c r="J120" i="10"/>
  <c r="N134" i="5"/>
  <c r="K131" i="5"/>
  <c r="O152" i="5"/>
  <c r="C78" i="10" s="1"/>
  <c r="N102" i="5"/>
  <c r="L172" i="5"/>
  <c r="C174" i="5"/>
  <c r="B610" i="5"/>
  <c r="I154" i="10"/>
  <c r="E127" i="5"/>
  <c r="I33" i="9"/>
  <c r="O178" i="5"/>
  <c r="K132" i="5"/>
  <c r="M64" i="10"/>
  <c r="L148" i="5"/>
  <c r="O111" i="5"/>
  <c r="C36" i="10" s="1"/>
  <c r="N75" i="10"/>
  <c r="F435" i="5"/>
  <c r="O435" i="5" s="1"/>
  <c r="B575" i="5"/>
  <c r="J26" i="9"/>
  <c r="K145" i="5"/>
  <c r="L136" i="5"/>
  <c r="L318" i="5" s="1"/>
  <c r="M51" i="10"/>
  <c r="N133" i="5"/>
  <c r="K152" i="5"/>
  <c r="I199" i="9"/>
  <c r="C118" i="5"/>
  <c r="C353" i="5" s="1"/>
  <c r="B384" i="5"/>
  <c r="J149" i="9"/>
  <c r="N163" i="5"/>
  <c r="L129" i="5"/>
  <c r="K133" i="5"/>
  <c r="N142" i="5"/>
  <c r="L102" i="5"/>
  <c r="L311" i="5" s="1"/>
  <c r="C100" i="5"/>
  <c r="K240" i="5"/>
  <c r="B658" i="5"/>
  <c r="K143" i="5"/>
  <c r="F611" i="5"/>
  <c r="O611" i="5" s="1"/>
  <c r="J108" i="10"/>
  <c r="F592" i="5"/>
  <c r="O592" i="5" s="1"/>
  <c r="B157" i="5"/>
  <c r="I5" i="9"/>
  <c r="M46" i="9"/>
  <c r="J209" i="9"/>
  <c r="N249" i="5"/>
  <c r="F157" i="5"/>
  <c r="C83" i="9" s="1"/>
  <c r="C581" i="5"/>
  <c r="L581" i="5" s="1"/>
  <c r="C491" i="5"/>
  <c r="L491" i="5" s="1"/>
  <c r="K36" i="5"/>
  <c r="B562" i="5"/>
  <c r="E578" i="5"/>
  <c r="I130" i="10"/>
  <c r="I34" i="10"/>
  <c r="C37" i="5"/>
  <c r="J133" i="9"/>
  <c r="K157" i="5"/>
  <c r="E512" i="5"/>
  <c r="I115" i="9"/>
  <c r="C241" i="5"/>
  <c r="C453" i="5"/>
  <c r="L453" i="5" s="1"/>
  <c r="C533" i="5"/>
  <c r="E423" i="5"/>
  <c r="J49" i="9"/>
  <c r="E157" i="5"/>
  <c r="J6" i="9"/>
  <c r="G6" i="9" s="1"/>
  <c r="M67" i="10"/>
  <c r="C123" i="5"/>
  <c r="I152" i="10"/>
  <c r="I179" i="9"/>
  <c r="I83" i="9"/>
  <c r="D83" i="9" s="1"/>
  <c r="N103" i="5"/>
  <c r="N173" i="5"/>
  <c r="O133" i="5"/>
  <c r="C58" i="10" s="1"/>
  <c r="L128" i="5"/>
  <c r="O151" i="5"/>
  <c r="C77" i="10" s="1"/>
  <c r="F144" i="5"/>
  <c r="C69" i="9" s="1"/>
  <c r="I138" i="9"/>
  <c r="B451" i="5"/>
  <c r="I89" i="9"/>
  <c r="N127" i="5"/>
  <c r="L161" i="5"/>
  <c r="K113" i="5"/>
  <c r="K171" i="5"/>
  <c r="L126" i="5"/>
  <c r="K144" i="5"/>
  <c r="J31" i="10"/>
  <c r="B243" i="5"/>
  <c r="F575" i="5"/>
  <c r="O575" i="5" s="1"/>
  <c r="F585" i="5"/>
  <c r="O585" i="5" s="1"/>
  <c r="N149" i="5"/>
  <c r="L117" i="5"/>
  <c r="L352" i="5" s="1"/>
  <c r="N60" i="10"/>
  <c r="N114" i="5"/>
  <c r="B118" i="5"/>
  <c r="N70" i="5"/>
  <c r="J118" i="9"/>
  <c r="L131" i="5"/>
  <c r="F405" i="5"/>
  <c r="O405" i="5" s="1"/>
  <c r="E518" i="5"/>
  <c r="B179" i="5"/>
  <c r="B117" i="5"/>
  <c r="J71" i="10"/>
  <c r="F586" i="5"/>
  <c r="O586" i="5" s="1"/>
  <c r="E439" i="5"/>
  <c r="B535" i="5"/>
  <c r="I117" i="10"/>
  <c r="B620" i="5"/>
  <c r="C447" i="5"/>
  <c r="B588" i="5"/>
  <c r="L482" i="5"/>
  <c r="C665" i="5"/>
  <c r="J212" i="9"/>
  <c r="E383" i="5"/>
  <c r="C430" i="5"/>
  <c r="L430" i="5" s="1"/>
  <c r="F401" i="5"/>
  <c r="O401" i="5" s="1"/>
  <c r="E418" i="5"/>
  <c r="F440" i="5"/>
  <c r="O440" i="5" s="1"/>
  <c r="F534" i="5"/>
  <c r="O534" i="5" s="1"/>
  <c r="C450" i="5"/>
  <c r="L450" i="5" s="1"/>
  <c r="I8" i="10"/>
  <c r="F237" i="5"/>
  <c r="C162" i="9" s="1"/>
  <c r="O249" i="5"/>
  <c r="C174" i="10" s="1"/>
  <c r="F665" i="5"/>
  <c r="E517" i="5"/>
  <c r="F434" i="5"/>
  <c r="O434" i="5" s="1"/>
  <c r="F170" i="5"/>
  <c r="B396" i="5"/>
  <c r="E144" i="5"/>
  <c r="F449" i="5"/>
  <c r="O449" i="5" s="1"/>
  <c r="E405" i="5"/>
  <c r="K32" i="5"/>
  <c r="I50" i="10"/>
  <c r="B409" i="5"/>
  <c r="C179" i="5"/>
  <c r="L238" i="5"/>
  <c r="E509" i="5"/>
  <c r="I33" i="10"/>
  <c r="F395" i="5"/>
  <c r="O395" i="5" s="1"/>
  <c r="K238" i="5"/>
  <c r="F429" i="5"/>
  <c r="O429" i="5" s="1"/>
  <c r="E499" i="5"/>
  <c r="J200" i="9"/>
  <c r="B441" i="5"/>
  <c r="C394" i="5"/>
  <c r="L394" i="5" s="1"/>
  <c r="C250" i="5"/>
  <c r="J227" i="9"/>
  <c r="F141" i="5"/>
  <c r="C66" i="9" s="1"/>
  <c r="K69" i="5"/>
  <c r="B659" i="5"/>
  <c r="B423" i="5"/>
  <c r="O251" i="5"/>
  <c r="C176" i="10" s="1"/>
  <c r="F663" i="5"/>
  <c r="E587" i="5"/>
  <c r="C656" i="5"/>
  <c r="E498" i="5"/>
  <c r="B124" i="5"/>
  <c r="N80" i="10"/>
  <c r="E503" i="5"/>
  <c r="E445" i="5"/>
  <c r="F408" i="5"/>
  <c r="O408" i="5" s="1"/>
  <c r="I148" i="9"/>
  <c r="F513" i="5"/>
  <c r="O513" i="5" s="1"/>
  <c r="I5" i="10"/>
  <c r="B435" i="5"/>
  <c r="B390" i="5"/>
  <c r="E579" i="5"/>
  <c r="I201" i="10"/>
  <c r="B249" i="5"/>
  <c r="F125" i="5"/>
  <c r="C50" i="9" s="1"/>
  <c r="J79" i="10"/>
  <c r="B398" i="5"/>
  <c r="I153" i="10"/>
  <c r="F142" i="5"/>
  <c r="C67" i="9" s="1"/>
  <c r="C662" i="5"/>
  <c r="O33" i="5"/>
  <c r="N97" i="10"/>
  <c r="C403" i="5"/>
  <c r="L403" i="5" s="1"/>
  <c r="C237" i="5"/>
  <c r="J153" i="9"/>
  <c r="G160" i="9" s="1"/>
  <c r="C669" i="5"/>
  <c r="L163" i="5"/>
  <c r="K115" i="5"/>
  <c r="K173" i="5"/>
  <c r="L130" i="5"/>
  <c r="K162" i="5"/>
  <c r="C580" i="5"/>
  <c r="L580" i="5" s="1"/>
  <c r="E398" i="5"/>
  <c r="E615" i="5"/>
  <c r="J77" i="9"/>
  <c r="G77" i="9" s="1"/>
  <c r="N132" i="5"/>
  <c r="L103" i="5"/>
  <c r="L171" i="5"/>
  <c r="N116" i="5"/>
  <c r="N62" i="10"/>
  <c r="J205" i="10"/>
  <c r="I69" i="10"/>
  <c r="J110" i="10"/>
  <c r="I41" i="10"/>
  <c r="C529" i="5"/>
  <c r="L529" i="5" s="1"/>
  <c r="M59" i="10"/>
  <c r="N170" i="5"/>
  <c r="O126" i="5"/>
  <c r="L166" i="5"/>
  <c r="O109" i="5"/>
  <c r="C34" i="10" s="1"/>
  <c r="I155" i="10"/>
  <c r="B238" i="5"/>
  <c r="B413" i="5"/>
  <c r="K154" i="5"/>
  <c r="K163" i="5"/>
  <c r="O120" i="5"/>
  <c r="C45" i="10" s="1"/>
  <c r="O179" i="5"/>
  <c r="C104" i="10" s="1"/>
  <c r="O138" i="5"/>
  <c r="N66" i="10"/>
  <c r="B436" i="5"/>
  <c r="J14" i="10"/>
  <c r="B173" i="5"/>
  <c r="J183" i="9"/>
  <c r="F392" i="5"/>
  <c r="O392" i="5" s="1"/>
  <c r="I52" i="10"/>
  <c r="C621" i="5"/>
  <c r="L621" i="5" s="1"/>
  <c r="B63" i="5"/>
  <c r="J99" i="9"/>
  <c r="B439" i="5"/>
  <c r="C422" i="5"/>
  <c r="J182" i="9"/>
  <c r="I35" i="9"/>
  <c r="F612" i="5"/>
  <c r="O612" i="5" s="1"/>
  <c r="E414" i="5"/>
  <c r="B483" i="5"/>
  <c r="E244" i="5"/>
  <c r="I130" i="9"/>
  <c r="B571" i="5"/>
  <c r="F412" i="5"/>
  <c r="O412" i="5" s="1"/>
  <c r="C130" i="5"/>
  <c r="B598" i="5"/>
  <c r="J121" i="10"/>
  <c r="F615" i="5"/>
  <c r="O615" i="5" s="1"/>
  <c r="C138" i="5"/>
  <c r="C355" i="5" s="1"/>
  <c r="C583" i="5"/>
  <c r="L583" i="5" s="1"/>
  <c r="F119" i="5"/>
  <c r="C44" i="9" s="1"/>
  <c r="C147" i="5"/>
  <c r="J145" i="10"/>
  <c r="K28" i="5"/>
  <c r="M28" i="5" s="1"/>
  <c r="J5" i="10"/>
  <c r="E114" i="5"/>
  <c r="J161" i="10"/>
  <c r="C64" i="5"/>
  <c r="N131" i="5"/>
  <c r="L141" i="5"/>
  <c r="K158" i="5"/>
  <c r="N152" i="5"/>
  <c r="L112" i="5"/>
  <c r="E609" i="5"/>
  <c r="F452" i="5"/>
  <c r="O452" i="5" s="1"/>
  <c r="I131" i="10"/>
  <c r="L72" i="5"/>
  <c r="J83" i="9"/>
  <c r="G83" i="9" s="1"/>
  <c r="N117" i="5"/>
  <c r="K127" i="5"/>
  <c r="O150" i="5"/>
  <c r="C75" i="10" s="1"/>
  <c r="N100" i="5"/>
  <c r="L145" i="5"/>
  <c r="E427" i="5"/>
  <c r="F410" i="5"/>
  <c r="O410" i="5" s="1"/>
  <c r="C451" i="5"/>
  <c r="L451" i="5" s="1"/>
  <c r="E128" i="5"/>
  <c r="C178" i="5"/>
  <c r="N158" i="5"/>
  <c r="K149" i="5"/>
  <c r="O110" i="5"/>
  <c r="J34" i="9"/>
  <c r="J164" i="9"/>
  <c r="F123" i="5"/>
  <c r="C48" i="9" s="1"/>
  <c r="E390" i="5"/>
  <c r="I197" i="10"/>
  <c r="E33" i="5"/>
  <c r="B388" i="5"/>
  <c r="E591" i="5"/>
  <c r="E153" i="5"/>
  <c r="C522" i="5"/>
  <c r="L522" i="5" s="1"/>
  <c r="K153" i="5"/>
  <c r="O172" i="5"/>
  <c r="C97" i="10" s="1"/>
  <c r="F480" i="5"/>
  <c r="K234" i="5"/>
  <c r="K172" i="5"/>
  <c r="M172" i="5" s="1"/>
  <c r="K128" i="5"/>
  <c r="L110" i="5"/>
  <c r="E606" i="5"/>
  <c r="F433" i="5"/>
  <c r="O433" i="5" s="1"/>
  <c r="N129" i="5"/>
  <c r="L170" i="5"/>
  <c r="L108" i="5"/>
  <c r="J17" i="9"/>
  <c r="G175" i="9" s="1"/>
  <c r="B662" i="5"/>
  <c r="D662" i="5" s="1"/>
  <c r="F621" i="5"/>
  <c r="O621" i="5" s="1"/>
  <c r="N123" i="5"/>
  <c r="K141" i="5"/>
  <c r="M141" i="5" s="1"/>
  <c r="N162" i="5"/>
  <c r="L179" i="5"/>
  <c r="M27" i="9"/>
  <c r="F138" i="5"/>
  <c r="C435" i="5"/>
  <c r="L435" i="5" s="1"/>
  <c r="B561" i="5"/>
  <c r="J164" i="10"/>
  <c r="L165" i="5"/>
  <c r="K117" i="5"/>
  <c r="K175" i="5"/>
  <c r="L133" i="5"/>
  <c r="M55" i="10"/>
  <c r="E626" i="5"/>
  <c r="K119" i="5"/>
  <c r="O143" i="5"/>
  <c r="C68" i="10" s="1"/>
  <c r="M58" i="10"/>
  <c r="O122" i="5"/>
  <c r="M28" i="9"/>
  <c r="M31" i="10"/>
  <c r="J115" i="9"/>
  <c r="B126" i="5"/>
  <c r="C617" i="5"/>
  <c r="L617" i="5" s="1"/>
  <c r="J27" i="9"/>
  <c r="I189" i="10"/>
  <c r="J193" i="9"/>
  <c r="N125" i="5"/>
  <c r="N164" i="5"/>
  <c r="O236" i="5"/>
  <c r="C161" i="10" s="1"/>
  <c r="J58" i="9"/>
  <c r="E237" i="5"/>
  <c r="I188" i="9"/>
  <c r="I184" i="9"/>
  <c r="F241" i="5"/>
  <c r="C166" i="9" s="1"/>
  <c r="I67" i="10"/>
  <c r="E407" i="5"/>
  <c r="N113" i="5"/>
  <c r="N144" i="5"/>
  <c r="E240" i="5"/>
  <c r="E669" i="5"/>
  <c r="K125" i="5"/>
  <c r="O107" i="5"/>
  <c r="C32" i="10" s="1"/>
  <c r="E602" i="5"/>
  <c r="O171" i="5"/>
  <c r="C96" i="10" s="1"/>
  <c r="K116" i="5"/>
  <c r="K179" i="5"/>
  <c r="L34" i="5"/>
  <c r="E179" i="5"/>
  <c r="B113" i="5"/>
  <c r="F605" i="5"/>
  <c r="O605" i="5" s="1"/>
  <c r="E598" i="5"/>
  <c r="E592" i="5"/>
  <c r="C415" i="5"/>
  <c r="L415" i="5" s="1"/>
  <c r="K71" i="5"/>
  <c r="I165" i="9"/>
  <c r="I21" i="10"/>
  <c r="B492" i="5"/>
  <c r="B448" i="5"/>
  <c r="I171" i="10"/>
  <c r="C613" i="5"/>
  <c r="L613" i="5" s="1"/>
  <c r="C150" i="5"/>
  <c r="C598" i="5"/>
  <c r="L598" i="5" s="1"/>
  <c r="E454" i="5"/>
  <c r="N241" i="5"/>
  <c r="N44" i="10"/>
  <c r="J138" i="10"/>
  <c r="J195" i="9"/>
  <c r="B661" i="5"/>
  <c r="C400" i="5"/>
  <c r="L400" i="5" s="1"/>
  <c r="C396" i="5"/>
  <c r="L396" i="5" s="1"/>
  <c r="J119" i="10"/>
  <c r="J194" i="9"/>
  <c r="L127" i="5"/>
  <c r="B487" i="5"/>
  <c r="C584" i="5"/>
  <c r="L584" i="5" s="1"/>
  <c r="E582" i="5"/>
  <c r="E507" i="5"/>
  <c r="J93" i="9"/>
  <c r="J64" i="10"/>
  <c r="B159" i="5"/>
  <c r="E616" i="5"/>
  <c r="J135" i="10"/>
  <c r="J176" i="10"/>
  <c r="I17" i="10"/>
  <c r="B103" i="5"/>
  <c r="F567" i="5"/>
  <c r="O567" i="5" s="1"/>
  <c r="I79" i="10"/>
  <c r="I123" i="10"/>
  <c r="F606" i="5"/>
  <c r="O606" i="5" s="1"/>
  <c r="I63" i="9"/>
  <c r="B521" i="5"/>
  <c r="B31" i="5"/>
  <c r="B432" i="5"/>
  <c r="C413" i="5"/>
  <c r="L413" i="5" s="1"/>
  <c r="O32" i="5"/>
  <c r="J30" i="10"/>
  <c r="O28" i="5"/>
  <c r="J78" i="10"/>
  <c r="C508" i="5"/>
  <c r="L508" i="5" s="1"/>
  <c r="C496" i="5"/>
  <c r="L496" i="5" s="1"/>
  <c r="F72" i="5"/>
  <c r="J25" i="10"/>
  <c r="I72" i="10"/>
  <c r="M43" i="10"/>
  <c r="M33" i="9"/>
  <c r="F517" i="5"/>
  <c r="O517" i="5" s="1"/>
  <c r="B504" i="5"/>
  <c r="O64" i="5"/>
  <c r="C5" i="10" s="1"/>
  <c r="J84" i="10"/>
  <c r="F562" i="5"/>
  <c r="O562" i="5" s="1"/>
  <c r="F31" i="5"/>
  <c r="M58" i="9"/>
  <c r="F431" i="5"/>
  <c r="O431" i="5" s="1"/>
  <c r="B602" i="5"/>
  <c r="J165" i="10"/>
  <c r="I10" i="10"/>
  <c r="D11" i="10" s="1"/>
  <c r="B517" i="5"/>
  <c r="K134" i="5"/>
  <c r="L150" i="5"/>
  <c r="F398" i="5"/>
  <c r="O398" i="5" s="1"/>
  <c r="E409" i="5"/>
  <c r="N151" i="5"/>
  <c r="N64" i="10"/>
  <c r="N145" i="5"/>
  <c r="L37" i="5"/>
  <c r="N31" i="9"/>
  <c r="N115" i="5"/>
  <c r="O148" i="5"/>
  <c r="C73" i="10" s="1"/>
  <c r="N58" i="10"/>
  <c r="J15" i="9"/>
  <c r="I132" i="10"/>
  <c r="I26" i="10"/>
  <c r="N109" i="5"/>
  <c r="K121" i="5"/>
  <c r="N124" i="5"/>
  <c r="O161" i="5"/>
  <c r="M90" i="10"/>
  <c r="E147" i="5"/>
  <c r="F447" i="5"/>
  <c r="I74" i="10"/>
  <c r="K176" i="5"/>
  <c r="L143" i="5"/>
  <c r="K101" i="5"/>
  <c r="N154" i="5"/>
  <c r="L114" i="5"/>
  <c r="F174" i="5"/>
  <c r="C99" i="9" s="1"/>
  <c r="C399" i="5"/>
  <c r="L399" i="5" s="1"/>
  <c r="N52" i="10"/>
  <c r="O101" i="5"/>
  <c r="F133" i="5"/>
  <c r="C58" i="9" s="1"/>
  <c r="N138" i="5"/>
  <c r="N166" i="5"/>
  <c r="E236" i="5"/>
  <c r="I59" i="9"/>
  <c r="I46" i="9"/>
  <c r="I70" i="10"/>
  <c r="F418" i="5"/>
  <c r="O418" i="5" s="1"/>
  <c r="I55" i="10"/>
  <c r="F247" i="5"/>
  <c r="C172" i="9" s="1"/>
  <c r="B406" i="5"/>
  <c r="K140" i="5"/>
  <c r="N112" i="5"/>
  <c r="F391" i="5"/>
  <c r="O391" i="5" s="1"/>
  <c r="I139" i="10"/>
  <c r="C134" i="5"/>
  <c r="J21" i="10"/>
  <c r="E391" i="5"/>
  <c r="I164" i="9"/>
  <c r="I182" i="10"/>
  <c r="F28" i="5"/>
  <c r="N57" i="10"/>
  <c r="K166" i="5"/>
  <c r="E252" i="5"/>
  <c r="I66" i="10"/>
  <c r="K118" i="5"/>
  <c r="B501" i="5"/>
  <c r="E138" i="5"/>
  <c r="L115" i="5"/>
  <c r="L350" i="5" s="1"/>
  <c r="L140" i="5"/>
  <c r="K156" i="5"/>
  <c r="J59" i="10"/>
  <c r="M25" i="9"/>
  <c r="I118" i="9"/>
  <c r="B529" i="5"/>
  <c r="B499" i="5"/>
  <c r="F409" i="5"/>
  <c r="O409" i="5" s="1"/>
  <c r="N27" i="9"/>
  <c r="L246" i="5"/>
  <c r="K122" i="5"/>
  <c r="J98" i="9"/>
  <c r="E176" i="5"/>
  <c r="C243" i="5"/>
  <c r="J49" i="10"/>
  <c r="G54" i="10" s="1"/>
  <c r="B654" i="5"/>
  <c r="I20" i="10"/>
  <c r="I98" i="9"/>
  <c r="J183" i="10"/>
  <c r="K236" i="5"/>
  <c r="I175" i="9"/>
  <c r="J8" i="9"/>
  <c r="I44" i="10"/>
  <c r="I193" i="9"/>
  <c r="K247" i="5"/>
  <c r="I174" i="9"/>
  <c r="C252" i="5"/>
  <c r="I55" i="9"/>
  <c r="K164" i="5"/>
  <c r="F70" i="5"/>
  <c r="M77" i="10"/>
  <c r="J163" i="10"/>
  <c r="J176" i="9"/>
  <c r="I4" i="9"/>
  <c r="D4" i="9" s="1"/>
  <c r="B431" i="5"/>
  <c r="E389" i="5"/>
  <c r="E505" i="5"/>
  <c r="I57" i="10"/>
  <c r="C153" i="5"/>
  <c r="N52" i="9"/>
  <c r="F670" i="5"/>
  <c r="E618" i="5"/>
  <c r="J27" i="10"/>
  <c r="G66" i="10" s="1"/>
  <c r="J116" i="10"/>
  <c r="F658" i="5"/>
  <c r="E504" i="5"/>
  <c r="J7" i="10"/>
  <c r="G7" i="10" s="1"/>
  <c r="J55" i="9"/>
  <c r="F249" i="5"/>
  <c r="C174" i="9" s="1"/>
  <c r="E171" i="5"/>
  <c r="J132" i="10"/>
  <c r="F595" i="5"/>
  <c r="O595" i="5" s="1"/>
  <c r="J175" i="10"/>
  <c r="N60" i="9"/>
  <c r="J77" i="10"/>
  <c r="I25" i="9"/>
  <c r="C126" i="5"/>
  <c r="J41" i="10"/>
  <c r="J152" i="9"/>
  <c r="M47" i="9"/>
  <c r="I40" i="10"/>
  <c r="E487" i="5"/>
  <c r="O31" i="5"/>
  <c r="B148" i="5"/>
  <c r="J124" i="9"/>
  <c r="I126" i="10"/>
  <c r="F389" i="5"/>
  <c r="O389" i="5" s="1"/>
  <c r="B568" i="5"/>
  <c r="I131" i="9"/>
  <c r="B116" i="5"/>
  <c r="C423" i="5"/>
  <c r="L423" i="5" s="1"/>
  <c r="B605" i="5"/>
  <c r="E664" i="5"/>
  <c r="I125" i="10"/>
  <c r="J138" i="9"/>
  <c r="C568" i="5"/>
  <c r="L568" i="5" s="1"/>
  <c r="N58" i="9"/>
  <c r="E395" i="5"/>
  <c r="I136" i="9"/>
  <c r="B394" i="5"/>
  <c r="I6" i="9"/>
  <c r="D6" i="9" s="1"/>
  <c r="M28" i="10"/>
  <c r="I32" i="9"/>
  <c r="I203" i="10"/>
  <c r="B604" i="5"/>
  <c r="B433" i="5"/>
  <c r="I156" i="10"/>
  <c r="D166" i="10" s="1"/>
  <c r="E443" i="5"/>
  <c r="E102" i="5"/>
  <c r="N82" i="10"/>
  <c r="B496" i="5"/>
  <c r="B453" i="5"/>
  <c r="E575" i="5"/>
  <c r="E111" i="5"/>
  <c r="B242" i="5"/>
  <c r="C434" i="5"/>
  <c r="L434" i="5" s="1"/>
  <c r="B107" i="5"/>
  <c r="B140" i="5"/>
  <c r="K174" i="5"/>
  <c r="O128" i="5"/>
  <c r="C53" i="10" s="1"/>
  <c r="N179" i="5"/>
  <c r="E161" i="5"/>
  <c r="K251" i="5"/>
  <c r="N101" i="5"/>
  <c r="O130" i="5"/>
  <c r="C55" i="10" s="1"/>
  <c r="O149" i="5"/>
  <c r="C74" i="10" s="1"/>
  <c r="C424" i="5"/>
  <c r="L424" i="5" s="1"/>
  <c r="C618" i="5"/>
  <c r="L618" i="5" s="1"/>
  <c r="O175" i="5"/>
  <c r="C100" i="10" s="1"/>
  <c r="M60" i="10"/>
  <c r="O147" i="5"/>
  <c r="B149" i="5"/>
  <c r="F666" i="5"/>
  <c r="F439" i="5"/>
  <c r="O439" i="5" s="1"/>
  <c r="N61" i="10"/>
  <c r="K105" i="5"/>
  <c r="N108" i="5"/>
  <c r="O119" i="5"/>
  <c r="C44" i="10" s="1"/>
  <c r="F164" i="5"/>
  <c r="C89" i="9" s="1"/>
  <c r="J118" i="10"/>
  <c r="G159" i="10" s="1"/>
  <c r="F501" i="5"/>
  <c r="O501" i="5" s="1"/>
  <c r="B621" i="5"/>
  <c r="N155" i="5"/>
  <c r="L123" i="5"/>
  <c r="K106" i="5"/>
  <c r="N140" i="5"/>
  <c r="O158" i="5"/>
  <c r="C76" i="10" s="1"/>
  <c r="N40" i="10"/>
  <c r="J22" i="10"/>
  <c r="O124" i="5"/>
  <c r="C49" i="10" s="1"/>
  <c r="B401" i="5"/>
  <c r="F511" i="5"/>
  <c r="O511" i="5" s="1"/>
  <c r="N172" i="5"/>
  <c r="N122" i="5"/>
  <c r="C531" i="5"/>
  <c r="L531" i="5" s="1"/>
  <c r="F250" i="5"/>
  <c r="C175" i="9" s="1"/>
  <c r="B120" i="5"/>
  <c r="I143" i="10"/>
  <c r="F402" i="5"/>
  <c r="O402" i="5" s="1"/>
  <c r="K246" i="5"/>
  <c r="B178" i="5"/>
  <c r="J155" i="10"/>
  <c r="L151" i="5"/>
  <c r="O176" i="5"/>
  <c r="C101" i="10" s="1"/>
  <c r="N72" i="10"/>
  <c r="J96" i="9"/>
  <c r="I44" i="9"/>
  <c r="J144" i="9"/>
  <c r="N247" i="5"/>
  <c r="B244" i="5"/>
  <c r="M52" i="9"/>
  <c r="F516" i="5"/>
  <c r="L132" i="5"/>
  <c r="L154" i="5"/>
  <c r="C454" i="5"/>
  <c r="L454" i="5" s="1"/>
  <c r="E506" i="5"/>
  <c r="O142" i="5"/>
  <c r="C67" i="10" s="1"/>
  <c r="B583" i="5"/>
  <c r="E628" i="5"/>
  <c r="N178" i="5"/>
  <c r="K137" i="5"/>
  <c r="O108" i="5"/>
  <c r="O29" i="5"/>
  <c r="M41" i="10"/>
  <c r="C615" i="5"/>
  <c r="L615" i="5" s="1"/>
  <c r="O70" i="5"/>
  <c r="C141" i="5"/>
  <c r="I47" i="9"/>
  <c r="F423" i="5"/>
  <c r="O423" i="5" s="1"/>
  <c r="I192" i="9"/>
  <c r="D163" i="9" s="1"/>
  <c r="O106" i="5"/>
  <c r="J185" i="10"/>
  <c r="J6" i="10"/>
  <c r="G6" i="10" s="1"/>
  <c r="E519" i="5"/>
  <c r="J126" i="10"/>
  <c r="E170" i="5"/>
  <c r="N33" i="10"/>
  <c r="N64" i="5"/>
  <c r="C490" i="5"/>
  <c r="L490" i="5" s="1"/>
  <c r="C176" i="5"/>
  <c r="I83" i="10"/>
  <c r="N77" i="10"/>
  <c r="O71" i="5"/>
  <c r="B506" i="5"/>
  <c r="B246" i="5"/>
  <c r="B593" i="5"/>
  <c r="C109" i="5"/>
  <c r="F134" i="5"/>
  <c r="N106" i="5"/>
  <c r="C666" i="5"/>
  <c r="F656" i="5"/>
  <c r="B612" i="5"/>
  <c r="J192" i="10"/>
  <c r="J32" i="9"/>
  <c r="I128" i="10"/>
  <c r="M59" i="9"/>
  <c r="I153" i="9"/>
  <c r="D160" i="9" s="1"/>
  <c r="E130" i="5"/>
  <c r="J92" i="9"/>
  <c r="E514" i="5"/>
  <c r="E242" i="5"/>
  <c r="C389" i="5"/>
  <c r="L389" i="5" s="1"/>
  <c r="C159" i="5"/>
  <c r="C586" i="5"/>
  <c r="L586" i="5" s="1"/>
  <c r="B251" i="5"/>
  <c r="E37" i="5"/>
  <c r="L134" i="5"/>
  <c r="E178" i="5"/>
  <c r="I137" i="9"/>
  <c r="C68" i="5"/>
  <c r="I202" i="9"/>
  <c r="F570" i="5"/>
  <c r="O570" i="5" s="1"/>
  <c r="E529" i="5"/>
  <c r="B490" i="5"/>
  <c r="L64" i="5"/>
  <c r="J161" i="9"/>
  <c r="J136" i="10"/>
  <c r="J180" i="9"/>
  <c r="J180" i="10"/>
  <c r="J38" i="9"/>
  <c r="F519" i="5"/>
  <c r="O519" i="5" s="1"/>
  <c r="F587" i="5"/>
  <c r="O587" i="5" s="1"/>
  <c r="E660" i="5"/>
  <c r="J157" i="10"/>
  <c r="E524" i="5"/>
  <c r="I109" i="10"/>
  <c r="I7" i="9"/>
  <c r="D7" i="9" s="1"/>
  <c r="E174" i="5"/>
  <c r="N59" i="9"/>
  <c r="C485" i="5"/>
  <c r="L485" i="5" s="1"/>
  <c r="N29" i="10"/>
  <c r="C493" i="5"/>
  <c r="L493" i="5" s="1"/>
  <c r="J141" i="9"/>
  <c r="J83" i="10"/>
  <c r="F597" i="5"/>
  <c r="O597" i="5" s="1"/>
  <c r="N87" i="10"/>
  <c r="C432" i="5"/>
  <c r="L432" i="5" s="1"/>
  <c r="E502" i="5"/>
  <c r="K237" i="5"/>
  <c r="B452" i="5"/>
  <c r="I37" i="9"/>
  <c r="M94" i="10"/>
  <c r="C171" i="5"/>
  <c r="J31" i="9"/>
  <c r="I97" i="9"/>
  <c r="O72" i="5"/>
  <c r="F178" i="5"/>
  <c r="E670" i="5"/>
  <c r="M25" i="10"/>
  <c r="E574" i="5"/>
  <c r="C577" i="5"/>
  <c r="L577" i="5" s="1"/>
  <c r="J123" i="9"/>
  <c r="C251" i="5"/>
  <c r="B606" i="5"/>
  <c r="C406" i="5"/>
  <c r="L406" i="5" s="1"/>
  <c r="J150" i="10"/>
  <c r="G161" i="10" s="1"/>
  <c r="B404" i="5"/>
  <c r="O68" i="5"/>
  <c r="C148" i="5"/>
  <c r="N153" i="5"/>
  <c r="L173" i="5"/>
  <c r="O127" i="5"/>
  <c r="O34" i="5"/>
  <c r="J197" i="10"/>
  <c r="K100" i="5"/>
  <c r="O112" i="5"/>
  <c r="C37" i="10" s="1"/>
  <c r="O129" i="5"/>
  <c r="C54" i="10" s="1"/>
  <c r="B402" i="5"/>
  <c r="E249" i="5"/>
  <c r="L155" i="5"/>
  <c r="K170" i="5"/>
  <c r="O125" i="5"/>
  <c r="C50" i="10" s="1"/>
  <c r="J184" i="9"/>
  <c r="C431" i="5"/>
  <c r="L431" i="5" s="1"/>
  <c r="F486" i="5"/>
  <c r="O486" i="5" s="1"/>
  <c r="O170" i="5"/>
  <c r="L180" i="5"/>
  <c r="K130" i="5"/>
  <c r="M130" i="5" s="1"/>
  <c r="O103" i="5"/>
  <c r="I209" i="9"/>
  <c r="J228" i="9"/>
  <c r="G167" i="9" s="1"/>
  <c r="I116" i="10"/>
  <c r="I166" i="9"/>
  <c r="N136" i="5"/>
  <c r="L107" i="5"/>
  <c r="L175" i="5"/>
  <c r="N120" i="5"/>
  <c r="O131" i="5"/>
  <c r="I74" i="9"/>
  <c r="J190" i="9"/>
  <c r="K178" i="5"/>
  <c r="I13" i="10"/>
  <c r="D173" i="10" s="1"/>
  <c r="F590" i="5"/>
  <c r="O590" i="5" s="1"/>
  <c r="L153" i="5"/>
  <c r="N51" i="10"/>
  <c r="I176" i="10"/>
  <c r="M36" i="10"/>
  <c r="I114" i="10"/>
  <c r="E510" i="5"/>
  <c r="I149" i="9"/>
  <c r="O248" i="5"/>
  <c r="C173" i="10" s="1"/>
  <c r="C658" i="5"/>
  <c r="B585" i="5"/>
  <c r="N174" i="5"/>
  <c r="L120" i="5"/>
  <c r="J166" i="10"/>
  <c r="I135" i="9"/>
  <c r="J168" i="10"/>
  <c r="E595" i="5"/>
  <c r="C452" i="5"/>
  <c r="L452" i="5" s="1"/>
  <c r="M93" i="10"/>
  <c r="C571" i="5"/>
  <c r="L571" i="5" s="1"/>
  <c r="M57" i="10"/>
  <c r="L104" i="5"/>
  <c r="L346" i="5" s="1"/>
  <c r="B142" i="5"/>
  <c r="N161" i="5"/>
  <c r="M56" i="10"/>
  <c r="J170" i="9"/>
  <c r="B509" i="5"/>
  <c r="K123" i="5"/>
  <c r="O155" i="5"/>
  <c r="C81" i="10" s="1"/>
  <c r="L116" i="5"/>
  <c r="L351" i="5" s="1"/>
  <c r="C480" i="5"/>
  <c r="J5" i="9"/>
  <c r="J29" i="10"/>
  <c r="C414" i="5"/>
  <c r="L414" i="5" s="1"/>
  <c r="C163" i="5"/>
  <c r="I139" i="9"/>
  <c r="N27" i="10"/>
  <c r="E516" i="5"/>
  <c r="L106" i="5"/>
  <c r="L348" i="5" s="1"/>
  <c r="B109" i="5"/>
  <c r="J52" i="10"/>
  <c r="J65" i="9"/>
  <c r="J169" i="9"/>
  <c r="B666" i="5"/>
  <c r="I140" i="9"/>
  <c r="N34" i="10"/>
  <c r="L237" i="5"/>
  <c r="N62" i="9"/>
  <c r="G92" i="9" s="1"/>
  <c r="I117" i="9"/>
  <c r="J196" i="9"/>
  <c r="I232" i="9"/>
  <c r="C395" i="5"/>
  <c r="L395" i="5" s="1"/>
  <c r="E483" i="5"/>
  <c r="E108" i="5"/>
  <c r="F566" i="5"/>
  <c r="O566" i="5" s="1"/>
  <c r="J156" i="9"/>
  <c r="O121" i="5"/>
  <c r="C46" i="10" s="1"/>
  <c r="E492" i="5"/>
  <c r="C513" i="5"/>
  <c r="L513" i="5" s="1"/>
  <c r="E500" i="5"/>
  <c r="B495" i="5"/>
  <c r="F163" i="5"/>
  <c r="C88" i="9" s="1"/>
  <c r="B69" i="5"/>
  <c r="F497" i="5"/>
  <c r="O497" i="5" s="1"/>
  <c r="J155" i="9"/>
  <c r="L147" i="5"/>
  <c r="E594" i="5"/>
  <c r="F235" i="5"/>
  <c r="C160" i="9" s="1"/>
  <c r="F608" i="5"/>
  <c r="I61" i="9"/>
  <c r="C504" i="5"/>
  <c r="L504" i="5" s="1"/>
  <c r="F523" i="5"/>
  <c r="O523" i="5" s="1"/>
  <c r="I211" i="9"/>
  <c r="B481" i="5"/>
  <c r="O156" i="5"/>
  <c r="C82" i="10" s="1"/>
  <c r="C670" i="5"/>
  <c r="E614" i="5"/>
  <c r="F616" i="5"/>
  <c r="O616" i="5" s="1"/>
  <c r="B152" i="5"/>
  <c r="M39" i="9"/>
  <c r="J50" i="9"/>
  <c r="J208" i="9"/>
  <c r="J216" i="9"/>
  <c r="I160" i="9"/>
  <c r="J236" i="9"/>
  <c r="B427" i="5"/>
  <c r="I15" i="10"/>
  <c r="I138" i="10"/>
  <c r="E149" i="5"/>
  <c r="C576" i="5"/>
  <c r="L576" i="5" s="1"/>
  <c r="L484" i="5"/>
  <c r="E496" i="5"/>
  <c r="F454" i="5"/>
  <c r="O454" i="5" s="1"/>
  <c r="I19" i="10"/>
  <c r="K114" i="5"/>
  <c r="O114" i="5"/>
  <c r="C39" i="10" s="1"/>
  <c r="O132" i="5"/>
  <c r="C57" i="10" s="1"/>
  <c r="C599" i="5"/>
  <c r="L599" i="5" s="1"/>
  <c r="C605" i="5"/>
  <c r="L605" i="5" s="1"/>
  <c r="L138" i="5"/>
  <c r="L355" i="5" s="1"/>
  <c r="N150" i="5"/>
  <c r="B72" i="5"/>
  <c r="E402" i="5"/>
  <c r="I11" i="9"/>
  <c r="L101" i="5"/>
  <c r="L310" i="5" s="1"/>
  <c r="M63" i="10"/>
  <c r="K135" i="5"/>
  <c r="I145" i="10"/>
  <c r="L249" i="5"/>
  <c r="J59" i="9"/>
  <c r="L149" i="5"/>
  <c r="O162" i="5"/>
  <c r="C87" i="10" s="1"/>
  <c r="L156" i="5"/>
  <c r="K104" i="5"/>
  <c r="F129" i="5"/>
  <c r="C54" i="9" s="1"/>
  <c r="E433" i="5"/>
  <c r="C162" i="5"/>
  <c r="B573" i="5"/>
  <c r="N119" i="5"/>
  <c r="K108" i="5"/>
  <c r="O154" i="5"/>
  <c r="C80" i="10" s="1"/>
  <c r="N104" i="5"/>
  <c r="L174" i="5"/>
  <c r="B599" i="5"/>
  <c r="L70" i="5"/>
  <c r="N126" i="5"/>
  <c r="K249" i="5"/>
  <c r="J208" i="10"/>
  <c r="L109" i="5"/>
  <c r="L122" i="5"/>
  <c r="J154" i="10"/>
  <c r="E243" i="5"/>
  <c r="E68" i="5"/>
  <c r="J165" i="9"/>
  <c r="C238" i="5"/>
  <c r="N83" i="10"/>
  <c r="J12" i="10"/>
  <c r="I53" i="9"/>
  <c r="K161" i="5"/>
  <c r="N54" i="10"/>
  <c r="F243" i="5"/>
  <c r="C168" i="9" s="1"/>
  <c r="E611" i="5"/>
  <c r="I61" i="10"/>
  <c r="F101" i="5"/>
  <c r="I155" i="9"/>
  <c r="I195" i="10"/>
  <c r="N49" i="9"/>
  <c r="N93" i="10"/>
  <c r="K138" i="5"/>
  <c r="O165" i="5"/>
  <c r="C90" i="10" s="1"/>
  <c r="F445" i="5"/>
  <c r="O445" i="5" s="1"/>
  <c r="N111" i="5"/>
  <c r="K148" i="5"/>
  <c r="C664" i="5"/>
  <c r="C612" i="5"/>
  <c r="L612" i="5" s="1"/>
  <c r="N56" i="10"/>
  <c r="O105" i="5"/>
  <c r="F236" i="5"/>
  <c r="C161" i="9" s="1"/>
  <c r="N84" i="10"/>
  <c r="B393" i="5"/>
  <c r="I169" i="10"/>
  <c r="J85" i="10"/>
  <c r="J177" i="10"/>
  <c r="B576" i="5"/>
  <c r="J38" i="10"/>
  <c r="F588" i="5"/>
  <c r="O588" i="5" s="1"/>
  <c r="I142" i="10"/>
  <c r="J116" i="9"/>
  <c r="C448" i="5"/>
  <c r="L448" i="5" s="1"/>
  <c r="B71" i="5"/>
  <c r="E434" i="5"/>
  <c r="C440" i="5"/>
  <c r="L440" i="5" s="1"/>
  <c r="J129" i="9"/>
  <c r="F500" i="5"/>
  <c r="O500" i="5" s="1"/>
  <c r="F499" i="5"/>
  <c r="O499" i="5" s="1"/>
  <c r="J207" i="10"/>
  <c r="E501" i="5"/>
  <c r="I190" i="9"/>
  <c r="F436" i="5"/>
  <c r="O436" i="5" s="1"/>
  <c r="J115" i="10"/>
  <c r="I219" i="9"/>
  <c r="J143" i="10"/>
  <c r="I158" i="9"/>
  <c r="J120" i="9"/>
  <c r="E441" i="5"/>
  <c r="M100" i="10"/>
  <c r="F248" i="5"/>
  <c r="C173" i="9" s="1"/>
  <c r="I38" i="9"/>
  <c r="M99" i="10"/>
  <c r="M76" i="10"/>
  <c r="C528" i="5"/>
  <c r="I156" i="9"/>
  <c r="O164" i="5"/>
  <c r="C89" i="10" s="1"/>
  <c r="J94" i="9"/>
  <c r="F415" i="5"/>
  <c r="O415" i="5" s="1"/>
  <c r="C516" i="5"/>
  <c r="C601" i="5"/>
  <c r="J26" i="10"/>
  <c r="F669" i="5"/>
  <c r="B153" i="5"/>
  <c r="J162" i="9"/>
  <c r="G161" i="9" s="1"/>
  <c r="L162" i="5"/>
  <c r="I181" i="10"/>
  <c r="J15" i="10"/>
  <c r="C517" i="5"/>
  <c r="L517" i="5" s="1"/>
  <c r="B525" i="5"/>
  <c r="N72" i="5"/>
  <c r="E164" i="5"/>
  <c r="N67" i="10"/>
  <c r="F572" i="5"/>
  <c r="O572" i="5" s="1"/>
  <c r="L235" i="5"/>
  <c r="N32" i="10"/>
  <c r="F128" i="5"/>
  <c r="C53" i="9" s="1"/>
  <c r="C390" i="5"/>
  <c r="L390" i="5" s="1"/>
  <c r="B508" i="5"/>
  <c r="I58" i="10"/>
  <c r="E388" i="5"/>
  <c r="I49" i="9"/>
  <c r="N237" i="5"/>
  <c r="F604" i="5"/>
  <c r="O604" i="5" s="1"/>
  <c r="E129" i="5"/>
  <c r="F162" i="5"/>
  <c r="C87" i="9" s="1"/>
  <c r="B493" i="5"/>
  <c r="F388" i="5"/>
  <c r="O388" i="5" s="1"/>
  <c r="E119" i="5"/>
  <c r="J95" i="9"/>
  <c r="B489" i="5"/>
  <c r="O180" i="5"/>
  <c r="C105" i="10" s="1"/>
  <c r="N128" i="5"/>
  <c r="O113" i="5"/>
  <c r="C38" i="10" s="1"/>
  <c r="I118" i="10"/>
  <c r="D159" i="10" s="1"/>
  <c r="C34" i="5"/>
  <c r="L119" i="5"/>
  <c r="N135" i="5"/>
  <c r="C418" i="5"/>
  <c r="L418" i="5" s="1"/>
  <c r="J153" i="10"/>
  <c r="J75" i="10"/>
  <c r="G83" i="10" s="1"/>
  <c r="M61" i="10"/>
  <c r="N59" i="10"/>
  <c r="J232" i="9"/>
  <c r="O243" i="5"/>
  <c r="C168" i="10" s="1"/>
  <c r="F422" i="5"/>
  <c r="C574" i="5"/>
  <c r="L574" i="5" s="1"/>
  <c r="L111" i="5"/>
  <c r="O140" i="5"/>
  <c r="L137" i="5"/>
  <c r="L354" i="5" s="1"/>
  <c r="C248" i="5"/>
  <c r="C137" i="5"/>
  <c r="C354" i="5" s="1"/>
  <c r="I190" i="10"/>
  <c r="D84" i="10" s="1"/>
  <c r="E588" i="5"/>
  <c r="C561" i="5"/>
  <c r="N105" i="5"/>
  <c r="N175" i="5"/>
  <c r="O135" i="5"/>
  <c r="C60" i="10" s="1"/>
  <c r="K102" i="5"/>
  <c r="O153" i="5"/>
  <c r="C79" i="10" s="1"/>
  <c r="B417" i="5"/>
  <c r="N143" i="5"/>
  <c r="N55" i="10"/>
  <c r="I165" i="10"/>
  <c r="C499" i="5"/>
  <c r="L499" i="5" s="1"/>
  <c r="K165" i="5"/>
  <c r="L158" i="5"/>
  <c r="J141" i="10"/>
  <c r="E72" i="5"/>
  <c r="I133" i="9"/>
  <c r="I123" i="9"/>
  <c r="J130" i="9"/>
  <c r="I79" i="9"/>
  <c r="B154" i="5"/>
  <c r="J13" i="9"/>
  <c r="G173" i="9" s="1"/>
  <c r="K107" i="5"/>
  <c r="O136" i="5"/>
  <c r="E657" i="5"/>
  <c r="J142" i="9"/>
  <c r="F582" i="5"/>
  <c r="O582" i="5" s="1"/>
  <c r="I171" i="9"/>
  <c r="C405" i="5"/>
  <c r="L405" i="5" s="1"/>
  <c r="C244" i="5"/>
  <c r="B392" i="5"/>
  <c r="I75" i="10"/>
  <c r="D83" i="10" s="1"/>
  <c r="K150" i="5"/>
  <c r="O117" i="5"/>
  <c r="J60" i="10"/>
  <c r="O173" i="5"/>
  <c r="C98" i="10" s="1"/>
  <c r="L142" i="5"/>
  <c r="M104" i="10"/>
  <c r="F147" i="5"/>
  <c r="O137" i="5"/>
  <c r="N28" i="9"/>
  <c r="J203" i="9"/>
  <c r="B514" i="5"/>
  <c r="B438" i="5"/>
  <c r="E621" i="5"/>
  <c r="E69" i="5"/>
  <c r="F35" i="5"/>
  <c r="B104" i="5"/>
  <c r="J204" i="10"/>
  <c r="I162" i="9"/>
  <c r="D161" i="9" s="1"/>
  <c r="C236" i="5"/>
  <c r="J174" i="10"/>
  <c r="I122" i="9"/>
  <c r="N42" i="9"/>
  <c r="B531" i="5"/>
  <c r="N56" i="9"/>
  <c r="J50" i="10"/>
  <c r="E661" i="5"/>
  <c r="K147" i="5"/>
  <c r="J204" i="9"/>
  <c r="J39" i="9"/>
  <c r="J18" i="9"/>
  <c r="G15" i="9" s="1"/>
  <c r="J74" i="9"/>
  <c r="I150" i="9"/>
  <c r="E105" i="5"/>
  <c r="J173" i="9"/>
  <c r="J29" i="9"/>
  <c r="I68" i="10"/>
  <c r="F618" i="5"/>
  <c r="O618" i="5" s="1"/>
  <c r="B121" i="5"/>
  <c r="D121" i="5" s="1"/>
  <c r="F507" i="5"/>
  <c r="O507" i="5" s="1"/>
  <c r="I69" i="9"/>
  <c r="E401" i="5"/>
  <c r="I84" i="9"/>
  <c r="J48" i="10"/>
  <c r="E100" i="5"/>
  <c r="J68" i="10"/>
  <c r="L164" i="5"/>
  <c r="B505" i="5"/>
  <c r="I10" i="9"/>
  <c r="D11" i="9" s="1"/>
  <c r="E583" i="5"/>
  <c r="J207" i="9"/>
  <c r="I201" i="9"/>
  <c r="E521" i="5"/>
  <c r="J35" i="10"/>
  <c r="J159" i="9"/>
  <c r="L236" i="5"/>
  <c r="J198" i="9"/>
  <c r="G84" i="9" s="1"/>
  <c r="M38" i="9"/>
  <c r="I78" i="9"/>
  <c r="C149" i="5"/>
  <c r="C567" i="5"/>
  <c r="L567" i="5" s="1"/>
  <c r="J33" i="10"/>
  <c r="I161" i="10"/>
  <c r="J18" i="10"/>
  <c r="N236" i="5"/>
  <c r="C602" i="5"/>
  <c r="L602" i="5" s="1"/>
  <c r="F103" i="5"/>
  <c r="C495" i="5"/>
  <c r="L495" i="5" s="1"/>
  <c r="I206" i="9"/>
  <c r="E415" i="5"/>
  <c r="I38" i="10"/>
  <c r="F149" i="5"/>
  <c r="C74" i="9" s="1"/>
  <c r="C32" i="5"/>
  <c r="B410" i="5"/>
  <c r="F428" i="5"/>
  <c r="O428" i="5" s="1"/>
  <c r="I35" i="10"/>
  <c r="N47" i="9"/>
  <c r="I209" i="10"/>
  <c r="J48" i="9"/>
  <c r="J16" i="10"/>
  <c r="G176" i="10" s="1"/>
  <c r="J136" i="9"/>
  <c r="J54" i="9"/>
  <c r="I89" i="10"/>
  <c r="N98" i="10"/>
  <c r="E523" i="5"/>
  <c r="I16" i="9"/>
  <c r="D174" i="9" s="1"/>
  <c r="F151" i="5"/>
  <c r="C77" i="9" s="1"/>
  <c r="F77" i="9" s="1"/>
  <c r="E605" i="5"/>
  <c r="F420" i="5"/>
  <c r="O420" i="5" s="1"/>
  <c r="M73" i="10"/>
  <c r="B613" i="5"/>
  <c r="J90" i="9"/>
  <c r="B594" i="5"/>
  <c r="I122" i="10"/>
  <c r="C534" i="5"/>
  <c r="L534" i="5" s="1"/>
  <c r="E564" i="5"/>
  <c r="J40" i="10"/>
  <c r="J205" i="9"/>
  <c r="F108" i="5"/>
  <c r="B383" i="5"/>
  <c r="F528" i="5"/>
  <c r="N71" i="5"/>
  <c r="L68" i="5"/>
  <c r="B528" i="5"/>
  <c r="F576" i="5"/>
  <c r="O576" i="5" s="1"/>
  <c r="F242" i="5"/>
  <c r="C167" i="9" s="1"/>
  <c r="B611" i="5"/>
  <c r="L121" i="5"/>
  <c r="N137" i="5"/>
  <c r="J233" i="9"/>
  <c r="G168" i="9" s="1"/>
  <c r="N68" i="10"/>
  <c r="E154" i="5"/>
  <c r="N171" i="5"/>
  <c r="N63" i="10"/>
  <c r="B592" i="5"/>
  <c r="I172" i="10"/>
  <c r="C624" i="5"/>
  <c r="L624" i="5" s="1"/>
  <c r="K129" i="5"/>
  <c r="L144" i="5"/>
  <c r="B510" i="5"/>
  <c r="C105" i="5"/>
  <c r="N25" i="9"/>
  <c r="M50" i="10"/>
  <c r="K142" i="5"/>
  <c r="O104" i="5"/>
  <c r="L118" i="5"/>
  <c r="L353" i="5" s="1"/>
  <c r="I120" i="9"/>
  <c r="I72" i="9"/>
  <c r="I45" i="9"/>
  <c r="J201" i="9"/>
  <c r="F571" i="5"/>
  <c r="O571" i="5" s="1"/>
  <c r="K126" i="5"/>
  <c r="K155" i="5"/>
  <c r="O116" i="5"/>
  <c r="O174" i="5"/>
  <c r="C99" i="10" s="1"/>
  <c r="O134" i="5"/>
  <c r="F448" i="5"/>
  <c r="O448" i="5" s="1"/>
  <c r="N176" i="5"/>
  <c r="L135" i="5"/>
  <c r="F531" i="5"/>
  <c r="O531" i="5" s="1"/>
  <c r="B595" i="5"/>
  <c r="K109" i="5"/>
  <c r="O141" i="5"/>
  <c r="C66" i="10" s="1"/>
  <c r="J202" i="10"/>
  <c r="N36" i="5"/>
  <c r="J132" i="9"/>
  <c r="F124" i="5"/>
  <c r="C49" i="9" s="1"/>
  <c r="I179" i="10"/>
  <c r="I126" i="9"/>
  <c r="M34" i="9"/>
  <c r="O166" i="5"/>
  <c r="C91" i="10" s="1"/>
  <c r="K110" i="5"/>
  <c r="I210" i="10"/>
  <c r="B68" i="5"/>
  <c r="J90" i="10"/>
  <c r="N46" i="10"/>
  <c r="C500" i="5"/>
  <c r="L500" i="5" s="1"/>
  <c r="I146" i="9"/>
  <c r="C419" i="5"/>
  <c r="L419" i="5" s="1"/>
  <c r="I7" i="10"/>
  <c r="D7" i="10" s="1"/>
  <c r="O144" i="5"/>
  <c r="C69" i="10" s="1"/>
  <c r="L241" i="5"/>
  <c r="F34" i="5"/>
  <c r="L125" i="5"/>
  <c r="L100" i="5"/>
  <c r="F416" i="5"/>
  <c r="O416" i="5" s="1"/>
  <c r="N147" i="5"/>
  <c r="M52" i="10"/>
  <c r="F450" i="5"/>
  <c r="O450" i="5" s="1"/>
  <c r="F161" i="5"/>
  <c r="J128" i="9"/>
  <c r="J134" i="9"/>
  <c r="J85" i="9"/>
  <c r="F485" i="5"/>
  <c r="O485" i="5" s="1"/>
  <c r="F414" i="5"/>
  <c r="O414" i="5" s="1"/>
  <c r="M72" i="10"/>
  <c r="E63" i="5"/>
  <c r="J158" i="9"/>
  <c r="E28" i="5"/>
  <c r="I59" i="10"/>
  <c r="N99" i="10"/>
  <c r="I230" i="9"/>
  <c r="J123" i="10"/>
  <c r="I151" i="9"/>
  <c r="E411" i="5"/>
  <c r="I22" i="10"/>
  <c r="N156" i="5"/>
  <c r="J151" i="9"/>
  <c r="I169" i="9"/>
  <c r="E113" i="5"/>
  <c r="F33" i="5"/>
  <c r="I46" i="10"/>
  <c r="N48" i="9"/>
  <c r="K31" i="5"/>
  <c r="J146" i="10"/>
  <c r="G160" i="10" s="1"/>
  <c r="I166" i="10"/>
  <c r="J19" i="10"/>
  <c r="E623" i="5"/>
  <c r="I158" i="10"/>
  <c r="E64" i="5"/>
  <c r="I29" i="10"/>
  <c r="B533" i="5"/>
  <c r="C611" i="5"/>
  <c r="L611" i="5" s="1"/>
  <c r="I203" i="9"/>
  <c r="B236" i="5"/>
  <c r="F529" i="5"/>
  <c r="O529" i="5" s="1"/>
  <c r="J46" i="9"/>
  <c r="B143" i="5"/>
  <c r="I217" i="9"/>
  <c r="E489" i="5"/>
  <c r="I48" i="10"/>
  <c r="N29" i="9"/>
  <c r="I204" i="10"/>
  <c r="I77" i="9"/>
  <c r="E617" i="5"/>
  <c r="E131" i="5"/>
  <c r="I65" i="10"/>
  <c r="C514" i="5"/>
  <c r="L514" i="5" s="1"/>
  <c r="J86" i="10"/>
  <c r="E601" i="5"/>
  <c r="C132" i="5"/>
  <c r="E246" i="5"/>
  <c r="N148" i="5"/>
  <c r="F526" i="5"/>
  <c r="O526" i="5" s="1"/>
  <c r="J177" i="9"/>
  <c r="L36" i="5"/>
  <c r="I173" i="9"/>
  <c r="B114" i="5"/>
  <c r="I52" i="9"/>
  <c r="B387" i="5"/>
  <c r="I170" i="10"/>
  <c r="C570" i="5"/>
  <c r="L570" i="5" s="1"/>
  <c r="M38" i="10"/>
  <c r="I186" i="9"/>
  <c r="J215" i="9"/>
  <c r="G165" i="9" s="1"/>
  <c r="B170" i="5"/>
  <c r="B408" i="5"/>
  <c r="F654" i="5"/>
  <c r="F655" i="5" s="1"/>
  <c r="J199" i="10"/>
  <c r="F118" i="5"/>
  <c r="I51" i="9"/>
  <c r="M29" i="9"/>
  <c r="E142" i="5"/>
  <c r="J10" i="9"/>
  <c r="G11" i="9" s="1"/>
  <c r="F140" i="5"/>
  <c r="C481" i="5"/>
  <c r="L481" i="5" s="1"/>
  <c r="N39" i="9"/>
  <c r="C113" i="5"/>
  <c r="I25" i="10"/>
  <c r="I124" i="10"/>
  <c r="C151" i="5"/>
  <c r="K243" i="5"/>
  <c r="B424" i="5"/>
  <c r="I23" i="10"/>
  <c r="E385" i="5"/>
  <c r="B412" i="5"/>
  <c r="I108" i="10"/>
  <c r="E590" i="5"/>
  <c r="J206" i="10"/>
  <c r="G165" i="10" s="1"/>
  <c r="K111" i="5"/>
  <c r="K112" i="5"/>
  <c r="O100" i="5"/>
  <c r="L178" i="5"/>
  <c r="C28" i="5"/>
  <c r="I60" i="9"/>
  <c r="O163" i="5"/>
  <c r="C88" i="10" s="1"/>
  <c r="N43" i="10"/>
  <c r="F620" i="5"/>
  <c r="I48" i="9"/>
  <c r="F100" i="5"/>
  <c r="J166" i="9"/>
  <c r="B500" i="5"/>
  <c r="B480" i="5"/>
  <c r="B64" i="5"/>
  <c r="F387" i="5"/>
  <c r="O387" i="5" s="1"/>
  <c r="C444" i="5"/>
  <c r="L444" i="5" s="1"/>
  <c r="I86" i="10"/>
  <c r="I9" i="10"/>
  <c r="D10" i="10" s="1"/>
  <c r="N45" i="9"/>
  <c r="J147" i="9"/>
  <c r="F594" i="5"/>
  <c r="O594" i="5" s="1"/>
  <c r="L251" i="5"/>
  <c r="E562" i="5"/>
  <c r="J57" i="9"/>
  <c r="C520" i="5"/>
  <c r="L520" i="5" s="1"/>
  <c r="F63" i="5"/>
  <c r="J56" i="10"/>
  <c r="J11" i="9"/>
  <c r="J134" i="10"/>
  <c r="B511" i="5"/>
  <c r="J190" i="10"/>
  <c r="G84" i="10" s="1"/>
  <c r="I133" i="10"/>
  <c r="I13" i="9"/>
  <c r="D173" i="9" s="1"/>
  <c r="F394" i="5"/>
  <c r="O394" i="5" s="1"/>
  <c r="N41" i="10"/>
  <c r="M44" i="9"/>
  <c r="C501" i="5"/>
  <c r="L501" i="5" s="1"/>
  <c r="E565" i="5"/>
  <c r="M30" i="10"/>
  <c r="C518" i="5"/>
  <c r="L518" i="5" s="1"/>
  <c r="C616" i="5"/>
  <c r="L616" i="5" s="1"/>
  <c r="O241" i="5"/>
  <c r="C166" i="10" s="1"/>
  <c r="I91" i="9"/>
  <c r="J159" i="10"/>
  <c r="F518" i="5"/>
  <c r="O518" i="5" s="1"/>
  <c r="J47" i="10"/>
  <c r="J54" i="10"/>
  <c r="J195" i="10"/>
  <c r="M69" i="10"/>
  <c r="I225" i="9"/>
  <c r="J66" i="10"/>
  <c r="E148" i="5"/>
  <c r="E419" i="5"/>
  <c r="E447" i="5"/>
  <c r="E101" i="5"/>
  <c r="C142" i="5"/>
  <c r="J184" i="10"/>
  <c r="J36" i="9"/>
  <c r="M35" i="9"/>
  <c r="B609" i="5"/>
  <c r="I121" i="9"/>
  <c r="B516" i="5"/>
  <c r="B70" i="5"/>
  <c r="J211" i="9"/>
  <c r="B174" i="5"/>
  <c r="I189" i="9"/>
  <c r="C35" i="5"/>
  <c r="I227" i="9"/>
  <c r="C129" i="5"/>
  <c r="F506" i="5"/>
  <c r="O506" i="5" s="1"/>
  <c r="J66" i="9"/>
  <c r="I187" i="10"/>
  <c r="C101" i="5"/>
  <c r="C310" i="5" s="1"/>
  <c r="J129" i="10"/>
  <c r="J112" i="10"/>
  <c r="J210" i="9"/>
  <c r="N37" i="5"/>
  <c r="E162" i="5"/>
  <c r="J82" i="10"/>
  <c r="J222" i="9"/>
  <c r="G166" i="9" s="1"/>
  <c r="C659" i="5"/>
  <c r="N50" i="9"/>
  <c r="J188" i="9"/>
  <c r="F148" i="5"/>
  <c r="C73" i="9" s="1"/>
  <c r="B132" i="5"/>
  <c r="J33" i="9"/>
  <c r="J187" i="10"/>
  <c r="J146" i="9"/>
  <c r="J88" i="9"/>
  <c r="B176" i="5"/>
  <c r="F622" i="5"/>
  <c r="O622" i="5" s="1"/>
  <c r="C660" i="5"/>
  <c r="F180" i="5"/>
  <c r="C105" i="9" s="1"/>
  <c r="N57" i="9"/>
  <c r="F598" i="5"/>
  <c r="O598" i="5" s="1"/>
  <c r="I45" i="10"/>
  <c r="M91" i="10"/>
  <c r="L31" i="5"/>
  <c r="F609" i="5"/>
  <c r="O609" i="5" s="1"/>
  <c r="M74" i="10"/>
  <c r="I235" i="9"/>
  <c r="E408" i="5"/>
  <c r="E448" i="5"/>
  <c r="B434" i="5"/>
  <c r="E396" i="5"/>
  <c r="B391" i="5"/>
  <c r="J185" i="9"/>
  <c r="E155" i="5"/>
  <c r="E511" i="5"/>
  <c r="B566" i="5"/>
  <c r="I191" i="10"/>
  <c r="J125" i="9"/>
  <c r="G159" i="9" s="1"/>
  <c r="E400" i="5"/>
  <c r="F443" i="5"/>
  <c r="B443" i="5"/>
  <c r="C420" i="5"/>
  <c r="L420" i="5" s="1"/>
  <c r="N71" i="10"/>
  <c r="N31" i="10"/>
  <c r="C102" i="5"/>
  <c r="C311" i="5" s="1"/>
  <c r="J229" i="9"/>
  <c r="L124" i="5"/>
  <c r="J107" i="10"/>
  <c r="L152" i="5"/>
  <c r="K120" i="5"/>
  <c r="M54" i="10"/>
  <c r="F512" i="5"/>
  <c r="O512" i="5" s="1"/>
  <c r="M81" i="10"/>
  <c r="I142" i="9"/>
  <c r="F131" i="5"/>
  <c r="E121" i="5"/>
  <c r="E585" i="5"/>
  <c r="B137" i="5"/>
  <c r="N251" i="5"/>
  <c r="B519" i="5"/>
  <c r="I200" i="9"/>
  <c r="C391" i="5"/>
  <c r="L391" i="5" s="1"/>
  <c r="C628" i="5"/>
  <c r="L628" i="5" s="1"/>
  <c r="B590" i="5"/>
  <c r="B144" i="5"/>
  <c r="B618" i="5"/>
  <c r="J16" i="9"/>
  <c r="G174" i="9" s="1"/>
  <c r="E534" i="5"/>
  <c r="C492" i="5"/>
  <c r="L492" i="5" s="1"/>
  <c r="C70" i="5"/>
  <c r="J71" i="9"/>
  <c r="J206" i="9"/>
  <c r="N91" i="10"/>
  <c r="F240" i="5"/>
  <c r="C165" i="9" s="1"/>
  <c r="E180" i="5"/>
  <c r="J53" i="9"/>
  <c r="B200" i="5"/>
  <c r="L71" i="5"/>
  <c r="K29" i="5"/>
  <c r="C606" i="5"/>
  <c r="L606" i="5" s="1"/>
  <c r="F602" i="5"/>
  <c r="O602" i="5" s="1"/>
  <c r="C509" i="5"/>
  <c r="L509" i="5" s="1"/>
  <c r="F165" i="5"/>
  <c r="C90" i="9" s="1"/>
  <c r="N100" i="10"/>
  <c r="J217" i="9"/>
  <c r="B582" i="5"/>
  <c r="M49" i="10"/>
  <c r="J62" i="9"/>
  <c r="C119" i="5"/>
  <c r="N66" i="5"/>
  <c r="E103" i="5"/>
  <c r="N104" i="10"/>
  <c r="N63" i="5"/>
  <c r="F115" i="5"/>
  <c r="B248" i="5"/>
  <c r="I31" i="10"/>
  <c r="N30" i="9"/>
  <c r="J171" i="10"/>
  <c r="I90" i="9"/>
  <c r="I28" i="10"/>
  <c r="J139" i="10"/>
  <c r="N35" i="10"/>
  <c r="B100" i="5"/>
  <c r="I8" i="9"/>
  <c r="J43" i="10"/>
  <c r="F65" i="5"/>
  <c r="C6" i="9" s="1"/>
  <c r="C562" i="5"/>
  <c r="L562" i="5" s="1"/>
  <c r="N38" i="9"/>
  <c r="E104" i="5"/>
  <c r="C164" i="5"/>
  <c r="F156" i="5"/>
  <c r="C82" i="9" s="1"/>
  <c r="B512" i="5"/>
  <c r="J187" i="9"/>
  <c r="I41" i="9"/>
  <c r="N73" i="10"/>
  <c r="I17" i="9"/>
  <c r="D175" i="9" s="1"/>
  <c r="I173" i="10"/>
  <c r="B572" i="5"/>
  <c r="J221" i="9"/>
  <c r="J67" i="10"/>
  <c r="J175" i="9"/>
  <c r="F66" i="5"/>
  <c r="C7" i="9" s="1"/>
  <c r="B601" i="5"/>
  <c r="C506" i="5"/>
  <c r="L506" i="5" s="1"/>
  <c r="N78" i="10"/>
  <c r="B36" i="5"/>
  <c r="I57" i="9"/>
  <c r="M42" i="9"/>
  <c r="E584" i="5"/>
  <c r="C66" i="5"/>
  <c r="I87" i="9"/>
  <c r="F510" i="5"/>
  <c r="O510" i="5" s="1"/>
  <c r="C110" i="5"/>
  <c r="E112" i="5"/>
  <c r="B133" i="5"/>
  <c r="B617" i="5"/>
  <c r="I167" i="10"/>
  <c r="E241" i="5"/>
  <c r="B422" i="5"/>
  <c r="N37" i="10"/>
  <c r="I12" i="10"/>
  <c r="I212" i="9"/>
  <c r="C398" i="5"/>
  <c r="L398" i="5" s="1"/>
  <c r="B420" i="5"/>
  <c r="B37" i="5"/>
  <c r="B134" i="5"/>
  <c r="O247" i="5"/>
  <c r="C172" i="10" s="1"/>
  <c r="I71" i="9"/>
  <c r="E451" i="5"/>
  <c r="J210" i="10"/>
  <c r="E431" i="5"/>
  <c r="B447" i="5"/>
  <c r="C157" i="5"/>
  <c r="N180" i="5"/>
  <c r="F135" i="5"/>
  <c r="C60" i="9" s="1"/>
  <c r="E117" i="5"/>
  <c r="J173" i="10"/>
  <c r="J89" i="10"/>
  <c r="C566" i="5"/>
  <c r="L566" i="5" s="1"/>
  <c r="E430" i="5"/>
  <c r="B615" i="5"/>
  <c r="C526" i="5"/>
  <c r="L526" i="5" s="1"/>
  <c r="J162" i="10"/>
  <c r="J12" i="9"/>
  <c r="M48" i="9"/>
  <c r="J140" i="10"/>
  <c r="I12" i="9"/>
  <c r="B29" i="5"/>
  <c r="C572" i="5"/>
  <c r="L572" i="5" s="1"/>
  <c r="M57" i="9"/>
  <c r="C564" i="5"/>
  <c r="L564" i="5" s="1"/>
  <c r="J218" i="9"/>
  <c r="C112" i="5"/>
  <c r="I88" i="10"/>
  <c r="C107" i="5"/>
  <c r="E132" i="5"/>
  <c r="E31" i="5"/>
  <c r="E134" i="5"/>
  <c r="J37" i="10"/>
  <c r="I205" i="10"/>
  <c r="J172" i="9"/>
  <c r="L247" i="5"/>
  <c r="J224" i="9"/>
  <c r="N42" i="10"/>
  <c r="O115" i="5"/>
  <c r="E36" i="5"/>
  <c r="O118" i="5"/>
  <c r="B660" i="5"/>
  <c r="N107" i="5"/>
  <c r="F490" i="5"/>
  <c r="O490" i="5" s="1"/>
  <c r="N69" i="10"/>
  <c r="J30" i="9"/>
  <c r="F662" i="5"/>
  <c r="E449" i="5"/>
  <c r="E158" i="5"/>
  <c r="I210" i="9"/>
  <c r="L200" i="5"/>
  <c r="M40" i="10"/>
  <c r="J113" i="10"/>
  <c r="J128" i="10"/>
  <c r="O238" i="5"/>
  <c r="C163" i="10" s="1"/>
  <c r="M35" i="10"/>
  <c r="I216" i="9"/>
  <c r="C488" i="5"/>
  <c r="L488" i="5" s="1"/>
  <c r="C69" i="5"/>
  <c r="B657" i="5"/>
  <c r="M49" i="9"/>
  <c r="F626" i="5"/>
  <c r="B164" i="5"/>
  <c r="I54" i="9"/>
  <c r="F438" i="5"/>
  <c r="B111" i="5"/>
  <c r="J125" i="10"/>
  <c r="I56" i="9"/>
  <c r="C382" i="5"/>
  <c r="C428" i="5"/>
  <c r="L428" i="5" s="1"/>
  <c r="M62" i="9"/>
  <c r="F153" i="5"/>
  <c r="C79" i="9" s="1"/>
  <c r="J73" i="10"/>
  <c r="B502" i="5"/>
  <c r="C505" i="5"/>
  <c r="L505" i="5" s="1"/>
  <c r="I144" i="10"/>
  <c r="N69" i="5"/>
  <c r="F623" i="5"/>
  <c r="O623" i="5" s="1"/>
  <c r="J186" i="10"/>
  <c r="G163" i="10" s="1"/>
  <c r="I88" i="9"/>
  <c r="I141" i="9"/>
  <c r="I172" i="9"/>
  <c r="J11" i="10"/>
  <c r="I64" i="10"/>
  <c r="F172" i="5"/>
  <c r="C97" i="9" s="1"/>
  <c r="J80" i="10"/>
  <c r="J200" i="10"/>
  <c r="J182" i="10"/>
  <c r="E530" i="5"/>
  <c r="F251" i="5"/>
  <c r="C15" i="9" s="1"/>
  <c r="I197" i="9"/>
  <c r="I177" i="10"/>
  <c r="N55" i="9"/>
  <c r="F489" i="5"/>
  <c r="O489" i="5" s="1"/>
  <c r="I11" i="10"/>
  <c r="I119" i="9"/>
  <c r="C524" i="5"/>
  <c r="L524" i="5" s="1"/>
  <c r="I187" i="9"/>
  <c r="J69" i="10"/>
  <c r="F136" i="5"/>
  <c r="J226" i="9"/>
  <c r="N235" i="5"/>
  <c r="M70" i="10"/>
  <c r="M68" i="10"/>
  <c r="F137" i="5"/>
  <c r="N76" i="10"/>
  <c r="E612" i="5"/>
  <c r="B405" i="5"/>
  <c r="B33" i="5"/>
  <c r="J39" i="10"/>
  <c r="L65" i="5"/>
  <c r="K248" i="5"/>
  <c r="J191" i="9"/>
  <c r="N65" i="5"/>
  <c r="I221" i="9"/>
  <c r="C156" i="5"/>
  <c r="C595" i="5"/>
  <c r="L595" i="5" s="1"/>
  <c r="E608" i="5"/>
  <c r="I70" i="9"/>
  <c r="E140" i="5"/>
  <c r="I30" i="9"/>
  <c r="B494" i="5"/>
  <c r="M88" i="10"/>
  <c r="C579" i="5"/>
  <c r="L579" i="5" s="1"/>
  <c r="M84" i="10"/>
  <c r="I207" i="9"/>
  <c r="B587" i="5"/>
  <c r="I174" i="10"/>
  <c r="F453" i="5"/>
  <c r="O453" i="5" s="1"/>
  <c r="C125" i="5"/>
  <c r="E238" i="5"/>
  <c r="J197" i="9"/>
  <c r="C620" i="5"/>
  <c r="M31" i="9"/>
  <c r="M102" i="10"/>
  <c r="F610" i="5"/>
  <c r="O610" i="5" s="1"/>
  <c r="M101" i="10"/>
  <c r="D202" i="10" s="1"/>
  <c r="L66" i="5"/>
  <c r="B524" i="5"/>
  <c r="J178" i="10"/>
  <c r="I36" i="9"/>
  <c r="E159" i="5"/>
  <c r="E412" i="5"/>
  <c r="E426" i="5"/>
  <c r="B403" i="5"/>
  <c r="B419" i="5"/>
  <c r="B491" i="5"/>
  <c r="F121" i="5"/>
  <c r="C46" i="9" s="1"/>
  <c r="E429" i="5"/>
  <c r="C392" i="5"/>
  <c r="L392" i="5" s="1"/>
  <c r="E452" i="5"/>
  <c r="M83" i="10"/>
  <c r="B591" i="5"/>
  <c r="I40" i="9"/>
  <c r="E610" i="5"/>
  <c r="M50" i="9"/>
  <c r="I42" i="10"/>
  <c r="F494" i="5"/>
  <c r="O494" i="5" s="1"/>
  <c r="I82" i="10"/>
  <c r="I18" i="9"/>
  <c r="D15" i="9" s="1"/>
  <c r="F130" i="5"/>
  <c r="C55" i="9" s="1"/>
  <c r="M71" i="10"/>
  <c r="B518" i="5"/>
  <c r="C246" i="5"/>
  <c r="E491" i="5"/>
  <c r="B616" i="5"/>
  <c r="I39" i="9"/>
  <c r="E573" i="5"/>
  <c r="I68" i="9"/>
  <c r="C173" i="5"/>
  <c r="I80" i="10"/>
  <c r="F407" i="5"/>
  <c r="O407" i="5" s="1"/>
  <c r="J43" i="9"/>
  <c r="C133" i="5"/>
  <c r="K151" i="5"/>
  <c r="I92" i="9"/>
  <c r="J135" i="9"/>
  <c r="C412" i="5"/>
  <c r="L412" i="5" s="1"/>
  <c r="C443" i="5"/>
  <c r="J158" i="10"/>
  <c r="N165" i="5"/>
  <c r="N130" i="5"/>
  <c r="J170" i="10"/>
  <c r="E662" i="5"/>
  <c r="C608" i="5"/>
  <c r="F520" i="5"/>
  <c r="O520" i="5" s="1"/>
  <c r="J145" i="9"/>
  <c r="J8" i="10"/>
  <c r="B627" i="5"/>
  <c r="C154" i="5"/>
  <c r="F400" i="5"/>
  <c r="O400" i="5" s="1"/>
  <c r="I60" i="10"/>
  <c r="C108" i="5"/>
  <c r="C165" i="5"/>
  <c r="C104" i="5"/>
  <c r="C346" i="5" s="1"/>
  <c r="F154" i="5"/>
  <c r="C80" i="9" s="1"/>
  <c r="F406" i="5"/>
  <c r="O406" i="5" s="1"/>
  <c r="I191" i="9"/>
  <c r="I86" i="9"/>
  <c r="B440" i="5"/>
  <c r="F382" i="5"/>
  <c r="F36" i="5"/>
  <c r="J69" i="9"/>
  <c r="I27" i="10"/>
  <c r="C404" i="5"/>
  <c r="L404" i="5" s="1"/>
  <c r="C234" i="5"/>
  <c r="C407" i="5"/>
  <c r="L407" i="5" s="1"/>
  <c r="B430" i="5"/>
  <c r="J44" i="9"/>
  <c r="O69" i="5"/>
  <c r="J119" i="9"/>
  <c r="J201" i="10"/>
  <c r="B526" i="5"/>
  <c r="C582" i="5"/>
  <c r="L582" i="5" s="1"/>
  <c r="J148" i="9"/>
  <c r="M44" i="10"/>
  <c r="M78" i="10"/>
  <c r="N36" i="10"/>
  <c r="J179" i="10"/>
  <c r="N90" i="10"/>
  <c r="N34" i="9"/>
  <c r="B567" i="5"/>
  <c r="F175" i="5"/>
  <c r="C100" i="9" s="1"/>
  <c r="F143" i="5"/>
  <c r="C68" i="9" s="1"/>
  <c r="E65" i="5"/>
  <c r="C249" i="5"/>
  <c r="F502" i="5"/>
  <c r="O502" i="5" s="1"/>
  <c r="C63" i="5"/>
  <c r="N44" i="9"/>
  <c r="C247" i="5"/>
  <c r="B101" i="5"/>
  <c r="J25" i="9"/>
  <c r="C128" i="5"/>
  <c r="B597" i="5"/>
  <c r="K72" i="5"/>
  <c r="J53" i="10"/>
  <c r="E126" i="5"/>
  <c r="M29" i="10"/>
  <c r="J42" i="9"/>
  <c r="M60" i="9"/>
  <c r="J79" i="9"/>
  <c r="E123" i="5"/>
  <c r="O386" i="5"/>
  <c r="M42" i="10"/>
  <c r="F498" i="5"/>
  <c r="O498" i="5" s="1"/>
  <c r="C131" i="5"/>
  <c r="F244" i="5"/>
  <c r="C169" i="9" s="1"/>
  <c r="I107" i="10"/>
  <c r="B485" i="5"/>
  <c r="C115" i="5"/>
  <c r="C350" i="5" s="1"/>
  <c r="E250" i="5"/>
  <c r="I143" i="9"/>
  <c r="I180" i="9"/>
  <c r="J160" i="9"/>
  <c r="C585" i="5"/>
  <c r="L585" i="5" s="1"/>
  <c r="O145" i="5"/>
  <c r="C70" i="10" s="1"/>
  <c r="J137" i="9"/>
  <c r="I205" i="9"/>
  <c r="L113" i="5"/>
  <c r="F399" i="5"/>
  <c r="O399" i="5" s="1"/>
  <c r="E495" i="5"/>
  <c r="O102" i="5"/>
  <c r="B614" i="5"/>
  <c r="I64" i="9"/>
  <c r="J223" i="9"/>
  <c r="F483" i="5"/>
  <c r="O483" i="5" s="1"/>
  <c r="K70" i="5"/>
  <c r="F481" i="5"/>
  <c r="O481" i="5" s="1"/>
  <c r="C609" i="5"/>
  <c r="L609" i="5" s="1"/>
  <c r="I204" i="9"/>
  <c r="E494" i="5"/>
  <c r="F451" i="5"/>
  <c r="O451" i="5" s="1"/>
  <c r="M85" i="10"/>
  <c r="M61" i="9"/>
  <c r="I176" i="9"/>
  <c r="I188" i="10"/>
  <c r="F667" i="5"/>
  <c r="E497" i="5"/>
  <c r="O234" i="5"/>
  <c r="E35" i="5"/>
  <c r="J81" i="10"/>
  <c r="C594" i="5"/>
  <c r="L594" i="5" s="1"/>
  <c r="I135" i="10"/>
  <c r="F578" i="5"/>
  <c r="O578" i="5" s="1"/>
  <c r="C408" i="5"/>
  <c r="L408" i="5" s="1"/>
  <c r="C383" i="5"/>
  <c r="L383" i="5" s="1"/>
  <c r="F430" i="5"/>
  <c r="O430" i="5" s="1"/>
  <c r="C200" i="5"/>
  <c r="C610" i="5"/>
  <c r="L610" i="5" s="1"/>
  <c r="F176" i="5"/>
  <c r="C101" i="9" s="1"/>
  <c r="E175" i="5"/>
  <c r="J70" i="9"/>
  <c r="E150" i="5"/>
  <c r="I185" i="9"/>
  <c r="J124" i="10"/>
  <c r="F384" i="5"/>
  <c r="O384" i="5" s="1"/>
  <c r="C116" i="5"/>
  <c r="C351" i="5" s="1"/>
  <c r="F397" i="5"/>
  <c r="O397" i="5" s="1"/>
  <c r="I42" i="9"/>
  <c r="I62" i="9"/>
  <c r="I233" i="9"/>
  <c r="D168" i="9" s="1"/>
  <c r="E525" i="5"/>
  <c r="M46" i="10"/>
  <c r="L63" i="5"/>
  <c r="C449" i="5"/>
  <c r="L449" i="5" s="1"/>
  <c r="C409" i="5"/>
  <c r="L409" i="5" s="1"/>
  <c r="I145" i="9"/>
  <c r="E493" i="5"/>
  <c r="J114" i="10"/>
  <c r="I141" i="10"/>
  <c r="J41" i="9"/>
  <c r="J191" i="10"/>
  <c r="J194" i="10"/>
  <c r="J91" i="9"/>
  <c r="J211" i="10"/>
  <c r="G168" i="10" s="1"/>
  <c r="J203" i="10"/>
  <c r="C489" i="5"/>
  <c r="L489" i="5" s="1"/>
  <c r="E172" i="5"/>
  <c r="C521" i="5"/>
  <c r="L521" i="5" s="1"/>
  <c r="B156" i="5"/>
  <c r="F509" i="5"/>
  <c r="O509" i="5" s="1"/>
  <c r="O65" i="5"/>
  <c r="C6" i="10" s="1"/>
  <c r="J4" i="10"/>
  <c r="G4" i="10" s="1"/>
  <c r="I224" i="9"/>
  <c r="I63" i="10"/>
  <c r="J174" i="9"/>
  <c r="B623" i="5"/>
  <c r="F584" i="5"/>
  <c r="O584" i="5" s="1"/>
  <c r="F102" i="5"/>
  <c r="B175" i="5"/>
  <c r="N32" i="9"/>
  <c r="N46" i="9"/>
  <c r="C152" i="5"/>
  <c r="L33" i="5"/>
  <c r="B663" i="5"/>
  <c r="B622" i="5"/>
  <c r="N28" i="10"/>
  <c r="F417" i="5"/>
  <c r="O417" i="5" s="1"/>
  <c r="E485" i="5"/>
  <c r="B628" i="5"/>
  <c r="I113" i="10"/>
  <c r="J47" i="9"/>
  <c r="E490" i="5"/>
  <c r="I215" i="9"/>
  <c r="D165" i="9" s="1"/>
  <c r="M45" i="10"/>
  <c r="E531" i="5"/>
  <c r="M37" i="9"/>
  <c r="K159" i="5"/>
  <c r="F68" i="5"/>
  <c r="C592" i="5"/>
  <c r="L592" i="5" s="1"/>
  <c r="I213" i="9"/>
  <c r="N102" i="10"/>
  <c r="J46" i="10"/>
  <c r="I164" i="10"/>
  <c r="N37" i="9"/>
  <c r="F504" i="5"/>
  <c r="O504" i="5" s="1"/>
  <c r="J60" i="9"/>
  <c r="I65" i="9"/>
  <c r="E151" i="5"/>
  <c r="E382" i="5"/>
  <c r="E416" i="5"/>
  <c r="B407" i="5"/>
  <c r="B429" i="5"/>
  <c r="B450" i="5"/>
  <c r="E576" i="5"/>
  <c r="E406" i="5"/>
  <c r="E572" i="5"/>
  <c r="F624" i="5"/>
  <c r="O624" i="5" s="1"/>
  <c r="F505" i="5"/>
  <c r="O505" i="5" s="1"/>
  <c r="B497" i="5"/>
  <c r="C603" i="5"/>
  <c r="L603" i="5" s="1"/>
  <c r="F252" i="5"/>
  <c r="C176" i="9" s="1"/>
  <c r="F176" i="9" s="1"/>
  <c r="B586" i="5"/>
  <c r="I180" i="10"/>
  <c r="C487" i="5"/>
  <c r="L487" i="5" s="1"/>
  <c r="E438" i="5"/>
  <c r="C622" i="5"/>
  <c r="L622" i="5" s="1"/>
  <c r="C510" i="5"/>
  <c r="L510" i="5" s="1"/>
  <c r="O159" i="5"/>
  <c r="C84" i="10" s="1"/>
  <c r="N141" i="5"/>
  <c r="E403" i="5"/>
  <c r="K124" i="5"/>
  <c r="C494" i="5"/>
  <c r="L494" i="5" s="1"/>
  <c r="F569" i="5"/>
  <c r="O569" i="5" s="1"/>
  <c r="E561" i="5"/>
  <c r="J17" i="10"/>
  <c r="C429" i="5"/>
  <c r="L429" i="5" s="1"/>
  <c r="F565" i="5"/>
  <c r="O565" i="5" s="1"/>
  <c r="B603" i="5"/>
  <c r="F524" i="5"/>
  <c r="O524" i="5" s="1"/>
  <c r="B34" i="5"/>
  <c r="B565" i="5"/>
  <c r="J68" i="9"/>
  <c r="B608" i="5"/>
  <c r="F568" i="5"/>
  <c r="O568" i="5" s="1"/>
  <c r="M103" i="10"/>
  <c r="C604" i="5"/>
  <c r="L604" i="5" s="1"/>
  <c r="F487" i="5"/>
  <c r="O487" i="5" s="1"/>
  <c r="I128" i="9"/>
  <c r="C122" i="5"/>
  <c r="I16" i="10"/>
  <c r="D176" i="10" s="1"/>
  <c r="N234" i="5"/>
  <c r="J72" i="10"/>
  <c r="N88" i="10"/>
  <c r="B382" i="5"/>
  <c r="C145" i="5"/>
  <c r="E620" i="5"/>
  <c r="C416" i="5"/>
  <c r="L416" i="5" s="1"/>
  <c r="C436" i="5"/>
  <c r="L436" i="5" s="1"/>
  <c r="B626" i="5"/>
  <c r="C384" i="5"/>
  <c r="L384" i="5" s="1"/>
  <c r="E120" i="5"/>
  <c r="J230" i="9"/>
  <c r="B131" i="5"/>
  <c r="B161" i="5"/>
  <c r="B445" i="5"/>
  <c r="I30" i="10"/>
  <c r="J140" i="9"/>
  <c r="J9" i="9"/>
  <c r="G10" i="9" s="1"/>
  <c r="B580" i="5"/>
  <c r="N85" i="10"/>
  <c r="J225" i="9"/>
  <c r="C591" i="5"/>
  <c r="L591" i="5" s="1"/>
  <c r="I140" i="10"/>
  <c r="C597" i="5"/>
  <c r="L597" i="5" s="1"/>
  <c r="J32" i="10"/>
  <c r="J127" i="10"/>
  <c r="C439" i="5"/>
  <c r="L439" i="5" s="1"/>
  <c r="I144" i="9"/>
  <c r="N240" i="5"/>
  <c r="I159" i="10"/>
  <c r="J70" i="10"/>
  <c r="N89" i="10"/>
  <c r="N95" i="10"/>
  <c r="I223" i="9"/>
  <c r="J23" i="10"/>
  <c r="N54" i="9"/>
  <c r="J89" i="9"/>
  <c r="M75" i="10"/>
  <c r="J9" i="10"/>
  <c r="G10" i="10" s="1"/>
  <c r="F390" i="5"/>
  <c r="O390" i="5" s="1"/>
  <c r="B162" i="5"/>
  <c r="I73" i="9"/>
  <c r="I53" i="10"/>
  <c r="E122" i="5"/>
  <c r="E124" i="5"/>
  <c r="F660" i="5"/>
  <c r="J52" i="9"/>
  <c r="B428" i="5"/>
  <c r="F110" i="5"/>
  <c r="E422" i="5"/>
  <c r="M54" i="9"/>
  <c r="J150" i="9"/>
  <c r="E387" i="5"/>
  <c r="I112" i="10"/>
  <c r="F521" i="5"/>
  <c r="O521" i="5" s="1"/>
  <c r="I207" i="10"/>
  <c r="C563" i="5"/>
  <c r="L563" i="5" s="1"/>
  <c r="J122" i="9"/>
  <c r="I162" i="10"/>
  <c r="C588" i="5"/>
  <c r="L588" i="5" s="1"/>
  <c r="C155" i="5"/>
  <c r="M79" i="10"/>
  <c r="I163" i="10"/>
  <c r="J45" i="10"/>
  <c r="I196" i="10"/>
  <c r="C65" i="5"/>
  <c r="I62" i="10"/>
  <c r="M32" i="9"/>
  <c r="F126" i="5"/>
  <c r="E417" i="5"/>
  <c r="I175" i="10"/>
  <c r="F155" i="5"/>
  <c r="C81" i="9" s="1"/>
  <c r="B589" i="5"/>
  <c r="M86" i="10"/>
  <c r="I85" i="9"/>
  <c r="E110" i="5"/>
  <c r="F535" i="5"/>
  <c r="O535" i="5" s="1"/>
  <c r="N35" i="9"/>
  <c r="M40" i="9"/>
  <c r="B399" i="5"/>
  <c r="E435" i="5"/>
  <c r="L105" i="5"/>
  <c r="N53" i="10"/>
  <c r="F589" i="5"/>
  <c r="O589" i="5" s="1"/>
  <c r="N50" i="10"/>
  <c r="N74" i="10"/>
  <c r="C626" i="5"/>
  <c r="B35" i="5"/>
  <c r="F426" i="5"/>
  <c r="F427" i="5"/>
  <c r="O427" i="5" s="1"/>
  <c r="N68" i="5"/>
  <c r="I80" i="9"/>
  <c r="C136" i="5"/>
  <c r="C318" i="5" s="1"/>
  <c r="C525" i="5"/>
  <c r="L525" i="5" s="1"/>
  <c r="E613" i="5"/>
  <c r="B656" i="5"/>
  <c r="N43" i="9"/>
  <c r="M33" i="10"/>
  <c r="C519" i="5"/>
  <c r="L519" i="5" s="1"/>
  <c r="E399" i="5"/>
  <c r="I29" i="9"/>
  <c r="I178" i="9"/>
  <c r="J24" i="10"/>
  <c r="J44" i="10"/>
  <c r="N29" i="5"/>
  <c r="J111" i="10"/>
  <c r="C511" i="5"/>
  <c r="L511" i="5" s="1"/>
  <c r="E404" i="5"/>
  <c r="C235" i="5"/>
  <c r="N118" i="5"/>
  <c r="M62" i="10"/>
  <c r="K180" i="5"/>
  <c r="K136" i="5"/>
  <c r="C441" i="5"/>
  <c r="L441" i="5" s="1"/>
  <c r="F525" i="5"/>
  <c r="O525" i="5" s="1"/>
  <c r="F593" i="5"/>
  <c r="O593" i="5" s="1"/>
  <c r="M53" i="10"/>
  <c r="E143" i="5"/>
  <c r="I39" i="10"/>
  <c r="B125" i="5"/>
  <c r="C103" i="5"/>
  <c r="C503" i="5"/>
  <c r="L503" i="5" s="1"/>
  <c r="L240" i="5"/>
  <c r="E70" i="5"/>
  <c r="I125" i="9"/>
  <c r="D159" i="9" s="1"/>
  <c r="E165" i="5"/>
  <c r="B530" i="5"/>
  <c r="B65" i="5"/>
  <c r="I149" i="10"/>
  <c r="F496" i="5"/>
  <c r="O496" i="5" s="1"/>
  <c r="I26" i="9"/>
  <c r="I110" i="10"/>
  <c r="F424" i="5"/>
  <c r="O424" i="5" s="1"/>
  <c r="F120" i="5"/>
  <c r="C45" i="9" s="1"/>
  <c r="O484" i="5"/>
  <c r="C29" i="5"/>
  <c r="C593" i="5"/>
  <c r="L593" i="5" s="1"/>
  <c r="F530" i="5"/>
  <c r="O530" i="5" s="1"/>
  <c r="I87" i="10"/>
  <c r="C438" i="5"/>
  <c r="J87" i="9"/>
  <c r="I208" i="10"/>
  <c r="I236" i="9"/>
  <c r="E656" i="5"/>
  <c r="J88" i="10"/>
  <c r="I51" i="10"/>
  <c r="B129" i="5"/>
  <c r="I194" i="10"/>
  <c r="I136" i="10"/>
  <c r="J61" i="10"/>
  <c r="C397" i="5"/>
  <c r="L397" i="5" s="1"/>
  <c r="E666" i="5"/>
  <c r="I32" i="10"/>
  <c r="B250" i="5"/>
  <c r="J133" i="10"/>
  <c r="E599" i="5"/>
  <c r="J137" i="10"/>
  <c r="M97" i="10"/>
  <c r="F580" i="5"/>
  <c r="O580" i="5" s="1"/>
  <c r="F493" i="5"/>
  <c r="O493" i="5" s="1"/>
  <c r="N248" i="5"/>
  <c r="E571" i="5"/>
  <c r="K65" i="5"/>
  <c r="E424" i="5"/>
  <c r="J82" i="9"/>
  <c r="J188" i="10"/>
  <c r="E413" i="5"/>
  <c r="N31" i="5"/>
  <c r="F104" i="5"/>
  <c r="B145" i="5"/>
  <c r="F508" i="5"/>
  <c r="O508" i="5" s="1"/>
  <c r="I185" i="10"/>
  <c r="J45" i="9"/>
  <c r="M89" i="10"/>
  <c r="C445" i="5"/>
  <c r="L445" i="5" s="1"/>
  <c r="J7" i="9"/>
  <c r="G7" i="9" s="1"/>
  <c r="N35" i="5"/>
  <c r="L386" i="5"/>
  <c r="C569" i="5"/>
  <c r="L569" i="5" s="1"/>
  <c r="I146" i="10"/>
  <c r="D160" i="10" s="1"/>
  <c r="J58" i="10"/>
  <c r="C135" i="5"/>
  <c r="E152" i="5"/>
  <c r="M43" i="9"/>
  <c r="F173" i="5"/>
  <c r="C98" i="9" s="1"/>
  <c r="F503" i="5"/>
  <c r="O503" i="5" s="1"/>
  <c r="N45" i="10"/>
  <c r="J84" i="9"/>
  <c r="E533" i="5"/>
  <c r="I137" i="10"/>
  <c r="E520" i="5"/>
  <c r="M56" i="9"/>
  <c r="K33" i="5"/>
  <c r="I99" i="9"/>
  <c r="J62" i="10"/>
  <c r="J121" i="9"/>
  <c r="B513" i="5"/>
  <c r="C411" i="5"/>
  <c r="L411" i="5" s="1"/>
  <c r="B135" i="5"/>
  <c r="I27" i="9"/>
  <c r="J20" i="10"/>
  <c r="B127" i="5"/>
  <c r="L234" i="5"/>
  <c r="F393" i="5"/>
  <c r="O393" i="5" s="1"/>
  <c r="E173" i="5"/>
  <c r="B503" i="5"/>
  <c r="I9" i="9"/>
  <c r="D10" i="9" s="1"/>
  <c r="I134" i="9"/>
  <c r="I43" i="9"/>
  <c r="F659" i="5"/>
  <c r="N159" i="5"/>
  <c r="K34" i="5"/>
  <c r="E420" i="5"/>
  <c r="B385" i="5"/>
  <c r="B454" i="5"/>
  <c r="B415" i="5"/>
  <c r="J213" i="9"/>
  <c r="N70" i="10"/>
  <c r="F145" i="5"/>
  <c r="C70" i="9" s="1"/>
  <c r="I56" i="10"/>
  <c r="O240" i="5"/>
  <c r="C165" i="10" s="1"/>
  <c r="J178" i="9"/>
  <c r="N26" i="9"/>
  <c r="I168" i="10"/>
  <c r="C175" i="5"/>
  <c r="J235" i="9"/>
  <c r="O63" i="5"/>
  <c r="F591" i="5"/>
  <c r="O591" i="5" s="1"/>
  <c r="J219" i="9"/>
  <c r="J64" i="9"/>
  <c r="L69" i="5"/>
  <c r="J37" i="9"/>
  <c r="F383" i="5"/>
  <c r="O383" i="5" s="1"/>
  <c r="B240" i="5"/>
  <c r="B108" i="5"/>
  <c r="J167" i="10"/>
  <c r="B507" i="5"/>
  <c r="E156" i="5"/>
  <c r="I129" i="9"/>
  <c r="I202" i="10"/>
  <c r="E141" i="5"/>
  <c r="N51" i="9"/>
  <c r="I75" i="9"/>
  <c r="B32" i="5"/>
  <c r="E392" i="5"/>
  <c r="B411" i="5"/>
  <c r="B479" i="1"/>
  <c r="F479" i="1"/>
  <c r="G479" i="1" s="1"/>
  <c r="O381" i="1"/>
  <c r="P381" i="1" s="1"/>
  <c r="K381" i="1"/>
  <c r="F653" i="1"/>
  <c r="G653" i="1" s="1"/>
  <c r="B653" i="1"/>
  <c r="I226" i="8"/>
  <c r="J111" i="9"/>
  <c r="G186" i="9" s="1"/>
  <c r="O308" i="1"/>
  <c r="P308" i="1" s="1"/>
  <c r="K308" i="1"/>
  <c r="K653" i="1"/>
  <c r="O653" i="1"/>
  <c r="P653" i="1" s="1"/>
  <c r="K99" i="1"/>
  <c r="O99" i="1"/>
  <c r="P99" i="1" s="1"/>
  <c r="D210" i="8"/>
  <c r="I111" i="9"/>
  <c r="D186" i="9" s="1"/>
  <c r="D183" i="4"/>
  <c r="D184" i="4" s="1"/>
  <c r="E186" i="8"/>
  <c r="C186" i="5"/>
  <c r="C186" i="1"/>
  <c r="D186" i="1" s="1"/>
  <c r="L186" i="1"/>
  <c r="M186" i="1" s="1"/>
  <c r="AP842" i="3"/>
  <c r="AQ842" i="3" s="1"/>
  <c r="F186" i="8" s="1"/>
  <c r="L186" i="5"/>
  <c r="L203" i="1"/>
  <c r="M203" i="1" s="1"/>
  <c r="K202" i="4"/>
  <c r="AP859" i="3"/>
  <c r="E203" i="5" s="1"/>
  <c r="K187" i="4"/>
  <c r="L203" i="5"/>
  <c r="L184" i="4"/>
  <c r="C203" i="1"/>
  <c r="D203" i="1" s="1"/>
  <c r="J203" i="8"/>
  <c r="C203" i="5"/>
  <c r="P313" i="1"/>
  <c r="K536" i="1"/>
  <c r="O536" i="1"/>
  <c r="E231" i="8"/>
  <c r="J231" i="8"/>
  <c r="C231" i="1"/>
  <c r="D231" i="1" s="1"/>
  <c r="L231" i="5"/>
  <c r="L231" i="1"/>
  <c r="M231" i="1" s="1"/>
  <c r="C231" i="5"/>
  <c r="O200" i="1"/>
  <c r="P200" i="1" s="1"/>
  <c r="F200" i="5"/>
  <c r="O200" i="5"/>
  <c r="K200" i="8"/>
  <c r="F200" i="1"/>
  <c r="G200" i="1" s="1"/>
  <c r="L625" i="1"/>
  <c r="N182" i="1"/>
  <c r="P628" i="1"/>
  <c r="K625" i="1"/>
  <c r="P545" i="4"/>
  <c r="Q233" i="4"/>
  <c r="S545" i="4" s="1"/>
  <c r="K184" i="4"/>
  <c r="C193" i="5"/>
  <c r="AP849" i="3"/>
  <c r="E193" i="8"/>
  <c r="AP858" i="3"/>
  <c r="E202" i="1" s="1"/>
  <c r="AN852" i="3"/>
  <c r="K196" i="1" s="1"/>
  <c r="I196" i="8"/>
  <c r="Q569" i="1"/>
  <c r="R569" i="1" s="1"/>
  <c r="AQ838" i="3"/>
  <c r="K182" i="8" s="1"/>
  <c r="E182" i="5"/>
  <c r="B107" i="9" s="1"/>
  <c r="N182" i="5"/>
  <c r="B107" i="10" s="1"/>
  <c r="L619" i="1"/>
  <c r="O319" i="1"/>
  <c r="L202" i="4"/>
  <c r="L229" i="4"/>
  <c r="O229" i="4" s="1"/>
  <c r="Q229" i="4" s="1"/>
  <c r="U229" i="4" s="1"/>
  <c r="W229" i="4" s="1"/>
  <c r="I206" i="8"/>
  <c r="P310" i="1"/>
  <c r="L202" i="5"/>
  <c r="C204" i="5"/>
  <c r="L202" i="1"/>
  <c r="M202" i="1" s="1"/>
  <c r="E204" i="8"/>
  <c r="C202" i="5"/>
  <c r="L204" i="1"/>
  <c r="M204" i="1" s="1"/>
  <c r="C202" i="1"/>
  <c r="D202" i="1" s="1"/>
  <c r="M224" i="1"/>
  <c r="AP860" i="3"/>
  <c r="AQ860" i="3" s="1"/>
  <c r="F204" i="8" s="1"/>
  <c r="J202" i="8"/>
  <c r="L442" i="1"/>
  <c r="C204" i="1"/>
  <c r="D204" i="1" s="1"/>
  <c r="AN870" i="3"/>
  <c r="B214" i="5" s="1"/>
  <c r="L204" i="5"/>
  <c r="D214" i="8"/>
  <c r="AN883" i="3"/>
  <c r="B227" i="1" s="1"/>
  <c r="I227" i="8"/>
  <c r="I213" i="8"/>
  <c r="D213" i="8"/>
  <c r="O172" i="4"/>
  <c r="V172" i="4" s="1"/>
  <c r="M183" i="4"/>
  <c r="M184" i="4" s="1"/>
  <c r="S153" i="4"/>
  <c r="V153" i="4" s="1"/>
  <c r="X153" i="4" s="1"/>
  <c r="B185" i="5"/>
  <c r="B185" i="1"/>
  <c r="K185" i="1"/>
  <c r="K185" i="5"/>
  <c r="AO841" i="3"/>
  <c r="AP854" i="3"/>
  <c r="C198" i="1"/>
  <c r="D198" i="1" s="1"/>
  <c r="L198" i="1"/>
  <c r="M198" i="1" s="1"/>
  <c r="C198" i="5"/>
  <c r="L198" i="5"/>
  <c r="E198" i="8"/>
  <c r="I212" i="8"/>
  <c r="AN868" i="3"/>
  <c r="D185" i="8"/>
  <c r="AN872" i="3"/>
  <c r="I216" i="8"/>
  <c r="AO869" i="3"/>
  <c r="B213" i="1"/>
  <c r="K213" i="1"/>
  <c r="B213" i="5"/>
  <c r="K213" i="5"/>
  <c r="I185" i="8"/>
  <c r="AN885" i="3"/>
  <c r="D229" i="8"/>
  <c r="B206" i="5"/>
  <c r="AO862" i="3"/>
  <c r="B206" i="1"/>
  <c r="K206" i="1"/>
  <c r="K206" i="5"/>
  <c r="D215" i="8"/>
  <c r="AN871" i="3"/>
  <c r="AN863" i="3"/>
  <c r="D207" i="8"/>
  <c r="I229" i="8"/>
  <c r="D206" i="8"/>
  <c r="S197" i="4"/>
  <c r="V197" i="4" s="1"/>
  <c r="P422" i="1"/>
  <c r="I228" i="8"/>
  <c r="D228" i="8"/>
  <c r="AN878" i="3"/>
  <c r="I222" i="8"/>
  <c r="AN861" i="3"/>
  <c r="I205" i="8"/>
  <c r="D201" i="8"/>
  <c r="Q402" i="1"/>
  <c r="R402" i="1" s="1"/>
  <c r="G354" i="1"/>
  <c r="I220" i="8"/>
  <c r="D220" i="8"/>
  <c r="D219" i="8"/>
  <c r="I209" i="8"/>
  <c r="I219" i="8"/>
  <c r="P423" i="1"/>
  <c r="K629" i="1"/>
  <c r="P529" i="1"/>
  <c r="AN867" i="3"/>
  <c r="I211" i="8"/>
  <c r="M451" i="1"/>
  <c r="L455" i="1"/>
  <c r="D209" i="8"/>
  <c r="L193" i="1"/>
  <c r="M193" i="1" s="1"/>
  <c r="L193" i="5"/>
  <c r="M193" i="5" s="1"/>
  <c r="C193" i="1"/>
  <c r="D193" i="1" s="1"/>
  <c r="D224" i="1"/>
  <c r="D189" i="8"/>
  <c r="AO855" i="3"/>
  <c r="J199" i="8" s="1"/>
  <c r="K199" i="1"/>
  <c r="B199" i="1"/>
  <c r="K199" i="5"/>
  <c r="B199" i="5"/>
  <c r="AO876" i="3"/>
  <c r="B220" i="5"/>
  <c r="K220" i="1"/>
  <c r="B220" i="1"/>
  <c r="K220" i="5"/>
  <c r="B210" i="1"/>
  <c r="K210" i="5"/>
  <c r="K210" i="1"/>
  <c r="AO866" i="3"/>
  <c r="E210" i="8" s="1"/>
  <c r="B210" i="5"/>
  <c r="AO865" i="3"/>
  <c r="E209" i="8" s="1"/>
  <c r="K209" i="5"/>
  <c r="K209" i="1"/>
  <c r="B209" i="5"/>
  <c r="B209" i="1"/>
  <c r="I189" i="8"/>
  <c r="AN886" i="3"/>
  <c r="I230" i="8"/>
  <c r="K189" i="1"/>
  <c r="B189" i="5"/>
  <c r="AO845" i="3"/>
  <c r="E189" i="8" s="1"/>
  <c r="B189" i="1"/>
  <c r="K189" i="5"/>
  <c r="K228" i="1"/>
  <c r="K228" i="5"/>
  <c r="AO884" i="3"/>
  <c r="B228" i="1"/>
  <c r="B228" i="5"/>
  <c r="AN848" i="3"/>
  <c r="I192" i="8"/>
  <c r="AN850" i="3"/>
  <c r="D194" i="8"/>
  <c r="AN881" i="3"/>
  <c r="I225" i="8"/>
  <c r="D199" i="8"/>
  <c r="AO875" i="3"/>
  <c r="B219" i="5"/>
  <c r="K219" i="1"/>
  <c r="B219" i="1"/>
  <c r="K219" i="5"/>
  <c r="I201" i="8"/>
  <c r="AN839" i="3"/>
  <c r="I183" i="8"/>
  <c r="I199" i="8"/>
  <c r="AN844" i="3"/>
  <c r="I188" i="8"/>
  <c r="AO857" i="3"/>
  <c r="J201" i="8" s="1"/>
  <c r="K201" i="1"/>
  <c r="K201" i="5"/>
  <c r="B201" i="1"/>
  <c r="B201" i="5"/>
  <c r="K217" i="5"/>
  <c r="B217" i="1"/>
  <c r="K217" i="1"/>
  <c r="B217" i="5"/>
  <c r="AO873" i="3"/>
  <c r="J217" i="8" s="1"/>
  <c r="U225" i="4"/>
  <c r="W225" i="4" s="1"/>
  <c r="I250" i="4"/>
  <c r="C223" i="5"/>
  <c r="E223" i="8"/>
  <c r="C223" i="1"/>
  <c r="D223" i="1" s="1"/>
  <c r="L223" i="1"/>
  <c r="M223" i="1" s="1"/>
  <c r="AP879" i="3"/>
  <c r="L223" i="5"/>
  <c r="C221" i="5"/>
  <c r="J221" i="8"/>
  <c r="L221" i="5"/>
  <c r="C221" i="1"/>
  <c r="D221" i="1" s="1"/>
  <c r="AP877" i="3"/>
  <c r="L221" i="1"/>
  <c r="M221" i="1" s="1"/>
  <c r="E221" i="8"/>
  <c r="K226" i="1"/>
  <c r="AO882" i="3"/>
  <c r="J226" i="8" s="1"/>
  <c r="B226" i="1"/>
  <c r="B226" i="5"/>
  <c r="K226" i="5"/>
  <c r="K197" i="1"/>
  <c r="B197" i="1"/>
  <c r="AO853" i="3"/>
  <c r="E197" i="8" s="1"/>
  <c r="K197" i="5"/>
  <c r="B197" i="5"/>
  <c r="J223" i="8"/>
  <c r="M528" i="1"/>
  <c r="N224" i="1"/>
  <c r="AQ880" i="3"/>
  <c r="E224" i="5"/>
  <c r="E224" i="1"/>
  <c r="N224" i="5"/>
  <c r="T174" i="4"/>
  <c r="W191" i="4" s="1"/>
  <c r="T169" i="4"/>
  <c r="M613" i="1"/>
  <c r="M386" i="1"/>
  <c r="P520" i="1"/>
  <c r="P605" i="1"/>
  <c r="N607" i="1"/>
  <c r="M433" i="1"/>
  <c r="M310" i="1"/>
  <c r="O246" i="4"/>
  <c r="J208" i="8"/>
  <c r="J191" i="8"/>
  <c r="E190" i="8"/>
  <c r="L208" i="1"/>
  <c r="M208" i="1" s="1"/>
  <c r="C208" i="1"/>
  <c r="D208" i="1" s="1"/>
  <c r="C208" i="5"/>
  <c r="L208" i="5"/>
  <c r="AP864" i="3"/>
  <c r="E231" i="1"/>
  <c r="E231" i="5"/>
  <c r="N231" i="5"/>
  <c r="N231" i="1"/>
  <c r="J184" i="8"/>
  <c r="L191" i="5"/>
  <c r="C191" i="1"/>
  <c r="D191" i="1" s="1"/>
  <c r="AP847" i="3"/>
  <c r="L191" i="1"/>
  <c r="M191" i="1" s="1"/>
  <c r="C191" i="5"/>
  <c r="E218" i="8"/>
  <c r="C184" i="5"/>
  <c r="L184" i="5"/>
  <c r="L184" i="1"/>
  <c r="C184" i="1"/>
  <c r="AP840" i="3"/>
  <c r="L195" i="1"/>
  <c r="M195" i="1" s="1"/>
  <c r="C195" i="1"/>
  <c r="D195" i="1" s="1"/>
  <c r="C195" i="5"/>
  <c r="AP851" i="3"/>
  <c r="L195" i="5"/>
  <c r="E195" i="8"/>
  <c r="E187" i="8"/>
  <c r="C187" i="5"/>
  <c r="L187" i="1"/>
  <c r="M187" i="1" s="1"/>
  <c r="C187" i="1"/>
  <c r="D187" i="1" s="1"/>
  <c r="AP843" i="3"/>
  <c r="L187" i="5"/>
  <c r="L190" i="5"/>
  <c r="C190" i="5"/>
  <c r="AP846" i="3"/>
  <c r="C190" i="1"/>
  <c r="D190" i="1" s="1"/>
  <c r="L190" i="1"/>
  <c r="M190" i="1" s="1"/>
  <c r="L218" i="1"/>
  <c r="M218" i="1" s="1"/>
  <c r="C218" i="1"/>
  <c r="D218" i="1" s="1"/>
  <c r="C218" i="5"/>
  <c r="AP874" i="3"/>
  <c r="L218" i="5"/>
  <c r="D249" i="4"/>
  <c r="H250" i="4"/>
  <c r="N184" i="4"/>
  <c r="N187" i="4"/>
  <c r="N202" i="4"/>
  <c r="Q224" i="4"/>
  <c r="U224" i="4" s="1"/>
  <c r="I184" i="4"/>
  <c r="I187" i="4"/>
  <c r="I202" i="4"/>
  <c r="N250" i="4"/>
  <c r="H202" i="4"/>
  <c r="H187" i="4"/>
  <c r="M424" i="1"/>
  <c r="K425" i="1"/>
  <c r="V181" i="4"/>
  <c r="P183" i="4"/>
  <c r="P202" i="4" s="1"/>
  <c r="Q228" i="4"/>
  <c r="U228" i="4" s="1"/>
  <c r="G202" i="4"/>
  <c r="G187" i="4"/>
  <c r="G184" i="4"/>
  <c r="X19" i="4"/>
  <c r="G249" i="4"/>
  <c r="G250" i="4" s="1"/>
  <c r="O223" i="4"/>
  <c r="P382" i="1"/>
  <c r="M447" i="1"/>
  <c r="K455" i="1"/>
  <c r="P426" i="1"/>
  <c r="O446" i="1"/>
  <c r="P443" i="1"/>
  <c r="M385" i="1"/>
  <c r="K446" i="1"/>
  <c r="M443" i="1"/>
  <c r="M429" i="1"/>
  <c r="M441" i="1"/>
  <c r="D174" i="5" l="1"/>
  <c r="Q68" i="1"/>
  <c r="R68" i="1" s="1"/>
  <c r="P29" i="5"/>
  <c r="G28" i="5"/>
  <c r="G68" i="9"/>
  <c r="G96" i="9"/>
  <c r="G40" i="9"/>
  <c r="M151" i="5"/>
  <c r="F6" i="9"/>
  <c r="Q577" i="1"/>
  <c r="R577" i="1" s="1"/>
  <c r="G51" i="10"/>
  <c r="D111" i="5"/>
  <c r="G100" i="9"/>
  <c r="G49" i="9"/>
  <c r="G104" i="10"/>
  <c r="F104" i="10" s="1"/>
  <c r="G47" i="9"/>
  <c r="G105" i="9"/>
  <c r="F105" i="9" s="1"/>
  <c r="G53" i="9"/>
  <c r="D75" i="9"/>
  <c r="H503" i="1"/>
  <c r="I503" i="1" s="1"/>
  <c r="Q531" i="1"/>
  <c r="R531" i="1" s="1"/>
  <c r="T178" i="1"/>
  <c r="T573" i="1"/>
  <c r="T347" i="1"/>
  <c r="Q509" i="1"/>
  <c r="R509" i="1" s="1"/>
  <c r="R184" i="4"/>
  <c r="O629" i="1"/>
  <c r="D168" i="5"/>
  <c r="H384" i="1"/>
  <c r="I384" i="1" s="1"/>
  <c r="Q496" i="1"/>
  <c r="R496" i="1" s="1"/>
  <c r="T251" i="1"/>
  <c r="H492" i="1"/>
  <c r="I492" i="1" s="1"/>
  <c r="H528" i="1"/>
  <c r="I528" i="1" s="1"/>
  <c r="J95" i="4"/>
  <c r="O95" i="4" s="1"/>
  <c r="V95" i="4" s="1"/>
  <c r="X95" i="4" s="1"/>
  <c r="Q241" i="1"/>
  <c r="R241" i="1" s="1"/>
  <c r="Q148" i="1"/>
  <c r="R148" i="1" s="1"/>
  <c r="H417" i="1"/>
  <c r="I417" i="1" s="1"/>
  <c r="Q384" i="1"/>
  <c r="R384" i="1" s="1"/>
  <c r="H445" i="1"/>
  <c r="I445" i="1" s="1"/>
  <c r="P608" i="1"/>
  <c r="Q608" i="1" s="1"/>
  <c r="R608" i="1" s="1"/>
  <c r="G497" i="4"/>
  <c r="Q497" i="4" s="1"/>
  <c r="T573" i="4" s="1"/>
  <c r="Q348" i="1"/>
  <c r="R348" i="1" s="1"/>
  <c r="T241" i="1"/>
  <c r="O532" i="1"/>
  <c r="H598" i="1"/>
  <c r="I598" i="1" s="1"/>
  <c r="F490" i="4"/>
  <c r="T64" i="1"/>
  <c r="Q64" i="1"/>
  <c r="R64" i="1" s="1"/>
  <c r="T617" i="1"/>
  <c r="H586" i="1"/>
  <c r="I586" i="1" s="1"/>
  <c r="E16" i="2"/>
  <c r="H133" i="1"/>
  <c r="I133" i="1" s="1"/>
  <c r="Q499" i="1"/>
  <c r="R499" i="1" s="1"/>
  <c r="Q386" i="1"/>
  <c r="R386" i="1" s="1"/>
  <c r="H413" i="1"/>
  <c r="I413" i="1" s="1"/>
  <c r="T114" i="1"/>
  <c r="AQ641" i="3"/>
  <c r="AP641" i="3"/>
  <c r="T111" i="1"/>
  <c r="L3" i="1"/>
  <c r="M3" i="1" s="1"/>
  <c r="Q350" i="1"/>
  <c r="R350" i="1" s="1"/>
  <c r="C3" i="1"/>
  <c r="D3" i="1" s="1"/>
  <c r="H240" i="1"/>
  <c r="I240" i="1" s="1"/>
  <c r="T610" i="1"/>
  <c r="Q122" i="1"/>
  <c r="R122" i="1" s="1"/>
  <c r="Q102" i="1"/>
  <c r="R102" i="1" s="1"/>
  <c r="N425" i="1"/>
  <c r="L425" i="1"/>
  <c r="E487" i="4"/>
  <c r="O487" i="4" s="1"/>
  <c r="O572" i="4" s="1"/>
  <c r="H575" i="1"/>
  <c r="I575" i="1" s="1"/>
  <c r="H110" i="1"/>
  <c r="I110" i="1" s="1"/>
  <c r="Q535" i="1"/>
  <c r="R535" i="1" s="1"/>
  <c r="Q484" i="1"/>
  <c r="R484" i="1" s="1"/>
  <c r="Q522" i="1"/>
  <c r="R522" i="1" s="1"/>
  <c r="Q564" i="1"/>
  <c r="R564" i="1" s="1"/>
  <c r="Q502" i="1"/>
  <c r="R502" i="1" s="1"/>
  <c r="T122" i="1"/>
  <c r="H131" i="1"/>
  <c r="I131" i="1" s="1"/>
  <c r="H406" i="1"/>
  <c r="I406" i="1" s="1"/>
  <c r="T131" i="1"/>
  <c r="Q498" i="1"/>
  <c r="R498" i="1" s="1"/>
  <c r="Q450" i="1"/>
  <c r="R450" i="1" s="1"/>
  <c r="T578" i="1"/>
  <c r="H117" i="1"/>
  <c r="I117" i="1" s="1"/>
  <c r="Q578" i="1"/>
  <c r="R578" i="1" s="1"/>
  <c r="Q534" i="1"/>
  <c r="R534" i="1" s="1"/>
  <c r="T137" i="1"/>
  <c r="Q427" i="1"/>
  <c r="R427" i="1" s="1"/>
  <c r="H436" i="1"/>
  <c r="I436" i="1" s="1"/>
  <c r="O599" i="4"/>
  <c r="Q444" i="1"/>
  <c r="R444" i="1" s="1"/>
  <c r="Q234" i="1"/>
  <c r="R234" i="1" s="1"/>
  <c r="Q318" i="1"/>
  <c r="R318" i="1" s="1"/>
  <c r="M281" i="1"/>
  <c r="T386" i="1"/>
  <c r="Q505" i="1"/>
  <c r="R505" i="1" s="1"/>
  <c r="Q111" i="1"/>
  <c r="R111" i="1" s="1"/>
  <c r="O526" i="4"/>
  <c r="K437" i="1"/>
  <c r="H250" i="1"/>
  <c r="I250" i="1" s="1"/>
  <c r="H153" i="1"/>
  <c r="I153" i="1" s="1"/>
  <c r="Q158" i="1"/>
  <c r="R158" i="1" s="1"/>
  <c r="Q147" i="1"/>
  <c r="R147" i="1" s="1"/>
  <c r="Q616" i="1"/>
  <c r="R616" i="1" s="1"/>
  <c r="H666" i="1"/>
  <c r="I666" i="1" s="1"/>
  <c r="Q513" i="1"/>
  <c r="R513" i="1" s="1"/>
  <c r="T249" i="1"/>
  <c r="H534" i="1"/>
  <c r="I534" i="1" s="1"/>
  <c r="H564" i="1"/>
  <c r="I564" i="1" s="1"/>
  <c r="L629" i="1"/>
  <c r="Q524" i="1"/>
  <c r="R524" i="1" s="1"/>
  <c r="H165" i="1"/>
  <c r="I165" i="1" s="1"/>
  <c r="Q352" i="1"/>
  <c r="R352" i="1" s="1"/>
  <c r="T618" i="1"/>
  <c r="T413" i="1"/>
  <c r="O625" i="1"/>
  <c r="H482" i="1"/>
  <c r="I482" i="1" s="1"/>
  <c r="H111" i="1"/>
  <c r="I111" i="1" s="1"/>
  <c r="H513" i="1"/>
  <c r="I513" i="1" s="1"/>
  <c r="H618" i="1"/>
  <c r="I618" i="1" s="1"/>
  <c r="H178" i="1"/>
  <c r="I178" i="1" s="1"/>
  <c r="Q565" i="1"/>
  <c r="R565" i="1" s="1"/>
  <c r="M208" i="5"/>
  <c r="H522" i="1"/>
  <c r="I522" i="1" s="1"/>
  <c r="H176" i="1"/>
  <c r="I176" i="1" s="1"/>
  <c r="H404" i="1"/>
  <c r="I404" i="1" s="1"/>
  <c r="Q617" i="1"/>
  <c r="R617" i="1" s="1"/>
  <c r="H516" i="1"/>
  <c r="I516" i="1" s="1"/>
  <c r="Q486" i="1"/>
  <c r="R486" i="1" s="1"/>
  <c r="Q347" i="1"/>
  <c r="R347" i="1" s="1"/>
  <c r="N446" i="1"/>
  <c r="T165" i="1"/>
  <c r="Q249" i="1"/>
  <c r="R249" i="1" s="1"/>
  <c r="H200" i="1"/>
  <c r="I200" i="1" s="1"/>
  <c r="Q120" i="1"/>
  <c r="R120" i="1" s="1"/>
  <c r="P533" i="1"/>
  <c r="P536" i="1" s="1"/>
  <c r="B319" i="1"/>
  <c r="B321" i="1" s="1"/>
  <c r="Q413" i="1"/>
  <c r="R413" i="1" s="1"/>
  <c r="Q494" i="1"/>
  <c r="R494" i="1" s="1"/>
  <c r="Q487" i="4"/>
  <c r="T572" i="4" s="1"/>
  <c r="H438" i="1"/>
  <c r="I438" i="1" s="1"/>
  <c r="Q453" i="1"/>
  <c r="R453" i="1" s="1"/>
  <c r="T68" i="1"/>
  <c r="Q618" i="1"/>
  <c r="R618" i="1" s="1"/>
  <c r="Q480" i="1"/>
  <c r="R480" i="1" s="1"/>
  <c r="Q72" i="1"/>
  <c r="R72" i="1" s="1"/>
  <c r="Q317" i="1"/>
  <c r="R317" i="1" s="1"/>
  <c r="M157" i="5"/>
  <c r="C16" i="2"/>
  <c r="T72" i="1"/>
  <c r="H235" i="1"/>
  <c r="I235" i="1" s="1"/>
  <c r="G349" i="1"/>
  <c r="C672" i="1"/>
  <c r="Q561" i="1"/>
  <c r="R561" i="1" s="1"/>
  <c r="H135" i="1"/>
  <c r="I135" i="1" s="1"/>
  <c r="H241" i="1"/>
  <c r="I241" i="1" s="1"/>
  <c r="T142" i="1"/>
  <c r="T132" i="1"/>
  <c r="H602" i="1"/>
  <c r="I602" i="1" s="1"/>
  <c r="Q490" i="1"/>
  <c r="R490" i="1" s="1"/>
  <c r="Q586" i="1"/>
  <c r="R586" i="1" s="1"/>
  <c r="T180" i="1"/>
  <c r="T140" i="1"/>
  <c r="F356" i="1"/>
  <c r="F358" i="1" s="1"/>
  <c r="C146" i="2" s="1"/>
  <c r="Q512" i="1"/>
  <c r="R512" i="1" s="1"/>
  <c r="Q238" i="1"/>
  <c r="R238" i="1" s="1"/>
  <c r="Q495" i="1"/>
  <c r="R495" i="1" s="1"/>
  <c r="H396" i="1"/>
  <c r="I396" i="1" s="1"/>
  <c r="T427" i="1"/>
  <c r="M349" i="1"/>
  <c r="Q143" i="1"/>
  <c r="R143" i="1" s="1"/>
  <c r="D349" i="1"/>
  <c r="D356" i="1" s="1"/>
  <c r="H172" i="1"/>
  <c r="I172" i="1" s="1"/>
  <c r="T565" i="1"/>
  <c r="Q606" i="1"/>
  <c r="R606" i="1" s="1"/>
  <c r="T577" i="1"/>
  <c r="Q492" i="1"/>
  <c r="R492" i="1" s="1"/>
  <c r="Q573" i="1"/>
  <c r="R573" i="1" s="1"/>
  <c r="H574" i="1"/>
  <c r="I574" i="1" s="1"/>
  <c r="Q445" i="1"/>
  <c r="R445" i="1" s="1"/>
  <c r="T352" i="1"/>
  <c r="H420" i="1"/>
  <c r="I420" i="1" s="1"/>
  <c r="T420" i="1"/>
  <c r="Q428" i="1"/>
  <c r="R428" i="1" s="1"/>
  <c r="T570" i="1"/>
  <c r="T562" i="1"/>
  <c r="H587" i="1"/>
  <c r="I587" i="1" s="1"/>
  <c r="Q35" i="1"/>
  <c r="R35" i="1" s="1"/>
  <c r="G283" i="1"/>
  <c r="Q485" i="1"/>
  <c r="R485" i="1" s="1"/>
  <c r="Q493" i="1"/>
  <c r="R493" i="1" s="1"/>
  <c r="H529" i="1"/>
  <c r="I529" i="1" s="1"/>
  <c r="Q597" i="1"/>
  <c r="R597" i="1" s="1"/>
  <c r="Q603" i="1"/>
  <c r="R603" i="1" s="1"/>
  <c r="Q125" i="1"/>
  <c r="R125" i="1" s="1"/>
  <c r="Q309" i="1"/>
  <c r="R309" i="1" s="1"/>
  <c r="Q174" i="1"/>
  <c r="R174" i="1" s="1"/>
  <c r="Q251" i="1"/>
  <c r="R251" i="1" s="1"/>
  <c r="Q132" i="1"/>
  <c r="R132" i="1" s="1"/>
  <c r="F2" i="5"/>
  <c r="G2" i="5" s="1"/>
  <c r="B2" i="5"/>
  <c r="O2" i="5"/>
  <c r="P2" i="5" s="1"/>
  <c r="K2" i="5"/>
  <c r="H311" i="1"/>
  <c r="I311" i="1" s="1"/>
  <c r="K421" i="1"/>
  <c r="Q530" i="1"/>
  <c r="R530" i="1" s="1"/>
  <c r="H562" i="1"/>
  <c r="I562" i="1" s="1"/>
  <c r="H104" i="1"/>
  <c r="I104" i="1" s="1"/>
  <c r="Q161" i="1"/>
  <c r="R161" i="1" s="1"/>
  <c r="T309" i="1"/>
  <c r="H605" i="1"/>
  <c r="I605" i="1" s="1"/>
  <c r="T613" i="1"/>
  <c r="Q112" i="1"/>
  <c r="R112" i="1" s="1"/>
  <c r="H448" i="1"/>
  <c r="I448" i="1" s="1"/>
  <c r="Q36" i="1"/>
  <c r="R36" i="1" s="1"/>
  <c r="Q451" i="1"/>
  <c r="R451" i="1" s="1"/>
  <c r="G281" i="1"/>
  <c r="P345" i="1"/>
  <c r="Q131" i="1"/>
  <c r="R131" i="1" s="1"/>
  <c r="Q140" i="1"/>
  <c r="R140" i="1" s="1"/>
  <c r="Q612" i="1"/>
  <c r="R612" i="1" s="1"/>
  <c r="I214" i="10"/>
  <c r="Q595" i="1"/>
  <c r="R595" i="1" s="1"/>
  <c r="H514" i="1"/>
  <c r="I514" i="1" s="1"/>
  <c r="Q32" i="1"/>
  <c r="R32" i="1" s="1"/>
  <c r="H506" i="1"/>
  <c r="I506" i="1" s="1"/>
  <c r="T36" i="1"/>
  <c r="Q390" i="1"/>
  <c r="R390" i="1" s="1"/>
  <c r="H315" i="1"/>
  <c r="I315" i="1" s="1"/>
  <c r="Q28" i="1"/>
  <c r="R28" i="1" s="1"/>
  <c r="D218" i="5"/>
  <c r="K619" i="1"/>
  <c r="T161" i="1"/>
  <c r="T451" i="1"/>
  <c r="H180" i="1"/>
  <c r="I180" i="1" s="1"/>
  <c r="H577" i="1"/>
  <c r="I577" i="1" s="1"/>
  <c r="L437" i="1"/>
  <c r="H134" i="1"/>
  <c r="I134" i="1" s="1"/>
  <c r="H112" i="1"/>
  <c r="I112" i="1" s="1"/>
  <c r="H403" i="1"/>
  <c r="I403" i="1" s="1"/>
  <c r="Q489" i="1"/>
  <c r="R489" i="1" s="1"/>
  <c r="H72" i="1"/>
  <c r="I72" i="1" s="1"/>
  <c r="Q562" i="1"/>
  <c r="R562" i="1" s="1"/>
  <c r="Q400" i="1"/>
  <c r="R400" i="1" s="1"/>
  <c r="H64" i="1"/>
  <c r="I64" i="1" s="1"/>
  <c r="H236" i="1"/>
  <c r="I236" i="1" s="1"/>
  <c r="H589" i="1"/>
  <c r="I589" i="1" s="1"/>
  <c r="H627" i="1"/>
  <c r="I627" i="1" s="1"/>
  <c r="Q423" i="1"/>
  <c r="R423" i="1" s="1"/>
  <c r="Q236" i="1"/>
  <c r="R236" i="1" s="1"/>
  <c r="T246" i="1"/>
  <c r="H402" i="1"/>
  <c r="I402" i="1" s="1"/>
  <c r="Q29" i="1"/>
  <c r="R29" i="1" s="1"/>
  <c r="T144" i="1"/>
  <c r="Q589" i="1"/>
  <c r="R589" i="1" s="1"/>
  <c r="T235" i="1"/>
  <c r="H582" i="1"/>
  <c r="I582" i="1" s="1"/>
  <c r="H612" i="1"/>
  <c r="I612" i="1" s="1"/>
  <c r="Q491" i="1"/>
  <c r="R491" i="1" s="1"/>
  <c r="T566" i="1"/>
  <c r="H103" i="1"/>
  <c r="I103" i="1" s="1"/>
  <c r="H565" i="1"/>
  <c r="I565" i="1" s="1"/>
  <c r="Q488" i="1"/>
  <c r="R488" i="1" s="1"/>
  <c r="Q116" i="1"/>
  <c r="R116" i="1" s="1"/>
  <c r="H154" i="1"/>
  <c r="I154" i="1" s="1"/>
  <c r="H490" i="1"/>
  <c r="I490" i="1" s="1"/>
  <c r="Q588" i="1"/>
  <c r="R588" i="1" s="1"/>
  <c r="T594" i="1"/>
  <c r="H100" i="1"/>
  <c r="I100" i="1" s="1"/>
  <c r="T110" i="1"/>
  <c r="T163" i="1"/>
  <c r="H124" i="1"/>
  <c r="I124" i="1" s="1"/>
  <c r="H597" i="1"/>
  <c r="I597" i="1" s="1"/>
  <c r="Q144" i="1"/>
  <c r="R144" i="1" s="1"/>
  <c r="Q497" i="1"/>
  <c r="R497" i="1" s="1"/>
  <c r="D532" i="1"/>
  <c r="Q418" i="1"/>
  <c r="R418" i="1" s="1"/>
  <c r="T351" i="1"/>
  <c r="Q126" i="1"/>
  <c r="R126" i="1" s="1"/>
  <c r="Q66" i="1"/>
  <c r="R66" i="1" s="1"/>
  <c r="T66" i="1"/>
  <c r="Q124" i="1"/>
  <c r="R124" i="1" s="1"/>
  <c r="Q452" i="1"/>
  <c r="R452" i="1" s="1"/>
  <c r="H500" i="1"/>
  <c r="I500" i="1" s="1"/>
  <c r="T384" i="1"/>
  <c r="Q247" i="1"/>
  <c r="R247" i="1" s="1"/>
  <c r="H147" i="1"/>
  <c r="I147" i="1" s="1"/>
  <c r="H656" i="1"/>
  <c r="I656" i="1" s="1"/>
  <c r="Q178" i="1"/>
  <c r="R178" i="1" s="1"/>
  <c r="H249" i="1"/>
  <c r="I249" i="1" s="1"/>
  <c r="T592" i="1"/>
  <c r="H494" i="1"/>
  <c r="I494" i="1" s="1"/>
  <c r="H617" i="1"/>
  <c r="I617" i="1" s="1"/>
  <c r="Q389" i="1"/>
  <c r="R389" i="1" s="1"/>
  <c r="H128" i="1"/>
  <c r="I128" i="1" s="1"/>
  <c r="Q351" i="1"/>
  <c r="R351" i="1" s="1"/>
  <c r="H107" i="1"/>
  <c r="I107" i="1" s="1"/>
  <c r="T71" i="1"/>
  <c r="T37" i="1"/>
  <c r="H501" i="1"/>
  <c r="I501" i="1" s="1"/>
  <c r="T581" i="1"/>
  <c r="H71" i="1"/>
  <c r="I71" i="1" s="1"/>
  <c r="T117" i="1"/>
  <c r="H37" i="1"/>
  <c r="I37" i="1" s="1"/>
  <c r="H171" i="1"/>
  <c r="I171" i="1" s="1"/>
  <c r="T389" i="1"/>
  <c r="Q173" i="1"/>
  <c r="R173" i="1" s="1"/>
  <c r="D204" i="5"/>
  <c r="T154" i="1"/>
  <c r="Q592" i="1"/>
  <c r="R592" i="1" s="1"/>
  <c r="Q240" i="1"/>
  <c r="R240" i="1" s="1"/>
  <c r="H132" i="1"/>
  <c r="I132" i="1" s="1"/>
  <c r="H599" i="1"/>
  <c r="I599" i="1" s="1"/>
  <c r="G442" i="1"/>
  <c r="Q420" i="1"/>
  <c r="R420" i="1" s="1"/>
  <c r="H435" i="1"/>
  <c r="I435" i="1" s="1"/>
  <c r="H151" i="1"/>
  <c r="I151" i="1" s="1"/>
  <c r="M278" i="1"/>
  <c r="M245" i="1"/>
  <c r="Q246" i="1"/>
  <c r="R246" i="1" s="1"/>
  <c r="T125" i="1"/>
  <c r="H405" i="1"/>
  <c r="I405" i="1" s="1"/>
  <c r="T156" i="1"/>
  <c r="H244" i="1"/>
  <c r="I244" i="1" s="1"/>
  <c r="T444" i="1"/>
  <c r="T385" i="1"/>
  <c r="H660" i="1"/>
  <c r="I660" i="1" s="1"/>
  <c r="H251" i="1"/>
  <c r="I251" i="1" s="1"/>
  <c r="H578" i="1"/>
  <c r="I578" i="1" s="1"/>
  <c r="H568" i="1"/>
  <c r="I568" i="1" s="1"/>
  <c r="Q101" i="1"/>
  <c r="R101" i="1" s="1"/>
  <c r="T170" i="1"/>
  <c r="H170" i="1"/>
  <c r="I170" i="1" s="1"/>
  <c r="D280" i="1"/>
  <c r="H68" i="1"/>
  <c r="I68" i="1" s="1"/>
  <c r="T101" i="1"/>
  <c r="T586" i="1"/>
  <c r="D284" i="1"/>
  <c r="Q37" i="1"/>
  <c r="R37" i="1" s="1"/>
  <c r="T406" i="1"/>
  <c r="T127" i="1"/>
  <c r="Q627" i="1"/>
  <c r="R627" i="1" s="1"/>
  <c r="Q237" i="1"/>
  <c r="R237" i="1" s="1"/>
  <c r="H119" i="1"/>
  <c r="I119" i="1" s="1"/>
  <c r="H355" i="1"/>
  <c r="I355" i="1" s="1"/>
  <c r="T598" i="1"/>
  <c r="T623" i="1"/>
  <c r="T417" i="1"/>
  <c r="H155" i="1"/>
  <c r="I155" i="1" s="1"/>
  <c r="T405" i="1"/>
  <c r="T585" i="1"/>
  <c r="Q137" i="1"/>
  <c r="R137" i="1" s="1"/>
  <c r="D191" i="5"/>
  <c r="T574" i="1"/>
  <c r="H609" i="1"/>
  <c r="I609" i="1" s="1"/>
  <c r="H484" i="1"/>
  <c r="I484" i="1" s="1"/>
  <c r="H137" i="1"/>
  <c r="I137" i="1" s="1"/>
  <c r="M279" i="1"/>
  <c r="H502" i="1"/>
  <c r="I502" i="1" s="1"/>
  <c r="H130" i="1"/>
  <c r="I130" i="1" s="1"/>
  <c r="Q166" i="1"/>
  <c r="R166" i="1" s="1"/>
  <c r="Q482" i="1"/>
  <c r="R482" i="1" s="1"/>
  <c r="Q399" i="1"/>
  <c r="R399" i="1" s="1"/>
  <c r="Q121" i="1"/>
  <c r="R121" i="1" s="1"/>
  <c r="H596" i="1"/>
  <c r="I596" i="1" s="1"/>
  <c r="Q593" i="1"/>
  <c r="R593" i="1" s="1"/>
  <c r="H125" i="1"/>
  <c r="I125" i="1" s="1"/>
  <c r="H116" i="1"/>
  <c r="I116" i="1" s="1"/>
  <c r="T121" i="1"/>
  <c r="D282" i="1"/>
  <c r="H626" i="1"/>
  <c r="I626" i="1" s="1"/>
  <c r="T176" i="1"/>
  <c r="T430" i="1"/>
  <c r="T29" i="1"/>
  <c r="P200" i="5"/>
  <c r="H314" i="1"/>
  <c r="I314" i="1" s="1"/>
  <c r="T119" i="1"/>
  <c r="H444" i="1"/>
  <c r="I444" i="1" s="1"/>
  <c r="T435" i="1"/>
  <c r="Q519" i="1"/>
  <c r="R519" i="1" s="1"/>
  <c r="Q415" i="1"/>
  <c r="R415" i="1" s="1"/>
  <c r="T314" i="1"/>
  <c r="H563" i="1"/>
  <c r="I563" i="1" s="1"/>
  <c r="H430" i="1"/>
  <c r="I430" i="1" s="1"/>
  <c r="H318" i="1"/>
  <c r="I318" i="1" s="1"/>
  <c r="T431" i="1"/>
  <c r="H129" i="1"/>
  <c r="I129" i="1" s="1"/>
  <c r="O527" i="1"/>
  <c r="H654" i="1"/>
  <c r="H655" i="1" s="1"/>
  <c r="I655" i="1" s="1"/>
  <c r="H144" i="1"/>
  <c r="I144" i="1" s="1"/>
  <c r="H385" i="1"/>
  <c r="I385" i="1" s="1"/>
  <c r="H623" i="1"/>
  <c r="I623" i="1" s="1"/>
  <c r="H487" i="1"/>
  <c r="I487" i="1" s="1"/>
  <c r="H416" i="1"/>
  <c r="I416" i="1" s="1"/>
  <c r="T315" i="1"/>
  <c r="T416" i="1"/>
  <c r="Q311" i="1"/>
  <c r="R311" i="1" s="1"/>
  <c r="H156" i="1"/>
  <c r="I156" i="1" s="1"/>
  <c r="P281" i="1"/>
  <c r="T597" i="1"/>
  <c r="M253" i="1"/>
  <c r="G345" i="1"/>
  <c r="Q354" i="1"/>
  <c r="R354" i="1" s="1"/>
  <c r="Q176" i="1"/>
  <c r="R176" i="1" s="1"/>
  <c r="H657" i="1"/>
  <c r="I657" i="1" s="1"/>
  <c r="G82" i="9"/>
  <c r="F82" i="9" s="1"/>
  <c r="D60" i="10"/>
  <c r="D69" i="9"/>
  <c r="Q611" i="1"/>
  <c r="R611" i="1" s="1"/>
  <c r="H234" i="1"/>
  <c r="I234" i="1" s="1"/>
  <c r="H352" i="1"/>
  <c r="I352" i="1" s="1"/>
  <c r="T152" i="1"/>
  <c r="H101" i="1"/>
  <c r="I101" i="1" s="1"/>
  <c r="Q152" i="1"/>
  <c r="R152" i="1" s="1"/>
  <c r="Q614" i="1"/>
  <c r="R614" i="1" s="1"/>
  <c r="T583" i="1"/>
  <c r="Q383" i="1"/>
  <c r="R383" i="1" s="1"/>
  <c r="T411" i="1"/>
  <c r="Q566" i="1"/>
  <c r="R566" i="1" s="1"/>
  <c r="H141" i="1"/>
  <c r="I141" i="1" s="1"/>
  <c r="H152" i="1"/>
  <c r="I152" i="1" s="1"/>
  <c r="L356" i="1"/>
  <c r="L358" i="1" s="1"/>
  <c r="Q105" i="1"/>
  <c r="R105" i="1" s="1"/>
  <c r="T157" i="1"/>
  <c r="H29" i="1"/>
  <c r="I29" i="1" s="1"/>
  <c r="T587" i="1"/>
  <c r="O321" i="1"/>
  <c r="E142" i="2" s="1"/>
  <c r="G61" i="9"/>
  <c r="M221" i="5"/>
  <c r="T234" i="1"/>
  <c r="Q590" i="1"/>
  <c r="R590" i="1" s="1"/>
  <c r="Q151" i="1"/>
  <c r="R151" i="1" s="1"/>
  <c r="H121" i="1"/>
  <c r="I121" i="1" s="1"/>
  <c r="L319" i="1"/>
  <c r="L321" i="1" s="1"/>
  <c r="N437" i="1"/>
  <c r="H431" i="1"/>
  <c r="I431" i="1" s="1"/>
  <c r="Q430" i="1"/>
  <c r="R430" i="1" s="1"/>
  <c r="M626" i="1"/>
  <c r="M629" i="1" s="1"/>
  <c r="T129" i="1"/>
  <c r="T588" i="1"/>
  <c r="Q504" i="1"/>
  <c r="R504" i="1" s="1"/>
  <c r="Q154" i="1"/>
  <c r="R154" i="1" s="1"/>
  <c r="D187" i="5"/>
  <c r="T563" i="1"/>
  <c r="D313" i="1"/>
  <c r="H313" i="1" s="1"/>
  <c r="I313" i="1" s="1"/>
  <c r="T383" i="1"/>
  <c r="T593" i="1"/>
  <c r="Q314" i="1"/>
  <c r="R314" i="1" s="1"/>
  <c r="H566" i="1"/>
  <c r="I566" i="1" s="1"/>
  <c r="H426" i="1"/>
  <c r="I426" i="1" s="1"/>
  <c r="H391" i="1"/>
  <c r="I391" i="1" s="1"/>
  <c r="Q110" i="1"/>
  <c r="R110" i="1" s="1"/>
  <c r="T143" i="1"/>
  <c r="H486" i="1"/>
  <c r="I486" i="1" s="1"/>
  <c r="H157" i="1"/>
  <c r="I157" i="1" s="1"/>
  <c r="T116" i="1"/>
  <c r="T124" i="1"/>
  <c r="T173" i="1"/>
  <c r="H394" i="1"/>
  <c r="I394" i="1" s="1"/>
  <c r="G671" i="1"/>
  <c r="Q71" i="1"/>
  <c r="R71" i="1" s="1"/>
  <c r="T164" i="1"/>
  <c r="H63" i="1"/>
  <c r="I63" i="1" s="1"/>
  <c r="H140" i="1"/>
  <c r="I140" i="1" s="1"/>
  <c r="Q621" i="1"/>
  <c r="R621" i="1" s="1"/>
  <c r="H567" i="1"/>
  <c r="I567" i="1" s="1"/>
  <c r="T105" i="1"/>
  <c r="Q138" i="1"/>
  <c r="R138" i="1" s="1"/>
  <c r="T620" i="1"/>
  <c r="H453" i="1"/>
  <c r="I453" i="1" s="1"/>
  <c r="Q567" i="1"/>
  <c r="R567" i="1" s="1"/>
  <c r="Q525" i="1"/>
  <c r="R525" i="1" s="1"/>
  <c r="Q409" i="1"/>
  <c r="R409" i="1" s="1"/>
  <c r="Q585" i="1"/>
  <c r="R585" i="1" s="1"/>
  <c r="H593" i="1"/>
  <c r="I593" i="1" s="1"/>
  <c r="H662" i="1"/>
  <c r="I662" i="1" s="1"/>
  <c r="O574" i="4"/>
  <c r="T574" i="4"/>
  <c r="Q159" i="1"/>
  <c r="R159" i="1" s="1"/>
  <c r="T318" i="1"/>
  <c r="D281" i="1"/>
  <c r="H281" i="1" s="1"/>
  <c r="I281" i="1" s="1"/>
  <c r="D629" i="1"/>
  <c r="H397" i="1"/>
  <c r="I397" i="1" s="1"/>
  <c r="T149" i="1"/>
  <c r="H164" i="1"/>
  <c r="I164" i="1" s="1"/>
  <c r="M195" i="5"/>
  <c r="D38" i="2"/>
  <c r="H422" i="1"/>
  <c r="I422" i="1" s="1"/>
  <c r="T100" i="1"/>
  <c r="Q432" i="1"/>
  <c r="R432" i="1" s="1"/>
  <c r="H443" i="1"/>
  <c r="I443" i="1" s="1"/>
  <c r="Q407" i="1"/>
  <c r="R407" i="1" s="1"/>
  <c r="H162" i="1"/>
  <c r="I162" i="1" s="1"/>
  <c r="Q419" i="1"/>
  <c r="R419" i="1" s="1"/>
  <c r="H69" i="1"/>
  <c r="I69" i="1" s="1"/>
  <c r="Q149" i="1"/>
  <c r="R149" i="1" s="1"/>
  <c r="H122" i="1"/>
  <c r="I122" i="1" s="1"/>
  <c r="T404" i="1"/>
  <c r="Q598" i="1"/>
  <c r="R598" i="1" s="1"/>
  <c r="Q623" i="1"/>
  <c r="R623" i="1" s="1"/>
  <c r="Q248" i="1"/>
  <c r="R248" i="1" s="1"/>
  <c r="Q570" i="1"/>
  <c r="R570" i="1" s="1"/>
  <c r="Q141" i="1"/>
  <c r="R141" i="1" s="1"/>
  <c r="Q103" i="1"/>
  <c r="R103" i="1" s="1"/>
  <c r="H148" i="1"/>
  <c r="I148" i="1" s="1"/>
  <c r="T109" i="1"/>
  <c r="T621" i="1"/>
  <c r="T571" i="1"/>
  <c r="H670" i="1"/>
  <c r="I670" i="1" s="1"/>
  <c r="T355" i="1"/>
  <c r="Q405" i="1"/>
  <c r="R405" i="1" s="1"/>
  <c r="H440" i="1"/>
  <c r="I440" i="1" s="1"/>
  <c r="H237" i="1"/>
  <c r="I237" i="1" s="1"/>
  <c r="D224" i="5"/>
  <c r="Q481" i="1"/>
  <c r="R481" i="1" s="1"/>
  <c r="Q624" i="1"/>
  <c r="R624" i="1" s="1"/>
  <c r="H588" i="1"/>
  <c r="I588" i="1" s="1"/>
  <c r="Q628" i="1"/>
  <c r="R628" i="1" s="1"/>
  <c r="D231" i="5"/>
  <c r="H309" i="1"/>
  <c r="I309" i="1" s="1"/>
  <c r="H570" i="1"/>
  <c r="I570" i="1" s="1"/>
  <c r="T112" i="1"/>
  <c r="B12" i="2"/>
  <c r="H423" i="1"/>
  <c r="I423" i="1" s="1"/>
  <c r="P284" i="1"/>
  <c r="O437" i="1"/>
  <c r="Q508" i="1"/>
  <c r="R508" i="1" s="1"/>
  <c r="H36" i="1"/>
  <c r="I36" i="1" s="1"/>
  <c r="Q145" i="1"/>
  <c r="R145" i="1" s="1"/>
  <c r="T599" i="1"/>
  <c r="H615" i="1"/>
  <c r="I615" i="1" s="1"/>
  <c r="Q454" i="1"/>
  <c r="R454" i="1" s="1"/>
  <c r="H414" i="1"/>
  <c r="I414" i="1" s="1"/>
  <c r="L421" i="1"/>
  <c r="H389" i="1"/>
  <c r="I389" i="1" s="1"/>
  <c r="H439" i="1"/>
  <c r="I439" i="1" s="1"/>
  <c r="T418" i="1"/>
  <c r="Q431" i="1"/>
  <c r="R431" i="1" s="1"/>
  <c r="D67" i="1"/>
  <c r="D195" i="5"/>
  <c r="H387" i="1"/>
  <c r="I387" i="1" s="1"/>
  <c r="T115" i="1"/>
  <c r="Q162" i="1"/>
  <c r="R162" i="1" s="1"/>
  <c r="Q582" i="1"/>
  <c r="R582" i="1" s="1"/>
  <c r="M284" i="1"/>
  <c r="T440" i="1"/>
  <c r="T615" i="1"/>
  <c r="T317" i="1"/>
  <c r="T568" i="1"/>
  <c r="Q583" i="1"/>
  <c r="R583" i="1" s="1"/>
  <c r="T126" i="1"/>
  <c r="H661" i="1"/>
  <c r="I661" i="1" s="1"/>
  <c r="T28" i="1"/>
  <c r="H109" i="1"/>
  <c r="I109" i="1" s="1"/>
  <c r="H664" i="1"/>
  <c r="I664" i="1" s="1"/>
  <c r="T576" i="1"/>
  <c r="H585" i="1"/>
  <c r="I585" i="1" s="1"/>
  <c r="H399" i="1"/>
  <c r="I399" i="1" s="1"/>
  <c r="Q398" i="1"/>
  <c r="R398" i="1" s="1"/>
  <c r="H512" i="1"/>
  <c r="I512" i="1" s="1"/>
  <c r="Q483" i="1"/>
  <c r="R483" i="1" s="1"/>
  <c r="T396" i="1"/>
  <c r="H525" i="1"/>
  <c r="I525" i="1" s="1"/>
  <c r="Q517" i="1"/>
  <c r="R517" i="1" s="1"/>
  <c r="Q411" i="1"/>
  <c r="R411" i="1" s="1"/>
  <c r="H407" i="1"/>
  <c r="I407" i="1" s="1"/>
  <c r="Q408" i="1"/>
  <c r="R408" i="1" s="1"/>
  <c r="H485" i="1"/>
  <c r="I485" i="1" s="1"/>
  <c r="Q503" i="1"/>
  <c r="R503" i="1" s="1"/>
  <c r="Q510" i="1"/>
  <c r="R510" i="1" s="1"/>
  <c r="T453" i="1"/>
  <c r="T397" i="1"/>
  <c r="H498" i="1"/>
  <c r="I498" i="1" s="1"/>
  <c r="H427" i="1"/>
  <c r="I427" i="1" s="1"/>
  <c r="H415" i="1"/>
  <c r="I415" i="1" s="1"/>
  <c r="G280" i="1"/>
  <c r="Q355" i="1"/>
  <c r="R355" i="1" s="1"/>
  <c r="Q180" i="1"/>
  <c r="R180" i="1" s="1"/>
  <c r="H481" i="1"/>
  <c r="I481" i="1" s="1"/>
  <c r="D425" i="1"/>
  <c r="H410" i="1"/>
  <c r="I410" i="1" s="1"/>
  <c r="T572" i="1"/>
  <c r="T424" i="1"/>
  <c r="T394" i="1"/>
  <c r="H401" i="1"/>
  <c r="I401" i="1" s="1"/>
  <c r="P320" i="1"/>
  <c r="H34" i="1"/>
  <c r="I34" i="1" s="1"/>
  <c r="P279" i="1"/>
  <c r="Q392" i="1"/>
  <c r="R392" i="1" s="1"/>
  <c r="H383" i="1"/>
  <c r="I383" i="1" s="1"/>
  <c r="H663" i="1"/>
  <c r="I663" i="1" s="1"/>
  <c r="Q434" i="1"/>
  <c r="R434" i="1" s="1"/>
  <c r="H434" i="1"/>
  <c r="I434" i="1" s="1"/>
  <c r="T155" i="1"/>
  <c r="Q200" i="1"/>
  <c r="R200" i="1" s="1"/>
  <c r="Q70" i="1"/>
  <c r="R70" i="1" s="1"/>
  <c r="K356" i="1"/>
  <c r="K358" i="1" s="1"/>
  <c r="Q579" i="1"/>
  <c r="R579" i="1" s="1"/>
  <c r="T415" i="1"/>
  <c r="T147" i="1"/>
  <c r="Q100" i="1"/>
  <c r="R100" i="1" s="1"/>
  <c r="H126" i="1"/>
  <c r="I126" i="1" s="1"/>
  <c r="Q393" i="1"/>
  <c r="R393" i="1" s="1"/>
  <c r="T346" i="1"/>
  <c r="H102" i="1"/>
  <c r="I102" i="1" s="1"/>
  <c r="Q417" i="1"/>
  <c r="R417" i="1" s="1"/>
  <c r="L600" i="1"/>
  <c r="H424" i="1"/>
  <c r="H433" i="1"/>
  <c r="I433" i="1" s="1"/>
  <c r="H489" i="1"/>
  <c r="I489" i="1" s="1"/>
  <c r="Q397" i="1"/>
  <c r="R397" i="1" s="1"/>
  <c r="H592" i="1"/>
  <c r="I592" i="1" s="1"/>
  <c r="T567" i="1"/>
  <c r="Q129" i="1"/>
  <c r="R129" i="1" s="1"/>
  <c r="H409" i="1"/>
  <c r="I409" i="1" s="1"/>
  <c r="Q170" i="1"/>
  <c r="R170" i="1" s="1"/>
  <c r="Q163" i="1"/>
  <c r="R163" i="1" s="1"/>
  <c r="H572" i="1"/>
  <c r="I572" i="1" s="1"/>
  <c r="Q171" i="1"/>
  <c r="R171" i="1" s="1"/>
  <c r="H351" i="1"/>
  <c r="I351" i="1" s="1"/>
  <c r="E6" i="2"/>
  <c r="H247" i="1"/>
  <c r="I247" i="1" s="1"/>
  <c r="N527" i="1"/>
  <c r="T33" i="1"/>
  <c r="T69" i="1"/>
  <c r="K442" i="1"/>
  <c r="T409" i="1"/>
  <c r="D455" i="1"/>
  <c r="H491" i="1"/>
  <c r="I491" i="1" s="1"/>
  <c r="H510" i="1"/>
  <c r="I510" i="1" s="1"/>
  <c r="Q412" i="1"/>
  <c r="R412" i="1" s="1"/>
  <c r="M529" i="1"/>
  <c r="Q529" i="1" s="1"/>
  <c r="R529" i="1" s="1"/>
  <c r="T403" i="1"/>
  <c r="T447" i="1"/>
  <c r="T392" i="1"/>
  <c r="T434" i="1"/>
  <c r="O421" i="1"/>
  <c r="L527" i="1"/>
  <c r="G446" i="1"/>
  <c r="H418" i="1"/>
  <c r="I418" i="1" s="1"/>
  <c r="H447" i="1"/>
  <c r="I447" i="1" s="1"/>
  <c r="H518" i="1"/>
  <c r="I518" i="1" s="1"/>
  <c r="K532" i="1"/>
  <c r="Q436" i="1"/>
  <c r="R436" i="1" s="1"/>
  <c r="T401" i="1"/>
  <c r="Q401" i="1"/>
  <c r="R401" i="1" s="1"/>
  <c r="D208" i="5"/>
  <c r="T102" i="1"/>
  <c r="M181" i="1"/>
  <c r="H392" i="1"/>
  <c r="I392" i="1" s="1"/>
  <c r="P626" i="1"/>
  <c r="T626" i="1" s="1"/>
  <c r="M187" i="5"/>
  <c r="K319" i="1"/>
  <c r="K321" i="1" s="1"/>
  <c r="D202" i="5"/>
  <c r="T151" i="1"/>
  <c r="H161" i="1"/>
  <c r="I161" i="1" s="1"/>
  <c r="D607" i="1"/>
  <c r="H238" i="1"/>
  <c r="I238" i="1" s="1"/>
  <c r="Q403" i="1"/>
  <c r="R403" i="1" s="1"/>
  <c r="T174" i="1"/>
  <c r="H346" i="1"/>
  <c r="I346" i="1" s="1"/>
  <c r="G357" i="1"/>
  <c r="H579" i="1"/>
  <c r="I579" i="1" s="1"/>
  <c r="H561" i="1"/>
  <c r="I561" i="1" s="1"/>
  <c r="Q109" i="1"/>
  <c r="R109" i="1" s="1"/>
  <c r="Q447" i="1"/>
  <c r="R447" i="1" s="1"/>
  <c r="T311" i="1"/>
  <c r="N600" i="1"/>
  <c r="M345" i="1"/>
  <c r="T313" i="1"/>
  <c r="M182" i="5"/>
  <c r="D16" i="2"/>
  <c r="H620" i="1"/>
  <c r="I620" i="1" s="1"/>
  <c r="Q235" i="1"/>
  <c r="R235" i="1" s="1"/>
  <c r="P177" i="1"/>
  <c r="Q113" i="1"/>
  <c r="R113" i="1" s="1"/>
  <c r="Q518" i="1"/>
  <c r="R518" i="1" s="1"/>
  <c r="T35" i="1"/>
  <c r="H441" i="1"/>
  <c r="I441" i="1" s="1"/>
  <c r="T441" i="1"/>
  <c r="T171" i="1"/>
  <c r="H517" i="1"/>
  <c r="I517" i="1" s="1"/>
  <c r="H573" i="1"/>
  <c r="I573" i="1" s="1"/>
  <c r="H451" i="1"/>
  <c r="I451" i="1" s="1"/>
  <c r="N319" i="1"/>
  <c r="N321" i="1" s="1"/>
  <c r="D142" i="2" s="1"/>
  <c r="T407" i="1"/>
  <c r="D177" i="1"/>
  <c r="P528" i="1"/>
  <c r="P532" i="1" s="1"/>
  <c r="T31" i="1"/>
  <c r="H66" i="1"/>
  <c r="I66" i="1" s="1"/>
  <c r="H70" i="1"/>
  <c r="I70" i="1" s="1"/>
  <c r="H393" i="1"/>
  <c r="I393" i="1" s="1"/>
  <c r="G284" i="1"/>
  <c r="Q346" i="1"/>
  <c r="R346" i="1" s="1"/>
  <c r="L607" i="1"/>
  <c r="Q106" i="1"/>
  <c r="R106" i="1" s="1"/>
  <c r="B672" i="1"/>
  <c r="P278" i="1"/>
  <c r="Q127" i="1"/>
  <c r="R127" i="1" s="1"/>
  <c r="H395" i="1"/>
  <c r="I395" i="1" s="1"/>
  <c r="M283" i="1"/>
  <c r="Q135" i="1"/>
  <c r="R135" i="1" s="1"/>
  <c r="Q63" i="1"/>
  <c r="R63" i="1" s="1"/>
  <c r="T390" i="1"/>
  <c r="Q594" i="1"/>
  <c r="R594" i="1" s="1"/>
  <c r="H353" i="1"/>
  <c r="I353" i="1" s="1"/>
  <c r="T166" i="1"/>
  <c r="G320" i="1"/>
  <c r="H616" i="1"/>
  <c r="I616" i="1" s="1"/>
  <c r="T138" i="1"/>
  <c r="P282" i="1"/>
  <c r="G625" i="1"/>
  <c r="T107" i="1"/>
  <c r="T247" i="1"/>
  <c r="M177" i="1"/>
  <c r="G437" i="1"/>
  <c r="D278" i="1"/>
  <c r="H505" i="1"/>
  <c r="I505" i="1" s="1"/>
  <c r="H113" i="1"/>
  <c r="I113" i="1" s="1"/>
  <c r="D283" i="1"/>
  <c r="H449" i="1"/>
  <c r="I449" i="1" s="1"/>
  <c r="H611" i="1"/>
  <c r="I611" i="1" s="1"/>
  <c r="Q315" i="1"/>
  <c r="R315" i="1" s="1"/>
  <c r="T611" i="1"/>
  <c r="Q581" i="1"/>
  <c r="R581" i="1" s="1"/>
  <c r="G282" i="1"/>
  <c r="P625" i="1"/>
  <c r="H412" i="1"/>
  <c r="I412" i="1" s="1"/>
  <c r="H488" i="1"/>
  <c r="I488" i="1" s="1"/>
  <c r="H348" i="1"/>
  <c r="I348" i="1" s="1"/>
  <c r="Q136" i="1"/>
  <c r="R136" i="1" s="1"/>
  <c r="H419" i="1"/>
  <c r="I419" i="1" s="1"/>
  <c r="E672" i="1"/>
  <c r="B162" i="2" s="1"/>
  <c r="T153" i="1"/>
  <c r="H175" i="1"/>
  <c r="I175" i="1" s="1"/>
  <c r="T410" i="1"/>
  <c r="Q591" i="1"/>
  <c r="R591" i="1" s="1"/>
  <c r="Q387" i="1"/>
  <c r="R387" i="1" s="1"/>
  <c r="T398" i="1"/>
  <c r="T602" i="1"/>
  <c r="H624" i="1"/>
  <c r="I624" i="1" s="1"/>
  <c r="Q316" i="1"/>
  <c r="R316" i="1" s="1"/>
  <c r="H105" i="1"/>
  <c r="I105" i="1" s="1"/>
  <c r="Q34" i="1"/>
  <c r="R34" i="1" s="1"/>
  <c r="H350" i="1"/>
  <c r="I350" i="1" s="1"/>
  <c r="T595" i="1"/>
  <c r="D181" i="1"/>
  <c r="Q157" i="1"/>
  <c r="R157" i="1" s="1"/>
  <c r="T243" i="1"/>
  <c r="H163" i="1"/>
  <c r="I163" i="1" s="1"/>
  <c r="H603" i="1"/>
  <c r="I603" i="1" s="1"/>
  <c r="H614" i="1"/>
  <c r="I614" i="1" s="1"/>
  <c r="D442" i="1"/>
  <c r="Q604" i="1"/>
  <c r="R604" i="1" s="1"/>
  <c r="Q404" i="1"/>
  <c r="R404" i="1" s="1"/>
  <c r="T104" i="1"/>
  <c r="H493" i="1"/>
  <c r="I493" i="1" s="1"/>
  <c r="T158" i="1"/>
  <c r="H584" i="1"/>
  <c r="I584" i="1" s="1"/>
  <c r="T136" i="1"/>
  <c r="B356" i="1"/>
  <c r="B358" i="1" s="1"/>
  <c r="H316" i="1"/>
  <c r="I316" i="1" s="1"/>
  <c r="T316" i="1"/>
  <c r="H158" i="1"/>
  <c r="I158" i="1" s="1"/>
  <c r="Q576" i="1"/>
  <c r="R576" i="1" s="1"/>
  <c r="D193" i="5"/>
  <c r="M563" i="1"/>
  <c r="Q563" i="1" s="1"/>
  <c r="R563" i="1" s="1"/>
  <c r="Q615" i="1"/>
  <c r="R615" i="1" s="1"/>
  <c r="T238" i="1"/>
  <c r="T579" i="1"/>
  <c r="G73" i="1"/>
  <c r="T348" i="1"/>
  <c r="Q441" i="1"/>
  <c r="R441" i="1" s="1"/>
  <c r="N455" i="1"/>
  <c r="P455" i="1" s="1"/>
  <c r="T614" i="1"/>
  <c r="T353" i="1"/>
  <c r="T428" i="1"/>
  <c r="O442" i="1"/>
  <c r="T603" i="1"/>
  <c r="Q107" i="1"/>
  <c r="R107" i="1" s="1"/>
  <c r="T436" i="1"/>
  <c r="T616" i="1"/>
  <c r="T350" i="1"/>
  <c r="H408" i="1"/>
  <c r="I408" i="1" s="1"/>
  <c r="Q414" i="1"/>
  <c r="R414" i="1" s="1"/>
  <c r="H136" i="1"/>
  <c r="I136" i="1" s="1"/>
  <c r="H149" i="1"/>
  <c r="I149" i="1" s="1"/>
  <c r="Q33" i="1"/>
  <c r="R33" i="1" s="1"/>
  <c r="H595" i="1"/>
  <c r="I595" i="1" s="1"/>
  <c r="Q622" i="1"/>
  <c r="R622" i="1" s="1"/>
  <c r="H509" i="1"/>
  <c r="I509" i="1" s="1"/>
  <c r="H347" i="1"/>
  <c r="I347" i="1" s="1"/>
  <c r="Q599" i="1"/>
  <c r="R599" i="1" s="1"/>
  <c r="D253" i="1"/>
  <c r="T591" i="1"/>
  <c r="Q571" i="1"/>
  <c r="R571" i="1" s="1"/>
  <c r="B285" i="1"/>
  <c r="D38" i="1"/>
  <c r="G169" i="1"/>
  <c r="G245" i="1"/>
  <c r="T106" i="1"/>
  <c r="T575" i="1"/>
  <c r="Q118" i="1"/>
  <c r="R118" i="1" s="1"/>
  <c r="D245" i="1"/>
  <c r="M218" i="5"/>
  <c r="Q243" i="1"/>
  <c r="R243" i="1" s="1"/>
  <c r="O356" i="1"/>
  <c r="O358" i="1" s="1"/>
  <c r="E146" i="2" s="1"/>
  <c r="Q602" i="1"/>
  <c r="R602" i="1" s="1"/>
  <c r="D320" i="1"/>
  <c r="H248" i="1"/>
  <c r="I248" i="1" s="1"/>
  <c r="M280" i="1"/>
  <c r="F672" i="1"/>
  <c r="C162" i="2" s="1"/>
  <c r="Q572" i="1"/>
  <c r="R572" i="1" s="1"/>
  <c r="M607" i="1"/>
  <c r="H583" i="1"/>
  <c r="I583" i="1" s="1"/>
  <c r="Q104" i="1"/>
  <c r="R104" i="1" s="1"/>
  <c r="C319" i="1"/>
  <c r="C321" i="1" s="1"/>
  <c r="M73" i="1"/>
  <c r="H571" i="1"/>
  <c r="I571" i="1" s="1"/>
  <c r="T120" i="1"/>
  <c r="H606" i="1"/>
  <c r="I606" i="1" s="1"/>
  <c r="E356" i="1"/>
  <c r="E358" i="1" s="1"/>
  <c r="B146" i="2" s="1"/>
  <c r="G455" i="1"/>
  <c r="G181" i="1"/>
  <c r="N625" i="1"/>
  <c r="H601" i="1"/>
  <c r="I601" i="1" s="1"/>
  <c r="H610" i="1"/>
  <c r="I610" i="1" s="1"/>
  <c r="H252" i="1"/>
  <c r="I252" i="1" s="1"/>
  <c r="H166" i="1"/>
  <c r="I166" i="1" s="1"/>
  <c r="H138" i="1"/>
  <c r="I138" i="1" s="1"/>
  <c r="T450" i="1"/>
  <c r="H669" i="1"/>
  <c r="I669" i="1" s="1"/>
  <c r="H115" i="1"/>
  <c r="I115" i="1" s="1"/>
  <c r="H526" i="1"/>
  <c r="I526" i="1" s="1"/>
  <c r="H28" i="1"/>
  <c r="I28" i="1" s="1"/>
  <c r="H667" i="1"/>
  <c r="I667" i="1" s="1"/>
  <c r="Q580" i="1"/>
  <c r="R580" i="1" s="1"/>
  <c r="T580" i="1"/>
  <c r="Q150" i="1"/>
  <c r="R150" i="1" s="1"/>
  <c r="T408" i="1"/>
  <c r="H317" i="1"/>
  <c r="I317" i="1" s="1"/>
  <c r="G177" i="1"/>
  <c r="P253" i="1"/>
  <c r="P31" i="5"/>
  <c r="T561" i="1"/>
  <c r="G668" i="1"/>
  <c r="O600" i="1"/>
  <c r="M198" i="5"/>
  <c r="H243" i="1"/>
  <c r="I243" i="1" s="1"/>
  <c r="T145" i="1"/>
  <c r="D186" i="5"/>
  <c r="G59" i="9"/>
  <c r="G50" i="9"/>
  <c r="F50" i="9" s="1"/>
  <c r="G60" i="9"/>
  <c r="F60" i="9" s="1"/>
  <c r="G99" i="10"/>
  <c r="F99" i="10" s="1"/>
  <c r="G51" i="9"/>
  <c r="G33" i="9"/>
  <c r="L446" i="1"/>
  <c r="H628" i="1"/>
  <c r="I628" i="1" s="1"/>
  <c r="Q514" i="1"/>
  <c r="R514" i="1" s="1"/>
  <c r="H452" i="1"/>
  <c r="I452" i="1" s="1"/>
  <c r="Q440" i="1"/>
  <c r="R440" i="1" s="1"/>
  <c r="T596" i="1"/>
  <c r="Q422" i="1"/>
  <c r="R422" i="1" s="1"/>
  <c r="G619" i="1"/>
  <c r="T445" i="1"/>
  <c r="G62" i="10"/>
  <c r="D71" i="5"/>
  <c r="B671" i="8"/>
  <c r="Q507" i="1"/>
  <c r="R507" i="1" s="1"/>
  <c r="H508" i="1"/>
  <c r="I508" i="1" s="1"/>
  <c r="H576" i="1"/>
  <c r="I576" i="1" s="1"/>
  <c r="T399" i="1"/>
  <c r="Q568" i="1"/>
  <c r="R568" i="1" s="1"/>
  <c r="H594" i="1"/>
  <c r="I594" i="1" s="1"/>
  <c r="Q521" i="1"/>
  <c r="R521" i="1" s="1"/>
  <c r="H621" i="1"/>
  <c r="I621" i="1" s="1"/>
  <c r="M446" i="1"/>
  <c r="K600" i="1"/>
  <c r="N619" i="1"/>
  <c r="Q433" i="1"/>
  <c r="R433" i="1" s="1"/>
  <c r="Q69" i="1"/>
  <c r="R69" i="1" s="1"/>
  <c r="K607" i="1"/>
  <c r="Q115" i="1"/>
  <c r="R115" i="1" s="1"/>
  <c r="G253" i="1"/>
  <c r="T606" i="1"/>
  <c r="G629" i="1"/>
  <c r="H608" i="1"/>
  <c r="I608" i="1" s="1"/>
  <c r="D250" i="5"/>
  <c r="D95" i="9"/>
  <c r="G56" i="9"/>
  <c r="P36" i="5"/>
  <c r="D44" i="9"/>
  <c r="G48" i="9"/>
  <c r="F48" i="9" s="1"/>
  <c r="H580" i="1"/>
  <c r="I580" i="1" s="1"/>
  <c r="H511" i="1"/>
  <c r="I511" i="1" s="1"/>
  <c r="H432" i="1"/>
  <c r="I432" i="1" s="1"/>
  <c r="H497" i="1"/>
  <c r="I497" i="1" s="1"/>
  <c r="Q153" i="1"/>
  <c r="R153" i="1" s="1"/>
  <c r="T237" i="1"/>
  <c r="H398" i="1"/>
  <c r="I398" i="1" s="1"/>
  <c r="T627" i="1"/>
  <c r="L515" i="1"/>
  <c r="O515" i="1"/>
  <c r="T622" i="1"/>
  <c r="T419" i="1"/>
  <c r="P35" i="5"/>
  <c r="Q394" i="1"/>
  <c r="R394" i="1" s="1"/>
  <c r="H613" i="1"/>
  <c r="I613" i="1" s="1"/>
  <c r="H143" i="1"/>
  <c r="I143" i="1" s="1"/>
  <c r="H142" i="1"/>
  <c r="I142" i="1" s="1"/>
  <c r="H495" i="1"/>
  <c r="I495" i="1" s="1"/>
  <c r="H428" i="1"/>
  <c r="I428" i="1" s="1"/>
  <c r="T414" i="1"/>
  <c r="F319" i="1"/>
  <c r="F321" i="1" s="1"/>
  <c r="C142" i="2" s="1"/>
  <c r="H174" i="1"/>
  <c r="I174" i="1" s="1"/>
  <c r="M114" i="5"/>
  <c r="D182" i="5"/>
  <c r="B630" i="1"/>
  <c r="H519" i="1"/>
  <c r="I519" i="1" s="1"/>
  <c r="D169" i="1"/>
  <c r="T65" i="1"/>
  <c r="C537" i="1"/>
  <c r="Q410" i="1"/>
  <c r="R410" i="1" s="1"/>
  <c r="E630" i="1"/>
  <c r="B158" i="2" s="1"/>
  <c r="H118" i="1"/>
  <c r="I118" i="1" s="1"/>
  <c r="K285" i="1"/>
  <c r="M527" i="1"/>
  <c r="H581" i="1"/>
  <c r="I581" i="1" s="1"/>
  <c r="Q575" i="1"/>
  <c r="R575" i="1" s="1"/>
  <c r="H521" i="1"/>
  <c r="I521" i="1" s="1"/>
  <c r="H454" i="1"/>
  <c r="I454" i="1" s="1"/>
  <c r="P181" i="1"/>
  <c r="G160" i="1"/>
  <c r="T449" i="1"/>
  <c r="P245" i="1"/>
  <c r="G27" i="10"/>
  <c r="T624" i="1"/>
  <c r="O607" i="1"/>
  <c r="D660" i="5"/>
  <c r="G104" i="9"/>
  <c r="F104" i="9" s="1"/>
  <c r="G40" i="10"/>
  <c r="M165" i="5"/>
  <c r="D48" i="9"/>
  <c r="Q439" i="1"/>
  <c r="R439" i="1" s="1"/>
  <c r="T439" i="1"/>
  <c r="Q117" i="1"/>
  <c r="R117" i="1" s="1"/>
  <c r="B181" i="8"/>
  <c r="T393" i="1"/>
  <c r="P146" i="1"/>
  <c r="H120" i="1"/>
  <c r="I120" i="1" s="1"/>
  <c r="N442" i="1"/>
  <c r="M190" i="5"/>
  <c r="Q449" i="1"/>
  <c r="R449" i="1" s="1"/>
  <c r="D668" i="1"/>
  <c r="M202" i="5"/>
  <c r="M282" i="1"/>
  <c r="T118" i="1"/>
  <c r="G200" i="5"/>
  <c r="T179" i="1"/>
  <c r="T159" i="1"/>
  <c r="G43" i="9"/>
  <c r="C38" i="2"/>
  <c r="H159" i="1"/>
  <c r="I159" i="1" s="1"/>
  <c r="Q108" i="1"/>
  <c r="R108" i="1" s="1"/>
  <c r="T584" i="1"/>
  <c r="L536" i="1"/>
  <c r="M533" i="1"/>
  <c r="M536" i="1" s="1"/>
  <c r="D221" i="5"/>
  <c r="P67" i="1"/>
  <c r="M223" i="5"/>
  <c r="Q523" i="1"/>
  <c r="R523" i="1" s="1"/>
  <c r="Q179" i="1"/>
  <c r="R179" i="1" s="1"/>
  <c r="T135" i="1"/>
  <c r="H284" i="8"/>
  <c r="B456" i="1"/>
  <c r="T134" i="1"/>
  <c r="H388" i="1"/>
  <c r="I388" i="1" s="1"/>
  <c r="M224" i="5"/>
  <c r="G607" i="1"/>
  <c r="P349" i="1"/>
  <c r="H483" i="1"/>
  <c r="I483" i="1" s="1"/>
  <c r="T564" i="1"/>
  <c r="D279" i="1"/>
  <c r="Q416" i="1"/>
  <c r="R416" i="1" s="1"/>
  <c r="M67" i="1"/>
  <c r="H569" i="1"/>
  <c r="I569" i="1" s="1"/>
  <c r="H530" i="1"/>
  <c r="I530" i="1" s="1"/>
  <c r="C356" i="1"/>
  <c r="C358" i="1" s="1"/>
  <c r="H390" i="1"/>
  <c r="I390" i="1" s="1"/>
  <c r="D446" i="1"/>
  <c r="D26" i="2"/>
  <c r="M320" i="1"/>
  <c r="D357" i="1"/>
  <c r="H382" i="1"/>
  <c r="I382" i="1" s="1"/>
  <c r="H480" i="1"/>
  <c r="I480" i="1" s="1"/>
  <c r="D527" i="1"/>
  <c r="O285" i="1"/>
  <c r="E138" i="2" s="1"/>
  <c r="H524" i="1"/>
  <c r="I524" i="1" s="1"/>
  <c r="G38" i="1"/>
  <c r="T395" i="1"/>
  <c r="T141" i="1"/>
  <c r="H523" i="1"/>
  <c r="I523" i="1" s="1"/>
  <c r="H310" i="1"/>
  <c r="I310" i="1" s="1"/>
  <c r="D146" i="1"/>
  <c r="T454" i="1"/>
  <c r="T63" i="1"/>
  <c r="Q396" i="1"/>
  <c r="R396" i="1" s="1"/>
  <c r="D671" i="1"/>
  <c r="G67" i="1"/>
  <c r="H65" i="1"/>
  <c r="I65" i="1" s="1"/>
  <c r="C12" i="2"/>
  <c r="C285" i="1"/>
  <c r="H499" i="1"/>
  <c r="I499" i="1" s="1"/>
  <c r="P280" i="1"/>
  <c r="H450" i="1"/>
  <c r="I450" i="1" s="1"/>
  <c r="E38" i="2"/>
  <c r="P600" i="1"/>
  <c r="K527" i="1"/>
  <c r="G139" i="1"/>
  <c r="T148" i="1"/>
  <c r="H520" i="1"/>
  <c r="I520" i="1" s="1"/>
  <c r="D515" i="1"/>
  <c r="Q130" i="1"/>
  <c r="R130" i="1" s="1"/>
  <c r="H127" i="1"/>
  <c r="I127" i="1" s="1"/>
  <c r="E285" i="1"/>
  <c r="B138" i="2" s="1"/>
  <c r="Q119" i="1"/>
  <c r="R119" i="1" s="1"/>
  <c r="H504" i="1"/>
  <c r="I504" i="1" s="1"/>
  <c r="T175" i="1"/>
  <c r="D223" i="5"/>
  <c r="T162" i="1"/>
  <c r="T590" i="1"/>
  <c r="G527" i="1"/>
  <c r="J214" i="10"/>
  <c r="G146" i="1"/>
  <c r="T32" i="1"/>
  <c r="Q164" i="1"/>
  <c r="R164" i="1" s="1"/>
  <c r="Q395" i="1"/>
  <c r="R395" i="1" s="1"/>
  <c r="Q175" i="1"/>
  <c r="R175" i="1" s="1"/>
  <c r="T34" i="1"/>
  <c r="G536" i="1"/>
  <c r="H591" i="1"/>
  <c r="I591" i="1" s="1"/>
  <c r="H35" i="1"/>
  <c r="I35" i="1" s="1"/>
  <c r="T452" i="1"/>
  <c r="N421" i="1"/>
  <c r="D190" i="5"/>
  <c r="M191" i="5"/>
  <c r="E319" i="1"/>
  <c r="E321" i="1" s="1"/>
  <c r="B142" i="2" s="1"/>
  <c r="M38" i="1"/>
  <c r="H32" i="1"/>
  <c r="I32" i="1" s="1"/>
  <c r="T113" i="1"/>
  <c r="T248" i="1"/>
  <c r="P38" i="1"/>
  <c r="Q65" i="1"/>
  <c r="R65" i="1" s="1"/>
  <c r="T604" i="1"/>
  <c r="T412" i="1"/>
  <c r="N203" i="5"/>
  <c r="B128" i="10" s="1"/>
  <c r="Q520" i="1"/>
  <c r="R520" i="1" s="1"/>
  <c r="M139" i="1"/>
  <c r="G532" i="1"/>
  <c r="Q312" i="1"/>
  <c r="R312" i="1" s="1"/>
  <c r="H604" i="1"/>
  <c r="I604" i="1" s="1"/>
  <c r="B26" i="2"/>
  <c r="H167" i="1"/>
  <c r="I167" i="1" s="1"/>
  <c r="M204" i="5"/>
  <c r="D6" i="2"/>
  <c r="Q391" i="1"/>
  <c r="R391" i="1" s="1"/>
  <c r="T103" i="1"/>
  <c r="C456" i="1"/>
  <c r="G421" i="1"/>
  <c r="L285" i="1"/>
  <c r="Q584" i="1"/>
  <c r="R584" i="1" s="1"/>
  <c r="D92" i="9"/>
  <c r="F173" i="10"/>
  <c r="M357" i="1"/>
  <c r="P160" i="1"/>
  <c r="H507" i="1"/>
  <c r="I507" i="1" s="1"/>
  <c r="D39" i="10"/>
  <c r="D248" i="5"/>
  <c r="D153" i="5"/>
  <c r="D421" i="1"/>
  <c r="G279" i="1"/>
  <c r="G32" i="10"/>
  <c r="G44" i="10"/>
  <c r="F44" i="10" s="1"/>
  <c r="G88" i="10"/>
  <c r="F88" i="10" s="1"/>
  <c r="G664" i="5"/>
  <c r="C26" i="2"/>
  <c r="G65" i="10"/>
  <c r="B38" i="2"/>
  <c r="H106" i="1"/>
  <c r="I106" i="1" s="1"/>
  <c r="D105" i="9"/>
  <c r="P283" i="1"/>
  <c r="E12" i="2"/>
  <c r="B16" i="2"/>
  <c r="G45" i="10"/>
  <c r="F45" i="10" s="1"/>
  <c r="T432" i="1"/>
  <c r="T433" i="1"/>
  <c r="D66" i="10"/>
  <c r="M107" i="5"/>
  <c r="G38" i="10"/>
  <c r="F38" i="10" s="1"/>
  <c r="G36" i="9"/>
  <c r="F36" i="9" s="1"/>
  <c r="D45" i="10"/>
  <c r="M180" i="5"/>
  <c r="F6" i="10"/>
  <c r="M109" i="5"/>
  <c r="D31" i="5"/>
  <c r="D55" i="10"/>
  <c r="D12" i="2"/>
  <c r="M238" i="5"/>
  <c r="M203" i="5"/>
  <c r="D198" i="5"/>
  <c r="D64" i="5"/>
  <c r="D55" i="2"/>
  <c r="D203" i="5"/>
  <c r="D59" i="10"/>
  <c r="M34" i="5"/>
  <c r="D663" i="5"/>
  <c r="G31" i="5"/>
  <c r="M150" i="5"/>
  <c r="Q168" i="1"/>
  <c r="R168" i="1" s="1"/>
  <c r="H535" i="1"/>
  <c r="I535" i="1" s="1"/>
  <c r="M169" i="1"/>
  <c r="F456" i="1"/>
  <c r="C150" i="2" s="1"/>
  <c r="T601" i="1"/>
  <c r="F285" i="1"/>
  <c r="C138" i="2" s="1"/>
  <c r="D625" i="1"/>
  <c r="D69" i="10"/>
  <c r="D101" i="9"/>
  <c r="D99" i="9"/>
  <c r="H168" i="1"/>
  <c r="I168" i="1" s="1"/>
  <c r="P357" i="1"/>
  <c r="F630" i="1"/>
  <c r="C158" i="2" s="1"/>
  <c r="D437" i="1"/>
  <c r="Q165" i="1"/>
  <c r="R165" i="1" s="1"/>
  <c r="D536" i="1"/>
  <c r="P139" i="1"/>
  <c r="Q123" i="1"/>
  <c r="R123" i="1" s="1"/>
  <c r="M33" i="5"/>
  <c r="F166" i="10"/>
  <c r="Q167" i="1"/>
  <c r="R167" i="1" s="1"/>
  <c r="E537" i="1"/>
  <c r="B154" i="2" s="1"/>
  <c r="M515" i="1"/>
  <c r="T582" i="1"/>
  <c r="K515" i="1"/>
  <c r="M72" i="5"/>
  <c r="D98" i="10"/>
  <c r="C73" i="5"/>
  <c r="D51" i="10"/>
  <c r="D88" i="10"/>
  <c r="G105" i="10"/>
  <c r="F105" i="10" s="1"/>
  <c r="D35" i="5"/>
  <c r="G100" i="10"/>
  <c r="F100" i="10" s="1"/>
  <c r="D72" i="5"/>
  <c r="D160" i="1"/>
  <c r="G68" i="10"/>
  <c r="F68" i="10" s="1"/>
  <c r="D97" i="9"/>
  <c r="G58" i="10"/>
  <c r="F58" i="10" s="1"/>
  <c r="M155" i="5"/>
  <c r="G25" i="9"/>
  <c r="F68" i="9"/>
  <c r="D100" i="9"/>
  <c r="P37" i="5"/>
  <c r="D666" i="5"/>
  <c r="E456" i="1"/>
  <c r="B150" i="2" s="1"/>
  <c r="B537" i="1"/>
  <c r="M146" i="1"/>
  <c r="Q601" i="1"/>
  <c r="R601" i="1" s="1"/>
  <c r="M625" i="1"/>
  <c r="G600" i="1"/>
  <c r="G425" i="1"/>
  <c r="D139" i="1"/>
  <c r="D73" i="1"/>
  <c r="P169" i="1"/>
  <c r="T130" i="1"/>
  <c r="D240" i="5"/>
  <c r="D63" i="10"/>
  <c r="D176" i="5"/>
  <c r="G74" i="10"/>
  <c r="F74" i="10" s="1"/>
  <c r="M148" i="5"/>
  <c r="D22" i="2"/>
  <c r="F15" i="9"/>
  <c r="M243" i="5"/>
  <c r="M129" i="5"/>
  <c r="D82" i="10"/>
  <c r="D661" i="5"/>
  <c r="N285" i="1"/>
  <c r="D138" i="2" s="1"/>
  <c r="Q134" i="1"/>
  <c r="R134" i="1" s="1"/>
  <c r="D73" i="9"/>
  <c r="G515" i="1"/>
  <c r="H622" i="1"/>
  <c r="I622" i="1" s="1"/>
  <c r="D37" i="10"/>
  <c r="D53" i="10"/>
  <c r="D105" i="10"/>
  <c r="D76" i="10"/>
  <c r="F168" i="9"/>
  <c r="M235" i="5"/>
  <c r="B55" i="2"/>
  <c r="T628" i="1"/>
  <c r="P515" i="1"/>
  <c r="G278" i="1"/>
  <c r="G97" i="9"/>
  <c r="F97" i="9" s="1"/>
  <c r="G662" i="5"/>
  <c r="H662" i="5" s="1"/>
  <c r="I662" i="5" s="1"/>
  <c r="M248" i="5"/>
  <c r="D68" i="9"/>
  <c r="F175" i="9"/>
  <c r="D70" i="9"/>
  <c r="D66" i="9"/>
  <c r="D38" i="9"/>
  <c r="D62" i="9"/>
  <c r="G95" i="10"/>
  <c r="T167" i="1"/>
  <c r="C630" i="1"/>
  <c r="H590" i="1"/>
  <c r="I590" i="1" s="1"/>
  <c r="F537" i="1"/>
  <c r="C154" i="2" s="1"/>
  <c r="T70" i="1"/>
  <c r="P73" i="1"/>
  <c r="L245" i="5"/>
  <c r="M65" i="5"/>
  <c r="D26" i="9"/>
  <c r="G99" i="9"/>
  <c r="F99" i="9" s="1"/>
  <c r="D103" i="9"/>
  <c r="G657" i="5"/>
  <c r="E22" i="2"/>
  <c r="E43" i="2"/>
  <c r="F177" i="8"/>
  <c r="D619" i="1"/>
  <c r="M160" i="1"/>
  <c r="T391" i="1"/>
  <c r="Q142" i="1"/>
  <c r="R142" i="1" s="1"/>
  <c r="D46" i="9"/>
  <c r="G52" i="9"/>
  <c r="D60" i="2"/>
  <c r="D250" i="4"/>
  <c r="G661" i="5"/>
  <c r="F162" i="9"/>
  <c r="D187" i="4"/>
  <c r="D600" i="1"/>
  <c r="M231" i="5"/>
  <c r="D89" i="10"/>
  <c r="D51" i="9"/>
  <c r="D29" i="10"/>
  <c r="G70" i="9"/>
  <c r="F70" i="9" s="1"/>
  <c r="D202" i="4"/>
  <c r="M186" i="5"/>
  <c r="D57" i="10"/>
  <c r="D54" i="9"/>
  <c r="D82" i="9"/>
  <c r="N356" i="1"/>
  <c r="N358" i="1" s="1"/>
  <c r="D146" i="2" s="1"/>
  <c r="D58" i="9"/>
  <c r="G57" i="10"/>
  <c r="F57" i="10" s="1"/>
  <c r="D72" i="10"/>
  <c r="G63" i="9"/>
  <c r="D52" i="9"/>
  <c r="C671" i="8"/>
  <c r="T168" i="1"/>
  <c r="N515" i="1"/>
  <c r="D27" i="9"/>
  <c r="G80" i="10"/>
  <c r="F80" i="10" s="1"/>
  <c r="M112" i="5"/>
  <c r="M176" i="5"/>
  <c r="D43" i="9"/>
  <c r="G86" i="10"/>
  <c r="G91" i="9"/>
  <c r="F91" i="9" s="1"/>
  <c r="G93" i="10"/>
  <c r="F93" i="10" s="1"/>
  <c r="C43" i="2"/>
  <c r="C22" i="2"/>
  <c r="M240" i="5"/>
  <c r="G667" i="5"/>
  <c r="D156" i="5"/>
  <c r="G52" i="10"/>
  <c r="M123" i="5"/>
  <c r="D25" i="9"/>
  <c r="F166" i="9"/>
  <c r="G97" i="10"/>
  <c r="F97" i="10" s="1"/>
  <c r="D235" i="5"/>
  <c r="C6" i="2"/>
  <c r="M124" i="5"/>
  <c r="G49" i="10"/>
  <c r="F49" i="10" s="1"/>
  <c r="G55" i="10"/>
  <c r="F55" i="10" s="1"/>
  <c r="G80" i="9"/>
  <c r="F80" i="9" s="1"/>
  <c r="D81" i="9"/>
  <c r="I73" i="8"/>
  <c r="G35" i="5"/>
  <c r="D34" i="5"/>
  <c r="D37" i="5"/>
  <c r="D125" i="5"/>
  <c r="D120" i="5"/>
  <c r="C181" i="5"/>
  <c r="D68" i="5"/>
  <c r="M31" i="5"/>
  <c r="M35" i="5"/>
  <c r="G36" i="5"/>
  <c r="D33" i="5"/>
  <c r="D36" i="5"/>
  <c r="B38" i="8"/>
  <c r="F174" i="9"/>
  <c r="F7" i="9"/>
  <c r="B22" i="2"/>
  <c r="F83" i="9"/>
  <c r="C55" i="2"/>
  <c r="G91" i="10"/>
  <c r="F91" i="10" s="1"/>
  <c r="D104" i="10"/>
  <c r="G39" i="10"/>
  <c r="F39" i="10" s="1"/>
  <c r="D75" i="10"/>
  <c r="D56" i="10"/>
  <c r="D44" i="10"/>
  <c r="D87" i="10"/>
  <c r="G63" i="10"/>
  <c r="D92" i="10"/>
  <c r="G61" i="10"/>
  <c r="D42" i="10"/>
  <c r="G53" i="10"/>
  <c r="F53" i="10" s="1"/>
  <c r="G60" i="10"/>
  <c r="F60" i="10" s="1"/>
  <c r="D79" i="10"/>
  <c r="G82" i="10"/>
  <c r="F82" i="10" s="1"/>
  <c r="G98" i="10"/>
  <c r="F98" i="10" s="1"/>
  <c r="G87" i="10"/>
  <c r="F87" i="10" s="1"/>
  <c r="G37" i="10"/>
  <c r="F37" i="10" s="1"/>
  <c r="G70" i="10"/>
  <c r="F70" i="10" s="1"/>
  <c r="D32" i="10"/>
  <c r="N106" i="10"/>
  <c r="L146" i="5"/>
  <c r="M175" i="5"/>
  <c r="L177" i="5"/>
  <c r="M171" i="5"/>
  <c r="L67" i="5"/>
  <c r="M142" i="5"/>
  <c r="M158" i="5"/>
  <c r="M113" i="5"/>
  <c r="M68" i="5"/>
  <c r="M168" i="5"/>
  <c r="D43" i="2"/>
  <c r="D61" i="9"/>
  <c r="D42" i="9"/>
  <c r="G98" i="9"/>
  <c r="F98" i="9" s="1"/>
  <c r="D109" i="5"/>
  <c r="G55" i="9"/>
  <c r="F55" i="9" s="1"/>
  <c r="E66" i="2"/>
  <c r="D114" i="5"/>
  <c r="G95" i="9"/>
  <c r="G79" i="9"/>
  <c r="F79" i="9" s="1"/>
  <c r="D60" i="9"/>
  <c r="D79" i="9"/>
  <c r="F53" i="9"/>
  <c r="D74" i="9"/>
  <c r="D36" i="9"/>
  <c r="D107" i="5"/>
  <c r="C284" i="5"/>
  <c r="M247" i="5"/>
  <c r="D45" i="9"/>
  <c r="G26" i="9"/>
  <c r="D163" i="5"/>
  <c r="D86" i="9"/>
  <c r="D98" i="9"/>
  <c r="D132" i="5"/>
  <c r="G29" i="9"/>
  <c r="D148" i="5"/>
  <c r="G65" i="9"/>
  <c r="D33" i="9"/>
  <c r="F49" i="9"/>
  <c r="G76" i="9"/>
  <c r="F76" i="9" s="1"/>
  <c r="D158" i="5"/>
  <c r="G41" i="9"/>
  <c r="D49" i="9"/>
  <c r="G46" i="9"/>
  <c r="F46" i="9" s="1"/>
  <c r="D143" i="5"/>
  <c r="G89" i="9"/>
  <c r="F89" i="9" s="1"/>
  <c r="G88" i="9"/>
  <c r="F88" i="9" s="1"/>
  <c r="G81" i="9"/>
  <c r="F81" i="9" s="1"/>
  <c r="D245" i="8"/>
  <c r="E284" i="8"/>
  <c r="J67" i="8"/>
  <c r="B253" i="8"/>
  <c r="F671" i="8"/>
  <c r="G67" i="8"/>
  <c r="F181" i="8"/>
  <c r="J146" i="8"/>
  <c r="E177" i="8"/>
  <c r="H177" i="8"/>
  <c r="K253" i="8"/>
  <c r="J284" i="8"/>
  <c r="D253" i="8"/>
  <c r="D671" i="8"/>
  <c r="F284" i="8"/>
  <c r="E245" i="8"/>
  <c r="J177" i="8"/>
  <c r="B283" i="8"/>
  <c r="B67" i="8"/>
  <c r="C38" i="8"/>
  <c r="J283" i="8"/>
  <c r="F100" i="9"/>
  <c r="B309" i="8"/>
  <c r="B278" i="8"/>
  <c r="B357" i="8"/>
  <c r="B139" i="8"/>
  <c r="F347" i="8"/>
  <c r="F320" i="8"/>
  <c r="K279" i="8"/>
  <c r="K314" i="8"/>
  <c r="G443" i="8"/>
  <c r="G446" i="8" s="1"/>
  <c r="B446" i="8"/>
  <c r="K426" i="8"/>
  <c r="K437" i="8" s="1"/>
  <c r="F437" i="8"/>
  <c r="I169" i="8"/>
  <c r="I284" i="8"/>
  <c r="I347" i="8"/>
  <c r="I320" i="8"/>
  <c r="H73" i="8"/>
  <c r="D309" i="8"/>
  <c r="D278" i="8"/>
  <c r="D357" i="8"/>
  <c r="D139" i="8"/>
  <c r="H316" i="8"/>
  <c r="H281" i="8"/>
  <c r="B232" i="8"/>
  <c r="I443" i="8"/>
  <c r="I446" i="8" s="1"/>
  <c r="D446" i="8"/>
  <c r="F668" i="8"/>
  <c r="N482" i="5"/>
  <c r="P482" i="5" s="1"/>
  <c r="G482" i="5"/>
  <c r="L626" i="5"/>
  <c r="L629" i="5" s="1"/>
  <c r="C629" i="5"/>
  <c r="B6" i="9"/>
  <c r="E6" i="9" s="1"/>
  <c r="G65" i="5"/>
  <c r="N530" i="5"/>
  <c r="P530" i="5" s="1"/>
  <c r="G530" i="5"/>
  <c r="B607" i="5"/>
  <c r="D601" i="5"/>
  <c r="K601" i="5"/>
  <c r="K519" i="5"/>
  <c r="M519" i="5" s="1"/>
  <c r="D519" i="5"/>
  <c r="B26" i="9"/>
  <c r="E310" i="5"/>
  <c r="G101" i="5"/>
  <c r="B67" i="9"/>
  <c r="G142" i="5"/>
  <c r="B62" i="10"/>
  <c r="P137" i="5"/>
  <c r="N354" i="5"/>
  <c r="N521" i="5"/>
  <c r="P521" i="5" s="1"/>
  <c r="G521" i="5"/>
  <c r="K438" i="5"/>
  <c r="D438" i="5"/>
  <c r="B442" i="5"/>
  <c r="B100" i="10"/>
  <c r="P175" i="5"/>
  <c r="B53" i="10"/>
  <c r="P128" i="5"/>
  <c r="L601" i="5"/>
  <c r="L607" i="5" s="1"/>
  <c r="C607" i="5"/>
  <c r="K355" i="5"/>
  <c r="M355" i="5" s="1"/>
  <c r="M138" i="5"/>
  <c r="B75" i="10"/>
  <c r="P150" i="5"/>
  <c r="O608" i="5"/>
  <c r="O619" i="5" s="1"/>
  <c r="F619" i="5"/>
  <c r="B253" i="5"/>
  <c r="D246" i="5"/>
  <c r="K354" i="5"/>
  <c r="M354" i="5" s="1"/>
  <c r="M137" i="5"/>
  <c r="K504" i="5"/>
  <c r="M504" i="5" s="1"/>
  <c r="D504" i="5"/>
  <c r="K521" i="5"/>
  <c r="M521" i="5" s="1"/>
  <c r="D521" i="5"/>
  <c r="B78" i="10"/>
  <c r="P152" i="5"/>
  <c r="K598" i="5"/>
  <c r="M598" i="5" s="1"/>
  <c r="D598" i="5"/>
  <c r="G398" i="5"/>
  <c r="N398" i="5"/>
  <c r="P398" i="5" s="1"/>
  <c r="K398" i="5"/>
  <c r="M398" i="5" s="1"/>
  <c r="D398" i="5"/>
  <c r="K620" i="5"/>
  <c r="D620" i="5"/>
  <c r="B625" i="5"/>
  <c r="N578" i="5"/>
  <c r="P578" i="5" s="1"/>
  <c r="G578" i="5"/>
  <c r="K384" i="5"/>
  <c r="M384" i="5" s="1"/>
  <c r="D384" i="5"/>
  <c r="C103" i="10"/>
  <c r="O181" i="5"/>
  <c r="C106" i="10" s="1"/>
  <c r="N535" i="5"/>
  <c r="P535" i="5" s="1"/>
  <c r="G535" i="5"/>
  <c r="B671" i="5"/>
  <c r="D669" i="5"/>
  <c r="G157" i="10"/>
  <c r="G199" i="10" s="1"/>
  <c r="G201" i="10"/>
  <c r="G203" i="10" s="1"/>
  <c r="F83" i="10"/>
  <c r="D123" i="5"/>
  <c r="N603" i="5"/>
  <c r="P603" i="5" s="1"/>
  <c r="G603" i="5"/>
  <c r="K569" i="5"/>
  <c r="M569" i="5" s="1"/>
  <c r="D569" i="5"/>
  <c r="N563" i="5"/>
  <c r="P563" i="5" s="1"/>
  <c r="G563" i="5"/>
  <c r="D81" i="10"/>
  <c r="B168" i="10"/>
  <c r="E168" i="10" s="1"/>
  <c r="P243" i="5"/>
  <c r="K581" i="5"/>
  <c r="M581" i="5" s="1"/>
  <c r="D581" i="5"/>
  <c r="D234" i="5"/>
  <c r="B245" i="5"/>
  <c r="O533" i="5"/>
  <c r="O536" i="5" s="1"/>
  <c r="F536" i="5"/>
  <c r="C159" i="9"/>
  <c r="F159" i="9" s="1"/>
  <c r="F245" i="5"/>
  <c r="C170" i="9" s="1"/>
  <c r="C190" i="9" s="1"/>
  <c r="L426" i="5"/>
  <c r="L437" i="5" s="1"/>
  <c r="C437" i="5"/>
  <c r="B88" i="9"/>
  <c r="G163" i="5"/>
  <c r="K577" i="5"/>
  <c r="M577" i="5" s="1"/>
  <c r="D577" i="5"/>
  <c r="G69" i="10"/>
  <c r="F69" i="10" s="1"/>
  <c r="B347" i="5"/>
  <c r="D105" i="5"/>
  <c r="B320" i="5"/>
  <c r="N432" i="5"/>
  <c r="P432" i="5" s="1"/>
  <c r="G432" i="5"/>
  <c r="B315" i="5"/>
  <c r="B280" i="5"/>
  <c r="D122" i="5"/>
  <c r="G73" i="9"/>
  <c r="F73" i="9" s="1"/>
  <c r="B93" i="10"/>
  <c r="P168" i="5"/>
  <c r="C284" i="8"/>
  <c r="K411" i="5"/>
  <c r="M411" i="5" s="1"/>
  <c r="D411" i="5"/>
  <c r="D385" i="5"/>
  <c r="K385" i="5"/>
  <c r="M385" i="5" s="1"/>
  <c r="B90" i="9"/>
  <c r="G165" i="5"/>
  <c r="G613" i="5"/>
  <c r="N613" i="5"/>
  <c r="P613" i="5" s="1"/>
  <c r="G561" i="5"/>
  <c r="N561" i="5"/>
  <c r="E600" i="5"/>
  <c r="K485" i="5"/>
  <c r="M485" i="5" s="1"/>
  <c r="D485" i="5"/>
  <c r="C349" i="5"/>
  <c r="C313" i="5"/>
  <c r="K403" i="5"/>
  <c r="M403" i="5" s="1"/>
  <c r="D403" i="5"/>
  <c r="B76" i="9"/>
  <c r="G158" i="5"/>
  <c r="K422" i="5"/>
  <c r="D422" i="5"/>
  <c r="B425" i="5"/>
  <c r="K566" i="5"/>
  <c r="M566" i="5" s="1"/>
  <c r="D566" i="5"/>
  <c r="D516" i="5"/>
  <c r="K516" i="5"/>
  <c r="B527" i="5"/>
  <c r="N484" i="5"/>
  <c r="P484" i="5" s="1"/>
  <c r="G484" i="5"/>
  <c r="K595" i="5"/>
  <c r="M595" i="5" s="1"/>
  <c r="D595" i="5"/>
  <c r="C29" i="10"/>
  <c r="O346" i="5"/>
  <c r="D594" i="5"/>
  <c r="K594" i="5"/>
  <c r="M594" i="5" s="1"/>
  <c r="E309" i="5"/>
  <c r="G100" i="5"/>
  <c r="B25" i="9"/>
  <c r="E278" i="5"/>
  <c r="E357" i="5"/>
  <c r="E139" i="5"/>
  <c r="B64" i="9" s="1"/>
  <c r="B54" i="9"/>
  <c r="G129" i="5"/>
  <c r="K495" i="5"/>
  <c r="M495" i="5" s="1"/>
  <c r="D495" i="5"/>
  <c r="K278" i="5"/>
  <c r="K139" i="5"/>
  <c r="K357" i="5"/>
  <c r="M100" i="5"/>
  <c r="K309" i="5"/>
  <c r="G524" i="5"/>
  <c r="N524" i="5"/>
  <c r="P524" i="5" s="1"/>
  <c r="B167" i="9"/>
  <c r="E167" i="9" s="1"/>
  <c r="G242" i="5"/>
  <c r="B27" i="9"/>
  <c r="E311" i="5"/>
  <c r="G102" i="5"/>
  <c r="D28" i="10"/>
  <c r="O447" i="5"/>
  <c r="O455" i="5" s="1"/>
  <c r="F455" i="5"/>
  <c r="N598" i="5"/>
  <c r="P598" i="5" s="1"/>
  <c r="G598" i="5"/>
  <c r="N602" i="5"/>
  <c r="P602" i="5" s="1"/>
  <c r="G602" i="5"/>
  <c r="B50" i="10"/>
  <c r="P125" i="5"/>
  <c r="O480" i="5"/>
  <c r="O515" i="5" s="1"/>
  <c r="F515" i="5"/>
  <c r="K281" i="5"/>
  <c r="K316" i="5"/>
  <c r="M127" i="5"/>
  <c r="N498" i="5"/>
  <c r="P498" i="5" s="1"/>
  <c r="G498" i="5"/>
  <c r="M32" i="5"/>
  <c r="K38" i="5"/>
  <c r="N518" i="5"/>
  <c r="P518" i="5" s="1"/>
  <c r="G518" i="5"/>
  <c r="B311" i="5"/>
  <c r="D311" i="5" s="1"/>
  <c r="D102" i="5"/>
  <c r="H533" i="8"/>
  <c r="H536" i="8" s="1"/>
  <c r="C536" i="8"/>
  <c r="B82" i="9"/>
  <c r="G156" i="5"/>
  <c r="K503" i="5"/>
  <c r="M503" i="5" s="1"/>
  <c r="D503" i="5"/>
  <c r="N416" i="5"/>
  <c r="P416" i="5" s="1"/>
  <c r="G416" i="5"/>
  <c r="F311" i="5"/>
  <c r="C27" i="9"/>
  <c r="O382" i="5"/>
  <c r="O421" i="5" s="1"/>
  <c r="F421" i="5"/>
  <c r="L608" i="5"/>
  <c r="L619" i="5" s="1"/>
  <c r="C619" i="5"/>
  <c r="K591" i="5"/>
  <c r="M591" i="5" s="1"/>
  <c r="D591" i="5"/>
  <c r="F354" i="5"/>
  <c r="C62" i="9"/>
  <c r="G81" i="10"/>
  <c r="F81" i="10" s="1"/>
  <c r="O438" i="5"/>
  <c r="O442" i="5" s="1"/>
  <c r="F442" i="5"/>
  <c r="O353" i="5"/>
  <c r="C43" i="10"/>
  <c r="D35" i="10"/>
  <c r="G534" i="5"/>
  <c r="N534" i="5"/>
  <c r="P534" i="5" s="1"/>
  <c r="N408" i="5"/>
  <c r="P408" i="5" s="1"/>
  <c r="G408" i="5"/>
  <c r="G162" i="5"/>
  <c r="B87" i="9"/>
  <c r="N562" i="5"/>
  <c r="P562" i="5" s="1"/>
  <c r="G562" i="5"/>
  <c r="O528" i="5"/>
  <c r="F532" i="5"/>
  <c r="N523" i="5"/>
  <c r="P523" i="5" s="1"/>
  <c r="G523" i="5"/>
  <c r="C65" i="10"/>
  <c r="O146" i="5"/>
  <c r="C71" i="10" s="1"/>
  <c r="O347" i="5"/>
  <c r="C30" i="10"/>
  <c r="O320" i="5"/>
  <c r="G68" i="5"/>
  <c r="B30" i="2"/>
  <c r="B9" i="9"/>
  <c r="N614" i="5"/>
  <c r="P614" i="5" s="1"/>
  <c r="G614" i="5"/>
  <c r="N483" i="5"/>
  <c r="P483" i="5" s="1"/>
  <c r="G483" i="5"/>
  <c r="K404" i="5"/>
  <c r="M404" i="5" s="1"/>
  <c r="D404" i="5"/>
  <c r="J313" i="8"/>
  <c r="J349" i="8"/>
  <c r="J528" i="8"/>
  <c r="J532" i="8" s="1"/>
  <c r="E532" i="8"/>
  <c r="F446" i="8"/>
  <c r="K443" i="8"/>
  <c r="K446" i="8" s="1"/>
  <c r="H528" i="8"/>
  <c r="H532" i="8" s="1"/>
  <c r="C532" i="8"/>
  <c r="H516" i="8"/>
  <c r="H527" i="8" s="1"/>
  <c r="C527" i="8"/>
  <c r="L277" i="1"/>
  <c r="M277" i="1" s="1"/>
  <c r="O560" i="5"/>
  <c r="P560" i="5" s="1"/>
  <c r="K560" i="5"/>
  <c r="L560" i="5" s="1"/>
  <c r="M560" i="5" s="1"/>
  <c r="K62" i="5"/>
  <c r="L62" i="5" s="1"/>
  <c r="M62" i="5" s="1"/>
  <c r="O62" i="5"/>
  <c r="P62" i="5" s="1"/>
  <c r="K99" i="5"/>
  <c r="L99" i="5" s="1"/>
  <c r="M99" i="5" s="1"/>
  <c r="O99" i="5"/>
  <c r="P99" i="5" s="1"/>
  <c r="F308" i="5"/>
  <c r="G308" i="5" s="1"/>
  <c r="B308" i="5"/>
  <c r="K608" i="8"/>
  <c r="K619" i="8" s="1"/>
  <c r="F619" i="8"/>
  <c r="K382" i="8"/>
  <c r="K421" i="8" s="1"/>
  <c r="F421" i="8"/>
  <c r="I608" i="8"/>
  <c r="I619" i="8" s="1"/>
  <c r="D619" i="8"/>
  <c r="K507" i="5"/>
  <c r="M507" i="5" s="1"/>
  <c r="D507" i="5"/>
  <c r="B68" i="9"/>
  <c r="G143" i="5"/>
  <c r="G417" i="5"/>
  <c r="N417" i="5"/>
  <c r="P417" i="5" s="1"/>
  <c r="K445" i="5"/>
  <c r="M445" i="5" s="1"/>
  <c r="D445" i="5"/>
  <c r="D59" i="9"/>
  <c r="G140" i="5"/>
  <c r="B65" i="9"/>
  <c r="E146" i="5"/>
  <c r="B71" i="9" s="1"/>
  <c r="N449" i="5"/>
  <c r="P449" i="5" s="1"/>
  <c r="G449" i="5"/>
  <c r="G241" i="5"/>
  <c r="B166" i="9"/>
  <c r="E166" i="9" s="1"/>
  <c r="B105" i="9"/>
  <c r="G180" i="5"/>
  <c r="M147" i="5"/>
  <c r="K160" i="5"/>
  <c r="K514" i="5"/>
  <c r="M514" i="5" s="1"/>
  <c r="D514" i="5"/>
  <c r="N320" i="5"/>
  <c r="B30" i="10"/>
  <c r="P105" i="5"/>
  <c r="N347" i="5"/>
  <c r="L516" i="5"/>
  <c r="L527" i="5" s="1"/>
  <c r="C527" i="5"/>
  <c r="D37" i="9"/>
  <c r="D576" i="5"/>
  <c r="K576" i="5"/>
  <c r="M576" i="5" s="1"/>
  <c r="B168" i="9"/>
  <c r="E168" i="9" s="1"/>
  <c r="G243" i="5"/>
  <c r="D599" i="5"/>
  <c r="K599" i="5"/>
  <c r="M599" i="5" s="1"/>
  <c r="G433" i="5"/>
  <c r="N433" i="5"/>
  <c r="P433" i="5" s="1"/>
  <c r="N496" i="5"/>
  <c r="P496" i="5" s="1"/>
  <c r="G496" i="5"/>
  <c r="F160" i="9"/>
  <c r="G500" i="5"/>
  <c r="N500" i="5"/>
  <c r="P500" i="5" s="1"/>
  <c r="G670" i="5"/>
  <c r="K452" i="5"/>
  <c r="M452" i="5" s="1"/>
  <c r="D452" i="5"/>
  <c r="B103" i="9"/>
  <c r="E181" i="5"/>
  <c r="B106" i="9" s="1"/>
  <c r="G178" i="5"/>
  <c r="N514" i="5"/>
  <c r="P514" i="5" s="1"/>
  <c r="G514" i="5"/>
  <c r="K612" i="5"/>
  <c r="M612" i="5" s="1"/>
  <c r="D612" i="5"/>
  <c r="K506" i="5"/>
  <c r="M506" i="5" s="1"/>
  <c r="D506" i="5"/>
  <c r="B95" i="9"/>
  <c r="G170" i="5"/>
  <c r="E177" i="5"/>
  <c r="B102" i="9" s="1"/>
  <c r="N181" i="5"/>
  <c r="B106" i="10" s="1"/>
  <c r="P178" i="5"/>
  <c r="B103" i="10"/>
  <c r="O516" i="5"/>
  <c r="O527" i="5" s="1"/>
  <c r="F527" i="5"/>
  <c r="D149" i="5"/>
  <c r="N310" i="5"/>
  <c r="P101" i="5"/>
  <c r="B26" i="10"/>
  <c r="N443" i="5"/>
  <c r="E446" i="5"/>
  <c r="G443" i="5"/>
  <c r="K394" i="5"/>
  <c r="M394" i="5" s="1"/>
  <c r="D394" i="5"/>
  <c r="D605" i="5"/>
  <c r="K605" i="5"/>
  <c r="M605" i="5" s="1"/>
  <c r="B655" i="5"/>
  <c r="D654" i="5"/>
  <c r="D655" i="5" s="1"/>
  <c r="B37" i="10"/>
  <c r="P112" i="5"/>
  <c r="B72" i="9"/>
  <c r="G147" i="5"/>
  <c r="E160" i="5"/>
  <c r="B85" i="9" s="1"/>
  <c r="B77" i="10"/>
  <c r="P151" i="5"/>
  <c r="K602" i="5"/>
  <c r="M602" i="5" s="1"/>
  <c r="D602" i="5"/>
  <c r="G96" i="10"/>
  <c r="F96" i="10" s="1"/>
  <c r="K487" i="5"/>
  <c r="M487" i="5" s="1"/>
  <c r="D487" i="5"/>
  <c r="K448" i="5"/>
  <c r="M448" i="5" s="1"/>
  <c r="D448" i="5"/>
  <c r="O280" i="5"/>
  <c r="C47" i="10"/>
  <c r="O315" i="5"/>
  <c r="M117" i="5"/>
  <c r="K352" i="5"/>
  <c r="M352" i="5" s="1"/>
  <c r="B87" i="10"/>
  <c r="P162" i="5"/>
  <c r="B54" i="10"/>
  <c r="P129" i="5"/>
  <c r="N390" i="5"/>
  <c r="P390" i="5" s="1"/>
  <c r="G390" i="5"/>
  <c r="B53" i="9"/>
  <c r="G128" i="5"/>
  <c r="N352" i="5"/>
  <c r="P117" i="5"/>
  <c r="B42" i="10"/>
  <c r="C51" i="10"/>
  <c r="F51" i="10" s="1"/>
  <c r="O284" i="5"/>
  <c r="C668" i="5"/>
  <c r="N405" i="5"/>
  <c r="P405" i="5" s="1"/>
  <c r="G405" i="5"/>
  <c r="B74" i="10"/>
  <c r="P149" i="5"/>
  <c r="K562" i="5"/>
  <c r="M562" i="5" s="1"/>
  <c r="D562" i="5"/>
  <c r="C309" i="5"/>
  <c r="C278" i="5"/>
  <c r="C357" i="5"/>
  <c r="C139" i="5"/>
  <c r="K575" i="5"/>
  <c r="M575" i="5" s="1"/>
  <c r="D575" i="5"/>
  <c r="M131" i="5"/>
  <c r="K282" i="5"/>
  <c r="K317" i="5"/>
  <c r="D237" i="5"/>
  <c r="D130" i="5"/>
  <c r="B34" i="9"/>
  <c r="G109" i="5"/>
  <c r="C171" i="9"/>
  <c r="F253" i="5"/>
  <c r="C177" i="9" s="1"/>
  <c r="B350" i="5"/>
  <c r="D350" i="5" s="1"/>
  <c r="D115" i="5"/>
  <c r="K574" i="5"/>
  <c r="M574" i="5" s="1"/>
  <c r="D574" i="5"/>
  <c r="N453" i="5"/>
  <c r="P453" i="5" s="1"/>
  <c r="G453" i="5"/>
  <c r="K444" i="5"/>
  <c r="M444" i="5" s="1"/>
  <c r="D444" i="5"/>
  <c r="B15" i="9"/>
  <c r="E15" i="9" s="1"/>
  <c r="G251" i="5"/>
  <c r="D241" i="5"/>
  <c r="N568" i="5"/>
  <c r="P568" i="5" s="1"/>
  <c r="G568" i="5"/>
  <c r="E351" i="5"/>
  <c r="G116" i="5"/>
  <c r="B41" i="9"/>
  <c r="G43" i="10"/>
  <c r="E318" i="5"/>
  <c r="B61" i="9"/>
  <c r="G136" i="5"/>
  <c r="N314" i="5"/>
  <c r="P110" i="5"/>
  <c r="B35" i="10"/>
  <c r="N279" i="5"/>
  <c r="K414" i="5"/>
  <c r="M414" i="5" s="1"/>
  <c r="D414" i="5"/>
  <c r="K522" i="5"/>
  <c r="M522" i="5" s="1"/>
  <c r="D522" i="5"/>
  <c r="G168" i="5"/>
  <c r="B93" i="9"/>
  <c r="B92" i="10"/>
  <c r="P167" i="5"/>
  <c r="F348" i="5"/>
  <c r="C31" i="9"/>
  <c r="F165" i="10"/>
  <c r="K622" i="5"/>
  <c r="M622" i="5" s="1"/>
  <c r="D622" i="5"/>
  <c r="O317" i="5"/>
  <c r="C56" i="10"/>
  <c r="O282" i="5"/>
  <c r="L653" i="1"/>
  <c r="M653" i="1" s="1"/>
  <c r="L560" i="1"/>
  <c r="M560" i="1" s="1"/>
  <c r="N420" i="5"/>
  <c r="P420" i="5" s="1"/>
  <c r="G420" i="5"/>
  <c r="D513" i="5"/>
  <c r="K513" i="5"/>
  <c r="M513" i="5" s="1"/>
  <c r="G44" i="9"/>
  <c r="F44" i="9" s="1"/>
  <c r="B43" i="10"/>
  <c r="N353" i="5"/>
  <c r="P118" i="5"/>
  <c r="G78" i="10"/>
  <c r="F78" i="10" s="1"/>
  <c r="C315" i="5"/>
  <c r="C280" i="5"/>
  <c r="N438" i="5"/>
  <c r="G438" i="5"/>
  <c r="E442" i="5"/>
  <c r="N382" i="5"/>
  <c r="G382" i="5"/>
  <c r="E421" i="5"/>
  <c r="K430" i="5"/>
  <c r="M430" i="5" s="1"/>
  <c r="D430" i="5"/>
  <c r="G573" i="5"/>
  <c r="N573" i="5"/>
  <c r="P573" i="5" s="1"/>
  <c r="G134" i="5"/>
  <c r="E283" i="5"/>
  <c r="B59" i="9"/>
  <c r="B105" i="10"/>
  <c r="P180" i="5"/>
  <c r="B176" i="10"/>
  <c r="E176" i="10" s="1"/>
  <c r="P251" i="5"/>
  <c r="N511" i="5"/>
  <c r="P511" i="5" s="1"/>
  <c r="G511" i="5"/>
  <c r="K511" i="5"/>
  <c r="M511" i="5" s="1"/>
  <c r="D511" i="5"/>
  <c r="B82" i="10"/>
  <c r="P156" i="5"/>
  <c r="G92" i="10"/>
  <c r="F92" i="10" s="1"/>
  <c r="K284" i="5"/>
  <c r="M126" i="5"/>
  <c r="K383" i="5"/>
  <c r="M383" i="5" s="1"/>
  <c r="D383" i="5"/>
  <c r="B99" i="10"/>
  <c r="P174" i="5"/>
  <c r="L308" i="1"/>
  <c r="M308" i="1" s="1"/>
  <c r="G392" i="5"/>
  <c r="N392" i="5"/>
  <c r="P392" i="5" s="1"/>
  <c r="B98" i="9"/>
  <c r="G173" i="5"/>
  <c r="N533" i="5"/>
  <c r="E536" i="5"/>
  <c r="G533" i="5"/>
  <c r="K565" i="5"/>
  <c r="M565" i="5" s="1"/>
  <c r="D565" i="5"/>
  <c r="K440" i="5"/>
  <c r="M440" i="5" s="1"/>
  <c r="D440" i="5"/>
  <c r="G426" i="5"/>
  <c r="E437" i="5"/>
  <c r="N426" i="5"/>
  <c r="B283" i="5"/>
  <c r="D134" i="5"/>
  <c r="G103" i="5"/>
  <c r="E312" i="5"/>
  <c r="B28" i="9"/>
  <c r="E345" i="5"/>
  <c r="N447" i="5"/>
  <c r="G447" i="5"/>
  <c r="E455" i="5"/>
  <c r="G565" i="5"/>
  <c r="N565" i="5"/>
  <c r="P565" i="5" s="1"/>
  <c r="G590" i="5"/>
  <c r="N590" i="5"/>
  <c r="P590" i="5" s="1"/>
  <c r="N489" i="5"/>
  <c r="P489" i="5" s="1"/>
  <c r="G489" i="5"/>
  <c r="K533" i="5"/>
  <c r="B536" i="5"/>
  <c r="D533" i="5"/>
  <c r="D32" i="5"/>
  <c r="B38" i="5"/>
  <c r="G157" i="9"/>
  <c r="G199" i="9" s="1"/>
  <c r="G201" i="9"/>
  <c r="G203" i="9" s="1"/>
  <c r="N424" i="5"/>
  <c r="P424" i="5" s="1"/>
  <c r="G424" i="5"/>
  <c r="N599" i="5"/>
  <c r="P599" i="5" s="1"/>
  <c r="G599" i="5"/>
  <c r="L438" i="5"/>
  <c r="L442" i="5" s="1"/>
  <c r="C442" i="5"/>
  <c r="B32" i="2"/>
  <c r="G70" i="5"/>
  <c r="B11" i="9"/>
  <c r="E11" i="9" s="1"/>
  <c r="D29" i="9"/>
  <c r="F284" i="5"/>
  <c r="C51" i="9"/>
  <c r="N387" i="5"/>
  <c r="P387" i="5" s="1"/>
  <c r="G387" i="5"/>
  <c r="G124" i="5"/>
  <c r="B49" i="9"/>
  <c r="D161" i="5"/>
  <c r="B169" i="5"/>
  <c r="E625" i="5"/>
  <c r="G620" i="5"/>
  <c r="N620" i="5"/>
  <c r="N572" i="5"/>
  <c r="P572" i="5" s="1"/>
  <c r="G572" i="5"/>
  <c r="B77" i="9"/>
  <c r="G151" i="5"/>
  <c r="N490" i="5"/>
  <c r="P490" i="5" s="1"/>
  <c r="G490" i="5"/>
  <c r="K623" i="5"/>
  <c r="M623" i="5" s="1"/>
  <c r="D623" i="5"/>
  <c r="C159" i="10"/>
  <c r="F159" i="10" s="1"/>
  <c r="O245" i="5"/>
  <c r="N494" i="5"/>
  <c r="P494" i="5" s="1"/>
  <c r="G494" i="5"/>
  <c r="K614" i="5"/>
  <c r="M614" i="5" s="1"/>
  <c r="D614" i="5"/>
  <c r="B310" i="5"/>
  <c r="D310" i="5" s="1"/>
  <c r="D101" i="5"/>
  <c r="D96" i="9"/>
  <c r="D100" i="10"/>
  <c r="G452" i="5"/>
  <c r="N452" i="5"/>
  <c r="P452" i="5" s="1"/>
  <c r="N412" i="5"/>
  <c r="P412" i="5" s="1"/>
  <c r="G412" i="5"/>
  <c r="K587" i="5"/>
  <c r="M587" i="5" s="1"/>
  <c r="D587" i="5"/>
  <c r="M107" i="10"/>
  <c r="D164" i="5"/>
  <c r="F163" i="10"/>
  <c r="C40" i="10"/>
  <c r="O350" i="5"/>
  <c r="K615" i="5"/>
  <c r="M615" i="5" s="1"/>
  <c r="D615" i="5"/>
  <c r="N584" i="5"/>
  <c r="P584" i="5" s="1"/>
  <c r="G584" i="5"/>
  <c r="D40" i="9"/>
  <c r="B7" i="10"/>
  <c r="E7" i="10" s="1"/>
  <c r="P66" i="5"/>
  <c r="F165" i="9"/>
  <c r="D618" i="5"/>
  <c r="K618" i="5"/>
  <c r="M618" i="5" s="1"/>
  <c r="B354" i="5"/>
  <c r="D354" i="5" s="1"/>
  <c r="D137" i="5"/>
  <c r="M120" i="5"/>
  <c r="B81" i="9"/>
  <c r="G155" i="5"/>
  <c r="K609" i="5"/>
  <c r="M609" i="5" s="1"/>
  <c r="D609" i="5"/>
  <c r="N419" i="5"/>
  <c r="P419" i="5" s="1"/>
  <c r="G419" i="5"/>
  <c r="B515" i="5"/>
  <c r="D480" i="5"/>
  <c r="K480" i="5"/>
  <c r="D56" i="9"/>
  <c r="D33" i="10"/>
  <c r="D73" i="10"/>
  <c r="D36" i="10"/>
  <c r="C86" i="9"/>
  <c r="F169" i="5"/>
  <c r="C94" i="9" s="1"/>
  <c r="K592" i="5"/>
  <c r="M592" i="5" s="1"/>
  <c r="D592" i="5"/>
  <c r="D611" i="5"/>
  <c r="K611" i="5"/>
  <c r="M611" i="5" s="1"/>
  <c r="F349" i="5"/>
  <c r="F313" i="5"/>
  <c r="C33" i="9"/>
  <c r="K613" i="5"/>
  <c r="M613" i="5" s="1"/>
  <c r="D613" i="5"/>
  <c r="D91" i="10"/>
  <c r="F312" i="5"/>
  <c r="C28" i="9"/>
  <c r="F345" i="5"/>
  <c r="D78" i="9"/>
  <c r="D201" i="9"/>
  <c r="D203" i="9" s="1"/>
  <c r="D157" i="9"/>
  <c r="D199" i="9" s="1"/>
  <c r="C42" i="10"/>
  <c r="O352" i="5"/>
  <c r="L561" i="5"/>
  <c r="L600" i="5" s="1"/>
  <c r="C600" i="5"/>
  <c r="K489" i="5"/>
  <c r="M489" i="5" s="1"/>
  <c r="D489" i="5"/>
  <c r="B162" i="10"/>
  <c r="E162" i="10" s="1"/>
  <c r="P237" i="5"/>
  <c r="F173" i="9"/>
  <c r="N434" i="5"/>
  <c r="P434" i="5" s="1"/>
  <c r="G434" i="5"/>
  <c r="K169" i="5"/>
  <c r="M161" i="5"/>
  <c r="M135" i="5"/>
  <c r="N594" i="5"/>
  <c r="P594" i="5" s="1"/>
  <c r="G594" i="5"/>
  <c r="K509" i="5"/>
  <c r="M509" i="5" s="1"/>
  <c r="D509" i="5"/>
  <c r="D585" i="5"/>
  <c r="K585" i="5"/>
  <c r="M585" i="5" s="1"/>
  <c r="P120" i="5"/>
  <c r="B45" i="10"/>
  <c r="C28" i="10"/>
  <c r="O345" i="5"/>
  <c r="O312" i="5"/>
  <c r="K177" i="5"/>
  <c r="M170" i="5"/>
  <c r="C103" i="9"/>
  <c r="F181" i="5"/>
  <c r="C106" i="9" s="1"/>
  <c r="M237" i="5"/>
  <c r="G660" i="5"/>
  <c r="L283" i="5"/>
  <c r="G86" i="9"/>
  <c r="F668" i="5"/>
  <c r="E44" i="2"/>
  <c r="C12" i="10"/>
  <c r="F12" i="10" s="1"/>
  <c r="E33" i="2"/>
  <c r="N628" i="5"/>
  <c r="P628" i="5" s="1"/>
  <c r="G628" i="5"/>
  <c r="C72" i="10"/>
  <c r="O160" i="5"/>
  <c r="C85" i="10" s="1"/>
  <c r="M251" i="5"/>
  <c r="D242" i="5"/>
  <c r="D50" i="10"/>
  <c r="F54" i="10"/>
  <c r="D499" i="5"/>
  <c r="K499" i="5"/>
  <c r="M499" i="5" s="1"/>
  <c r="B63" i="9"/>
  <c r="E355" i="5"/>
  <c r="G138" i="5"/>
  <c r="M140" i="5"/>
  <c r="K146" i="5"/>
  <c r="B161" i="9"/>
  <c r="E161" i="9" s="1"/>
  <c r="G236" i="5"/>
  <c r="N409" i="5"/>
  <c r="P409" i="5" s="1"/>
  <c r="G409" i="5"/>
  <c r="N616" i="5"/>
  <c r="P616" i="5" s="1"/>
  <c r="G616" i="5"/>
  <c r="L316" i="5"/>
  <c r="L281" i="5"/>
  <c r="K492" i="5"/>
  <c r="M492" i="5" s="1"/>
  <c r="D492" i="5"/>
  <c r="D113" i="5"/>
  <c r="M125" i="5"/>
  <c r="M153" i="5"/>
  <c r="C160" i="5"/>
  <c r="M163" i="5"/>
  <c r="N177" i="5"/>
  <c r="B102" i="10" s="1"/>
  <c r="B95" i="10"/>
  <c r="P170" i="5"/>
  <c r="P116" i="5"/>
  <c r="N351" i="5"/>
  <c r="B41" i="10"/>
  <c r="M162" i="5"/>
  <c r="N587" i="5"/>
  <c r="P587" i="5" s="1"/>
  <c r="G587" i="5"/>
  <c r="D40" i="10"/>
  <c r="N383" i="5"/>
  <c r="P383" i="5" s="1"/>
  <c r="G383" i="5"/>
  <c r="D535" i="5"/>
  <c r="K535" i="5"/>
  <c r="M535" i="5" s="1"/>
  <c r="L317" i="5"/>
  <c r="L282" i="5"/>
  <c r="L169" i="5"/>
  <c r="N512" i="5"/>
  <c r="P512" i="5" s="1"/>
  <c r="G512" i="5"/>
  <c r="M36" i="5"/>
  <c r="D157" i="5"/>
  <c r="E316" i="5"/>
  <c r="G127" i="5"/>
  <c r="E281" i="5"/>
  <c r="B52" i="9"/>
  <c r="B59" i="10"/>
  <c r="P134" i="5"/>
  <c r="N283" i="5"/>
  <c r="G569" i="5"/>
  <c r="N569" i="5"/>
  <c r="P569" i="5" s="1"/>
  <c r="G66" i="9"/>
  <c r="F66" i="9" s="1"/>
  <c r="K395" i="5"/>
  <c r="M395" i="5" s="1"/>
  <c r="D395" i="5"/>
  <c r="D86" i="10"/>
  <c r="N596" i="5"/>
  <c r="P596" i="5" s="1"/>
  <c r="G596" i="5"/>
  <c r="G35" i="10"/>
  <c r="G663" i="5"/>
  <c r="D667" i="5"/>
  <c r="B159" i="9"/>
  <c r="E159" i="9" s="1"/>
  <c r="G234" i="5"/>
  <c r="E245" i="5"/>
  <c r="B170" i="9" s="1"/>
  <c r="B190" i="9" s="1"/>
  <c r="K397" i="5"/>
  <c r="M397" i="5" s="1"/>
  <c r="D397" i="5"/>
  <c r="F347" i="5"/>
  <c r="F320" i="5"/>
  <c r="C30" i="9"/>
  <c r="M66" i="5"/>
  <c r="N597" i="5"/>
  <c r="P597" i="5" s="1"/>
  <c r="G597" i="5"/>
  <c r="D180" i="5"/>
  <c r="C41" i="9"/>
  <c r="F351" i="5"/>
  <c r="F38" i="5"/>
  <c r="P33" i="5"/>
  <c r="D95" i="10"/>
  <c r="N486" i="5"/>
  <c r="P486" i="5" s="1"/>
  <c r="G486" i="5"/>
  <c r="D104" i="9"/>
  <c r="G57" i="9"/>
  <c r="F57" i="9" s="1"/>
  <c r="D665" i="5"/>
  <c r="N508" i="5"/>
  <c r="P508" i="5" s="1"/>
  <c r="G508" i="5"/>
  <c r="D165" i="5"/>
  <c r="G75" i="9"/>
  <c r="F75" i="9" s="1"/>
  <c r="D76" i="9"/>
  <c r="D112" i="5"/>
  <c r="M37" i="5"/>
  <c r="D54" i="10"/>
  <c r="K482" i="5"/>
  <c r="M482" i="5" s="1"/>
  <c r="D482" i="5"/>
  <c r="B43" i="9"/>
  <c r="E353" i="5"/>
  <c r="G118" i="5"/>
  <c r="D172" i="5"/>
  <c r="D167" i="5"/>
  <c r="M167" i="5"/>
  <c r="G93" i="9"/>
  <c r="F93" i="9" s="1"/>
  <c r="C344" i="1"/>
  <c r="D344" i="1" s="1"/>
  <c r="C308" i="1"/>
  <c r="D308" i="1" s="1"/>
  <c r="C560" i="1"/>
  <c r="D560" i="1" s="1"/>
  <c r="F536" i="8"/>
  <c r="K533" i="8"/>
  <c r="K536" i="8" s="1"/>
  <c r="K38" i="8"/>
  <c r="J438" i="8"/>
  <c r="J442" i="8" s="1"/>
  <c r="E442" i="8"/>
  <c r="I528" i="8"/>
  <c r="I532" i="8" s="1"/>
  <c r="D532" i="8"/>
  <c r="C313" i="8"/>
  <c r="C349" i="8"/>
  <c r="F316" i="8"/>
  <c r="F281" i="8"/>
  <c r="D284" i="8"/>
  <c r="H426" i="8"/>
  <c r="H437" i="8" s="1"/>
  <c r="C437" i="8"/>
  <c r="I253" i="8"/>
  <c r="B73" i="8"/>
  <c r="B160" i="8"/>
  <c r="K73" i="8"/>
  <c r="D177" i="8"/>
  <c r="G38" i="8"/>
  <c r="J169" i="8"/>
  <c r="F312" i="8"/>
  <c r="F345" i="8"/>
  <c r="I181" i="8"/>
  <c r="C314" i="8"/>
  <c r="C279" i="8"/>
  <c r="B315" i="8"/>
  <c r="B280" i="8"/>
  <c r="F283" i="8"/>
  <c r="H601" i="8"/>
  <c r="H607" i="8" s="1"/>
  <c r="C607" i="8"/>
  <c r="D181" i="8"/>
  <c r="J347" i="8"/>
  <c r="J320" i="8"/>
  <c r="D38" i="8"/>
  <c r="F27" i="5"/>
  <c r="G27" i="5" s="1"/>
  <c r="B27" i="5"/>
  <c r="C27" i="5" s="1"/>
  <c r="D27" i="5" s="1"/>
  <c r="K653" i="5"/>
  <c r="O653" i="5"/>
  <c r="P653" i="5" s="1"/>
  <c r="O27" i="5"/>
  <c r="P27" i="5" s="1"/>
  <c r="K27" i="5"/>
  <c r="B560" i="5"/>
  <c r="C560" i="5" s="1"/>
  <c r="D560" i="5" s="1"/>
  <c r="F560" i="5"/>
  <c r="G560" i="5" s="1"/>
  <c r="O381" i="5"/>
  <c r="P381" i="5" s="1"/>
  <c r="K381" i="5"/>
  <c r="L381" i="5" s="1"/>
  <c r="M381" i="5" s="1"/>
  <c r="O479" i="5"/>
  <c r="P479" i="5" s="1"/>
  <c r="K479" i="5"/>
  <c r="L381" i="1"/>
  <c r="M381" i="1" s="1"/>
  <c r="B313" i="5"/>
  <c r="D108" i="5"/>
  <c r="B349" i="5"/>
  <c r="C4" i="10"/>
  <c r="F4" i="10" s="1"/>
  <c r="O67" i="5"/>
  <c r="B84" i="10"/>
  <c r="P159" i="5"/>
  <c r="D129" i="5"/>
  <c r="N404" i="5"/>
  <c r="P404" i="5" s="1"/>
  <c r="G404" i="5"/>
  <c r="N399" i="5"/>
  <c r="P399" i="5" s="1"/>
  <c r="G399" i="5"/>
  <c r="D80" i="9"/>
  <c r="B35" i="9"/>
  <c r="G110" i="5"/>
  <c r="E314" i="5"/>
  <c r="E279" i="5"/>
  <c r="B47" i="9"/>
  <c r="E315" i="5"/>
  <c r="E280" i="5"/>
  <c r="G122" i="5"/>
  <c r="P240" i="5"/>
  <c r="B165" i="10"/>
  <c r="E165" i="10" s="1"/>
  <c r="B317" i="5"/>
  <c r="B282" i="5"/>
  <c r="D131" i="5"/>
  <c r="N406" i="5"/>
  <c r="P406" i="5" s="1"/>
  <c r="G406" i="5"/>
  <c r="G172" i="5"/>
  <c r="B97" i="9"/>
  <c r="N525" i="5"/>
  <c r="P525" i="5" s="1"/>
  <c r="G525" i="5"/>
  <c r="N497" i="5"/>
  <c r="P497" i="5" s="1"/>
  <c r="G497" i="5"/>
  <c r="C27" i="10"/>
  <c r="O311" i="5"/>
  <c r="C317" i="5"/>
  <c r="C282" i="5"/>
  <c r="K567" i="5"/>
  <c r="M567" i="5" s="1"/>
  <c r="D567" i="5"/>
  <c r="C245" i="5"/>
  <c r="B55" i="10"/>
  <c r="P130" i="5"/>
  <c r="D616" i="5"/>
  <c r="K616" i="5"/>
  <c r="M616" i="5" s="1"/>
  <c r="G159" i="5"/>
  <c r="B84" i="9"/>
  <c r="E619" i="5"/>
  <c r="N608" i="5"/>
  <c r="G608" i="5"/>
  <c r="G46" i="10"/>
  <c r="F46" i="10" s="1"/>
  <c r="B160" i="10"/>
  <c r="E160" i="10" s="1"/>
  <c r="P235" i="5"/>
  <c r="O626" i="5"/>
  <c r="O629" i="5" s="1"/>
  <c r="F629" i="5"/>
  <c r="G132" i="5"/>
  <c r="B57" i="9"/>
  <c r="D29" i="5"/>
  <c r="N430" i="5"/>
  <c r="P430" i="5" s="1"/>
  <c r="G430" i="5"/>
  <c r="K447" i="5"/>
  <c r="B455" i="5"/>
  <c r="D447" i="5"/>
  <c r="K420" i="5"/>
  <c r="M420" i="5" s="1"/>
  <c r="D420" i="5"/>
  <c r="K617" i="5"/>
  <c r="M617" i="5" s="1"/>
  <c r="D617" i="5"/>
  <c r="G75" i="10"/>
  <c r="F75" i="10" s="1"/>
  <c r="D144" i="5"/>
  <c r="N585" i="5"/>
  <c r="P585" i="5" s="1"/>
  <c r="G585" i="5"/>
  <c r="K443" i="5"/>
  <c r="B446" i="5"/>
  <c r="D443" i="5"/>
  <c r="B73" i="9"/>
  <c r="G148" i="5"/>
  <c r="D500" i="5"/>
  <c r="K500" i="5"/>
  <c r="M500" i="5" s="1"/>
  <c r="K412" i="5"/>
  <c r="M412" i="5" s="1"/>
  <c r="D412" i="5"/>
  <c r="F353" i="5"/>
  <c r="C43" i="9"/>
  <c r="B56" i="9"/>
  <c r="E317" i="5"/>
  <c r="G131" i="5"/>
  <c r="E282" i="5"/>
  <c r="B5" i="9"/>
  <c r="G64" i="5"/>
  <c r="D68" i="10"/>
  <c r="N411" i="5"/>
  <c r="P411" i="5" s="1"/>
  <c r="G411" i="5"/>
  <c r="B4" i="9"/>
  <c r="E4" i="9" s="1"/>
  <c r="G63" i="5"/>
  <c r="E67" i="5"/>
  <c r="B101" i="10"/>
  <c r="P176" i="5"/>
  <c r="F167" i="9"/>
  <c r="K410" i="5"/>
  <c r="M410" i="5" s="1"/>
  <c r="D410" i="5"/>
  <c r="N583" i="5"/>
  <c r="P583" i="5" s="1"/>
  <c r="G583" i="5"/>
  <c r="N401" i="5"/>
  <c r="P401" i="5" s="1"/>
  <c r="G401" i="5"/>
  <c r="E347" i="5"/>
  <c r="B30" i="9"/>
  <c r="G105" i="5"/>
  <c r="E320" i="5"/>
  <c r="B68" i="10"/>
  <c r="P143" i="5"/>
  <c r="N588" i="5"/>
  <c r="P588" i="5" s="1"/>
  <c r="G588" i="5"/>
  <c r="O422" i="5"/>
  <c r="O425" i="5" s="1"/>
  <c r="F425" i="5"/>
  <c r="P135" i="5"/>
  <c r="B60" i="10"/>
  <c r="D47" i="9"/>
  <c r="L315" i="5"/>
  <c r="L280" i="5"/>
  <c r="N346" i="5"/>
  <c r="B29" i="10"/>
  <c r="P104" i="5"/>
  <c r="K346" i="5"/>
  <c r="M346" i="5" s="1"/>
  <c r="M104" i="5"/>
  <c r="K481" i="5"/>
  <c r="M481" i="5" s="1"/>
  <c r="D481" i="5"/>
  <c r="L160" i="5"/>
  <c r="N492" i="5"/>
  <c r="P492" i="5" s="1"/>
  <c r="G492" i="5"/>
  <c r="G103" i="9"/>
  <c r="C52" i="10"/>
  <c r="O316" i="5"/>
  <c r="O281" i="5"/>
  <c r="K606" i="5"/>
  <c r="M606" i="5" s="1"/>
  <c r="D606" i="5"/>
  <c r="E34" i="2"/>
  <c r="E50" i="2"/>
  <c r="C13" i="10"/>
  <c r="F13" i="10" s="1"/>
  <c r="N502" i="5"/>
  <c r="P502" i="5" s="1"/>
  <c r="G502" i="5"/>
  <c r="K490" i="5"/>
  <c r="M490" i="5" s="1"/>
  <c r="D490" i="5"/>
  <c r="G37" i="5"/>
  <c r="B55" i="9"/>
  <c r="G130" i="5"/>
  <c r="N519" i="5"/>
  <c r="P519" i="5" s="1"/>
  <c r="G519" i="5"/>
  <c r="C11" i="10"/>
  <c r="F11" i="10" s="1"/>
  <c r="E32" i="2"/>
  <c r="K583" i="5"/>
  <c r="M583" i="5" s="1"/>
  <c r="D583" i="5"/>
  <c r="D244" i="5"/>
  <c r="N280" i="5"/>
  <c r="B47" i="10"/>
  <c r="P122" i="5"/>
  <c r="N315" i="5"/>
  <c r="N146" i="5"/>
  <c r="B71" i="10" s="1"/>
  <c r="P140" i="5"/>
  <c r="B65" i="10"/>
  <c r="G161" i="5"/>
  <c r="E169" i="5"/>
  <c r="B94" i="9" s="1"/>
  <c r="B86" i="9"/>
  <c r="G111" i="5"/>
  <c r="B36" i="9"/>
  <c r="D433" i="5"/>
  <c r="K433" i="5"/>
  <c r="M433" i="5" s="1"/>
  <c r="N395" i="5"/>
  <c r="P395" i="5" s="1"/>
  <c r="G395" i="5"/>
  <c r="B351" i="5"/>
  <c r="D351" i="5" s="1"/>
  <c r="D116" i="5"/>
  <c r="G487" i="5"/>
  <c r="N487" i="5"/>
  <c r="P487" i="5" s="1"/>
  <c r="N504" i="5"/>
  <c r="P504" i="5" s="1"/>
  <c r="G504" i="5"/>
  <c r="D103" i="10"/>
  <c r="C11" i="9"/>
  <c r="F11" i="9" s="1"/>
  <c r="C32" i="2"/>
  <c r="K529" i="5"/>
  <c r="M529" i="5" s="1"/>
  <c r="D529" i="5"/>
  <c r="K501" i="5"/>
  <c r="M501" i="5" s="1"/>
  <c r="D501" i="5"/>
  <c r="K406" i="5"/>
  <c r="M406" i="5" s="1"/>
  <c r="D406" i="5"/>
  <c r="B91" i="10"/>
  <c r="P166" i="5"/>
  <c r="P154" i="5"/>
  <c r="B80" i="10"/>
  <c r="C86" i="10"/>
  <c r="O169" i="5"/>
  <c r="C94" i="10" s="1"/>
  <c r="D159" i="5"/>
  <c r="B166" i="10"/>
  <c r="E166" i="10" s="1"/>
  <c r="P241" i="5"/>
  <c r="B104" i="9"/>
  <c r="G179" i="5"/>
  <c r="E671" i="5"/>
  <c r="G669" i="5"/>
  <c r="G27" i="9"/>
  <c r="P123" i="5"/>
  <c r="B48" i="10"/>
  <c r="N606" i="5"/>
  <c r="P606" i="5" s="1"/>
  <c r="G606" i="5"/>
  <c r="B56" i="10"/>
  <c r="N317" i="5"/>
  <c r="P131" i="5"/>
  <c r="N282" i="5"/>
  <c r="K571" i="5"/>
  <c r="M571" i="5" s="1"/>
  <c r="D571" i="5"/>
  <c r="L422" i="5"/>
  <c r="L425" i="5" s="1"/>
  <c r="C425" i="5"/>
  <c r="D173" i="5"/>
  <c r="M154" i="5"/>
  <c r="D249" i="5"/>
  <c r="N509" i="5"/>
  <c r="P509" i="5" s="1"/>
  <c r="G509" i="5"/>
  <c r="B69" i="9"/>
  <c r="G144" i="5"/>
  <c r="N439" i="5"/>
  <c r="P439" i="5" s="1"/>
  <c r="G439" i="5"/>
  <c r="N316" i="5"/>
  <c r="B52" i="10"/>
  <c r="P127" i="5"/>
  <c r="N281" i="5"/>
  <c r="B98" i="10"/>
  <c r="P173" i="5"/>
  <c r="B83" i="9"/>
  <c r="E83" i="9" s="1"/>
  <c r="G157" i="5"/>
  <c r="B67" i="10"/>
  <c r="P142" i="5"/>
  <c r="M152" i="5"/>
  <c r="N394" i="5"/>
  <c r="P394" i="5" s="1"/>
  <c r="G394" i="5"/>
  <c r="M241" i="5"/>
  <c r="N444" i="5"/>
  <c r="P444" i="5" s="1"/>
  <c r="G444" i="5"/>
  <c r="F96" i="9"/>
  <c r="B172" i="9"/>
  <c r="G247" i="5"/>
  <c r="G39" i="9"/>
  <c r="F39" i="9" s="1"/>
  <c r="O561" i="5"/>
  <c r="O600" i="5" s="1"/>
  <c r="F600" i="5"/>
  <c r="B160" i="5"/>
  <c r="D147" i="5"/>
  <c r="N488" i="5"/>
  <c r="P488" i="5" s="1"/>
  <c r="G488" i="5"/>
  <c r="M64" i="5"/>
  <c r="N622" i="5"/>
  <c r="P622" i="5" s="1"/>
  <c r="G622" i="5"/>
  <c r="D155" i="5"/>
  <c r="N567" i="5"/>
  <c r="P567" i="5" s="1"/>
  <c r="G567" i="5"/>
  <c r="D171" i="5"/>
  <c r="K523" i="5"/>
  <c r="M523" i="5" s="1"/>
  <c r="D523" i="5"/>
  <c r="N480" i="5"/>
  <c r="G480" i="5"/>
  <c r="E515" i="5"/>
  <c r="D96" i="10"/>
  <c r="D128" i="5"/>
  <c r="G658" i="5"/>
  <c r="K400" i="5"/>
  <c r="M400" i="5" s="1"/>
  <c r="D400" i="5"/>
  <c r="B62" i="9"/>
  <c r="E354" i="5"/>
  <c r="G137" i="5"/>
  <c r="D65" i="9"/>
  <c r="G103" i="10"/>
  <c r="D670" i="5"/>
  <c r="B7" i="9"/>
  <c r="E7" i="9" s="1"/>
  <c r="G66" i="5"/>
  <c r="N522" i="5"/>
  <c r="P522" i="5" s="1"/>
  <c r="G522" i="5"/>
  <c r="G106" i="5"/>
  <c r="B31" i="9"/>
  <c r="E348" i="5"/>
  <c r="C277" i="1"/>
  <c r="D277" i="1" s="1"/>
  <c r="C253" i="8"/>
  <c r="H447" i="8"/>
  <c r="H455" i="8" s="1"/>
  <c r="C455" i="8"/>
  <c r="J38" i="8"/>
  <c r="E67" i="8"/>
  <c r="G426" i="8"/>
  <c r="G437" i="8" s="1"/>
  <c r="B437" i="8"/>
  <c r="E668" i="8"/>
  <c r="K177" i="8"/>
  <c r="C283" i="8"/>
  <c r="H438" i="8"/>
  <c r="H442" i="8" s="1"/>
  <c r="C442" i="8"/>
  <c r="G533" i="8"/>
  <c r="G536" i="8" s="1"/>
  <c r="B536" i="8"/>
  <c r="H422" i="8"/>
  <c r="H425" i="8" s="1"/>
  <c r="C425" i="8"/>
  <c r="H382" i="8"/>
  <c r="H421" i="8" s="1"/>
  <c r="C421" i="8"/>
  <c r="B169" i="8"/>
  <c r="J426" i="8"/>
  <c r="J437" i="8" s="1"/>
  <c r="E437" i="8"/>
  <c r="G608" i="8"/>
  <c r="G619" i="8" s="1"/>
  <c r="B619" i="8"/>
  <c r="K480" i="8"/>
  <c r="K515" i="8" s="1"/>
  <c r="F515" i="8"/>
  <c r="J73" i="8"/>
  <c r="E169" i="8"/>
  <c r="D314" i="8"/>
  <c r="D279" i="8"/>
  <c r="D668" i="8"/>
  <c r="B245" i="8"/>
  <c r="J516" i="8"/>
  <c r="J527" i="8" s="1"/>
  <c r="E527" i="8"/>
  <c r="K422" i="8"/>
  <c r="K425" i="8" s="1"/>
  <c r="F425" i="8"/>
  <c r="K67" i="8"/>
  <c r="H232" i="8"/>
  <c r="K316" i="8"/>
  <c r="K281" i="8"/>
  <c r="J181" i="8"/>
  <c r="G309" i="8"/>
  <c r="G357" i="8"/>
  <c r="G278" i="8"/>
  <c r="G139" i="8"/>
  <c r="F160" i="8"/>
  <c r="F146" i="8"/>
  <c r="F169" i="8"/>
  <c r="H347" i="8"/>
  <c r="H320" i="8"/>
  <c r="K245" i="8"/>
  <c r="D160" i="8"/>
  <c r="J315" i="8"/>
  <c r="J280" i="8"/>
  <c r="G447" i="8"/>
  <c r="G455" i="8" s="1"/>
  <c r="B455" i="8"/>
  <c r="E349" i="8"/>
  <c r="E313" i="8"/>
  <c r="I626" i="8"/>
  <c r="I629" i="8" s="1"/>
  <c r="D629" i="8"/>
  <c r="F277" i="5"/>
  <c r="G277" i="5" s="1"/>
  <c r="B277" i="5"/>
  <c r="B344" i="5"/>
  <c r="C344" i="5" s="1"/>
  <c r="D344" i="5" s="1"/>
  <c r="F344" i="5"/>
  <c r="G344" i="5" s="1"/>
  <c r="D49" i="2"/>
  <c r="E49" i="2"/>
  <c r="B6" i="2"/>
  <c r="L99" i="1"/>
  <c r="M99" i="1" s="1"/>
  <c r="B281" i="5"/>
  <c r="B316" i="5"/>
  <c r="D127" i="5"/>
  <c r="D145" i="5"/>
  <c r="N571" i="5"/>
  <c r="P571" i="5" s="1"/>
  <c r="G571" i="5"/>
  <c r="B9" i="10"/>
  <c r="P68" i="5"/>
  <c r="D30" i="2"/>
  <c r="D62" i="10"/>
  <c r="K382" i="5"/>
  <c r="D382" i="5"/>
  <c r="B421" i="5"/>
  <c r="K603" i="5"/>
  <c r="M603" i="5" s="1"/>
  <c r="D603" i="5"/>
  <c r="G403" i="5"/>
  <c r="N403" i="5"/>
  <c r="P403" i="5" s="1"/>
  <c r="D586" i="5"/>
  <c r="K586" i="5"/>
  <c r="M586" i="5" s="1"/>
  <c r="N576" i="5"/>
  <c r="P576" i="5" s="1"/>
  <c r="G576" i="5"/>
  <c r="C9" i="9"/>
  <c r="C30" i="2"/>
  <c r="B75" i="9"/>
  <c r="E75" i="9" s="1"/>
  <c r="G150" i="5"/>
  <c r="N495" i="5"/>
  <c r="P495" i="5" s="1"/>
  <c r="G495" i="5"/>
  <c r="B51" i="9"/>
  <c r="G126" i="5"/>
  <c r="E284" i="5"/>
  <c r="K526" i="5"/>
  <c r="M526" i="5" s="1"/>
  <c r="D526" i="5"/>
  <c r="D627" i="5"/>
  <c r="K627" i="5"/>
  <c r="M627" i="5" s="1"/>
  <c r="B90" i="10"/>
  <c r="P165" i="5"/>
  <c r="G42" i="9"/>
  <c r="N491" i="5"/>
  <c r="P491" i="5" s="1"/>
  <c r="G491" i="5"/>
  <c r="D48" i="10"/>
  <c r="G429" i="5"/>
  <c r="N429" i="5"/>
  <c r="P429" i="5" s="1"/>
  <c r="D35" i="9"/>
  <c r="L620" i="5"/>
  <c r="L625" i="5" s="1"/>
  <c r="C625" i="5"/>
  <c r="D31" i="2"/>
  <c r="P69" i="5"/>
  <c r="N73" i="5"/>
  <c r="B14" i="10" s="1"/>
  <c r="B10" i="10"/>
  <c r="E10" i="10" s="1"/>
  <c r="L382" i="5"/>
  <c r="L421" i="5" s="1"/>
  <c r="C421" i="5"/>
  <c r="G431" i="5"/>
  <c r="N431" i="5"/>
  <c r="P431" i="5" s="1"/>
  <c r="D133" i="5"/>
  <c r="K512" i="5"/>
  <c r="M512" i="5" s="1"/>
  <c r="D512" i="5"/>
  <c r="D38" i="10"/>
  <c r="G58" i="9"/>
  <c r="F58" i="9" s="1"/>
  <c r="K590" i="5"/>
  <c r="M590" i="5" s="1"/>
  <c r="D590" i="5"/>
  <c r="B46" i="9"/>
  <c r="G121" i="5"/>
  <c r="H121" i="5" s="1"/>
  <c r="I121" i="5" s="1"/>
  <c r="O443" i="5"/>
  <c r="O446" i="5" s="1"/>
  <c r="F446" i="5"/>
  <c r="K391" i="5"/>
  <c r="M391" i="5" s="1"/>
  <c r="D391" i="5"/>
  <c r="N386" i="5"/>
  <c r="P386" i="5" s="1"/>
  <c r="G386" i="5"/>
  <c r="G59" i="10"/>
  <c r="L181" i="5"/>
  <c r="N385" i="5"/>
  <c r="P385" i="5" s="1"/>
  <c r="G385" i="5"/>
  <c r="B73" i="10"/>
  <c r="P148" i="5"/>
  <c r="N617" i="5"/>
  <c r="P617" i="5" s="1"/>
  <c r="G617" i="5"/>
  <c r="G45" i="9"/>
  <c r="F45" i="9" s="1"/>
  <c r="K314" i="5"/>
  <c r="M110" i="5"/>
  <c r="K279" i="5"/>
  <c r="C347" i="5"/>
  <c r="C320" i="5"/>
  <c r="B96" i="10"/>
  <c r="P171" i="5"/>
  <c r="G67" i="10"/>
  <c r="F67" i="10" s="1"/>
  <c r="C38" i="5"/>
  <c r="B161" i="10"/>
  <c r="E161" i="10" s="1"/>
  <c r="P236" i="5"/>
  <c r="B346" i="5"/>
  <c r="D346" i="5" s="1"/>
  <c r="D104" i="5"/>
  <c r="C62" i="10"/>
  <c r="O354" i="5"/>
  <c r="O318" i="5"/>
  <c r="C61" i="10"/>
  <c r="B34" i="2"/>
  <c r="B50" i="2"/>
  <c r="B13" i="9"/>
  <c r="E13" i="9" s="1"/>
  <c r="G72" i="5"/>
  <c r="D417" i="5"/>
  <c r="K417" i="5"/>
  <c r="M417" i="5" s="1"/>
  <c r="F168" i="10"/>
  <c r="G119" i="5"/>
  <c r="B44" i="9"/>
  <c r="N388" i="5"/>
  <c r="P388" i="5" s="1"/>
  <c r="G388" i="5"/>
  <c r="N441" i="5"/>
  <c r="P441" i="5" s="1"/>
  <c r="G441" i="5"/>
  <c r="G501" i="5"/>
  <c r="N501" i="5"/>
  <c r="P501" i="5" s="1"/>
  <c r="B74" i="9"/>
  <c r="G149" i="5"/>
  <c r="G56" i="10"/>
  <c r="G36" i="10"/>
  <c r="F36" i="10" s="1"/>
  <c r="G595" i="5"/>
  <c r="N595" i="5"/>
  <c r="P595" i="5" s="1"/>
  <c r="B174" i="9"/>
  <c r="E174" i="9" s="1"/>
  <c r="G249" i="5"/>
  <c r="D91" i="9"/>
  <c r="N529" i="5"/>
  <c r="P529" i="5" s="1"/>
  <c r="G529" i="5"/>
  <c r="D251" i="5"/>
  <c r="B31" i="10"/>
  <c r="N348" i="5"/>
  <c r="P106" i="5"/>
  <c r="D101" i="10"/>
  <c r="B172" i="10"/>
  <c r="P247" i="5"/>
  <c r="D178" i="5"/>
  <c r="B181" i="5"/>
  <c r="B97" i="10"/>
  <c r="P172" i="5"/>
  <c r="K348" i="5"/>
  <c r="M348" i="5" s="1"/>
  <c r="M106" i="5"/>
  <c r="B33" i="10"/>
  <c r="N313" i="5"/>
  <c r="P108" i="5"/>
  <c r="N349" i="5"/>
  <c r="P179" i="5"/>
  <c r="B104" i="10"/>
  <c r="N575" i="5"/>
  <c r="P575" i="5" s="1"/>
  <c r="G575" i="5"/>
  <c r="K604" i="5"/>
  <c r="M604" i="5" s="1"/>
  <c r="D604" i="5"/>
  <c r="D67" i="10"/>
  <c r="N505" i="5"/>
  <c r="P505" i="5" s="1"/>
  <c r="G505" i="5"/>
  <c r="M164" i="5"/>
  <c r="B101" i="9"/>
  <c r="G176" i="5"/>
  <c r="K353" i="5"/>
  <c r="M353" i="5" s="1"/>
  <c r="M118" i="5"/>
  <c r="N391" i="5"/>
  <c r="P391" i="5" s="1"/>
  <c r="G391" i="5"/>
  <c r="P138" i="5"/>
  <c r="N355" i="5"/>
  <c r="B63" i="10"/>
  <c r="M101" i="5"/>
  <c r="K310" i="5"/>
  <c r="M310" i="5" s="1"/>
  <c r="P124" i="5"/>
  <c r="B49" i="10"/>
  <c r="B40" i="10"/>
  <c r="N350" i="5"/>
  <c r="P115" i="5"/>
  <c r="D80" i="10"/>
  <c r="O38" i="5"/>
  <c r="D97" i="10"/>
  <c r="G72" i="10"/>
  <c r="G454" i="5"/>
  <c r="N454" i="5"/>
  <c r="P454" i="5" s="1"/>
  <c r="B165" i="9"/>
  <c r="E165" i="9" s="1"/>
  <c r="G240" i="5"/>
  <c r="B162" i="9"/>
  <c r="E162" i="9" s="1"/>
  <c r="G237" i="5"/>
  <c r="M119" i="5"/>
  <c r="D561" i="5"/>
  <c r="K561" i="5"/>
  <c r="B600" i="5"/>
  <c r="L314" i="5"/>
  <c r="L279" i="5"/>
  <c r="B79" i="9"/>
  <c r="G153" i="5"/>
  <c r="G34" i="9"/>
  <c r="F34" i="9" s="1"/>
  <c r="N427" i="5"/>
  <c r="P427" i="5" s="1"/>
  <c r="G427" i="5"/>
  <c r="K439" i="5"/>
  <c r="M439" i="5" s="1"/>
  <c r="D439" i="5"/>
  <c r="K413" i="5"/>
  <c r="M413" i="5" s="1"/>
  <c r="D413" i="5"/>
  <c r="L345" i="5"/>
  <c r="L312" i="5"/>
  <c r="M173" i="5"/>
  <c r="N445" i="5"/>
  <c r="P445" i="5" s="1"/>
  <c r="G445" i="5"/>
  <c r="F176" i="10"/>
  <c r="K441" i="5"/>
  <c r="M441" i="5" s="1"/>
  <c r="D441" i="5"/>
  <c r="K396" i="5"/>
  <c r="M396" i="5" s="1"/>
  <c r="D396" i="5"/>
  <c r="D32" i="2"/>
  <c r="B11" i="10"/>
  <c r="E11" i="10" s="1"/>
  <c r="P70" i="5"/>
  <c r="D243" i="5"/>
  <c r="N312" i="5"/>
  <c r="B28" i="10"/>
  <c r="N345" i="5"/>
  <c r="P103" i="5"/>
  <c r="M133" i="5"/>
  <c r="B58" i="10"/>
  <c r="P133" i="5"/>
  <c r="K610" i="5"/>
  <c r="M610" i="5" s="1"/>
  <c r="D610" i="5"/>
  <c r="D418" i="5"/>
  <c r="K418" i="5"/>
  <c r="M418" i="5" s="1"/>
  <c r="G28" i="9"/>
  <c r="K426" i="5"/>
  <c r="D426" i="5"/>
  <c r="B437" i="5"/>
  <c r="B355" i="5"/>
  <c r="D355" i="5" s="1"/>
  <c r="D138" i="5"/>
  <c r="K345" i="5"/>
  <c r="K312" i="5"/>
  <c r="M103" i="5"/>
  <c r="K389" i="5"/>
  <c r="M389" i="5" s="1"/>
  <c r="D389" i="5"/>
  <c r="B314" i="5"/>
  <c r="B279" i="5"/>
  <c r="D110" i="5"/>
  <c r="N397" i="5"/>
  <c r="P397" i="5" s="1"/>
  <c r="G397" i="5"/>
  <c r="B318" i="5"/>
  <c r="D318" i="5" s="1"/>
  <c r="D136" i="5"/>
  <c r="N428" i="5"/>
  <c r="P428" i="5" s="1"/>
  <c r="G428" i="5"/>
  <c r="C169" i="5"/>
  <c r="K534" i="5"/>
  <c r="M534" i="5" s="1"/>
  <c r="D534" i="5"/>
  <c r="D89" i="9"/>
  <c r="D151" i="5"/>
  <c r="B163" i="10"/>
  <c r="E163" i="10" s="1"/>
  <c r="P238" i="5"/>
  <c r="D28" i="9"/>
  <c r="N436" i="5"/>
  <c r="P436" i="5" s="1"/>
  <c r="G436" i="5"/>
  <c r="N586" i="5"/>
  <c r="P586" i="5" s="1"/>
  <c r="G586" i="5"/>
  <c r="D58" i="10"/>
  <c r="K579" i="5"/>
  <c r="M579" i="5" s="1"/>
  <c r="D579" i="5"/>
  <c r="L38" i="5"/>
  <c r="G32" i="5"/>
  <c r="E38" i="5"/>
  <c r="G665" i="5"/>
  <c r="F7" i="10"/>
  <c r="N627" i="5"/>
  <c r="P627" i="5" s="1"/>
  <c r="G627" i="5"/>
  <c r="D49" i="10"/>
  <c r="M105" i="9"/>
  <c r="B348" i="5"/>
  <c r="D348" i="5" s="1"/>
  <c r="D106" i="5"/>
  <c r="G166" i="5"/>
  <c r="B91" i="9"/>
  <c r="H626" i="8"/>
  <c r="H629" i="8" s="1"/>
  <c r="C629" i="8"/>
  <c r="G528" i="8"/>
  <c r="G532" i="8" s="1"/>
  <c r="B532" i="8"/>
  <c r="D317" i="8"/>
  <c r="D282" i="8"/>
  <c r="F38" i="8"/>
  <c r="H245" i="8"/>
  <c r="C315" i="8"/>
  <c r="C280" i="8"/>
  <c r="D316" i="8"/>
  <c r="D281" i="8"/>
  <c r="H313" i="8"/>
  <c r="H349" i="8"/>
  <c r="I516" i="8"/>
  <c r="I527" i="8" s="1"/>
  <c r="D527" i="8"/>
  <c r="H253" i="8"/>
  <c r="K626" i="8"/>
  <c r="K629" i="8" s="1"/>
  <c r="F629" i="8"/>
  <c r="J316" i="8"/>
  <c r="J281" i="8"/>
  <c r="H480" i="8"/>
  <c r="H515" i="8" s="1"/>
  <c r="C515" i="8"/>
  <c r="C73" i="8"/>
  <c r="G313" i="8"/>
  <c r="G349" i="8"/>
  <c r="H315" i="8"/>
  <c r="H280" i="8"/>
  <c r="K620" i="8"/>
  <c r="K625" i="8" s="1"/>
  <c r="F625" i="8"/>
  <c r="K347" i="8"/>
  <c r="K320" i="8"/>
  <c r="K283" i="8"/>
  <c r="J253" i="8"/>
  <c r="D315" i="8"/>
  <c r="D280" i="8"/>
  <c r="H561" i="8"/>
  <c r="H600" i="8" s="1"/>
  <c r="C600" i="8"/>
  <c r="G177" i="8"/>
  <c r="E253" i="8"/>
  <c r="E309" i="8"/>
  <c r="E139" i="8"/>
  <c r="E278" i="8"/>
  <c r="E357" i="8"/>
  <c r="I620" i="8"/>
  <c r="I625" i="8" s="1"/>
  <c r="D625" i="8"/>
  <c r="F314" i="8"/>
  <c r="F279" i="8"/>
  <c r="E283" i="8"/>
  <c r="C160" i="8"/>
  <c r="K516" i="8"/>
  <c r="K527" i="8" s="1"/>
  <c r="F527" i="8"/>
  <c r="C347" i="8"/>
  <c r="C320" i="8"/>
  <c r="F315" i="8"/>
  <c r="F280" i="8"/>
  <c r="J317" i="8"/>
  <c r="J282" i="8"/>
  <c r="B317" i="8"/>
  <c r="B282" i="8"/>
  <c r="I177" i="8"/>
  <c r="E181" i="8"/>
  <c r="C232" i="8"/>
  <c r="D347" i="8"/>
  <c r="D320" i="8"/>
  <c r="I283" i="8"/>
  <c r="H146" i="8"/>
  <c r="B347" i="8"/>
  <c r="B320" i="8"/>
  <c r="H181" i="8"/>
  <c r="L479" i="1"/>
  <c r="M479" i="1" s="1"/>
  <c r="L344" i="1"/>
  <c r="M344" i="1" s="1"/>
  <c r="B66" i="2"/>
  <c r="B24" i="10"/>
  <c r="B24" i="9"/>
  <c r="F99" i="5"/>
  <c r="G99" i="5" s="1"/>
  <c r="B99" i="5"/>
  <c r="C99" i="5" s="1"/>
  <c r="D99" i="5" s="1"/>
  <c r="O277" i="5"/>
  <c r="P277" i="5" s="1"/>
  <c r="K277" i="5"/>
  <c r="L277" i="5" s="1"/>
  <c r="M277" i="5" s="1"/>
  <c r="G141" i="5"/>
  <c r="B66" i="9"/>
  <c r="G28" i="10"/>
  <c r="F346" i="5"/>
  <c r="C29" i="9"/>
  <c r="B173" i="10"/>
  <c r="E173" i="10" s="1"/>
  <c r="P248" i="5"/>
  <c r="G90" i="10"/>
  <c r="F90" i="10" s="1"/>
  <c r="C345" i="5"/>
  <c r="C312" i="5"/>
  <c r="L347" i="5"/>
  <c r="L320" i="5"/>
  <c r="E425" i="5"/>
  <c r="N422" i="5"/>
  <c r="G422" i="5"/>
  <c r="K386" i="5"/>
  <c r="M386" i="5" s="1"/>
  <c r="D386" i="5"/>
  <c r="K580" i="5"/>
  <c r="M580" i="5" s="1"/>
  <c r="D580" i="5"/>
  <c r="G120" i="5"/>
  <c r="B45" i="9"/>
  <c r="B66" i="10"/>
  <c r="P141" i="5"/>
  <c r="D450" i="5"/>
  <c r="K450" i="5"/>
  <c r="M450" i="5" s="1"/>
  <c r="M159" i="5"/>
  <c r="K628" i="5"/>
  <c r="M628" i="5" s="1"/>
  <c r="D628" i="5"/>
  <c r="N493" i="5"/>
  <c r="P493" i="5" s="1"/>
  <c r="G493" i="5"/>
  <c r="G62" i="9"/>
  <c r="C67" i="5"/>
  <c r="C253" i="5"/>
  <c r="K405" i="5"/>
  <c r="M405" i="5" s="1"/>
  <c r="D405" i="5"/>
  <c r="F318" i="5"/>
  <c r="C61" i="9"/>
  <c r="D53" i="9"/>
  <c r="D657" i="5"/>
  <c r="D90" i="10"/>
  <c r="B37" i="9"/>
  <c r="G112" i="5"/>
  <c r="D572" i="5"/>
  <c r="K572" i="5"/>
  <c r="M572" i="5" s="1"/>
  <c r="B309" i="5"/>
  <c r="D100" i="5"/>
  <c r="B278" i="5"/>
  <c r="B357" i="5"/>
  <c r="B139" i="5"/>
  <c r="M29" i="5"/>
  <c r="Q29" i="5" s="1"/>
  <c r="R29" i="5" s="1"/>
  <c r="F282" i="5"/>
  <c r="F317" i="5"/>
  <c r="C56" i="9"/>
  <c r="G400" i="5"/>
  <c r="N400" i="5"/>
  <c r="P400" i="5" s="1"/>
  <c r="N396" i="5"/>
  <c r="P396" i="5" s="1"/>
  <c r="G396" i="5"/>
  <c r="G35" i="9"/>
  <c r="C4" i="9"/>
  <c r="F4" i="9" s="1"/>
  <c r="F67" i="5"/>
  <c r="C25" i="9"/>
  <c r="F309" i="5"/>
  <c r="F278" i="5"/>
  <c r="F357" i="5"/>
  <c r="F139" i="5"/>
  <c r="C64" i="9" s="1"/>
  <c r="O357" i="5"/>
  <c r="O139" i="5"/>
  <c r="C64" i="10" s="1"/>
  <c r="O278" i="5"/>
  <c r="C25" i="10"/>
  <c r="O309" i="5"/>
  <c r="K387" i="5"/>
  <c r="M387" i="5" s="1"/>
  <c r="D387" i="5"/>
  <c r="B171" i="9"/>
  <c r="G246" i="5"/>
  <c r="E253" i="5"/>
  <c r="B177" i="9" s="1"/>
  <c r="D77" i="9"/>
  <c r="N623" i="5"/>
  <c r="P623" i="5" s="1"/>
  <c r="G623" i="5"/>
  <c r="B38" i="9"/>
  <c r="G113" i="5"/>
  <c r="B72" i="10"/>
  <c r="P147" i="5"/>
  <c r="N160" i="5"/>
  <c r="B85" i="10" s="1"/>
  <c r="C59" i="10"/>
  <c r="O283" i="5"/>
  <c r="D72" i="9"/>
  <c r="K510" i="5"/>
  <c r="M510" i="5" s="1"/>
  <c r="D510" i="5"/>
  <c r="B80" i="9"/>
  <c r="G154" i="5"/>
  <c r="D528" i="5"/>
  <c r="B532" i="5"/>
  <c r="K528" i="5"/>
  <c r="N564" i="5"/>
  <c r="P564" i="5" s="1"/>
  <c r="G564" i="5"/>
  <c r="G605" i="5"/>
  <c r="N605" i="5"/>
  <c r="P605" i="5" s="1"/>
  <c r="G26" i="10"/>
  <c r="K505" i="5"/>
  <c r="M505" i="5" s="1"/>
  <c r="D505" i="5"/>
  <c r="G74" i="9"/>
  <c r="F74" i="9" s="1"/>
  <c r="K531" i="5"/>
  <c r="M531" i="5" s="1"/>
  <c r="D531" i="5"/>
  <c r="C72" i="9"/>
  <c r="F160" i="5"/>
  <c r="C85" i="9" s="1"/>
  <c r="K392" i="5"/>
  <c r="M392" i="5" s="1"/>
  <c r="D392" i="5"/>
  <c r="G164" i="5"/>
  <c r="B89" i="9"/>
  <c r="K393" i="5"/>
  <c r="M393" i="5" s="1"/>
  <c r="D393" i="5"/>
  <c r="B36" i="10"/>
  <c r="P111" i="5"/>
  <c r="F310" i="5"/>
  <c r="C26" i="9"/>
  <c r="K313" i="5"/>
  <c r="M108" i="5"/>
  <c r="K349" i="5"/>
  <c r="B86" i="10"/>
  <c r="N169" i="5"/>
  <c r="B94" i="10" s="1"/>
  <c r="P161" i="5"/>
  <c r="N318" i="5"/>
  <c r="P136" i="5"/>
  <c r="B61" i="10"/>
  <c r="C95" i="10"/>
  <c r="O177" i="5"/>
  <c r="C102" i="10" s="1"/>
  <c r="K402" i="5"/>
  <c r="M402" i="5" s="1"/>
  <c r="D402" i="5"/>
  <c r="P153" i="5"/>
  <c r="B79" i="10"/>
  <c r="G174" i="5"/>
  <c r="H174" i="5" s="1"/>
  <c r="I174" i="5" s="1"/>
  <c r="B99" i="9"/>
  <c r="G37" i="9"/>
  <c r="F37" i="9" s="1"/>
  <c r="C59" i="9"/>
  <c r="F283" i="5"/>
  <c r="N506" i="5"/>
  <c r="P506" i="5" s="1"/>
  <c r="G506" i="5"/>
  <c r="M246" i="5"/>
  <c r="K253" i="5"/>
  <c r="K347" i="5"/>
  <c r="M105" i="5"/>
  <c r="K320" i="5"/>
  <c r="K453" i="5"/>
  <c r="M453" i="5" s="1"/>
  <c r="D453" i="5"/>
  <c r="D568" i="5"/>
  <c r="K568" i="5"/>
  <c r="M568" i="5" s="1"/>
  <c r="N389" i="5"/>
  <c r="P389" i="5" s="1"/>
  <c r="G389" i="5"/>
  <c r="M236" i="5"/>
  <c r="D74" i="10"/>
  <c r="G29" i="10"/>
  <c r="D70" i="10"/>
  <c r="M121" i="5"/>
  <c r="K283" i="5"/>
  <c r="M134" i="5"/>
  <c r="G33" i="10"/>
  <c r="G87" i="9"/>
  <c r="F87" i="9" s="1"/>
  <c r="M71" i="5"/>
  <c r="M179" i="5"/>
  <c r="P144" i="5"/>
  <c r="B69" i="10"/>
  <c r="D126" i="5"/>
  <c r="B284" i="5"/>
  <c r="N626" i="5"/>
  <c r="E629" i="5"/>
  <c r="G626" i="5"/>
  <c r="M128" i="5"/>
  <c r="N591" i="5"/>
  <c r="P591" i="5" s="1"/>
  <c r="G591" i="5"/>
  <c r="O279" i="5"/>
  <c r="C35" i="10"/>
  <c r="O314" i="5"/>
  <c r="B169" i="9"/>
  <c r="G244" i="5"/>
  <c r="K436" i="5"/>
  <c r="M436" i="5" s="1"/>
  <c r="D436" i="5"/>
  <c r="D238" i="5"/>
  <c r="D47" i="10"/>
  <c r="B57" i="10"/>
  <c r="P132" i="5"/>
  <c r="K350" i="5"/>
  <c r="M350" i="5" s="1"/>
  <c r="M115" i="5"/>
  <c r="N579" i="5"/>
  <c r="P579" i="5" s="1"/>
  <c r="G579" i="5"/>
  <c r="N503" i="5"/>
  <c r="P503" i="5" s="1"/>
  <c r="G503" i="5"/>
  <c r="K423" i="5"/>
  <c r="M423" i="5" s="1"/>
  <c r="D423" i="5"/>
  <c r="C95" i="9"/>
  <c r="F177" i="5"/>
  <c r="C102" i="9" s="1"/>
  <c r="G79" i="10"/>
  <c r="F79" i="10" s="1"/>
  <c r="D118" i="5"/>
  <c r="B353" i="5"/>
  <c r="D353" i="5" s="1"/>
  <c r="K451" i="5"/>
  <c r="M451" i="5" s="1"/>
  <c r="D451" i="5"/>
  <c r="N423" i="5"/>
  <c r="P423" i="5" s="1"/>
  <c r="G423" i="5"/>
  <c r="N440" i="5"/>
  <c r="P440" i="5" s="1"/>
  <c r="G440" i="5"/>
  <c r="K416" i="5"/>
  <c r="M416" i="5" s="1"/>
  <c r="D416" i="5"/>
  <c r="D201" i="10"/>
  <c r="D203" i="10" s="1"/>
  <c r="D157" i="10"/>
  <c r="D199" i="10" s="1"/>
  <c r="N450" i="5"/>
  <c r="P450" i="5" s="1"/>
  <c r="G450" i="5"/>
  <c r="D578" i="5"/>
  <c r="K578" i="5"/>
  <c r="M578" i="5" s="1"/>
  <c r="G29" i="5"/>
  <c r="F163" i="9"/>
  <c r="G34" i="5"/>
  <c r="F316" i="5"/>
  <c r="C52" i="9"/>
  <c r="F281" i="5"/>
  <c r="G581" i="5"/>
  <c r="N581" i="5"/>
  <c r="P581" i="5" s="1"/>
  <c r="D66" i="5"/>
  <c r="P32" i="5"/>
  <c r="N38" i="5"/>
  <c r="K564" i="5"/>
  <c r="M564" i="5" s="1"/>
  <c r="D564" i="5"/>
  <c r="G72" i="9"/>
  <c r="K563" i="5"/>
  <c r="M563" i="5" s="1"/>
  <c r="D563" i="5"/>
  <c r="N526" i="5"/>
  <c r="P526" i="5" s="1"/>
  <c r="G526" i="5"/>
  <c r="G41" i="10"/>
  <c r="B46" i="10"/>
  <c r="P121" i="5"/>
  <c r="D52" i="10"/>
  <c r="D87" i="9"/>
  <c r="D55" i="9"/>
  <c r="N593" i="5"/>
  <c r="P593" i="5" s="1"/>
  <c r="G593" i="5"/>
  <c r="K584" i="5"/>
  <c r="M584" i="5" s="1"/>
  <c r="D584" i="5"/>
  <c r="D90" i="9"/>
  <c r="K498" i="5"/>
  <c r="M498" i="5" s="1"/>
  <c r="D498" i="5"/>
  <c r="D664" i="5"/>
  <c r="K596" i="5"/>
  <c r="M596" i="5" s="1"/>
  <c r="D596" i="5"/>
  <c r="N570" i="5"/>
  <c r="P570" i="5" s="1"/>
  <c r="G570" i="5"/>
  <c r="M63" i="5"/>
  <c r="K67" i="5"/>
  <c r="G73" i="10"/>
  <c r="F73" i="10" s="1"/>
  <c r="P28" i="5"/>
  <c r="D247" i="5"/>
  <c r="N513" i="5"/>
  <c r="P513" i="5" s="1"/>
  <c r="G513" i="5"/>
  <c r="D93" i="9"/>
  <c r="G167" i="5"/>
  <c r="B92" i="9"/>
  <c r="G561" i="8"/>
  <c r="G600" i="8" s="1"/>
  <c r="B600" i="8"/>
  <c r="H443" i="8"/>
  <c r="H446" i="8" s="1"/>
  <c r="C446" i="8"/>
  <c r="K181" i="8"/>
  <c r="J345" i="8"/>
  <c r="J312" i="8"/>
  <c r="I601" i="8"/>
  <c r="I607" i="8" s="1"/>
  <c r="D607" i="8"/>
  <c r="C245" i="8"/>
  <c r="I245" i="8"/>
  <c r="G245" i="8"/>
  <c r="G345" i="8"/>
  <c r="G312" i="8"/>
  <c r="H314" i="8"/>
  <c r="H279" i="8"/>
  <c r="G315" i="8"/>
  <c r="G280" i="8"/>
  <c r="J309" i="8"/>
  <c r="J357" i="8"/>
  <c r="J139" i="8"/>
  <c r="J278" i="8"/>
  <c r="K447" i="8"/>
  <c r="K455" i="8" s="1"/>
  <c r="F455" i="8"/>
  <c r="I316" i="8"/>
  <c r="I281" i="8"/>
  <c r="F317" i="8"/>
  <c r="F282" i="8"/>
  <c r="G422" i="8"/>
  <c r="G425" i="8" s="1"/>
  <c r="B425" i="8"/>
  <c r="J443" i="8"/>
  <c r="J446" i="8" s="1"/>
  <c r="E446" i="8"/>
  <c r="J626" i="8"/>
  <c r="J629" i="8" s="1"/>
  <c r="E629" i="8"/>
  <c r="H160" i="8"/>
  <c r="B146" i="8"/>
  <c r="J608" i="8"/>
  <c r="J619" i="8" s="1"/>
  <c r="E619" i="8"/>
  <c r="D67" i="8"/>
  <c r="E160" i="8"/>
  <c r="K438" i="8"/>
  <c r="K442" i="8" s="1"/>
  <c r="F442" i="8"/>
  <c r="G284" i="8"/>
  <c r="E60" i="2"/>
  <c r="D66" i="2"/>
  <c r="O308" i="5"/>
  <c r="P308" i="5" s="1"/>
  <c r="K308" i="5"/>
  <c r="O344" i="5"/>
  <c r="P344" i="5" s="1"/>
  <c r="K344" i="5"/>
  <c r="L344" i="5" s="1"/>
  <c r="M344" i="5" s="1"/>
  <c r="F62" i="5"/>
  <c r="G62" i="5" s="1"/>
  <c r="B3" i="10"/>
  <c r="I3" i="10" s="1"/>
  <c r="M24" i="10" s="1"/>
  <c r="B62" i="5"/>
  <c r="B3" i="9"/>
  <c r="I3" i="9" s="1"/>
  <c r="C66" i="2"/>
  <c r="C479" i="1"/>
  <c r="D479" i="1" s="1"/>
  <c r="K415" i="5"/>
  <c r="M415" i="5" s="1"/>
  <c r="D415" i="5"/>
  <c r="G666" i="5"/>
  <c r="E668" i="5"/>
  <c r="G656" i="5"/>
  <c r="D65" i="5"/>
  <c r="K318" i="5"/>
  <c r="M318" i="5" s="1"/>
  <c r="M136" i="5"/>
  <c r="O426" i="5"/>
  <c r="O437" i="5" s="1"/>
  <c r="F437" i="5"/>
  <c r="N435" i="5"/>
  <c r="P435" i="5" s="1"/>
  <c r="G435" i="5"/>
  <c r="K589" i="5"/>
  <c r="M589" i="5" s="1"/>
  <c r="D589" i="5"/>
  <c r="F314" i="5"/>
  <c r="C35" i="9"/>
  <c r="F279" i="5"/>
  <c r="C191" i="10"/>
  <c r="F84" i="10"/>
  <c r="K429" i="5"/>
  <c r="M429" i="5" s="1"/>
  <c r="D429" i="5"/>
  <c r="G485" i="5"/>
  <c r="N485" i="5"/>
  <c r="P485" i="5" s="1"/>
  <c r="D41" i="9"/>
  <c r="B100" i="9"/>
  <c r="G175" i="5"/>
  <c r="M70" i="5"/>
  <c r="G250" i="5"/>
  <c r="B175" i="9"/>
  <c r="E175" i="9" s="1"/>
  <c r="L443" i="5"/>
  <c r="L446" i="5" s="1"/>
  <c r="C446" i="5"/>
  <c r="K518" i="5"/>
  <c r="M518" i="5" s="1"/>
  <c r="D518" i="5"/>
  <c r="G610" i="5"/>
  <c r="N610" i="5"/>
  <c r="P610" i="5" s="1"/>
  <c r="K491" i="5"/>
  <c r="M491" i="5" s="1"/>
  <c r="D491" i="5"/>
  <c r="K524" i="5"/>
  <c r="M524" i="5" s="1"/>
  <c r="D524" i="5"/>
  <c r="B163" i="9"/>
  <c r="E163" i="9" s="1"/>
  <c r="G238" i="5"/>
  <c r="N612" i="5"/>
  <c r="P612" i="5" s="1"/>
  <c r="G612" i="5"/>
  <c r="G77" i="10"/>
  <c r="F77" i="10" s="1"/>
  <c r="P107" i="5"/>
  <c r="B32" i="10"/>
  <c r="N451" i="5"/>
  <c r="P451" i="5" s="1"/>
  <c r="G451" i="5"/>
  <c r="C279" i="5"/>
  <c r="C314" i="5"/>
  <c r="F350" i="5"/>
  <c r="C40" i="9"/>
  <c r="D582" i="5"/>
  <c r="K582" i="5"/>
  <c r="M582" i="5" s="1"/>
  <c r="K434" i="5"/>
  <c r="M434" i="5" s="1"/>
  <c r="D434" i="5"/>
  <c r="D67" i="9"/>
  <c r="K424" i="5"/>
  <c r="M424" i="5" s="1"/>
  <c r="D424" i="5"/>
  <c r="C65" i="9"/>
  <c r="F146" i="5"/>
  <c r="C71" i="9" s="1"/>
  <c r="K408" i="5"/>
  <c r="M408" i="5" s="1"/>
  <c r="D408" i="5"/>
  <c r="D50" i="9"/>
  <c r="D236" i="5"/>
  <c r="D484" i="5"/>
  <c r="K484" i="5"/>
  <c r="M484" i="5" s="1"/>
  <c r="D34" i="9"/>
  <c r="G67" i="9"/>
  <c r="F67" i="9" s="1"/>
  <c r="B31" i="2"/>
  <c r="B10" i="9"/>
  <c r="E10" i="9" s="1"/>
  <c r="G69" i="5"/>
  <c r="E73" i="5"/>
  <c r="B14" i="9" s="1"/>
  <c r="M106" i="10"/>
  <c r="K311" i="5"/>
  <c r="M311" i="5" s="1"/>
  <c r="M102" i="5"/>
  <c r="K493" i="5"/>
  <c r="M493" i="5" s="1"/>
  <c r="D493" i="5"/>
  <c r="K508" i="5"/>
  <c r="M508" i="5" s="1"/>
  <c r="D508" i="5"/>
  <c r="P72" i="5"/>
  <c r="D50" i="2"/>
  <c r="D34" i="2"/>
  <c r="B13" i="10"/>
  <c r="E13" i="10" s="1"/>
  <c r="F671" i="5"/>
  <c r="L528" i="5"/>
  <c r="L532" i="5" s="1"/>
  <c r="C532" i="5"/>
  <c r="D61" i="10"/>
  <c r="M249" i="5"/>
  <c r="B44" i="10"/>
  <c r="P119" i="5"/>
  <c r="N402" i="5"/>
  <c r="P402" i="5" s="1"/>
  <c r="G402" i="5"/>
  <c r="D65" i="10"/>
  <c r="D152" i="5"/>
  <c r="D69" i="5"/>
  <c r="B73" i="5"/>
  <c r="L480" i="5"/>
  <c r="L515" i="5" s="1"/>
  <c r="C515" i="5"/>
  <c r="D142" i="5"/>
  <c r="N510" i="5"/>
  <c r="P510" i="5" s="1"/>
  <c r="G510" i="5"/>
  <c r="M178" i="5"/>
  <c r="K181" i="5"/>
  <c r="O348" i="5"/>
  <c r="C31" i="10"/>
  <c r="K401" i="5"/>
  <c r="M401" i="5" s="1"/>
  <c r="D401" i="5"/>
  <c r="B81" i="10"/>
  <c r="P155" i="5"/>
  <c r="M174" i="5"/>
  <c r="K496" i="5"/>
  <c r="M496" i="5" s="1"/>
  <c r="D496" i="5"/>
  <c r="D32" i="9"/>
  <c r="F66" i="10"/>
  <c r="K431" i="5"/>
  <c r="M431" i="5" s="1"/>
  <c r="D431" i="5"/>
  <c r="K315" i="5"/>
  <c r="K280" i="5"/>
  <c r="M122" i="5"/>
  <c r="B176" i="9"/>
  <c r="E176" i="9" s="1"/>
  <c r="G252" i="5"/>
  <c r="C283" i="5"/>
  <c r="O310" i="5"/>
  <c r="C26" i="10"/>
  <c r="B34" i="10"/>
  <c r="P109" i="5"/>
  <c r="D517" i="5"/>
  <c r="K517" i="5"/>
  <c r="M517" i="5" s="1"/>
  <c r="C34" i="2"/>
  <c r="C50" i="2"/>
  <c r="C13" i="9"/>
  <c r="F13" i="9" s="1"/>
  <c r="K432" i="5"/>
  <c r="M432" i="5" s="1"/>
  <c r="D432" i="5"/>
  <c r="D103" i="5"/>
  <c r="B312" i="5"/>
  <c r="B345" i="5"/>
  <c r="G507" i="5"/>
  <c r="N507" i="5"/>
  <c r="P507" i="5" s="1"/>
  <c r="K351" i="5"/>
  <c r="M351" i="5" s="1"/>
  <c r="M116" i="5"/>
  <c r="B38" i="10"/>
  <c r="P113" i="5"/>
  <c r="F161" i="10"/>
  <c r="C63" i="9"/>
  <c r="F355" i="5"/>
  <c r="K388" i="5"/>
  <c r="M388" i="5" s="1"/>
  <c r="D388" i="5"/>
  <c r="M149" i="5"/>
  <c r="N139" i="5"/>
  <c r="B64" i="10" s="1"/>
  <c r="N357" i="5"/>
  <c r="B25" i="10"/>
  <c r="N309" i="5"/>
  <c r="P100" i="5"/>
  <c r="N278" i="5"/>
  <c r="N609" i="5"/>
  <c r="P609" i="5" s="1"/>
  <c r="G609" i="5"/>
  <c r="B39" i="9"/>
  <c r="G114" i="5"/>
  <c r="K483" i="5"/>
  <c r="M483" i="5" s="1"/>
  <c r="D483" i="5"/>
  <c r="B67" i="5"/>
  <c r="D63" i="5"/>
  <c r="K390" i="5"/>
  <c r="M390" i="5" s="1"/>
  <c r="D390" i="5"/>
  <c r="D659" i="5"/>
  <c r="N499" i="5"/>
  <c r="P499" i="5" s="1"/>
  <c r="G499" i="5"/>
  <c r="K409" i="5"/>
  <c r="M409" i="5" s="1"/>
  <c r="D409" i="5"/>
  <c r="K588" i="5"/>
  <c r="M588" i="5" s="1"/>
  <c r="D588" i="5"/>
  <c r="D117" i="5"/>
  <c r="B352" i="5"/>
  <c r="D352" i="5" s="1"/>
  <c r="B39" i="10"/>
  <c r="P114" i="5"/>
  <c r="M144" i="5"/>
  <c r="L533" i="5"/>
  <c r="L536" i="5" s="1"/>
  <c r="C536" i="5"/>
  <c r="D41" i="10"/>
  <c r="B174" i="10"/>
  <c r="P249" i="5"/>
  <c r="M143" i="5"/>
  <c r="P163" i="5"/>
  <c r="B88" i="10"/>
  <c r="G89" i="10"/>
  <c r="F89" i="10" s="1"/>
  <c r="N528" i="5"/>
  <c r="G528" i="5"/>
  <c r="E532" i="5"/>
  <c r="B83" i="10"/>
  <c r="E83" i="10" s="1"/>
  <c r="P157" i="5"/>
  <c r="O601" i="5"/>
  <c r="O607" i="5" s="1"/>
  <c r="F607" i="5"/>
  <c r="B33" i="2"/>
  <c r="B12" i="9"/>
  <c r="E12" i="9" s="1"/>
  <c r="B44" i="2"/>
  <c r="G71" i="5"/>
  <c r="G125" i="5"/>
  <c r="B50" i="9"/>
  <c r="F162" i="10"/>
  <c r="G566" i="5"/>
  <c r="N566" i="5"/>
  <c r="P566" i="5" s="1"/>
  <c r="D119" i="5"/>
  <c r="G659" i="5"/>
  <c r="G135" i="5"/>
  <c r="B60" i="9"/>
  <c r="N589" i="5"/>
  <c r="P589" i="5" s="1"/>
  <c r="G589" i="5"/>
  <c r="D150" i="5"/>
  <c r="E350" i="5"/>
  <c r="B40" i="9"/>
  <c r="G115" i="5"/>
  <c r="N604" i="5"/>
  <c r="P604" i="5" s="1"/>
  <c r="G604" i="5"/>
  <c r="D28" i="5"/>
  <c r="H28" i="5" s="1"/>
  <c r="I28" i="5" s="1"/>
  <c r="N577" i="5"/>
  <c r="P577" i="5" s="1"/>
  <c r="G577" i="5"/>
  <c r="F160" i="10"/>
  <c r="C191" i="9"/>
  <c r="F84" i="9"/>
  <c r="E655" i="5"/>
  <c r="G654" i="5"/>
  <c r="D26" i="10"/>
  <c r="N624" i="5"/>
  <c r="P624" i="5" s="1"/>
  <c r="G624" i="5"/>
  <c r="D88" i="9"/>
  <c r="C171" i="10"/>
  <c r="O253" i="5"/>
  <c r="C178" i="10" s="1"/>
  <c r="D43" i="10"/>
  <c r="N105" i="9"/>
  <c r="G78" i="9"/>
  <c r="F78" i="9" s="1"/>
  <c r="B160" i="9"/>
  <c r="E160" i="9" s="1"/>
  <c r="G235" i="5"/>
  <c r="C177" i="5"/>
  <c r="K486" i="5"/>
  <c r="M486" i="5" s="1"/>
  <c r="D486" i="5"/>
  <c r="D93" i="10"/>
  <c r="F92" i="9"/>
  <c r="J561" i="8"/>
  <c r="J600" i="8" s="1"/>
  <c r="E600" i="8"/>
  <c r="E38" i="8"/>
  <c r="G438" i="8"/>
  <c r="G442" i="8" s="1"/>
  <c r="B442" i="8"/>
  <c r="G317" i="8"/>
  <c r="G282" i="8"/>
  <c r="F253" i="8"/>
  <c r="E316" i="8"/>
  <c r="E281" i="8"/>
  <c r="F313" i="8"/>
  <c r="F349" i="8"/>
  <c r="I317" i="8"/>
  <c r="I282" i="8"/>
  <c r="H309" i="8"/>
  <c r="H357" i="8"/>
  <c r="H139" i="8"/>
  <c r="H278" i="8"/>
  <c r="D312" i="8"/>
  <c r="D345" i="8"/>
  <c r="G480" i="8"/>
  <c r="G515" i="8" s="1"/>
  <c r="B515" i="8"/>
  <c r="C169" i="8"/>
  <c r="H620" i="8"/>
  <c r="H625" i="8" s="1"/>
  <c r="C625" i="8"/>
  <c r="J533" i="8"/>
  <c r="J536" i="8" s="1"/>
  <c r="E536" i="8"/>
  <c r="H67" i="8"/>
  <c r="I447" i="8"/>
  <c r="I455" i="8" s="1"/>
  <c r="D455" i="8"/>
  <c r="I438" i="8"/>
  <c r="I442" i="8" s="1"/>
  <c r="D442" i="8"/>
  <c r="E347" i="8"/>
  <c r="E320" i="8"/>
  <c r="B316" i="8"/>
  <c r="B281" i="8"/>
  <c r="I146" i="8"/>
  <c r="I160" i="8"/>
  <c r="C316" i="8"/>
  <c r="C281" i="8"/>
  <c r="J422" i="8"/>
  <c r="J425" i="8" s="1"/>
  <c r="E425" i="8"/>
  <c r="B314" i="8"/>
  <c r="B279" i="8"/>
  <c r="G73" i="8"/>
  <c r="E73" i="8"/>
  <c r="G283" i="8"/>
  <c r="E671" i="8"/>
  <c r="I314" i="8"/>
  <c r="I279" i="8"/>
  <c r="F67" i="8"/>
  <c r="I480" i="8"/>
  <c r="I515" i="8" s="1"/>
  <c r="D515" i="8"/>
  <c r="C67" i="8"/>
  <c r="K160" i="8"/>
  <c r="G146" i="8"/>
  <c r="C668" i="8"/>
  <c r="K146" i="8"/>
  <c r="I309" i="8"/>
  <c r="I278" i="8"/>
  <c r="I139" i="8"/>
  <c r="I357" i="8"/>
  <c r="H38" i="8"/>
  <c r="G314" i="8"/>
  <c r="G279" i="8"/>
  <c r="E315" i="8"/>
  <c r="E280" i="8"/>
  <c r="E26" i="2"/>
  <c r="C60" i="2"/>
  <c r="E55" i="2"/>
  <c r="F653" i="5"/>
  <c r="G653" i="5" s="1"/>
  <c r="B653" i="5"/>
  <c r="F479" i="5"/>
  <c r="G479" i="5" s="1"/>
  <c r="B479" i="5"/>
  <c r="C479" i="5" s="1"/>
  <c r="D479" i="5" s="1"/>
  <c r="C49" i="2"/>
  <c r="C653" i="1"/>
  <c r="D653" i="1" s="1"/>
  <c r="L73" i="5"/>
  <c r="K454" i="5"/>
  <c r="M454" i="5" s="1"/>
  <c r="D454" i="5"/>
  <c r="D135" i="5"/>
  <c r="N520" i="5"/>
  <c r="P520" i="5" s="1"/>
  <c r="G520" i="5"/>
  <c r="B78" i="9"/>
  <c r="G152" i="5"/>
  <c r="N413" i="5"/>
  <c r="P413" i="5" s="1"/>
  <c r="G413" i="5"/>
  <c r="K530" i="5"/>
  <c r="M530" i="5" s="1"/>
  <c r="D530" i="5"/>
  <c r="D46" i="10"/>
  <c r="G50" i="10"/>
  <c r="F50" i="10" s="1"/>
  <c r="D656" i="5"/>
  <c r="B668" i="5"/>
  <c r="D399" i="5"/>
  <c r="K399" i="5"/>
  <c r="M399" i="5" s="1"/>
  <c r="K428" i="5"/>
  <c r="M428" i="5" s="1"/>
  <c r="D428" i="5"/>
  <c r="D162" i="5"/>
  <c r="K626" i="5"/>
  <c r="D626" i="5"/>
  <c r="B629" i="5"/>
  <c r="B159" i="10"/>
  <c r="E159" i="10" s="1"/>
  <c r="N245" i="5"/>
  <c r="P234" i="5"/>
  <c r="D608" i="5"/>
  <c r="K608" i="5"/>
  <c r="B619" i="5"/>
  <c r="G25" i="10"/>
  <c r="K497" i="5"/>
  <c r="M497" i="5" s="1"/>
  <c r="D497" i="5"/>
  <c r="K407" i="5"/>
  <c r="M407" i="5" s="1"/>
  <c r="D407" i="5"/>
  <c r="N531" i="5"/>
  <c r="P531" i="5" s="1"/>
  <c r="G531" i="5"/>
  <c r="D175" i="5"/>
  <c r="G101" i="9"/>
  <c r="F101" i="9" s="1"/>
  <c r="B48" i="9"/>
  <c r="G123" i="5"/>
  <c r="K597" i="5"/>
  <c r="M597" i="5" s="1"/>
  <c r="D597" i="5"/>
  <c r="C10" i="10"/>
  <c r="F10" i="10" s="1"/>
  <c r="O73" i="5"/>
  <c r="C14" i="10" s="1"/>
  <c r="E31" i="2"/>
  <c r="D39" i="9"/>
  <c r="D419" i="5"/>
  <c r="K419" i="5"/>
  <c r="M419" i="5" s="1"/>
  <c r="K494" i="5"/>
  <c r="M494" i="5" s="1"/>
  <c r="D494" i="5"/>
  <c r="B6" i="10"/>
  <c r="E6" i="10" s="1"/>
  <c r="P65" i="5"/>
  <c r="K502" i="5"/>
  <c r="M502" i="5" s="1"/>
  <c r="D502" i="5"/>
  <c r="B42" i="9"/>
  <c r="E352" i="5"/>
  <c r="G117" i="5"/>
  <c r="D63" i="9"/>
  <c r="B29" i="9"/>
  <c r="G104" i="5"/>
  <c r="E346" i="5"/>
  <c r="P63" i="5"/>
  <c r="B4" i="10"/>
  <c r="E4" i="10" s="1"/>
  <c r="N67" i="5"/>
  <c r="D200" i="5"/>
  <c r="G448" i="5"/>
  <c r="N448" i="5"/>
  <c r="P448" i="5" s="1"/>
  <c r="D70" i="5"/>
  <c r="G54" i="9"/>
  <c r="F54" i="9" s="1"/>
  <c r="O620" i="5"/>
  <c r="O625" i="5" s="1"/>
  <c r="F625" i="5"/>
  <c r="M111" i="5"/>
  <c r="D170" i="5"/>
  <c r="B177" i="5"/>
  <c r="G601" i="5"/>
  <c r="N601" i="5"/>
  <c r="E607" i="5"/>
  <c r="L309" i="5"/>
  <c r="L357" i="5"/>
  <c r="L139" i="5"/>
  <c r="L278" i="5"/>
  <c r="C41" i="10"/>
  <c r="O351" i="5"/>
  <c r="B12" i="10"/>
  <c r="E12" i="10" s="1"/>
  <c r="D33" i="2"/>
  <c r="P71" i="5"/>
  <c r="D44" i="2"/>
  <c r="G415" i="5"/>
  <c r="N415" i="5"/>
  <c r="P415" i="5" s="1"/>
  <c r="G42" i="10"/>
  <c r="G76" i="10"/>
  <c r="F76" i="10" s="1"/>
  <c r="G38" i="9"/>
  <c r="F38" i="9" s="1"/>
  <c r="N621" i="5"/>
  <c r="P621" i="5" s="1"/>
  <c r="G621" i="5"/>
  <c r="D154" i="5"/>
  <c r="K525" i="5"/>
  <c r="M525" i="5" s="1"/>
  <c r="D525" i="5"/>
  <c r="G34" i="10"/>
  <c r="F34" i="10" s="1"/>
  <c r="F161" i="9"/>
  <c r="N611" i="5"/>
  <c r="P611" i="5" s="1"/>
  <c r="G611" i="5"/>
  <c r="P126" i="5"/>
  <c r="N284" i="5"/>
  <c r="B51" i="10"/>
  <c r="K573" i="5"/>
  <c r="M573" i="5" s="1"/>
  <c r="D573" i="5"/>
  <c r="G69" i="9"/>
  <c r="F69" i="9" s="1"/>
  <c r="D27" i="10"/>
  <c r="D427" i="5"/>
  <c r="K427" i="5"/>
  <c r="M427" i="5" s="1"/>
  <c r="D57" i="9"/>
  <c r="E349" i="5"/>
  <c r="G108" i="5"/>
  <c r="B33" i="9"/>
  <c r="E313" i="5"/>
  <c r="N516" i="5"/>
  <c r="G516" i="5"/>
  <c r="E527" i="5"/>
  <c r="E30" i="2"/>
  <c r="C9" i="10"/>
  <c r="N574" i="5"/>
  <c r="P574" i="5" s="1"/>
  <c r="G574" i="5"/>
  <c r="G101" i="10"/>
  <c r="F101" i="10" s="1"/>
  <c r="G32" i="9"/>
  <c r="F32" i="9" s="1"/>
  <c r="K593" i="5"/>
  <c r="M593" i="5" s="1"/>
  <c r="D593" i="5"/>
  <c r="B5" i="10"/>
  <c r="P64" i="5"/>
  <c r="C33" i="10"/>
  <c r="O349" i="5"/>
  <c r="O313" i="5"/>
  <c r="G90" i="9"/>
  <c r="F90" i="9" s="1"/>
  <c r="D621" i="5"/>
  <c r="K621" i="5"/>
  <c r="M621" i="5" s="1"/>
  <c r="D140" i="5"/>
  <c r="B146" i="5"/>
  <c r="G47" i="10"/>
  <c r="G171" i="5"/>
  <c r="B96" i="9"/>
  <c r="N618" i="5"/>
  <c r="P618" i="5" s="1"/>
  <c r="G618" i="5"/>
  <c r="L253" i="5"/>
  <c r="M156" i="5"/>
  <c r="M166" i="5"/>
  <c r="D78" i="10"/>
  <c r="D34" i="10"/>
  <c r="B70" i="10"/>
  <c r="P145" i="5"/>
  <c r="D25" i="10"/>
  <c r="G582" i="5"/>
  <c r="N582" i="5"/>
  <c r="P582" i="5" s="1"/>
  <c r="N592" i="5"/>
  <c r="P592" i="5" s="1"/>
  <c r="G592" i="5"/>
  <c r="N407" i="5"/>
  <c r="P407" i="5" s="1"/>
  <c r="G407" i="5"/>
  <c r="P164" i="5"/>
  <c r="B89" i="10"/>
  <c r="L349" i="5"/>
  <c r="L313" i="5"/>
  <c r="K245" i="5"/>
  <c r="M234" i="5"/>
  <c r="G33" i="5"/>
  <c r="P158" i="5"/>
  <c r="B76" i="10"/>
  <c r="N414" i="5"/>
  <c r="P414" i="5" s="1"/>
  <c r="G414" i="5"/>
  <c r="O355" i="5"/>
  <c r="C63" i="10"/>
  <c r="D77" i="10"/>
  <c r="G615" i="5"/>
  <c r="N615" i="5"/>
  <c r="P615" i="5" s="1"/>
  <c r="C671" i="5"/>
  <c r="K435" i="5"/>
  <c r="M435" i="5" s="1"/>
  <c r="D435" i="5"/>
  <c r="D124" i="5"/>
  <c r="M69" i="5"/>
  <c r="K73" i="5"/>
  <c r="N517" i="5"/>
  <c r="P517" i="5" s="1"/>
  <c r="G517" i="5"/>
  <c r="N418" i="5"/>
  <c r="P418" i="5" s="1"/>
  <c r="G418" i="5"/>
  <c r="L447" i="5"/>
  <c r="L455" i="5" s="1"/>
  <c r="C455" i="5"/>
  <c r="D179" i="5"/>
  <c r="L284" i="5"/>
  <c r="D658" i="5"/>
  <c r="M145" i="5"/>
  <c r="M132" i="5"/>
  <c r="N311" i="5"/>
  <c r="B27" i="10"/>
  <c r="P102" i="5"/>
  <c r="B32" i="9"/>
  <c r="G107" i="5"/>
  <c r="K449" i="5"/>
  <c r="M449" i="5" s="1"/>
  <c r="D449" i="5"/>
  <c r="C146" i="5"/>
  <c r="N393" i="5"/>
  <c r="P393" i="5" s="1"/>
  <c r="G393" i="5"/>
  <c r="D252" i="5"/>
  <c r="G410" i="5"/>
  <c r="N410" i="5"/>
  <c r="P410" i="5" s="1"/>
  <c r="P34" i="5"/>
  <c r="N384" i="5"/>
  <c r="P384" i="5" s="1"/>
  <c r="G384" i="5"/>
  <c r="N481" i="5"/>
  <c r="P481" i="5" s="1"/>
  <c r="G481" i="5"/>
  <c r="D99" i="10"/>
  <c r="B58" i="9"/>
  <c r="G133" i="5"/>
  <c r="F352" i="5"/>
  <c r="C42" i="9"/>
  <c r="M200" i="5"/>
  <c r="G48" i="10"/>
  <c r="F48" i="10" s="1"/>
  <c r="B171" i="10"/>
  <c r="P246" i="5"/>
  <c r="N253" i="5"/>
  <c r="B178" i="10" s="1"/>
  <c r="C316" i="5"/>
  <c r="C281" i="5"/>
  <c r="C31" i="2"/>
  <c r="C10" i="9"/>
  <c r="F10" i="9" s="1"/>
  <c r="F73" i="5"/>
  <c r="C14" i="9" s="1"/>
  <c r="C44" i="2"/>
  <c r="C12" i="9"/>
  <c r="F12" i="9" s="1"/>
  <c r="C33" i="2"/>
  <c r="K488" i="5"/>
  <c r="M488" i="5" s="1"/>
  <c r="D488" i="5"/>
  <c r="B70" i="9"/>
  <c r="G145" i="5"/>
  <c r="K624" i="5"/>
  <c r="M624" i="5" s="1"/>
  <c r="D624" i="5"/>
  <c r="B173" i="9"/>
  <c r="E173" i="9" s="1"/>
  <c r="G248" i="5"/>
  <c r="D141" i="5"/>
  <c r="F315" i="5"/>
  <c r="C47" i="9"/>
  <c r="F47" i="9" s="1"/>
  <c r="F280" i="5"/>
  <c r="N580" i="5"/>
  <c r="P580" i="5" s="1"/>
  <c r="G580" i="5"/>
  <c r="K520" i="5"/>
  <c r="M520" i="5" s="1"/>
  <c r="D520" i="5"/>
  <c r="K570" i="5"/>
  <c r="M570" i="5" s="1"/>
  <c r="D570" i="5"/>
  <c r="D166" i="5"/>
  <c r="C99" i="1"/>
  <c r="D99" i="1" s="1"/>
  <c r="C62" i="1"/>
  <c r="D62" i="1" s="1"/>
  <c r="C27" i="1"/>
  <c r="D27" i="1" s="1"/>
  <c r="E146" i="8"/>
  <c r="J601" i="8"/>
  <c r="J607" i="8" s="1"/>
  <c r="E607" i="8"/>
  <c r="C345" i="8"/>
  <c r="C312" i="8"/>
  <c r="I38" i="8"/>
  <c r="K284" i="8"/>
  <c r="I315" i="8"/>
  <c r="I280" i="8"/>
  <c r="K561" i="8"/>
  <c r="K600" i="8" s="1"/>
  <c r="F600" i="8"/>
  <c r="I313" i="8"/>
  <c r="I349" i="8"/>
  <c r="G253" i="8"/>
  <c r="J245" i="8"/>
  <c r="G160" i="8"/>
  <c r="G232" i="8"/>
  <c r="J480" i="8"/>
  <c r="J515" i="8" s="1"/>
  <c r="E515" i="8"/>
  <c r="K349" i="8"/>
  <c r="K313" i="8"/>
  <c r="C146" i="8"/>
  <c r="I67" i="8"/>
  <c r="J160" i="8"/>
  <c r="D73" i="8"/>
  <c r="C309" i="8"/>
  <c r="C278" i="8"/>
  <c r="C139" i="8"/>
  <c r="C357" i="8"/>
  <c r="K601" i="8"/>
  <c r="K607" i="8" s="1"/>
  <c r="F607" i="8"/>
  <c r="C177" i="8"/>
  <c r="C317" i="8"/>
  <c r="C282" i="8"/>
  <c r="F309" i="8"/>
  <c r="F278" i="8"/>
  <c r="F357" i="8"/>
  <c r="F139" i="8"/>
  <c r="I533" i="8"/>
  <c r="I536" i="8" s="1"/>
  <c r="D536" i="8"/>
  <c r="J620" i="8"/>
  <c r="J625" i="8" s="1"/>
  <c r="E625" i="8"/>
  <c r="B312" i="8"/>
  <c r="B345" i="8"/>
  <c r="H169" i="8"/>
  <c r="D146" i="8"/>
  <c r="G181" i="8"/>
  <c r="G601" i="8"/>
  <c r="G607" i="8" s="1"/>
  <c r="B607" i="8"/>
  <c r="G382" i="8"/>
  <c r="B381" i="5"/>
  <c r="C381" i="5" s="1"/>
  <c r="D381" i="5" s="1"/>
  <c r="F381" i="5"/>
  <c r="G381" i="5" s="1"/>
  <c r="B49" i="2"/>
  <c r="B60" i="2"/>
  <c r="E279" i="8"/>
  <c r="E314" i="8"/>
  <c r="B177" i="8"/>
  <c r="I345" i="8"/>
  <c r="I312" i="8"/>
  <c r="G626" i="8"/>
  <c r="G629" i="8" s="1"/>
  <c r="B629" i="8"/>
  <c r="H345" i="8"/>
  <c r="H312" i="8"/>
  <c r="G169" i="8"/>
  <c r="H317" i="8"/>
  <c r="H282" i="8"/>
  <c r="J447" i="8"/>
  <c r="J455" i="8" s="1"/>
  <c r="E455" i="8"/>
  <c r="H283" i="8"/>
  <c r="J279" i="8"/>
  <c r="J314" i="8"/>
  <c r="D283" i="8"/>
  <c r="B668" i="8"/>
  <c r="B625" i="8"/>
  <c r="G620" i="8"/>
  <c r="G625" i="8" s="1"/>
  <c r="K528" i="8"/>
  <c r="K532" i="8" s="1"/>
  <c r="F532" i="8"/>
  <c r="K317" i="8"/>
  <c r="K282" i="8"/>
  <c r="J382" i="8"/>
  <c r="J421" i="8" s="1"/>
  <c r="E421" i="8"/>
  <c r="K312" i="8"/>
  <c r="K345" i="8"/>
  <c r="I382" i="8"/>
  <c r="I421" i="8" s="1"/>
  <c r="D421" i="8"/>
  <c r="E312" i="8"/>
  <c r="E345" i="8"/>
  <c r="G316" i="8"/>
  <c r="G281" i="8"/>
  <c r="B349" i="8"/>
  <c r="B313" i="8"/>
  <c r="D169" i="8"/>
  <c r="G347" i="8"/>
  <c r="G320" i="8"/>
  <c r="F245" i="8"/>
  <c r="F73" i="8"/>
  <c r="E317" i="8"/>
  <c r="E282" i="8"/>
  <c r="D313" i="8"/>
  <c r="D349" i="8"/>
  <c r="I426" i="8"/>
  <c r="I437" i="8" s="1"/>
  <c r="D437" i="8"/>
  <c r="H608" i="8"/>
  <c r="H619" i="8" s="1"/>
  <c r="C619" i="8"/>
  <c r="B284" i="8"/>
  <c r="K315" i="8"/>
  <c r="K280" i="8"/>
  <c r="K309" i="8"/>
  <c r="K278" i="8"/>
  <c r="K357" i="8"/>
  <c r="K139" i="8"/>
  <c r="I561" i="8"/>
  <c r="I600" i="8" s="1"/>
  <c r="D600" i="8"/>
  <c r="G516" i="8"/>
  <c r="G527" i="8" s="1"/>
  <c r="B527" i="8"/>
  <c r="C181" i="8"/>
  <c r="K169" i="8"/>
  <c r="D425" i="8"/>
  <c r="I422" i="8"/>
  <c r="I425" i="8" s="1"/>
  <c r="C381" i="1"/>
  <c r="D381" i="1" s="1"/>
  <c r="L62" i="1"/>
  <c r="M62" i="1" s="1"/>
  <c r="L27" i="1"/>
  <c r="M27" i="1" s="1"/>
  <c r="B43" i="2"/>
  <c r="N193" i="1"/>
  <c r="E186" i="1"/>
  <c r="E186" i="5"/>
  <c r="B111" i="9" s="1"/>
  <c r="N186" i="5"/>
  <c r="B111" i="10" s="1"/>
  <c r="N186" i="1"/>
  <c r="J63" i="4"/>
  <c r="O63" i="4" s="1"/>
  <c r="V63" i="4" s="1"/>
  <c r="X63" i="4" s="1"/>
  <c r="Q313" i="1"/>
  <c r="R313" i="1" s="1"/>
  <c r="P319" i="1"/>
  <c r="E204" i="5"/>
  <c r="B129" i="9" s="1"/>
  <c r="N204" i="1"/>
  <c r="E203" i="1"/>
  <c r="AQ859" i="3"/>
  <c r="K203" i="8" s="1"/>
  <c r="J98" i="4"/>
  <c r="O98" i="4" s="1"/>
  <c r="V98" i="4" s="1"/>
  <c r="X98" i="4" s="1"/>
  <c r="N203" i="1"/>
  <c r="C125" i="10"/>
  <c r="C125" i="9"/>
  <c r="N204" i="5"/>
  <c r="B129" i="10" s="1"/>
  <c r="N193" i="5"/>
  <c r="B118" i="10" s="1"/>
  <c r="E204" i="1"/>
  <c r="AQ849" i="3"/>
  <c r="K193" i="8" s="1"/>
  <c r="E193" i="5"/>
  <c r="B118" i="9" s="1"/>
  <c r="J99" i="4"/>
  <c r="O99" i="4" s="1"/>
  <c r="V99" i="4" s="1"/>
  <c r="X99" i="4" s="1"/>
  <c r="E193" i="1"/>
  <c r="G319" i="1"/>
  <c r="M455" i="1"/>
  <c r="Q435" i="1"/>
  <c r="R435" i="1" s="1"/>
  <c r="T200" i="1"/>
  <c r="AO883" i="3"/>
  <c r="J227" i="8" s="1"/>
  <c r="E202" i="5"/>
  <c r="B127" i="9" s="1"/>
  <c r="J72" i="4"/>
  <c r="O72" i="4" s="1"/>
  <c r="V72" i="4" s="1"/>
  <c r="X72" i="4" s="1"/>
  <c r="AO870" i="3"/>
  <c r="L214" i="1" s="1"/>
  <c r="N202" i="5"/>
  <c r="B127" i="10" s="1"/>
  <c r="N202" i="1"/>
  <c r="AQ858" i="3"/>
  <c r="F202" i="8" s="1"/>
  <c r="AO852" i="3"/>
  <c r="E196" i="8" s="1"/>
  <c r="K196" i="5"/>
  <c r="B196" i="1"/>
  <c r="B196" i="5"/>
  <c r="O182" i="1"/>
  <c r="P182" i="1" s="1"/>
  <c r="Q182" i="1" s="1"/>
  <c r="R182" i="1" s="1"/>
  <c r="O182" i="5"/>
  <c r="C107" i="10" s="1"/>
  <c r="F182" i="8"/>
  <c r="F182" i="5"/>
  <c r="C107" i="9" s="1"/>
  <c r="F182" i="1"/>
  <c r="G182" i="1" s="1"/>
  <c r="H182" i="1" s="1"/>
  <c r="I182" i="1" s="1"/>
  <c r="T310" i="1"/>
  <c r="K227" i="1"/>
  <c r="K227" i="5"/>
  <c r="B214" i="1"/>
  <c r="K214" i="1"/>
  <c r="B227" i="5"/>
  <c r="K214" i="5"/>
  <c r="T422" i="1"/>
  <c r="F497" i="4"/>
  <c r="P497" i="4" s="1"/>
  <c r="S573" i="4" s="1"/>
  <c r="P487" i="4"/>
  <c r="S572" i="4" s="1"/>
  <c r="S179" i="4"/>
  <c r="V179" i="4" s="1"/>
  <c r="P527" i="1"/>
  <c r="T312" i="1"/>
  <c r="H312" i="1"/>
  <c r="I312" i="1" s="1"/>
  <c r="S169" i="4"/>
  <c r="J213" i="8"/>
  <c r="AP869" i="3"/>
  <c r="C213" i="5"/>
  <c r="D213" i="5" s="1"/>
  <c r="C213" i="1"/>
  <c r="D213" i="1" s="1"/>
  <c r="L213" i="1"/>
  <c r="M213" i="1" s="1"/>
  <c r="E213" i="8"/>
  <c r="L213" i="5"/>
  <c r="M213" i="5" s="1"/>
  <c r="E185" i="8"/>
  <c r="J185" i="8"/>
  <c r="C185" i="1"/>
  <c r="D185" i="1" s="1"/>
  <c r="C185" i="5"/>
  <c r="D185" i="5" s="1"/>
  <c r="AP841" i="3"/>
  <c r="L185" i="1"/>
  <c r="M185" i="1" s="1"/>
  <c r="L185" i="5"/>
  <c r="M185" i="5" s="1"/>
  <c r="B216" i="5"/>
  <c r="B216" i="1"/>
  <c r="K216" i="5"/>
  <c r="K216" i="1"/>
  <c r="AO872" i="3"/>
  <c r="K212" i="5"/>
  <c r="K212" i="1"/>
  <c r="B212" i="5"/>
  <c r="AO868" i="3"/>
  <c r="B212" i="1"/>
  <c r="E198" i="1"/>
  <c r="E198" i="5"/>
  <c r="AQ854" i="3"/>
  <c r="N198" i="1"/>
  <c r="J116" i="4"/>
  <c r="O116" i="4" s="1"/>
  <c r="V116" i="4" s="1"/>
  <c r="X116" i="4" s="1"/>
  <c r="N198" i="5"/>
  <c r="B123" i="10" s="1"/>
  <c r="S201" i="4"/>
  <c r="AO871" i="3"/>
  <c r="J215" i="8" s="1"/>
  <c r="B215" i="1"/>
  <c r="B215" i="5"/>
  <c r="K215" i="5"/>
  <c r="K215" i="1"/>
  <c r="K229" i="5"/>
  <c r="B229" i="1"/>
  <c r="B229" i="5"/>
  <c r="AO885" i="3"/>
  <c r="K229" i="1"/>
  <c r="AO863" i="3"/>
  <c r="J207" i="8" s="1"/>
  <c r="B207" i="5"/>
  <c r="B207" i="1"/>
  <c r="K207" i="1"/>
  <c r="K207" i="5"/>
  <c r="L206" i="5"/>
  <c r="M206" i="5" s="1"/>
  <c r="C206" i="1"/>
  <c r="D206" i="1" s="1"/>
  <c r="C206" i="5"/>
  <c r="D206" i="5" s="1"/>
  <c r="L206" i="1"/>
  <c r="M206" i="1" s="1"/>
  <c r="AP862" i="3"/>
  <c r="J206" i="8"/>
  <c r="E206" i="8"/>
  <c r="J197" i="8"/>
  <c r="B205" i="5"/>
  <c r="B205" i="1"/>
  <c r="AO861" i="3"/>
  <c r="J205" i="8" s="1"/>
  <c r="K205" i="1"/>
  <c r="K205" i="5"/>
  <c r="B222" i="5"/>
  <c r="B222" i="1"/>
  <c r="AO878" i="3"/>
  <c r="E222" i="8" s="1"/>
  <c r="K222" i="1"/>
  <c r="K222" i="5"/>
  <c r="I232" i="8"/>
  <c r="D232" i="8"/>
  <c r="T423" i="1"/>
  <c r="E199" i="8"/>
  <c r="H354" i="1"/>
  <c r="I354" i="1" s="1"/>
  <c r="T354" i="1"/>
  <c r="J210" i="8"/>
  <c r="P425" i="1"/>
  <c r="K211" i="5"/>
  <c r="K211" i="1"/>
  <c r="AO867" i="3"/>
  <c r="J211" i="8" s="1"/>
  <c r="B211" i="1"/>
  <c r="B211" i="5"/>
  <c r="AO839" i="3"/>
  <c r="E183" i="8" s="1"/>
  <c r="K183" i="1"/>
  <c r="B183" i="5"/>
  <c r="K183" i="5"/>
  <c r="B183" i="1"/>
  <c r="E219" i="8"/>
  <c r="C219" i="5"/>
  <c r="D219" i="5" s="1"/>
  <c r="AP875" i="3"/>
  <c r="L219" i="5"/>
  <c r="M219" i="5" s="1"/>
  <c r="L219" i="1"/>
  <c r="M219" i="1" s="1"/>
  <c r="C219" i="1"/>
  <c r="D219" i="1" s="1"/>
  <c r="AP884" i="3"/>
  <c r="L228" i="1"/>
  <c r="M228" i="1" s="1"/>
  <c r="C228" i="1"/>
  <c r="D228" i="1" s="1"/>
  <c r="L228" i="5"/>
  <c r="M228" i="5" s="1"/>
  <c r="C228" i="5"/>
  <c r="D228" i="5" s="1"/>
  <c r="C201" i="5"/>
  <c r="D201" i="5" s="1"/>
  <c r="C201" i="1"/>
  <c r="D201" i="1" s="1"/>
  <c r="L201" i="5"/>
  <c r="M201" i="5" s="1"/>
  <c r="AP857" i="3"/>
  <c r="L201" i="1"/>
  <c r="M201" i="1" s="1"/>
  <c r="K194" i="1"/>
  <c r="AO850" i="3"/>
  <c r="J194" i="8" s="1"/>
  <c r="B194" i="1"/>
  <c r="K194" i="5"/>
  <c r="B194" i="5"/>
  <c r="J220" i="8"/>
  <c r="E220" i="8"/>
  <c r="L220" i="5"/>
  <c r="M220" i="5" s="1"/>
  <c r="C220" i="1"/>
  <c r="D220" i="1" s="1"/>
  <c r="L220" i="1"/>
  <c r="M220" i="1" s="1"/>
  <c r="AP876" i="3"/>
  <c r="C220" i="5"/>
  <c r="D220" i="5" s="1"/>
  <c r="K188" i="1"/>
  <c r="AO844" i="3"/>
  <c r="E188" i="8" s="1"/>
  <c r="B188" i="5"/>
  <c r="B188" i="1"/>
  <c r="K188" i="5"/>
  <c r="J219" i="8"/>
  <c r="AO848" i="3"/>
  <c r="J192" i="8" s="1"/>
  <c r="K192" i="5"/>
  <c r="B192" i="1"/>
  <c r="B192" i="5"/>
  <c r="K192" i="1"/>
  <c r="B230" i="1"/>
  <c r="B230" i="5"/>
  <c r="K230" i="5"/>
  <c r="AO886" i="3"/>
  <c r="E230" i="8" s="1"/>
  <c r="K230" i="1"/>
  <c r="C209" i="1"/>
  <c r="D209" i="1" s="1"/>
  <c r="AP865" i="3"/>
  <c r="L209" i="5"/>
  <c r="M209" i="5" s="1"/>
  <c r="C209" i="5"/>
  <c r="D209" i="5" s="1"/>
  <c r="L209" i="1"/>
  <c r="M209" i="1" s="1"/>
  <c r="J228" i="8"/>
  <c r="J189" i="8"/>
  <c r="E228" i="8"/>
  <c r="AP873" i="3"/>
  <c r="C217" i="1"/>
  <c r="D217" i="1" s="1"/>
  <c r="L217" i="1"/>
  <c r="M217" i="1" s="1"/>
  <c r="L217" i="5"/>
  <c r="M217" i="5" s="1"/>
  <c r="C217" i="5"/>
  <c r="D217" i="5" s="1"/>
  <c r="E217" i="8"/>
  <c r="E201" i="8"/>
  <c r="L199" i="1"/>
  <c r="M199" i="1" s="1"/>
  <c r="L199" i="5"/>
  <c r="M199" i="5" s="1"/>
  <c r="C199" i="5"/>
  <c r="D199" i="5" s="1"/>
  <c r="AP855" i="3"/>
  <c r="C199" i="1"/>
  <c r="D199" i="1" s="1"/>
  <c r="B225" i="1"/>
  <c r="B225" i="5"/>
  <c r="K225" i="5"/>
  <c r="K225" i="1"/>
  <c r="AO881" i="3"/>
  <c r="E225" i="8" s="1"/>
  <c r="AP845" i="3"/>
  <c r="L189" i="1"/>
  <c r="M189" i="1" s="1"/>
  <c r="L189" i="5"/>
  <c r="M189" i="5" s="1"/>
  <c r="C189" i="5"/>
  <c r="D189" i="5" s="1"/>
  <c r="C189" i="1"/>
  <c r="D189" i="1" s="1"/>
  <c r="J209" i="8"/>
  <c r="AP866" i="3"/>
  <c r="L210" i="1"/>
  <c r="M210" i="1" s="1"/>
  <c r="C210" i="1"/>
  <c r="D210" i="1" s="1"/>
  <c r="L210" i="5"/>
  <c r="M210" i="5" s="1"/>
  <c r="C210" i="5"/>
  <c r="D210" i="5" s="1"/>
  <c r="E226" i="8"/>
  <c r="C197" i="1"/>
  <c r="D197" i="1" s="1"/>
  <c r="C197" i="5"/>
  <c r="D197" i="5" s="1"/>
  <c r="AP853" i="3"/>
  <c r="L197" i="1"/>
  <c r="M197" i="1" s="1"/>
  <c r="L197" i="5"/>
  <c r="M197" i="5" s="1"/>
  <c r="N223" i="1"/>
  <c r="N223" i="5"/>
  <c r="B148" i="10" s="1"/>
  <c r="J107" i="4"/>
  <c r="O107" i="4" s="1"/>
  <c r="V107" i="4" s="1"/>
  <c r="X107" i="4" s="1"/>
  <c r="AQ879" i="3"/>
  <c r="E223" i="5"/>
  <c r="B148" i="9" s="1"/>
  <c r="E223" i="1"/>
  <c r="N221" i="1"/>
  <c r="J87" i="4"/>
  <c r="O87" i="4" s="1"/>
  <c r="V87" i="4" s="1"/>
  <c r="X87" i="4" s="1"/>
  <c r="E221" i="5"/>
  <c r="B146" i="9" s="1"/>
  <c r="E221" i="1"/>
  <c r="AQ877" i="3"/>
  <c r="F221" i="8" s="1"/>
  <c r="N221" i="5"/>
  <c r="B146" i="10" s="1"/>
  <c r="T183" i="4"/>
  <c r="T184" i="4" s="1"/>
  <c r="V174" i="4"/>
  <c r="L226" i="1"/>
  <c r="M226" i="1" s="1"/>
  <c r="AP882" i="3"/>
  <c r="L226" i="5"/>
  <c r="M226" i="5" s="1"/>
  <c r="C226" i="5"/>
  <c r="D226" i="5" s="1"/>
  <c r="C226" i="1"/>
  <c r="B149" i="10"/>
  <c r="K186" i="8"/>
  <c r="B149" i="9"/>
  <c r="F224" i="1"/>
  <c r="G224" i="1" s="1"/>
  <c r="H224" i="1" s="1"/>
  <c r="I224" i="1" s="1"/>
  <c r="O224" i="5"/>
  <c r="C149" i="10" s="1"/>
  <c r="O224" i="1"/>
  <c r="P224" i="1" s="1"/>
  <c r="F224" i="5"/>
  <c r="C149" i="9" s="1"/>
  <c r="K224" i="8"/>
  <c r="F224" i="8"/>
  <c r="Q605" i="1"/>
  <c r="T605" i="1"/>
  <c r="P607" i="1"/>
  <c r="O186" i="5"/>
  <c r="C111" i="10" s="1"/>
  <c r="F186" i="1"/>
  <c r="O186" i="1"/>
  <c r="F186" i="5"/>
  <c r="C111" i="9" s="1"/>
  <c r="R620" i="1"/>
  <c r="Q310" i="1"/>
  <c r="M319" i="1"/>
  <c r="M619" i="1"/>
  <c r="Q613" i="1"/>
  <c r="R613" i="1" s="1"/>
  <c r="B128" i="9"/>
  <c r="R609" i="1"/>
  <c r="M184" i="1"/>
  <c r="B156" i="9"/>
  <c r="E218" i="1"/>
  <c r="J85" i="4"/>
  <c r="O85" i="4" s="1"/>
  <c r="V85" i="4" s="1"/>
  <c r="X85" i="4" s="1"/>
  <c r="AQ874" i="3"/>
  <c r="F218" i="8" s="1"/>
  <c r="E218" i="5"/>
  <c r="N218" i="5"/>
  <c r="N218" i="1"/>
  <c r="M184" i="5"/>
  <c r="D184" i="5"/>
  <c r="F204" i="1"/>
  <c r="F204" i="5"/>
  <c r="C129" i="9" s="1"/>
  <c r="O204" i="5"/>
  <c r="C129" i="10" s="1"/>
  <c r="O204" i="1"/>
  <c r="F231" i="1"/>
  <c r="G231" i="1" s="1"/>
  <c r="H231" i="1" s="1"/>
  <c r="I231" i="1" s="1"/>
  <c r="O231" i="5"/>
  <c r="C156" i="10" s="1"/>
  <c r="O231" i="1"/>
  <c r="P231" i="1" s="1"/>
  <c r="F231" i="5"/>
  <c r="C156" i="9" s="1"/>
  <c r="K231" i="8"/>
  <c r="E195" i="1"/>
  <c r="J130" i="4"/>
  <c r="O130" i="4" s="1"/>
  <c r="V130" i="4" s="1"/>
  <c r="X130" i="4" s="1"/>
  <c r="N195" i="5"/>
  <c r="B120" i="10" s="1"/>
  <c r="E195" i="5"/>
  <c r="B120" i="9" s="1"/>
  <c r="AQ851" i="3"/>
  <c r="N195" i="1"/>
  <c r="N191" i="5"/>
  <c r="E191" i="5"/>
  <c r="AQ847" i="3"/>
  <c r="K191" i="8" s="1"/>
  <c r="N191" i="1"/>
  <c r="J115" i="4"/>
  <c r="O115" i="4" s="1"/>
  <c r="V115" i="4" s="1"/>
  <c r="X115" i="4" s="1"/>
  <c r="E191" i="1"/>
  <c r="E187" i="1"/>
  <c r="AQ843" i="3"/>
  <c r="F187" i="8" s="1"/>
  <c r="J64" i="4"/>
  <c r="O64" i="4" s="1"/>
  <c r="V64" i="4" s="1"/>
  <c r="X64" i="4" s="1"/>
  <c r="N187" i="1"/>
  <c r="E187" i="5"/>
  <c r="N187" i="5"/>
  <c r="E184" i="1"/>
  <c r="E184" i="5"/>
  <c r="AQ840" i="3"/>
  <c r="K184" i="8" s="1"/>
  <c r="N184" i="1"/>
  <c r="J62" i="4"/>
  <c r="N184" i="5"/>
  <c r="K204" i="8"/>
  <c r="F231" i="8"/>
  <c r="E190" i="1"/>
  <c r="N190" i="5"/>
  <c r="N190" i="1"/>
  <c r="E190" i="5"/>
  <c r="AQ846" i="3"/>
  <c r="K190" i="8" s="1"/>
  <c r="J93" i="4"/>
  <c r="O93" i="4" s="1"/>
  <c r="V93" i="4" s="1"/>
  <c r="X93" i="4" s="1"/>
  <c r="D184" i="1"/>
  <c r="B156" i="10"/>
  <c r="J75" i="4"/>
  <c r="O75" i="4" s="1"/>
  <c r="V75" i="4" s="1"/>
  <c r="X75" i="4" s="1"/>
  <c r="AQ864" i="3"/>
  <c r="F208" i="8" s="1"/>
  <c r="N208" i="1"/>
  <c r="E208" i="1"/>
  <c r="N208" i="5"/>
  <c r="E208" i="5"/>
  <c r="P184" i="4"/>
  <c r="Q223" i="4"/>
  <c r="Q231" i="4" s="1"/>
  <c r="S544" i="4" s="1"/>
  <c r="S548" i="4" s="1"/>
  <c r="O231" i="4"/>
  <c r="P584" i="4" s="1"/>
  <c r="M425" i="1"/>
  <c r="Q424" i="1"/>
  <c r="Z244" i="4"/>
  <c r="W228" i="4"/>
  <c r="Q429" i="1"/>
  <c r="R429" i="1" s="1"/>
  <c r="M437" i="1"/>
  <c r="T443" i="1"/>
  <c r="P446" i="1"/>
  <c r="Q443" i="1"/>
  <c r="P437" i="1"/>
  <c r="T426" i="1"/>
  <c r="Q426" i="1"/>
  <c r="P421" i="1"/>
  <c r="T382" i="1"/>
  <c r="Q382" i="1"/>
  <c r="Q448" i="1"/>
  <c r="R448" i="1" s="1"/>
  <c r="T448" i="1"/>
  <c r="T438" i="1"/>
  <c r="P442" i="1"/>
  <c r="Q438" i="1"/>
  <c r="Q385" i="1"/>
  <c r="R385" i="1" s="1"/>
  <c r="M421" i="1"/>
  <c r="M442" i="1"/>
  <c r="F40" i="9" l="1"/>
  <c r="H111" i="5"/>
  <c r="I111" i="5" s="1"/>
  <c r="H168" i="5"/>
  <c r="I168" i="5" s="1"/>
  <c r="P619" i="1"/>
  <c r="T619" i="1" s="1"/>
  <c r="T608" i="1"/>
  <c r="P350" i="5"/>
  <c r="Q350" i="5" s="1"/>
  <c r="R350" i="5" s="1"/>
  <c r="M283" i="5"/>
  <c r="Q385" i="5"/>
  <c r="R385" i="5" s="1"/>
  <c r="E74" i="9"/>
  <c r="J186" i="4"/>
  <c r="J190" i="4"/>
  <c r="L630" i="1"/>
  <c r="Q200" i="5"/>
  <c r="R200" i="5" s="1"/>
  <c r="Q510" i="4"/>
  <c r="T576" i="4" s="1"/>
  <c r="T578" i="4" s="1"/>
  <c r="K456" i="1"/>
  <c r="I654" i="1"/>
  <c r="H283" i="1"/>
  <c r="I283" i="1" s="1"/>
  <c r="M356" i="1"/>
  <c r="M358" i="1" s="1"/>
  <c r="D358" i="1"/>
  <c r="H349" i="1"/>
  <c r="I349" i="1" s="1"/>
  <c r="F25" i="9"/>
  <c r="M315" i="5"/>
  <c r="H526" i="5"/>
  <c r="I526" i="5" s="1"/>
  <c r="Q278" i="1"/>
  <c r="R278" i="1" s="1"/>
  <c r="H481" i="5"/>
  <c r="I481" i="5" s="1"/>
  <c r="T281" i="1"/>
  <c r="T345" i="1"/>
  <c r="H280" i="1"/>
  <c r="I280" i="1" s="1"/>
  <c r="Q279" i="1"/>
  <c r="R279" i="1" s="1"/>
  <c r="P356" i="1"/>
  <c r="P358" i="1" s="1"/>
  <c r="E81" i="10"/>
  <c r="H665" i="5"/>
  <c r="I665" i="5" s="1"/>
  <c r="H617" i="5"/>
  <c r="I617" i="5" s="1"/>
  <c r="F103" i="10"/>
  <c r="H157" i="5"/>
  <c r="I157" i="5" s="1"/>
  <c r="H440" i="5"/>
  <c r="I440" i="5" s="1"/>
  <c r="H577" i="5"/>
  <c r="I577" i="5" s="1"/>
  <c r="E96" i="9"/>
  <c r="H385" i="5"/>
  <c r="I385" i="5" s="1"/>
  <c r="F35" i="10"/>
  <c r="F72" i="10"/>
  <c r="O537" i="1"/>
  <c r="E154" i="2" s="1"/>
  <c r="L2" i="5"/>
  <c r="M2" i="5" s="1"/>
  <c r="C2" i="5"/>
  <c r="D2" i="5" s="1"/>
  <c r="H181" i="1"/>
  <c r="I181" i="1" s="1"/>
  <c r="H284" i="1"/>
  <c r="I284" i="1" s="1"/>
  <c r="T625" i="1"/>
  <c r="H71" i="5"/>
  <c r="I71" i="5" s="1"/>
  <c r="T38" i="1"/>
  <c r="L456" i="1"/>
  <c r="T200" i="5"/>
  <c r="E60" i="10"/>
  <c r="H248" i="5"/>
  <c r="I248" i="5" s="1"/>
  <c r="E69" i="10"/>
  <c r="E95" i="9"/>
  <c r="T357" i="1"/>
  <c r="Q281" i="1"/>
  <c r="R281" i="1" s="1"/>
  <c r="H278" i="1"/>
  <c r="I278" i="1" s="1"/>
  <c r="H357" i="1"/>
  <c r="I357" i="1" s="1"/>
  <c r="F29" i="9"/>
  <c r="E69" i="9"/>
  <c r="Q253" i="1"/>
  <c r="R253" i="1" s="1"/>
  <c r="N537" i="1"/>
  <c r="D154" i="2" s="1"/>
  <c r="P311" i="5"/>
  <c r="Q311" i="5" s="1"/>
  <c r="R311" i="5" s="1"/>
  <c r="O576" i="4"/>
  <c r="F86" i="10"/>
  <c r="H345" i="1"/>
  <c r="I345" i="1" s="1"/>
  <c r="B672" i="8"/>
  <c r="G356" i="1"/>
  <c r="G358" i="1" s="1"/>
  <c r="J356" i="1" s="1"/>
  <c r="Q38" i="1"/>
  <c r="R38" i="1" s="1"/>
  <c r="E44" i="9"/>
  <c r="H282" i="1"/>
  <c r="I282" i="1" s="1"/>
  <c r="Q609" i="5"/>
  <c r="R609" i="5" s="1"/>
  <c r="H446" i="1"/>
  <c r="I446" i="1" s="1"/>
  <c r="H237" i="5"/>
  <c r="I237" i="5" s="1"/>
  <c r="P315" i="5"/>
  <c r="P321" i="1"/>
  <c r="S313" i="1" s="1"/>
  <c r="Q37" i="5"/>
  <c r="R37" i="5" s="1"/>
  <c r="H660" i="5"/>
  <c r="I660" i="5" s="1"/>
  <c r="C672" i="8"/>
  <c r="H612" i="5"/>
  <c r="I612" i="5" s="1"/>
  <c r="G672" i="1"/>
  <c r="J668" i="1" s="1"/>
  <c r="Q284" i="1"/>
  <c r="R284" i="1" s="1"/>
  <c r="F51" i="9"/>
  <c r="H455" i="1"/>
  <c r="I455" i="1" s="1"/>
  <c r="F61" i="9"/>
  <c r="T279" i="1"/>
  <c r="D319" i="1"/>
  <c r="D321" i="1" s="1"/>
  <c r="H393" i="5"/>
  <c r="I393" i="5" s="1"/>
  <c r="Q320" i="1"/>
  <c r="R320" i="1" s="1"/>
  <c r="T455" i="1"/>
  <c r="H67" i="1"/>
  <c r="I67" i="1" s="1"/>
  <c r="H425" i="1"/>
  <c r="I425" i="1" s="1"/>
  <c r="H104" i="5"/>
  <c r="I104" i="5" s="1"/>
  <c r="I424" i="1"/>
  <c r="F63" i="10"/>
  <c r="T600" i="1"/>
  <c r="Q528" i="1"/>
  <c r="R528" i="1" s="1"/>
  <c r="M600" i="1"/>
  <c r="M630" i="1" s="1"/>
  <c r="E66" i="9"/>
  <c r="H177" i="1"/>
  <c r="I177" i="1" s="1"/>
  <c r="E35" i="10"/>
  <c r="H115" i="5"/>
  <c r="I115" i="5" s="1"/>
  <c r="Q455" i="1"/>
  <c r="R455" i="1" s="1"/>
  <c r="Q36" i="5"/>
  <c r="R36" i="5" s="1"/>
  <c r="T280" i="1"/>
  <c r="T320" i="1"/>
  <c r="N630" i="1"/>
  <c r="D158" i="2" s="1"/>
  <c r="O456" i="1"/>
  <c r="E150" i="2" s="1"/>
  <c r="Q625" i="1"/>
  <c r="R625" i="1" s="1"/>
  <c r="E103" i="9"/>
  <c r="H34" i="5"/>
  <c r="I34" i="5" s="1"/>
  <c r="H200" i="5"/>
  <c r="I200" i="5" s="1"/>
  <c r="G354" i="5"/>
  <c r="H354" i="5" s="1"/>
  <c r="I354" i="5" s="1"/>
  <c r="T73" i="1"/>
  <c r="O630" i="1"/>
  <c r="E158" i="2" s="1"/>
  <c r="T425" i="1"/>
  <c r="H320" i="1"/>
  <c r="I320" i="1" s="1"/>
  <c r="D672" i="1"/>
  <c r="E104" i="10"/>
  <c r="E55" i="10"/>
  <c r="F33" i="9"/>
  <c r="G321" i="1"/>
  <c r="J319" i="1" s="1"/>
  <c r="H160" i="1"/>
  <c r="I160" i="1" s="1"/>
  <c r="H120" i="5"/>
  <c r="I120" i="5" s="1"/>
  <c r="Q345" i="1"/>
  <c r="R345" i="1" s="1"/>
  <c r="E48" i="9"/>
  <c r="T284" i="1"/>
  <c r="E51" i="9"/>
  <c r="H529" i="5"/>
  <c r="I529" i="5" s="1"/>
  <c r="Q429" i="5"/>
  <c r="R429" i="5" s="1"/>
  <c r="Q439" i="5"/>
  <c r="R439" i="5" s="1"/>
  <c r="H245" i="1"/>
  <c r="I245" i="1" s="1"/>
  <c r="T181" i="1"/>
  <c r="T169" i="1"/>
  <c r="Q245" i="1"/>
  <c r="R245" i="1" s="1"/>
  <c r="T607" i="1"/>
  <c r="T67" i="1"/>
  <c r="T282" i="1"/>
  <c r="H625" i="1"/>
  <c r="I625" i="1" s="1"/>
  <c r="F65" i="10"/>
  <c r="Q527" i="1"/>
  <c r="R527" i="1" s="1"/>
  <c r="H421" i="1"/>
  <c r="I421" i="1" s="1"/>
  <c r="H38" i="1"/>
  <c r="I38" i="1" s="1"/>
  <c r="H527" i="1"/>
  <c r="I527" i="1" s="1"/>
  <c r="Q160" i="1"/>
  <c r="R160" i="1" s="1"/>
  <c r="H107" i="5"/>
  <c r="I107" i="5" s="1"/>
  <c r="H592" i="5"/>
  <c r="I592" i="5" s="1"/>
  <c r="D51" i="2"/>
  <c r="Q424" i="5"/>
  <c r="R424" i="5" s="1"/>
  <c r="F62" i="10"/>
  <c r="H495" i="5"/>
  <c r="I495" i="5" s="1"/>
  <c r="H442" i="1"/>
  <c r="I442" i="1" s="1"/>
  <c r="H668" i="1"/>
  <c r="I668" i="1" s="1"/>
  <c r="F59" i="9"/>
  <c r="Q35" i="5"/>
  <c r="R35" i="5" s="1"/>
  <c r="F56" i="9"/>
  <c r="F43" i="9"/>
  <c r="Q31" i="5"/>
  <c r="R31" i="5" s="1"/>
  <c r="M321" i="1"/>
  <c r="E90" i="9"/>
  <c r="T146" i="1"/>
  <c r="K630" i="1"/>
  <c r="T245" i="1"/>
  <c r="T177" i="1"/>
  <c r="H253" i="1"/>
  <c r="I253" i="1" s="1"/>
  <c r="E91" i="10"/>
  <c r="Q430" i="5"/>
  <c r="R430" i="5" s="1"/>
  <c r="D630" i="1"/>
  <c r="Q282" i="1"/>
  <c r="R282" i="1" s="1"/>
  <c r="M532" i="1"/>
  <c r="M537" i="1" s="1"/>
  <c r="H485" i="5"/>
  <c r="I485" i="5" s="1"/>
  <c r="H503" i="5"/>
  <c r="I503" i="5" s="1"/>
  <c r="Q515" i="1"/>
  <c r="R515" i="1" s="1"/>
  <c r="Q67" i="1"/>
  <c r="R67" i="1" s="1"/>
  <c r="T31" i="5"/>
  <c r="L537" i="1"/>
  <c r="H619" i="1"/>
  <c r="I619" i="1" s="1"/>
  <c r="H536" i="1"/>
  <c r="I536" i="1" s="1"/>
  <c r="Q349" i="1"/>
  <c r="R349" i="1" s="1"/>
  <c r="E70" i="9"/>
  <c r="H73" i="1"/>
  <c r="I73" i="1" s="1"/>
  <c r="F40" i="10"/>
  <c r="H671" i="1"/>
  <c r="I671" i="1" s="1"/>
  <c r="H146" i="1"/>
  <c r="I146" i="1" s="1"/>
  <c r="Q181" i="1"/>
  <c r="R181" i="1" s="1"/>
  <c r="T349" i="1"/>
  <c r="Q526" i="5"/>
  <c r="R526" i="5" s="1"/>
  <c r="H240" i="5"/>
  <c r="I240" i="5" s="1"/>
  <c r="E53" i="9"/>
  <c r="Q626" i="1"/>
  <c r="R626" i="1" s="1"/>
  <c r="C45" i="2"/>
  <c r="P629" i="1"/>
  <c r="T629" i="1" s="1"/>
  <c r="T160" i="1"/>
  <c r="H618" i="5"/>
  <c r="I618" i="5" s="1"/>
  <c r="E99" i="9"/>
  <c r="E29" i="10"/>
  <c r="T571" i="5"/>
  <c r="Q283" i="1"/>
  <c r="R283" i="1" s="1"/>
  <c r="H509" i="5"/>
  <c r="I509" i="5" s="1"/>
  <c r="E40" i="10"/>
  <c r="E73" i="10"/>
  <c r="H576" i="5"/>
  <c r="I576" i="5" s="1"/>
  <c r="Q449" i="5"/>
  <c r="R449" i="5" s="1"/>
  <c r="H574" i="5"/>
  <c r="I574" i="5" s="1"/>
  <c r="Q510" i="5"/>
  <c r="R510" i="5" s="1"/>
  <c r="P346" i="5"/>
  <c r="Q346" i="5" s="1"/>
  <c r="R346" i="5" s="1"/>
  <c r="H531" i="5"/>
  <c r="I531" i="5" s="1"/>
  <c r="E58" i="9"/>
  <c r="G349" i="5"/>
  <c r="Q531" i="5"/>
  <c r="R531" i="5" s="1"/>
  <c r="E37" i="9"/>
  <c r="P280" i="5"/>
  <c r="H383" i="5"/>
  <c r="I383" i="5" s="1"/>
  <c r="P320" i="5"/>
  <c r="H279" i="1"/>
  <c r="I279" i="1" s="1"/>
  <c r="T253" i="1"/>
  <c r="H418" i="5"/>
  <c r="I418" i="5" s="1"/>
  <c r="H609" i="5"/>
  <c r="I609" i="5" s="1"/>
  <c r="E45" i="9"/>
  <c r="E37" i="10"/>
  <c r="K537" i="1"/>
  <c r="Q73" i="1"/>
  <c r="R73" i="1" s="1"/>
  <c r="F27" i="10"/>
  <c r="G456" i="1"/>
  <c r="J442" i="1" s="1"/>
  <c r="E28" i="10"/>
  <c r="D537" i="1"/>
  <c r="N456" i="1"/>
  <c r="D150" i="2" s="1"/>
  <c r="H437" i="1"/>
  <c r="I437" i="1" s="1"/>
  <c r="F202" i="5"/>
  <c r="C127" i="9" s="1"/>
  <c r="Q357" i="1"/>
  <c r="R357" i="1" s="1"/>
  <c r="Q571" i="5"/>
  <c r="R571" i="5" s="1"/>
  <c r="E59" i="10"/>
  <c r="D285" i="1"/>
  <c r="H629" i="1"/>
  <c r="I629" i="1" s="1"/>
  <c r="F26" i="2"/>
  <c r="T139" i="1"/>
  <c r="Q580" i="5"/>
  <c r="R580" i="5" s="1"/>
  <c r="E58" i="10"/>
  <c r="H607" i="1"/>
  <c r="I607" i="1" s="1"/>
  <c r="M285" i="1"/>
  <c r="Q280" i="1"/>
  <c r="R280" i="1" s="1"/>
  <c r="H171" i="5"/>
  <c r="I171" i="5" s="1"/>
  <c r="D284" i="5"/>
  <c r="G318" i="5"/>
  <c r="H318" i="5" s="1"/>
  <c r="I318" i="5" s="1"/>
  <c r="H72" i="5"/>
  <c r="I72" i="5" s="1"/>
  <c r="H132" i="5"/>
  <c r="I132" i="5" s="1"/>
  <c r="E82" i="10"/>
  <c r="H600" i="1"/>
  <c r="I600" i="1" s="1"/>
  <c r="E99" i="10"/>
  <c r="D45" i="2"/>
  <c r="Q533" i="1"/>
  <c r="H414" i="5"/>
  <c r="I414" i="5" s="1"/>
  <c r="F61" i="10"/>
  <c r="D456" i="1"/>
  <c r="H532" i="1"/>
  <c r="I532" i="1" s="1"/>
  <c r="Q177" i="1"/>
  <c r="R177" i="1" s="1"/>
  <c r="Q481" i="5"/>
  <c r="R481" i="5" s="1"/>
  <c r="H611" i="5"/>
  <c r="I611" i="5" s="1"/>
  <c r="H125" i="5"/>
  <c r="I125" i="5" s="1"/>
  <c r="E100" i="9"/>
  <c r="H35" i="5"/>
  <c r="I35" i="5" s="1"/>
  <c r="F95" i="9"/>
  <c r="E66" i="10"/>
  <c r="E63" i="10"/>
  <c r="E98" i="10"/>
  <c r="H404" i="5"/>
  <c r="I404" i="5" s="1"/>
  <c r="G285" i="1"/>
  <c r="J280" i="1" s="1"/>
  <c r="T278" i="1"/>
  <c r="T283" i="1"/>
  <c r="T37" i="5"/>
  <c r="G630" i="1"/>
  <c r="H139" i="1"/>
  <c r="I139" i="1" s="1"/>
  <c r="H169" i="1"/>
  <c r="I169" i="1" s="1"/>
  <c r="E51" i="10"/>
  <c r="E105" i="10"/>
  <c r="P285" i="1"/>
  <c r="S279" i="1" s="1"/>
  <c r="E72" i="10"/>
  <c r="G537" i="1"/>
  <c r="T480" i="1" s="1"/>
  <c r="F193" i="8"/>
  <c r="H176" i="5"/>
  <c r="I176" i="5" s="1"/>
  <c r="F12" i="2"/>
  <c r="H610" i="5"/>
  <c r="I610" i="5" s="1"/>
  <c r="H31" i="5"/>
  <c r="I31" i="5" s="1"/>
  <c r="Q146" i="1"/>
  <c r="R146" i="1" s="1"/>
  <c r="Q513" i="5"/>
  <c r="R513" i="5" s="1"/>
  <c r="E79" i="10"/>
  <c r="H504" i="5"/>
  <c r="I504" i="5" s="1"/>
  <c r="Q600" i="1"/>
  <c r="H384" i="5"/>
  <c r="I384" i="5" s="1"/>
  <c r="E76" i="10"/>
  <c r="H506" i="5"/>
  <c r="I506" i="5" s="1"/>
  <c r="E50" i="10"/>
  <c r="T126" i="5"/>
  <c r="D629" i="5"/>
  <c r="H666" i="5"/>
  <c r="I666" i="5" s="1"/>
  <c r="H664" i="5"/>
  <c r="I664" i="5" s="1"/>
  <c r="D672" i="8"/>
  <c r="Q487" i="5"/>
  <c r="R487" i="5" s="1"/>
  <c r="E97" i="9"/>
  <c r="P204" i="1"/>
  <c r="Q204" i="1" s="1"/>
  <c r="R204" i="1" s="1"/>
  <c r="E39" i="10"/>
  <c r="E45" i="10"/>
  <c r="H515" i="1"/>
  <c r="I515" i="1" s="1"/>
  <c r="Q517" i="5"/>
  <c r="R517" i="5" s="1"/>
  <c r="E33" i="9"/>
  <c r="C537" i="8"/>
  <c r="H397" i="5"/>
  <c r="I397" i="5" s="1"/>
  <c r="H519" i="5"/>
  <c r="I519" i="5" s="1"/>
  <c r="F33" i="10"/>
  <c r="E92" i="9"/>
  <c r="Q534" i="5"/>
  <c r="R534" i="5" s="1"/>
  <c r="H403" i="5"/>
  <c r="I403" i="5" s="1"/>
  <c r="H663" i="5"/>
  <c r="I663" i="5" s="1"/>
  <c r="E46" i="10"/>
  <c r="E88" i="10"/>
  <c r="F63" i="9"/>
  <c r="H411" i="5"/>
  <c r="I411" i="5" s="1"/>
  <c r="H594" i="5"/>
  <c r="I594" i="5" s="1"/>
  <c r="E101" i="9"/>
  <c r="H33" i="5"/>
  <c r="I33" i="5" s="1"/>
  <c r="Q503" i="5"/>
  <c r="R503" i="5" s="1"/>
  <c r="H64" i="5"/>
  <c r="I64" i="5" s="1"/>
  <c r="E77" i="10"/>
  <c r="E78" i="10"/>
  <c r="H448" i="5"/>
  <c r="I448" i="5" s="1"/>
  <c r="H579" i="5"/>
  <c r="I579" i="5" s="1"/>
  <c r="Q169" i="1"/>
  <c r="R169" i="1" s="1"/>
  <c r="E40" i="9"/>
  <c r="Q485" i="5"/>
  <c r="R485" i="5" s="1"/>
  <c r="H507" i="5"/>
  <c r="I507" i="5" s="1"/>
  <c r="H444" i="5"/>
  <c r="I444" i="5" s="1"/>
  <c r="F52" i="10"/>
  <c r="H580" i="5"/>
  <c r="I580" i="5" s="1"/>
  <c r="H582" i="5"/>
  <c r="I582" i="5" s="1"/>
  <c r="F95" i="10"/>
  <c r="G455" i="5"/>
  <c r="E89" i="10"/>
  <c r="H123" i="5"/>
  <c r="I123" i="5" s="1"/>
  <c r="H164" i="5"/>
  <c r="I164" i="5" s="1"/>
  <c r="H153" i="5"/>
  <c r="I153" i="5" s="1"/>
  <c r="E45" i="2"/>
  <c r="H156" i="5"/>
  <c r="I156" i="5" s="1"/>
  <c r="E61" i="9"/>
  <c r="E81" i="9"/>
  <c r="E105" i="9"/>
  <c r="G346" i="5"/>
  <c r="G347" i="5"/>
  <c r="E68" i="9"/>
  <c r="H108" i="5"/>
  <c r="I108" i="5" s="1"/>
  <c r="E55" i="9"/>
  <c r="G348" i="5"/>
  <c r="H348" i="5" s="1"/>
  <c r="I348" i="5" s="1"/>
  <c r="D349" i="5"/>
  <c r="F41" i="9"/>
  <c r="G284" i="5"/>
  <c r="H137" i="5"/>
  <c r="I137" i="5" s="1"/>
  <c r="H105" i="5"/>
  <c r="I105" i="5" s="1"/>
  <c r="H163" i="5"/>
  <c r="I163" i="5" s="1"/>
  <c r="H585" i="5"/>
  <c r="I585" i="5" s="1"/>
  <c r="H661" i="5"/>
  <c r="I661" i="5" s="1"/>
  <c r="E92" i="10"/>
  <c r="F672" i="8"/>
  <c r="B115" i="2" s="1"/>
  <c r="D312" i="5"/>
  <c r="H389" i="5"/>
  <c r="I389" i="5" s="1"/>
  <c r="H68" i="5"/>
  <c r="I68" i="5" s="1"/>
  <c r="H514" i="5"/>
  <c r="I514" i="5" s="1"/>
  <c r="H589" i="5"/>
  <c r="I589" i="5" s="1"/>
  <c r="F22" i="2"/>
  <c r="E82" i="9"/>
  <c r="T605" i="5"/>
  <c r="L537" i="5"/>
  <c r="H522" i="5"/>
  <c r="I522" i="5" s="1"/>
  <c r="H395" i="5"/>
  <c r="I395" i="5" s="1"/>
  <c r="G204" i="9"/>
  <c r="T602" i="5"/>
  <c r="E27" i="9"/>
  <c r="E25" i="9"/>
  <c r="E67" i="10"/>
  <c r="Q495" i="5"/>
  <c r="R495" i="5" s="1"/>
  <c r="E101" i="10"/>
  <c r="H158" i="5"/>
  <c r="I158" i="5" s="1"/>
  <c r="E26" i="9"/>
  <c r="H452" i="5"/>
  <c r="I452" i="5" s="1"/>
  <c r="E53" i="10"/>
  <c r="Q448" i="5"/>
  <c r="R448" i="5" s="1"/>
  <c r="L630" i="5"/>
  <c r="Q628" i="5"/>
  <c r="R628" i="5" s="1"/>
  <c r="L456" i="5"/>
  <c r="T424" i="5"/>
  <c r="E43" i="9"/>
  <c r="Q504" i="5"/>
  <c r="R504" i="5" s="1"/>
  <c r="T448" i="5"/>
  <c r="G186" i="1"/>
  <c r="H186" i="1" s="1"/>
  <c r="I186" i="1" s="1"/>
  <c r="H235" i="5"/>
  <c r="I235" i="5" s="1"/>
  <c r="Q507" i="5"/>
  <c r="R507" i="5" s="1"/>
  <c r="H513" i="5"/>
  <c r="I513" i="5" s="1"/>
  <c r="E57" i="10"/>
  <c r="F26" i="9"/>
  <c r="H586" i="5"/>
  <c r="I586" i="5" s="1"/>
  <c r="E62" i="9"/>
  <c r="D446" i="5"/>
  <c r="H172" i="5"/>
  <c r="I172" i="5" s="1"/>
  <c r="D313" i="5"/>
  <c r="G351" i="5"/>
  <c r="H351" i="5" s="1"/>
  <c r="I351" i="5" s="1"/>
  <c r="H569" i="5"/>
  <c r="I569" i="5" s="1"/>
  <c r="T35" i="5"/>
  <c r="Q605" i="5"/>
  <c r="R605" i="5" s="1"/>
  <c r="Q139" i="1"/>
  <c r="R139" i="1" s="1"/>
  <c r="I630" i="8"/>
  <c r="H499" i="5"/>
  <c r="I499" i="5" s="1"/>
  <c r="H605" i="5"/>
  <c r="I605" i="5" s="1"/>
  <c r="H113" i="5"/>
  <c r="I113" i="5" s="1"/>
  <c r="H112" i="5"/>
  <c r="I112" i="5" s="1"/>
  <c r="H575" i="5"/>
  <c r="I575" i="5" s="1"/>
  <c r="H249" i="5"/>
  <c r="I249" i="5" s="1"/>
  <c r="E46" i="9"/>
  <c r="T580" i="5"/>
  <c r="Q602" i="5"/>
  <c r="R602" i="5" s="1"/>
  <c r="H145" i="5"/>
  <c r="I145" i="5" s="1"/>
  <c r="E78" i="9"/>
  <c r="H604" i="5"/>
  <c r="I604" i="5" s="1"/>
  <c r="H581" i="5"/>
  <c r="I581" i="5" s="1"/>
  <c r="E38" i="9"/>
  <c r="H396" i="5"/>
  <c r="I396" i="5" s="1"/>
  <c r="E79" i="9"/>
  <c r="H501" i="5"/>
  <c r="I501" i="5" s="1"/>
  <c r="E56" i="10"/>
  <c r="H487" i="5"/>
  <c r="I487" i="5" s="1"/>
  <c r="E52" i="9"/>
  <c r="H587" i="5"/>
  <c r="I587" i="5" s="1"/>
  <c r="H407" i="5"/>
  <c r="I407" i="5" s="1"/>
  <c r="G313" i="5"/>
  <c r="E60" i="9"/>
  <c r="E44" i="10"/>
  <c r="H623" i="5"/>
  <c r="I623" i="5" s="1"/>
  <c r="E59" i="9"/>
  <c r="H615" i="5"/>
  <c r="I615" i="5" s="1"/>
  <c r="M280" i="5"/>
  <c r="H167" i="5"/>
  <c r="I167" i="5" s="1"/>
  <c r="M67" i="5"/>
  <c r="F52" i="9"/>
  <c r="H657" i="5"/>
  <c r="I657" i="5" s="1"/>
  <c r="H606" i="5"/>
  <c r="I606" i="5" s="1"/>
  <c r="H430" i="5"/>
  <c r="I430" i="5" s="1"/>
  <c r="H667" i="5"/>
  <c r="I667" i="5" s="1"/>
  <c r="P353" i="5"/>
  <c r="Q353" i="5" s="1"/>
  <c r="R353" i="5" s="1"/>
  <c r="E54" i="9"/>
  <c r="D630" i="8"/>
  <c r="H133" i="5"/>
  <c r="I133" i="5" s="1"/>
  <c r="M245" i="5"/>
  <c r="E42" i="9"/>
  <c r="E88" i="9"/>
  <c r="H400" i="5"/>
  <c r="I400" i="5" s="1"/>
  <c r="H445" i="5"/>
  <c r="I445" i="5" s="1"/>
  <c r="H622" i="5"/>
  <c r="I622" i="5" s="1"/>
  <c r="H394" i="5"/>
  <c r="I394" i="5" s="1"/>
  <c r="E73" i="9"/>
  <c r="F86" i="9"/>
  <c r="E49" i="9"/>
  <c r="P347" i="5"/>
  <c r="T439" i="5"/>
  <c r="H520" i="5"/>
  <c r="I520" i="5" s="1"/>
  <c r="M312" i="5"/>
  <c r="Q500" i="5"/>
  <c r="R500" i="5" s="1"/>
  <c r="Q514" i="5"/>
  <c r="R514" i="5" s="1"/>
  <c r="H451" i="5"/>
  <c r="I451" i="5" s="1"/>
  <c r="D668" i="5"/>
  <c r="T428" i="5"/>
  <c r="H486" i="5"/>
  <c r="I486" i="5" s="1"/>
  <c r="H512" i="5"/>
  <c r="I512" i="5" s="1"/>
  <c r="C192" i="9"/>
  <c r="C194" i="9" s="1"/>
  <c r="Q567" i="5"/>
  <c r="R567" i="5" s="1"/>
  <c r="H525" i="5"/>
  <c r="I525" i="5" s="1"/>
  <c r="Q506" i="5"/>
  <c r="R506" i="5" s="1"/>
  <c r="T445" i="5"/>
  <c r="H144" i="5"/>
  <c r="I144" i="5" s="1"/>
  <c r="H565" i="5"/>
  <c r="I565" i="5" s="1"/>
  <c r="E42" i="10"/>
  <c r="Q521" i="5"/>
  <c r="R521" i="5" s="1"/>
  <c r="Q529" i="5"/>
  <c r="R529" i="5" s="1"/>
  <c r="T385" i="5"/>
  <c r="O630" i="5"/>
  <c r="E159" i="2" s="1"/>
  <c r="T606" i="5"/>
  <c r="D317" i="5"/>
  <c r="H568" i="5"/>
  <c r="I568" i="5" s="1"/>
  <c r="H659" i="5"/>
  <c r="I659" i="5" s="1"/>
  <c r="T609" i="5"/>
  <c r="H491" i="5"/>
  <c r="I491" i="5" s="1"/>
  <c r="O456" i="5"/>
  <c r="E151" i="2" s="1"/>
  <c r="Q622" i="5"/>
  <c r="R622" i="5" s="1"/>
  <c r="H416" i="5"/>
  <c r="I416" i="5" s="1"/>
  <c r="G204" i="10"/>
  <c r="T398" i="5"/>
  <c r="Q519" i="5"/>
  <c r="R519" i="5" s="1"/>
  <c r="E39" i="9"/>
  <c r="G350" i="5"/>
  <c r="H350" i="5" s="1"/>
  <c r="I350" i="5" s="1"/>
  <c r="N532" i="5"/>
  <c r="D67" i="5"/>
  <c r="H238" i="5"/>
  <c r="I238" i="5" s="1"/>
  <c r="E89" i="9"/>
  <c r="C356" i="5"/>
  <c r="C358" i="5" s="1"/>
  <c r="Q509" i="5"/>
  <c r="R509" i="5" s="1"/>
  <c r="G353" i="5"/>
  <c r="H353" i="5" s="1"/>
  <c r="I353" i="5" s="1"/>
  <c r="T562" i="5"/>
  <c r="E456" i="8"/>
  <c r="H415" i="5"/>
  <c r="I415" i="5" s="1"/>
  <c r="M347" i="5"/>
  <c r="H406" i="5"/>
  <c r="I406" i="5" s="1"/>
  <c r="H449" i="5"/>
  <c r="I449" i="5" s="1"/>
  <c r="H614" i="5"/>
  <c r="I614" i="5" s="1"/>
  <c r="H627" i="5"/>
  <c r="I627" i="5" s="1"/>
  <c r="H428" i="5"/>
  <c r="I428" i="5" s="1"/>
  <c r="Q610" i="5"/>
  <c r="R610" i="5" s="1"/>
  <c r="E96" i="10"/>
  <c r="H628" i="5"/>
  <c r="I628" i="5" s="1"/>
  <c r="E98" i="9"/>
  <c r="H511" i="5"/>
  <c r="I511" i="5" s="1"/>
  <c r="D38" i="5"/>
  <c r="F55" i="2"/>
  <c r="F42" i="9"/>
  <c r="F65" i="9"/>
  <c r="H143" i="5"/>
  <c r="I143" i="5" s="1"/>
  <c r="E29" i="9"/>
  <c r="H149" i="5"/>
  <c r="I149" i="5" s="1"/>
  <c r="H130" i="5"/>
  <c r="I130" i="5" s="1"/>
  <c r="H148" i="5"/>
  <c r="I148" i="5" s="1"/>
  <c r="H109" i="5"/>
  <c r="I109" i="5" s="1"/>
  <c r="T36" i="5"/>
  <c r="H36" i="5"/>
  <c r="I36" i="5" s="1"/>
  <c r="B45" i="2"/>
  <c r="D73" i="5"/>
  <c r="C51" i="2"/>
  <c r="H134" i="5"/>
  <c r="I134" i="5" s="1"/>
  <c r="P316" i="5"/>
  <c r="E38" i="10"/>
  <c r="M320" i="5"/>
  <c r="P284" i="5"/>
  <c r="E87" i="10"/>
  <c r="P282" i="5"/>
  <c r="E75" i="10"/>
  <c r="F26" i="10"/>
  <c r="E90" i="10"/>
  <c r="M314" i="5"/>
  <c r="E51" i="2"/>
  <c r="M181" i="5"/>
  <c r="L356" i="5"/>
  <c r="L358" i="5" s="1"/>
  <c r="F59" i="10"/>
  <c r="E27" i="10"/>
  <c r="D184" i="10"/>
  <c r="D188" i="10" s="1"/>
  <c r="F43" i="10"/>
  <c r="P317" i="5"/>
  <c r="Q126" i="5"/>
  <c r="R126" i="5" s="1"/>
  <c r="M281" i="5"/>
  <c r="E34" i="10"/>
  <c r="D315" i="5"/>
  <c r="H356" i="8"/>
  <c r="H358" i="8" s="1"/>
  <c r="H114" i="5"/>
  <c r="I114" i="5" s="1"/>
  <c r="G184" i="9"/>
  <c r="G188" i="9" s="1"/>
  <c r="E80" i="9"/>
  <c r="D204" i="9"/>
  <c r="E36" i="9"/>
  <c r="H135" i="5"/>
  <c r="I135" i="5" s="1"/>
  <c r="G315" i="5"/>
  <c r="E32" i="9"/>
  <c r="E86" i="9"/>
  <c r="D184" i="9"/>
  <c r="D188" i="9" s="1"/>
  <c r="D357" i="5"/>
  <c r="E91" i="9"/>
  <c r="G320" i="5"/>
  <c r="G317" i="5"/>
  <c r="H155" i="5"/>
  <c r="I155" i="5" s="1"/>
  <c r="D283" i="5"/>
  <c r="E34" i="9"/>
  <c r="B630" i="8"/>
  <c r="I356" i="8"/>
  <c r="I358" i="8" s="1"/>
  <c r="B356" i="8"/>
  <c r="B358" i="8" s="1"/>
  <c r="F285" i="8"/>
  <c r="B91" i="2" s="1"/>
  <c r="C254" i="8"/>
  <c r="C74" i="8" s="1"/>
  <c r="C75" i="8" s="1"/>
  <c r="C30" i="8" s="1"/>
  <c r="C39" i="8" s="1"/>
  <c r="C356" i="8"/>
  <c r="C358" i="8" s="1"/>
  <c r="H537" i="8"/>
  <c r="C456" i="8"/>
  <c r="E630" i="8"/>
  <c r="J356" i="8"/>
  <c r="J358" i="8" s="1"/>
  <c r="E672" i="8"/>
  <c r="B537" i="8"/>
  <c r="J537" i="8"/>
  <c r="B319" i="8"/>
  <c r="B321" i="8" s="1"/>
  <c r="I537" i="8"/>
  <c r="J319" i="8"/>
  <c r="J321" i="8" s="1"/>
  <c r="T390" i="5"/>
  <c r="Q390" i="5"/>
  <c r="R390" i="5" s="1"/>
  <c r="Q450" i="5"/>
  <c r="R450" i="5" s="1"/>
  <c r="T450" i="5"/>
  <c r="T623" i="5"/>
  <c r="Q623" i="5"/>
  <c r="R623" i="5" s="1"/>
  <c r="Q578" i="5"/>
  <c r="R578" i="5" s="1"/>
  <c r="T578" i="5"/>
  <c r="T393" i="5"/>
  <c r="Q393" i="5"/>
  <c r="R393" i="5" s="1"/>
  <c r="Q598" i="5"/>
  <c r="R598" i="5" s="1"/>
  <c r="T598" i="5"/>
  <c r="T453" i="5"/>
  <c r="Q453" i="5"/>
  <c r="R453" i="5" s="1"/>
  <c r="Q384" i="5"/>
  <c r="R384" i="5" s="1"/>
  <c r="T384" i="5"/>
  <c r="G537" i="8"/>
  <c r="T589" i="5"/>
  <c r="Q589" i="5"/>
  <c r="R589" i="5" s="1"/>
  <c r="Q586" i="5"/>
  <c r="R586" i="5" s="1"/>
  <c r="T586" i="5"/>
  <c r="Q407" i="5"/>
  <c r="R407" i="5" s="1"/>
  <c r="T407" i="5"/>
  <c r="T604" i="5"/>
  <c r="Q604" i="5"/>
  <c r="R604" i="5" s="1"/>
  <c r="Q591" i="5"/>
  <c r="R591" i="5" s="1"/>
  <c r="T591" i="5"/>
  <c r="Q436" i="5"/>
  <c r="R436" i="5" s="1"/>
  <c r="T594" i="5"/>
  <c r="Q594" i="5"/>
  <c r="R594" i="5" s="1"/>
  <c r="Q581" i="5"/>
  <c r="R581" i="5" s="1"/>
  <c r="T581" i="5"/>
  <c r="Q141" i="5"/>
  <c r="R141" i="5" s="1"/>
  <c r="T141" i="5"/>
  <c r="Q241" i="5"/>
  <c r="R241" i="5" s="1"/>
  <c r="T241" i="5"/>
  <c r="T134" i="5"/>
  <c r="Q134" i="5"/>
  <c r="R134" i="5" s="1"/>
  <c r="Q170" i="5"/>
  <c r="T170" i="5"/>
  <c r="P177" i="5"/>
  <c r="T237" i="5"/>
  <c r="Q237" i="5"/>
  <c r="R237" i="5" s="1"/>
  <c r="T572" i="5"/>
  <c r="Q572" i="5"/>
  <c r="R572" i="5" s="1"/>
  <c r="T392" i="5"/>
  <c r="Q392" i="5"/>
  <c r="R392" i="5" s="1"/>
  <c r="T117" i="5"/>
  <c r="Q117" i="5"/>
  <c r="R117" i="5" s="1"/>
  <c r="T162" i="5"/>
  <c r="Q162" i="5"/>
  <c r="R162" i="5" s="1"/>
  <c r="Q101" i="5"/>
  <c r="R101" i="5" s="1"/>
  <c r="T101" i="5"/>
  <c r="Q417" i="5"/>
  <c r="R417" i="5" s="1"/>
  <c r="T417" i="5"/>
  <c r="H518" i="5"/>
  <c r="I518" i="5" s="1"/>
  <c r="G278" i="5"/>
  <c r="E285" i="5"/>
  <c r="B139" i="2" s="1"/>
  <c r="B140" i="2" s="1"/>
  <c r="E630" i="5"/>
  <c r="B159" i="2" s="1"/>
  <c r="B160" i="2" s="1"/>
  <c r="T243" i="5"/>
  <c r="Q243" i="5"/>
  <c r="R243" i="5" s="1"/>
  <c r="Q603" i="5"/>
  <c r="R603" i="5" s="1"/>
  <c r="T603" i="5"/>
  <c r="Q137" i="5"/>
  <c r="R137" i="5" s="1"/>
  <c r="T137" i="5"/>
  <c r="I254" i="8"/>
  <c r="I74" i="8" s="1"/>
  <c r="I75" i="8" s="1"/>
  <c r="I30" i="8" s="1"/>
  <c r="I39" i="8" s="1"/>
  <c r="I76" i="8" s="1"/>
  <c r="E356" i="8"/>
  <c r="E358" i="8" s="1"/>
  <c r="F319" i="8"/>
  <c r="F321" i="8" s="1"/>
  <c r="B95" i="2" s="1"/>
  <c r="C285" i="8"/>
  <c r="E537" i="8"/>
  <c r="F630" i="8"/>
  <c r="B111" i="2" s="1"/>
  <c r="H410" i="5"/>
  <c r="I410" i="5" s="1"/>
  <c r="M73" i="5"/>
  <c r="Q592" i="5"/>
  <c r="R592" i="5" s="1"/>
  <c r="T592" i="5"/>
  <c r="T64" i="5"/>
  <c r="Q64" i="5"/>
  <c r="R64" i="5" s="1"/>
  <c r="P601" i="5"/>
  <c r="N607" i="5"/>
  <c r="H117" i="5"/>
  <c r="I117" i="5" s="1"/>
  <c r="M608" i="5"/>
  <c r="M619" i="5" s="1"/>
  <c r="K619" i="5"/>
  <c r="H152" i="5"/>
  <c r="I152" i="5" s="1"/>
  <c r="H319" i="8"/>
  <c r="H321" i="8" s="1"/>
  <c r="J630" i="8"/>
  <c r="H624" i="5"/>
  <c r="I624" i="5" s="1"/>
  <c r="T566" i="5"/>
  <c r="P139" i="5"/>
  <c r="Q100" i="5"/>
  <c r="T100" i="5"/>
  <c r="H510" i="5"/>
  <c r="I510" i="5" s="1"/>
  <c r="Q451" i="5"/>
  <c r="R451" i="5" s="1"/>
  <c r="T451" i="5"/>
  <c r="H175" i="5"/>
  <c r="I175" i="5" s="1"/>
  <c r="G630" i="8"/>
  <c r="T440" i="5"/>
  <c r="Q579" i="5"/>
  <c r="R579" i="5" s="1"/>
  <c r="T579" i="5"/>
  <c r="H564" i="5"/>
  <c r="I564" i="5" s="1"/>
  <c r="H493" i="5"/>
  <c r="I493" i="5" s="1"/>
  <c r="P422" i="5"/>
  <c r="N425" i="5"/>
  <c r="H141" i="5"/>
  <c r="I141" i="5" s="1"/>
  <c r="Q627" i="5"/>
  <c r="R627" i="5" s="1"/>
  <c r="T627" i="5"/>
  <c r="D437" i="5"/>
  <c r="Q133" i="5"/>
  <c r="R133" i="5" s="1"/>
  <c r="T133" i="5"/>
  <c r="Q115" i="5"/>
  <c r="R115" i="5" s="1"/>
  <c r="T115" i="5"/>
  <c r="P355" i="5"/>
  <c r="Q355" i="5" s="1"/>
  <c r="R355" i="5" s="1"/>
  <c r="T172" i="5"/>
  <c r="Q172" i="5"/>
  <c r="R172" i="5" s="1"/>
  <c r="P348" i="5"/>
  <c r="T171" i="5"/>
  <c r="Q171" i="5"/>
  <c r="R171" i="5" s="1"/>
  <c r="Q431" i="5"/>
  <c r="R431" i="5" s="1"/>
  <c r="T431" i="5"/>
  <c r="Q491" i="5"/>
  <c r="R491" i="5" s="1"/>
  <c r="H150" i="5"/>
  <c r="I150" i="5" s="1"/>
  <c r="G319" i="8"/>
  <c r="G321" i="8" s="1"/>
  <c r="F537" i="8"/>
  <c r="B107" i="2" s="1"/>
  <c r="H456" i="8"/>
  <c r="Q522" i="5"/>
  <c r="R522" i="5" s="1"/>
  <c r="P480" i="5"/>
  <c r="N515" i="5"/>
  <c r="Q394" i="5"/>
  <c r="R394" i="5" s="1"/>
  <c r="T394" i="5"/>
  <c r="P281" i="5"/>
  <c r="E48" i="10"/>
  <c r="T395" i="5"/>
  <c r="Q395" i="5"/>
  <c r="R395" i="5" s="1"/>
  <c r="E65" i="10"/>
  <c r="H492" i="5"/>
  <c r="I492" i="5" s="1"/>
  <c r="Q489" i="5"/>
  <c r="R489" i="5" s="1"/>
  <c r="H159" i="5"/>
  <c r="I159" i="5" s="1"/>
  <c r="Q525" i="5"/>
  <c r="R525" i="5" s="1"/>
  <c r="D282" i="5"/>
  <c r="E47" i="9"/>
  <c r="H399" i="5"/>
  <c r="I399" i="5" s="1"/>
  <c r="E84" i="10"/>
  <c r="B191" i="10"/>
  <c r="L27" i="5"/>
  <c r="M27" i="5" s="1"/>
  <c r="Q486" i="5"/>
  <c r="R486" i="5" s="1"/>
  <c r="H597" i="5"/>
  <c r="I597" i="5" s="1"/>
  <c r="E86" i="10"/>
  <c r="Q512" i="5"/>
  <c r="R512" i="5" s="1"/>
  <c r="E95" i="10"/>
  <c r="H236" i="5"/>
  <c r="I236" i="5" s="1"/>
  <c r="T628" i="5"/>
  <c r="B537" i="5"/>
  <c r="T66" i="5"/>
  <c r="Q66" i="5"/>
  <c r="R66" i="5" s="1"/>
  <c r="H412" i="5"/>
  <c r="I412" i="5" s="1"/>
  <c r="P620" i="5"/>
  <c r="N625" i="5"/>
  <c r="Q387" i="5"/>
  <c r="R387" i="5" s="1"/>
  <c r="T387" i="5"/>
  <c r="K536" i="5"/>
  <c r="M533" i="5"/>
  <c r="M536" i="5" s="1"/>
  <c r="H447" i="5"/>
  <c r="I447" i="5" s="1"/>
  <c r="N437" i="5"/>
  <c r="P426" i="5"/>
  <c r="H392" i="5"/>
  <c r="I392" i="5" s="1"/>
  <c r="M284" i="5"/>
  <c r="Q511" i="5"/>
  <c r="R511" i="5" s="1"/>
  <c r="E43" i="10"/>
  <c r="H136" i="5"/>
  <c r="I136" i="5" s="1"/>
  <c r="H405" i="5"/>
  <c r="I405" i="5" s="1"/>
  <c r="P352" i="5"/>
  <c r="P310" i="5"/>
  <c r="H500" i="5"/>
  <c r="I500" i="5" s="1"/>
  <c r="H243" i="5"/>
  <c r="I243" i="5" s="1"/>
  <c r="M160" i="5"/>
  <c r="T449" i="5"/>
  <c r="H417" i="5"/>
  <c r="I417" i="5" s="1"/>
  <c r="F456" i="8"/>
  <c r="B103" i="2" s="1"/>
  <c r="T614" i="5"/>
  <c r="Q614" i="5"/>
  <c r="R614" i="5" s="1"/>
  <c r="E87" i="9"/>
  <c r="Q416" i="5"/>
  <c r="R416" i="5" s="1"/>
  <c r="T416" i="5"/>
  <c r="Q518" i="5"/>
  <c r="R518" i="5" s="1"/>
  <c r="F537" i="5"/>
  <c r="C155" i="2" s="1"/>
  <c r="C156" i="2" s="1"/>
  <c r="T242" i="5"/>
  <c r="H242" i="5"/>
  <c r="I242" i="5" s="1"/>
  <c r="M278" i="5"/>
  <c r="K285" i="5"/>
  <c r="Q566" i="5"/>
  <c r="R566" i="5" s="1"/>
  <c r="P561" i="5"/>
  <c r="N600" i="5"/>
  <c r="D280" i="5"/>
  <c r="H535" i="5"/>
  <c r="I535" i="5" s="1"/>
  <c r="E100" i="10"/>
  <c r="E62" i="10"/>
  <c r="M601" i="5"/>
  <c r="M607" i="5" s="1"/>
  <c r="K607" i="5"/>
  <c r="T104" i="5"/>
  <c r="Q104" i="5"/>
  <c r="R104" i="5" s="1"/>
  <c r="B191" i="9"/>
  <c r="B192" i="9" s="1"/>
  <c r="B194" i="9" s="1"/>
  <c r="E84" i="9"/>
  <c r="Q383" i="5"/>
  <c r="R383" i="5" s="1"/>
  <c r="T383" i="5"/>
  <c r="H387" i="5"/>
  <c r="I387" i="5" s="1"/>
  <c r="P382" i="5"/>
  <c r="N421" i="5"/>
  <c r="T430" i="5"/>
  <c r="C319" i="8"/>
  <c r="C321" i="8" s="1"/>
  <c r="T246" i="5"/>
  <c r="Q246" i="5"/>
  <c r="P253" i="5"/>
  <c r="Q102" i="5"/>
  <c r="R102" i="5" s="1"/>
  <c r="T102" i="5"/>
  <c r="Q582" i="5"/>
  <c r="R582" i="5" s="1"/>
  <c r="T582" i="5"/>
  <c r="D146" i="5"/>
  <c r="T415" i="5"/>
  <c r="Q415" i="5"/>
  <c r="R415" i="5" s="1"/>
  <c r="H601" i="5"/>
  <c r="G607" i="5"/>
  <c r="Q63" i="5"/>
  <c r="R63" i="5" s="1"/>
  <c r="T63" i="5"/>
  <c r="P67" i="5"/>
  <c r="G352" i="5"/>
  <c r="H352" i="5" s="1"/>
  <c r="I352" i="5" s="1"/>
  <c r="D619" i="5"/>
  <c r="K456" i="8"/>
  <c r="D103" i="2" s="1"/>
  <c r="T624" i="5"/>
  <c r="Q624" i="5"/>
  <c r="R624" i="5" s="1"/>
  <c r="H566" i="5"/>
  <c r="I566" i="5" s="1"/>
  <c r="P309" i="5"/>
  <c r="N319" i="5"/>
  <c r="N321" i="5" s="1"/>
  <c r="D143" i="2" s="1"/>
  <c r="D144" i="2" s="1"/>
  <c r="B356" i="5"/>
  <c r="B358" i="5" s="1"/>
  <c r="D345" i="5"/>
  <c r="H252" i="5"/>
  <c r="I252" i="5" s="1"/>
  <c r="H402" i="5"/>
  <c r="I402" i="5" s="1"/>
  <c r="E32" i="10"/>
  <c r="F32" i="10"/>
  <c r="G668" i="5"/>
  <c r="H656" i="5"/>
  <c r="F72" i="9"/>
  <c r="H450" i="5"/>
  <c r="I450" i="5" s="1"/>
  <c r="H423" i="5"/>
  <c r="I423" i="5" s="1"/>
  <c r="T244" i="5"/>
  <c r="H244" i="5"/>
  <c r="I244" i="5" s="1"/>
  <c r="G629" i="5"/>
  <c r="H626" i="5"/>
  <c r="E74" i="10"/>
  <c r="M349" i="5"/>
  <c r="T564" i="5"/>
  <c r="Q564" i="5"/>
  <c r="R564" i="5" s="1"/>
  <c r="F285" i="5"/>
  <c r="C139" i="2" s="1"/>
  <c r="C140" i="2" s="1"/>
  <c r="Q396" i="5"/>
  <c r="R396" i="5" s="1"/>
  <c r="T396" i="5"/>
  <c r="Q493" i="5"/>
  <c r="R493" i="5" s="1"/>
  <c r="F66" i="2"/>
  <c r="C630" i="8"/>
  <c r="M426" i="5"/>
  <c r="M437" i="5" s="1"/>
  <c r="K437" i="5"/>
  <c r="T70" i="5"/>
  <c r="Q70" i="5"/>
  <c r="R70" i="5" s="1"/>
  <c r="Q138" i="5"/>
  <c r="R138" i="5" s="1"/>
  <c r="T138" i="5"/>
  <c r="H505" i="5"/>
  <c r="I505" i="5" s="1"/>
  <c r="Q179" i="5"/>
  <c r="R179" i="5" s="1"/>
  <c r="T179" i="5"/>
  <c r="E97" i="10"/>
  <c r="T595" i="5"/>
  <c r="Q595" i="5"/>
  <c r="R595" i="5" s="1"/>
  <c r="H441" i="5"/>
  <c r="I441" i="5" s="1"/>
  <c r="Q617" i="5"/>
  <c r="R617" i="5" s="1"/>
  <c r="T617" i="5"/>
  <c r="H386" i="5"/>
  <c r="I386" i="5" s="1"/>
  <c r="H431" i="5"/>
  <c r="I431" i="5" s="1"/>
  <c r="Q403" i="5"/>
  <c r="R403" i="5" s="1"/>
  <c r="T403" i="5"/>
  <c r="H66" i="5"/>
  <c r="I66" i="5" s="1"/>
  <c r="H247" i="5"/>
  <c r="I247" i="5" s="1"/>
  <c r="T127" i="5"/>
  <c r="Q127" i="5"/>
  <c r="R127" i="5" s="1"/>
  <c r="Q123" i="5"/>
  <c r="R123" i="5" s="1"/>
  <c r="T123" i="5"/>
  <c r="T140" i="5"/>
  <c r="Q140" i="5"/>
  <c r="P146" i="5"/>
  <c r="Q492" i="5"/>
  <c r="R492" i="5" s="1"/>
  <c r="H588" i="5"/>
  <c r="I588" i="5" s="1"/>
  <c r="Q411" i="5"/>
  <c r="R411" i="5" s="1"/>
  <c r="T411" i="5"/>
  <c r="Q235" i="5"/>
  <c r="R235" i="5" s="1"/>
  <c r="T235" i="5"/>
  <c r="Q399" i="5"/>
  <c r="R399" i="5" s="1"/>
  <c r="T399" i="5"/>
  <c r="E29" i="2"/>
  <c r="C8" i="10"/>
  <c r="L479" i="5"/>
  <c r="M479" i="5" s="1"/>
  <c r="G245" i="5"/>
  <c r="H234" i="5"/>
  <c r="Q120" i="5"/>
  <c r="R120" i="5" s="1"/>
  <c r="T120" i="5"/>
  <c r="M169" i="5"/>
  <c r="T412" i="5"/>
  <c r="Q412" i="5"/>
  <c r="R412" i="5" s="1"/>
  <c r="G625" i="5"/>
  <c r="H620" i="5"/>
  <c r="H489" i="5"/>
  <c r="I489" i="5" s="1"/>
  <c r="P447" i="5"/>
  <c r="T447" i="5" s="1"/>
  <c r="N455" i="5"/>
  <c r="P455" i="5" s="1"/>
  <c r="T251" i="5"/>
  <c r="Q251" i="5"/>
  <c r="R251" i="5" s="1"/>
  <c r="Q573" i="5"/>
  <c r="R573" i="5" s="1"/>
  <c r="T573" i="5"/>
  <c r="H438" i="5"/>
  <c r="G442" i="5"/>
  <c r="Q405" i="5"/>
  <c r="R405" i="5" s="1"/>
  <c r="T405" i="5"/>
  <c r="H128" i="5"/>
  <c r="I128" i="5" s="1"/>
  <c r="H147" i="5"/>
  <c r="G160" i="5"/>
  <c r="G177" i="5"/>
  <c r="H170" i="5"/>
  <c r="H178" i="5"/>
  <c r="G181" i="5"/>
  <c r="H162" i="5"/>
  <c r="I162" i="5" s="1"/>
  <c r="H100" i="5"/>
  <c r="G139" i="5"/>
  <c r="H484" i="5"/>
  <c r="I484" i="5" s="1"/>
  <c r="Q482" i="5"/>
  <c r="R482" i="5" s="1"/>
  <c r="H561" i="5"/>
  <c r="G600" i="5"/>
  <c r="Q535" i="5"/>
  <c r="R535" i="5" s="1"/>
  <c r="D625" i="5"/>
  <c r="Q152" i="5"/>
  <c r="R152" i="5" s="1"/>
  <c r="T152" i="5"/>
  <c r="H142" i="5"/>
  <c r="I142" i="5" s="1"/>
  <c r="D607" i="5"/>
  <c r="D285" i="8"/>
  <c r="J456" i="8"/>
  <c r="Q574" i="5"/>
  <c r="R574" i="5" s="1"/>
  <c r="T574" i="5"/>
  <c r="M626" i="5"/>
  <c r="M629" i="5" s="1"/>
  <c r="K629" i="5"/>
  <c r="T28" i="5"/>
  <c r="Q28" i="5"/>
  <c r="R28" i="5" s="1"/>
  <c r="Q144" i="5"/>
  <c r="R144" i="5" s="1"/>
  <c r="T144" i="5"/>
  <c r="Q575" i="5"/>
  <c r="R575" i="5" s="1"/>
  <c r="T575" i="5"/>
  <c r="Q501" i="5"/>
  <c r="R501" i="5" s="1"/>
  <c r="M382" i="5"/>
  <c r="M421" i="5" s="1"/>
  <c r="K421" i="5"/>
  <c r="H480" i="5"/>
  <c r="G515" i="5"/>
  <c r="H161" i="5"/>
  <c r="G169" i="5"/>
  <c r="H118" i="5"/>
  <c r="I118" i="5" s="1"/>
  <c r="T150" i="5"/>
  <c r="Q150" i="5"/>
  <c r="R150" i="5" s="1"/>
  <c r="Q562" i="5"/>
  <c r="R562" i="5" s="1"/>
  <c r="K285" i="8"/>
  <c r="D91" i="2" s="1"/>
  <c r="D456" i="8"/>
  <c r="L285" i="5"/>
  <c r="T234" i="5"/>
  <c r="Q234" i="5"/>
  <c r="P245" i="5"/>
  <c r="Q428" i="5"/>
  <c r="R428" i="5" s="1"/>
  <c r="D537" i="8"/>
  <c r="Q163" i="5"/>
  <c r="R163" i="5" s="1"/>
  <c r="T163" i="5"/>
  <c r="Q114" i="5"/>
  <c r="R114" i="5" s="1"/>
  <c r="T114" i="5"/>
  <c r="E25" i="10"/>
  <c r="T402" i="5"/>
  <c r="Q402" i="5"/>
  <c r="R402" i="5" s="1"/>
  <c r="T107" i="5"/>
  <c r="Q107" i="5"/>
  <c r="R107" i="5" s="1"/>
  <c r="Q568" i="5"/>
  <c r="R568" i="5" s="1"/>
  <c r="T568" i="5"/>
  <c r="H435" i="5"/>
  <c r="I435" i="5" s="1"/>
  <c r="L308" i="5"/>
  <c r="M308" i="5" s="1"/>
  <c r="Q121" i="5"/>
  <c r="R121" i="5" s="1"/>
  <c r="T121" i="5"/>
  <c r="T423" i="5"/>
  <c r="M528" i="5"/>
  <c r="K532" i="5"/>
  <c r="O319" i="5"/>
  <c r="O321" i="5" s="1"/>
  <c r="E143" i="2" s="1"/>
  <c r="E144" i="2" s="1"/>
  <c r="F319" i="5"/>
  <c r="F321" i="5" s="1"/>
  <c r="C143" i="2" s="1"/>
  <c r="C144" i="2" s="1"/>
  <c r="T400" i="5"/>
  <c r="Q400" i="5"/>
  <c r="R400" i="5" s="1"/>
  <c r="T248" i="5"/>
  <c r="Q248" i="5"/>
  <c r="R248" i="5" s="1"/>
  <c r="H630" i="8"/>
  <c r="H166" i="5"/>
  <c r="I166" i="5" s="1"/>
  <c r="B630" i="5"/>
  <c r="T454" i="5"/>
  <c r="Q454" i="5"/>
  <c r="R454" i="5" s="1"/>
  <c r="H391" i="5"/>
  <c r="I391" i="5" s="1"/>
  <c r="Q505" i="5"/>
  <c r="R505" i="5" s="1"/>
  <c r="P349" i="5"/>
  <c r="H595" i="5"/>
  <c r="I595" i="5" s="1"/>
  <c r="Q441" i="5"/>
  <c r="R441" i="5" s="1"/>
  <c r="T441" i="5"/>
  <c r="Q148" i="5"/>
  <c r="R148" i="5" s="1"/>
  <c r="T148" i="5"/>
  <c r="Q386" i="5"/>
  <c r="R386" i="5" s="1"/>
  <c r="T386" i="5"/>
  <c r="C456" i="5"/>
  <c r="Q165" i="5"/>
  <c r="R165" i="5" s="1"/>
  <c r="T165" i="5"/>
  <c r="H488" i="5"/>
  <c r="I488" i="5" s="1"/>
  <c r="T142" i="5"/>
  <c r="Q142" i="5"/>
  <c r="R142" i="5" s="1"/>
  <c r="E52" i="10"/>
  <c r="Q131" i="5"/>
  <c r="R131" i="5" s="1"/>
  <c r="T131" i="5"/>
  <c r="Q606" i="5"/>
  <c r="R606" i="5" s="1"/>
  <c r="H401" i="5"/>
  <c r="I401" i="5" s="1"/>
  <c r="Q176" i="5"/>
  <c r="R176" i="5" s="1"/>
  <c r="T176" i="5"/>
  <c r="E57" i="9"/>
  <c r="G279" i="5"/>
  <c r="H508" i="5"/>
  <c r="I508" i="5" s="1"/>
  <c r="Q33" i="5"/>
  <c r="R33" i="5" s="1"/>
  <c r="T33" i="5"/>
  <c r="G281" i="5"/>
  <c r="F103" i="9"/>
  <c r="F356" i="5"/>
  <c r="F358" i="5" s="1"/>
  <c r="C147" i="2" s="1"/>
  <c r="C148" i="2" s="1"/>
  <c r="E36" i="10"/>
  <c r="T452" i="5"/>
  <c r="Q452" i="5"/>
  <c r="R452" i="5" s="1"/>
  <c r="H490" i="5"/>
  <c r="I490" i="5" s="1"/>
  <c r="H599" i="5"/>
  <c r="I599" i="5" s="1"/>
  <c r="G345" i="5"/>
  <c r="E356" i="5"/>
  <c r="E358" i="5" s="1"/>
  <c r="B147" i="2" s="1"/>
  <c r="B148" i="2" s="1"/>
  <c r="H426" i="5"/>
  <c r="G437" i="5"/>
  <c r="H533" i="5"/>
  <c r="G536" i="5"/>
  <c r="Q156" i="5"/>
  <c r="R156" i="5" s="1"/>
  <c r="T156" i="5"/>
  <c r="H573" i="5"/>
  <c r="I573" i="5" s="1"/>
  <c r="P438" i="5"/>
  <c r="N442" i="5"/>
  <c r="H251" i="5"/>
  <c r="I251" i="5" s="1"/>
  <c r="Q432" i="5"/>
  <c r="R432" i="5" s="1"/>
  <c r="T432" i="5"/>
  <c r="C285" i="5"/>
  <c r="C672" i="5"/>
  <c r="E72" i="9"/>
  <c r="H496" i="5"/>
  <c r="I496" i="5" s="1"/>
  <c r="Q105" i="5"/>
  <c r="R105" i="5" s="1"/>
  <c r="T105" i="5"/>
  <c r="H180" i="5"/>
  <c r="I180" i="5" s="1"/>
  <c r="E65" i="9"/>
  <c r="H523" i="5"/>
  <c r="I523" i="5" s="1"/>
  <c r="H408" i="5"/>
  <c r="I408" i="5" s="1"/>
  <c r="M38" i="5"/>
  <c r="T125" i="5"/>
  <c r="Q125" i="5"/>
  <c r="R125" i="5" s="1"/>
  <c r="Q524" i="5"/>
  <c r="R524" i="5" s="1"/>
  <c r="G309" i="5"/>
  <c r="E319" i="5"/>
  <c r="E321" i="5" s="1"/>
  <c r="B143" i="2" s="1"/>
  <c r="B144" i="2" s="1"/>
  <c r="H432" i="5"/>
  <c r="I432" i="5" s="1"/>
  <c r="H563" i="5"/>
  <c r="I563" i="5" s="1"/>
  <c r="M620" i="5"/>
  <c r="M625" i="5" s="1"/>
  <c r="K625" i="5"/>
  <c r="D253" i="5"/>
  <c r="D442" i="5"/>
  <c r="E67" i="9"/>
  <c r="D319" i="8"/>
  <c r="D321" i="8" s="1"/>
  <c r="B254" i="8"/>
  <c r="B74" i="8" s="1"/>
  <c r="B75" i="8" s="1"/>
  <c r="B30" i="8" s="1"/>
  <c r="B39" i="8" s="1"/>
  <c r="Q410" i="5"/>
  <c r="R410" i="5" s="1"/>
  <c r="T410" i="5"/>
  <c r="B8" i="10"/>
  <c r="D29" i="2"/>
  <c r="P278" i="5"/>
  <c r="N285" i="5"/>
  <c r="D139" i="2" s="1"/>
  <c r="D140" i="2" s="1"/>
  <c r="H422" i="5"/>
  <c r="G425" i="5"/>
  <c r="T238" i="5"/>
  <c r="Q238" i="5"/>
  <c r="R238" i="5" s="1"/>
  <c r="T596" i="5"/>
  <c r="Q596" i="5"/>
  <c r="R596" i="5" s="1"/>
  <c r="T409" i="5"/>
  <c r="Q409" i="5"/>
  <c r="R409" i="5" s="1"/>
  <c r="Q175" i="5"/>
  <c r="R175" i="5" s="1"/>
  <c r="T175" i="5"/>
  <c r="K319" i="8"/>
  <c r="K321" i="8" s="1"/>
  <c r="D95" i="2" s="1"/>
  <c r="I456" i="8"/>
  <c r="K537" i="8"/>
  <c r="D107" i="2" s="1"/>
  <c r="T414" i="5"/>
  <c r="Q414" i="5"/>
  <c r="R414" i="5" s="1"/>
  <c r="G527" i="5"/>
  <c r="H516" i="5"/>
  <c r="D177" i="5"/>
  <c r="B170" i="10"/>
  <c r="B190" i="10" s="1"/>
  <c r="I217" i="10"/>
  <c r="I219" i="10" s="1"/>
  <c r="Q520" i="5"/>
  <c r="R520" i="5" s="1"/>
  <c r="I285" i="8"/>
  <c r="D356" i="8"/>
  <c r="D358" i="8" s="1"/>
  <c r="G655" i="5"/>
  <c r="H654" i="5"/>
  <c r="T577" i="5"/>
  <c r="Q577" i="5"/>
  <c r="R577" i="5" s="1"/>
  <c r="E50" i="9"/>
  <c r="Q157" i="5"/>
  <c r="R157" i="5" s="1"/>
  <c r="T157" i="5"/>
  <c r="Q499" i="5"/>
  <c r="R499" i="5" s="1"/>
  <c r="P357" i="5"/>
  <c r="Q113" i="5"/>
  <c r="R113" i="5" s="1"/>
  <c r="T113" i="5"/>
  <c r="C537" i="5"/>
  <c r="Q119" i="5"/>
  <c r="R119" i="5" s="1"/>
  <c r="T119" i="5"/>
  <c r="Q435" i="5"/>
  <c r="R435" i="5" s="1"/>
  <c r="T435" i="5"/>
  <c r="C62" i="5"/>
  <c r="D62" i="5" s="1"/>
  <c r="J285" i="8"/>
  <c r="H570" i="5"/>
  <c r="I570" i="5" s="1"/>
  <c r="D204" i="10"/>
  <c r="T132" i="5"/>
  <c r="Q132" i="5"/>
  <c r="R132" i="5" s="1"/>
  <c r="P314" i="5"/>
  <c r="N629" i="5"/>
  <c r="P626" i="5"/>
  <c r="E61" i="10"/>
  <c r="M313" i="5"/>
  <c r="F25" i="10"/>
  <c r="D278" i="5"/>
  <c r="B285" i="5"/>
  <c r="H427" i="5"/>
  <c r="I427" i="5" s="1"/>
  <c r="M561" i="5"/>
  <c r="M600" i="5" s="1"/>
  <c r="K600" i="5"/>
  <c r="H454" i="5"/>
  <c r="I454" i="5" s="1"/>
  <c r="E49" i="10"/>
  <c r="Q391" i="5"/>
  <c r="R391" i="5" s="1"/>
  <c r="T391" i="5"/>
  <c r="Q108" i="5"/>
  <c r="R108" i="5" s="1"/>
  <c r="T108" i="5"/>
  <c r="D181" i="5"/>
  <c r="H388" i="5"/>
  <c r="I388" i="5" s="1"/>
  <c r="H126" i="5"/>
  <c r="I126" i="5" s="1"/>
  <c r="Q68" i="5"/>
  <c r="R68" i="5" s="1"/>
  <c r="T68" i="5"/>
  <c r="D316" i="5"/>
  <c r="H658" i="5"/>
  <c r="I658" i="5" s="1"/>
  <c r="Q488" i="5"/>
  <c r="R488" i="5" s="1"/>
  <c r="H669" i="5"/>
  <c r="G671" i="5"/>
  <c r="T587" i="5"/>
  <c r="Q587" i="5"/>
  <c r="R587" i="5" s="1"/>
  <c r="Q143" i="5"/>
  <c r="R143" i="5" s="1"/>
  <c r="T143" i="5"/>
  <c r="T401" i="5"/>
  <c r="Q401" i="5"/>
  <c r="R401" i="5" s="1"/>
  <c r="M443" i="5"/>
  <c r="M446" i="5" s="1"/>
  <c r="K446" i="5"/>
  <c r="T130" i="5"/>
  <c r="Q130" i="5"/>
  <c r="R130" i="5" s="1"/>
  <c r="T240" i="5"/>
  <c r="Q240" i="5"/>
  <c r="R240" i="5" s="1"/>
  <c r="G314" i="5"/>
  <c r="Q404" i="5"/>
  <c r="R404" i="5" s="1"/>
  <c r="T404" i="5"/>
  <c r="L653" i="5"/>
  <c r="M653" i="5" s="1"/>
  <c r="H127" i="5"/>
  <c r="I127" i="5" s="1"/>
  <c r="H616" i="5"/>
  <c r="I616" i="5" s="1"/>
  <c r="M146" i="5"/>
  <c r="M177" i="5"/>
  <c r="H434" i="5"/>
  <c r="I434" i="5" s="1"/>
  <c r="C630" i="5"/>
  <c r="F28" i="9"/>
  <c r="H419" i="5"/>
  <c r="I419" i="5" s="1"/>
  <c r="H584" i="5"/>
  <c r="I584" i="5" s="1"/>
  <c r="H494" i="5"/>
  <c r="I494" i="5" s="1"/>
  <c r="Q490" i="5"/>
  <c r="R490" i="5" s="1"/>
  <c r="Q599" i="5"/>
  <c r="R599" i="5" s="1"/>
  <c r="T599" i="5"/>
  <c r="Q590" i="5"/>
  <c r="R590" i="5" s="1"/>
  <c r="T590" i="5"/>
  <c r="E28" i="9"/>
  <c r="T174" i="5"/>
  <c r="Q174" i="5"/>
  <c r="R174" i="5" s="1"/>
  <c r="T180" i="5"/>
  <c r="Q180" i="5"/>
  <c r="R180" i="5" s="1"/>
  <c r="M317" i="5"/>
  <c r="C319" i="5"/>
  <c r="C321" i="5" s="1"/>
  <c r="H390" i="5"/>
  <c r="I390" i="5" s="1"/>
  <c r="Q112" i="5"/>
  <c r="R112" i="5" s="1"/>
  <c r="T112" i="5"/>
  <c r="H443" i="5"/>
  <c r="G446" i="5"/>
  <c r="Q496" i="5"/>
  <c r="R496" i="5" s="1"/>
  <c r="H140" i="5"/>
  <c r="G146" i="5"/>
  <c r="Q523" i="5"/>
  <c r="R523" i="5" s="1"/>
  <c r="T408" i="5"/>
  <c r="Q408" i="5"/>
  <c r="R408" i="5" s="1"/>
  <c r="F456" i="5"/>
  <c r="C151" i="2" s="1"/>
  <c r="C152" i="2" s="1"/>
  <c r="H498" i="5"/>
  <c r="I498" i="5" s="1"/>
  <c r="H524" i="5"/>
  <c r="I524" i="5" s="1"/>
  <c r="H129" i="5"/>
  <c r="I129" i="5" s="1"/>
  <c r="D425" i="5"/>
  <c r="T613" i="5"/>
  <c r="Q613" i="5"/>
  <c r="R613" i="5" s="1"/>
  <c r="M438" i="5"/>
  <c r="M442" i="5" s="1"/>
  <c r="K442" i="5"/>
  <c r="H101" i="5"/>
  <c r="I101" i="5" s="1"/>
  <c r="Q413" i="5"/>
  <c r="R413" i="5" s="1"/>
  <c r="T413" i="5"/>
  <c r="Q106" i="5"/>
  <c r="R106" i="5" s="1"/>
  <c r="T106" i="5"/>
  <c r="Q159" i="5"/>
  <c r="R159" i="5" s="1"/>
  <c r="T159" i="5"/>
  <c r="D515" i="5"/>
  <c r="T622" i="5"/>
  <c r="K356" i="8"/>
  <c r="K358" i="8" s="1"/>
  <c r="D99" i="2" s="1"/>
  <c r="T418" i="5"/>
  <c r="Q418" i="5"/>
  <c r="R418" i="5" s="1"/>
  <c r="Q164" i="5"/>
  <c r="R164" i="5" s="1"/>
  <c r="T164" i="5"/>
  <c r="Q145" i="5"/>
  <c r="R145" i="5" s="1"/>
  <c r="T145" i="5"/>
  <c r="Q618" i="5"/>
  <c r="R618" i="5" s="1"/>
  <c r="T618" i="5"/>
  <c r="P516" i="5"/>
  <c r="N527" i="5"/>
  <c r="Q611" i="5"/>
  <c r="R611" i="5" s="1"/>
  <c r="T611" i="5"/>
  <c r="H621" i="5"/>
  <c r="I621" i="5" s="1"/>
  <c r="Q71" i="5"/>
  <c r="R71" i="5" s="1"/>
  <c r="T71" i="5"/>
  <c r="Q397" i="5"/>
  <c r="R397" i="5" s="1"/>
  <c r="T397" i="5"/>
  <c r="Q484" i="5"/>
  <c r="R484" i="5" s="1"/>
  <c r="I319" i="8"/>
  <c r="I321" i="8" s="1"/>
  <c r="E672" i="5"/>
  <c r="B163" i="2" s="1"/>
  <c r="B164" i="2" s="1"/>
  <c r="Q249" i="5"/>
  <c r="R249" i="5" s="1"/>
  <c r="T249" i="5"/>
  <c r="Q109" i="5"/>
  <c r="R109" i="5" s="1"/>
  <c r="T109" i="5"/>
  <c r="G356" i="8"/>
  <c r="G358" i="8" s="1"/>
  <c r="Q570" i="5"/>
  <c r="R570" i="5" s="1"/>
  <c r="T570" i="5"/>
  <c r="F41" i="10"/>
  <c r="Q423" i="5"/>
  <c r="R423" i="5" s="1"/>
  <c r="T389" i="5"/>
  <c r="Q389" i="5"/>
  <c r="R389" i="5" s="1"/>
  <c r="T136" i="5"/>
  <c r="Q136" i="5"/>
  <c r="R136" i="5" s="1"/>
  <c r="D532" i="5"/>
  <c r="O285" i="5"/>
  <c r="E139" i="2" s="1"/>
  <c r="E140" i="2" s="1"/>
  <c r="C29" i="2"/>
  <c r="C8" i="9"/>
  <c r="D139" i="5"/>
  <c r="T427" i="5"/>
  <c r="Q427" i="5"/>
  <c r="R427" i="5" s="1"/>
  <c r="E285" i="8"/>
  <c r="G38" i="5"/>
  <c r="H32" i="5"/>
  <c r="T436" i="5"/>
  <c r="H436" i="5"/>
  <c r="I436" i="5" s="1"/>
  <c r="M345" i="5"/>
  <c r="K356" i="5"/>
  <c r="K358" i="5" s="1"/>
  <c r="T103" i="5"/>
  <c r="Q103" i="5"/>
  <c r="R103" i="5" s="1"/>
  <c r="D600" i="5"/>
  <c r="Q124" i="5"/>
  <c r="R124" i="5" s="1"/>
  <c r="T124" i="5"/>
  <c r="P313" i="5"/>
  <c r="Q247" i="5"/>
  <c r="R247" i="5" s="1"/>
  <c r="T247" i="5"/>
  <c r="T388" i="5"/>
  <c r="Q388" i="5"/>
  <c r="R388" i="5" s="1"/>
  <c r="B51" i="2"/>
  <c r="Q236" i="5"/>
  <c r="R236" i="5" s="1"/>
  <c r="T236" i="5"/>
  <c r="M279" i="5"/>
  <c r="T429" i="5"/>
  <c r="D281" i="5"/>
  <c r="C277" i="5"/>
  <c r="D277" i="5" s="1"/>
  <c r="T567" i="5"/>
  <c r="H567" i="5"/>
  <c r="I567" i="5" s="1"/>
  <c r="D160" i="5"/>
  <c r="H439" i="5"/>
  <c r="I439" i="5" s="1"/>
  <c r="E80" i="10"/>
  <c r="Q122" i="5"/>
  <c r="R122" i="5" s="1"/>
  <c r="T122" i="5"/>
  <c r="H502" i="5"/>
  <c r="I502" i="5" s="1"/>
  <c r="E68" i="10"/>
  <c r="H583" i="5"/>
  <c r="I583" i="5" s="1"/>
  <c r="H608" i="5"/>
  <c r="G619" i="5"/>
  <c r="H497" i="5"/>
  <c r="I497" i="5" s="1"/>
  <c r="H110" i="5"/>
  <c r="I110" i="5" s="1"/>
  <c r="F356" i="8"/>
  <c r="F358" i="8" s="1"/>
  <c r="B99" i="2" s="1"/>
  <c r="Q569" i="5"/>
  <c r="R569" i="5" s="1"/>
  <c r="T569" i="5"/>
  <c r="G316" i="5"/>
  <c r="E41" i="10"/>
  <c r="T616" i="5"/>
  <c r="Q616" i="5"/>
  <c r="R616" i="5" s="1"/>
  <c r="H138" i="5"/>
  <c r="I138" i="5" s="1"/>
  <c r="F672" i="5"/>
  <c r="C163" i="2" s="1"/>
  <c r="C164" i="2" s="1"/>
  <c r="T434" i="5"/>
  <c r="Q434" i="5"/>
  <c r="R434" i="5" s="1"/>
  <c r="E33" i="10"/>
  <c r="Q419" i="5"/>
  <c r="R419" i="5" s="1"/>
  <c r="T419" i="5"/>
  <c r="T584" i="5"/>
  <c r="Q584" i="5"/>
  <c r="R584" i="5" s="1"/>
  <c r="Q494" i="5"/>
  <c r="R494" i="5" s="1"/>
  <c r="H151" i="5"/>
  <c r="I151" i="5" s="1"/>
  <c r="D169" i="5"/>
  <c r="H424" i="5"/>
  <c r="I424" i="5" s="1"/>
  <c r="H590" i="5"/>
  <c r="I590" i="5" s="1"/>
  <c r="G312" i="5"/>
  <c r="Q440" i="5"/>
  <c r="R440" i="5" s="1"/>
  <c r="N536" i="5"/>
  <c r="P533" i="5"/>
  <c r="F56" i="10"/>
  <c r="T167" i="5"/>
  <c r="Q167" i="5"/>
  <c r="R167" i="5" s="1"/>
  <c r="P279" i="5"/>
  <c r="E41" i="9"/>
  <c r="M282" i="5"/>
  <c r="F47" i="10"/>
  <c r="E103" i="10"/>
  <c r="Q433" i="5"/>
  <c r="R433" i="5" s="1"/>
  <c r="T433" i="5"/>
  <c r="C308" i="5"/>
  <c r="D308" i="5" s="1"/>
  <c r="F62" i="9"/>
  <c r="H602" i="5"/>
  <c r="I602" i="5" s="1"/>
  <c r="M309" i="5"/>
  <c r="K319" i="5"/>
  <c r="K321" i="5" s="1"/>
  <c r="M516" i="5"/>
  <c r="M527" i="5" s="1"/>
  <c r="K527" i="5"/>
  <c r="K425" i="5"/>
  <c r="M422" i="5"/>
  <c r="M425" i="5" s="1"/>
  <c r="H613" i="5"/>
  <c r="I613" i="5" s="1"/>
  <c r="T168" i="5"/>
  <c r="Q168" i="5"/>
  <c r="R168" i="5" s="1"/>
  <c r="D320" i="5"/>
  <c r="D245" i="5"/>
  <c r="Q398" i="5"/>
  <c r="R398" i="5" s="1"/>
  <c r="H521" i="5"/>
  <c r="I521" i="5" s="1"/>
  <c r="G310" i="5"/>
  <c r="H310" i="5" s="1"/>
  <c r="I310" i="5" s="1"/>
  <c r="H530" i="5"/>
  <c r="I530" i="5" s="1"/>
  <c r="B285" i="8"/>
  <c r="D254" i="8"/>
  <c r="D74" i="8" s="1"/>
  <c r="D75" i="8" s="1"/>
  <c r="D30" i="8" s="1"/>
  <c r="D39" i="8" s="1"/>
  <c r="H517" i="5"/>
  <c r="I517" i="5" s="1"/>
  <c r="T615" i="5"/>
  <c r="Q615" i="5"/>
  <c r="R615" i="5" s="1"/>
  <c r="T158" i="5"/>
  <c r="Q158" i="5"/>
  <c r="R158" i="5" s="1"/>
  <c r="E70" i="10"/>
  <c r="T621" i="5"/>
  <c r="Q621" i="5"/>
  <c r="R621" i="5" s="1"/>
  <c r="L319" i="5"/>
  <c r="L321" i="5" s="1"/>
  <c r="C653" i="5"/>
  <c r="D653" i="5" s="1"/>
  <c r="H285" i="8"/>
  <c r="Q597" i="5"/>
  <c r="R597" i="5" s="1"/>
  <c r="T597" i="5"/>
  <c r="Q72" i="5"/>
  <c r="R72" i="5" s="1"/>
  <c r="T72" i="5"/>
  <c r="D314" i="5"/>
  <c r="T610" i="5"/>
  <c r="F35" i="9"/>
  <c r="C3" i="9"/>
  <c r="J3" i="9" s="1"/>
  <c r="C3" i="10"/>
  <c r="J3" i="10" s="1"/>
  <c r="N24" i="10" s="1"/>
  <c r="H593" i="5"/>
  <c r="I593" i="5" s="1"/>
  <c r="T32" i="5"/>
  <c r="Q32" i="5"/>
  <c r="P38" i="5"/>
  <c r="M253" i="5"/>
  <c r="P318" i="5"/>
  <c r="H154" i="5"/>
  <c r="I154" i="5" s="1"/>
  <c r="Q147" i="5"/>
  <c r="T147" i="5"/>
  <c r="P160" i="5"/>
  <c r="H246" i="5"/>
  <c r="G253" i="5"/>
  <c r="D309" i="5"/>
  <c r="B319" i="5"/>
  <c r="B321" i="5" s="1"/>
  <c r="Q563" i="5"/>
  <c r="R563" i="5" s="1"/>
  <c r="T563" i="5"/>
  <c r="P345" i="5"/>
  <c r="N356" i="5"/>
  <c r="N358" i="5" s="1"/>
  <c r="D147" i="2" s="1"/>
  <c r="D148" i="2" s="1"/>
  <c r="H429" i="5"/>
  <c r="I429" i="5" s="1"/>
  <c r="Q498" i="5"/>
  <c r="R498" i="5" s="1"/>
  <c r="B456" i="5"/>
  <c r="G254" i="8"/>
  <c r="G74" i="8" s="1"/>
  <c r="G75" i="8" s="1"/>
  <c r="G30" i="8" s="1"/>
  <c r="G39" i="8" s="1"/>
  <c r="H106" i="5"/>
  <c r="I106" i="5" s="1"/>
  <c r="T444" i="5"/>
  <c r="Q444" i="5"/>
  <c r="R444" i="5" s="1"/>
  <c r="H179" i="5"/>
  <c r="I179" i="5" s="1"/>
  <c r="Q154" i="5"/>
  <c r="R154" i="5" s="1"/>
  <c r="T154" i="5"/>
  <c r="E47" i="10"/>
  <c r="Q502" i="5"/>
  <c r="R502" i="5" s="1"/>
  <c r="Q583" i="5"/>
  <c r="R583" i="5" s="1"/>
  <c r="T583" i="5"/>
  <c r="B8" i="9"/>
  <c r="B29" i="2"/>
  <c r="G282" i="5"/>
  <c r="Q585" i="5"/>
  <c r="R585" i="5" s="1"/>
  <c r="T585" i="5"/>
  <c r="D455" i="5"/>
  <c r="N619" i="5"/>
  <c r="P608" i="5"/>
  <c r="Q497" i="5"/>
  <c r="R497" i="5" s="1"/>
  <c r="H122" i="5"/>
  <c r="I122" i="5" s="1"/>
  <c r="E35" i="9"/>
  <c r="Q508" i="5"/>
  <c r="R508" i="5" s="1"/>
  <c r="P351" i="5"/>
  <c r="G355" i="5"/>
  <c r="P312" i="5"/>
  <c r="E56" i="9"/>
  <c r="H37" i="5"/>
  <c r="I37" i="5" s="1"/>
  <c r="C170" i="10"/>
  <c r="C190" i="10" s="1"/>
  <c r="C192" i="10" s="1"/>
  <c r="C194" i="10" s="1"/>
  <c r="J217" i="10"/>
  <c r="J219" i="10" s="1"/>
  <c r="E77" i="9"/>
  <c r="Q565" i="5"/>
  <c r="R565" i="5" s="1"/>
  <c r="T565" i="5"/>
  <c r="H103" i="5"/>
  <c r="I103" i="5" s="1"/>
  <c r="H173" i="5"/>
  <c r="I173" i="5" s="1"/>
  <c r="E456" i="5"/>
  <c r="B151" i="2" s="1"/>
  <c r="B152" i="2" s="1"/>
  <c r="H420" i="5"/>
  <c r="I420" i="5" s="1"/>
  <c r="H116" i="5"/>
  <c r="I116" i="5" s="1"/>
  <c r="T129" i="5"/>
  <c r="Q129" i="5"/>
  <c r="R129" i="5" s="1"/>
  <c r="N446" i="5"/>
  <c r="P443" i="5"/>
  <c r="Q178" i="5"/>
  <c r="P181" i="5"/>
  <c r="T178" i="5"/>
  <c r="H433" i="5"/>
  <c r="I433" i="5" s="1"/>
  <c r="H483" i="5"/>
  <c r="I483" i="5" s="1"/>
  <c r="P528" i="5"/>
  <c r="P532" i="5" s="1"/>
  <c r="O532" i="5"/>
  <c r="O537" i="5" s="1"/>
  <c r="E155" i="2" s="1"/>
  <c r="H534" i="5"/>
  <c r="I534" i="5" s="1"/>
  <c r="F27" i="9"/>
  <c r="H102" i="5"/>
  <c r="I102" i="5" s="1"/>
  <c r="M139" i="5"/>
  <c r="D527" i="5"/>
  <c r="H165" i="5"/>
  <c r="I165" i="5" s="1"/>
  <c r="E93" i="10"/>
  <c r="T128" i="5"/>
  <c r="Q128" i="5"/>
  <c r="R128" i="5" s="1"/>
  <c r="Q530" i="5"/>
  <c r="R530" i="5" s="1"/>
  <c r="H482" i="5"/>
  <c r="I482" i="5" s="1"/>
  <c r="T34" i="5"/>
  <c r="Q34" i="5"/>
  <c r="R34" i="5" s="1"/>
  <c r="T588" i="5"/>
  <c r="Q588" i="5"/>
  <c r="R588" i="5" s="1"/>
  <c r="Q65" i="5"/>
  <c r="R65" i="5" s="1"/>
  <c r="T65" i="5"/>
  <c r="G184" i="10"/>
  <c r="G188" i="10" s="1"/>
  <c r="H413" i="5"/>
  <c r="I413" i="5" s="1"/>
  <c r="H254" i="8"/>
  <c r="H74" i="8" s="1"/>
  <c r="H75" i="8" s="1"/>
  <c r="H30" i="8" s="1"/>
  <c r="H39" i="8" s="1"/>
  <c r="H76" i="8" s="1"/>
  <c r="K630" i="8"/>
  <c r="D111" i="2" s="1"/>
  <c r="H528" i="5"/>
  <c r="G532" i="5"/>
  <c r="T155" i="5"/>
  <c r="Q155" i="5"/>
  <c r="R155" i="5" s="1"/>
  <c r="H69" i="5"/>
  <c r="G73" i="5"/>
  <c r="T612" i="5"/>
  <c r="Q612" i="5"/>
  <c r="R612" i="5" s="1"/>
  <c r="T250" i="5"/>
  <c r="H250" i="5"/>
  <c r="I250" i="5" s="1"/>
  <c r="Q593" i="5"/>
  <c r="R593" i="5" s="1"/>
  <c r="T593" i="5"/>
  <c r="T29" i="5"/>
  <c r="H29" i="5"/>
  <c r="I29" i="5" s="1"/>
  <c r="H591" i="5"/>
  <c r="I591" i="5" s="1"/>
  <c r="T153" i="5"/>
  <c r="Q153" i="5"/>
  <c r="R153" i="5" s="1"/>
  <c r="Q161" i="5"/>
  <c r="P169" i="5"/>
  <c r="T161" i="5"/>
  <c r="Q111" i="5"/>
  <c r="R111" i="5" s="1"/>
  <c r="T111" i="5"/>
  <c r="F28" i="10"/>
  <c r="C24" i="9"/>
  <c r="C24" i="10"/>
  <c r="E319" i="8"/>
  <c r="E321" i="8" s="1"/>
  <c r="D279" i="5"/>
  <c r="H119" i="5"/>
  <c r="I119" i="5" s="1"/>
  <c r="P73" i="5"/>
  <c r="T69" i="5"/>
  <c r="Q69" i="5"/>
  <c r="Q406" i="5"/>
  <c r="R406" i="5" s="1"/>
  <c r="T406" i="5"/>
  <c r="Q576" i="5"/>
  <c r="R576" i="5" s="1"/>
  <c r="T576" i="5"/>
  <c r="D421" i="5"/>
  <c r="H571" i="5"/>
  <c r="I571" i="5" s="1"/>
  <c r="G285" i="8"/>
  <c r="E537" i="5"/>
  <c r="B155" i="2" s="1"/>
  <c r="B156" i="2" s="1"/>
  <c r="F630" i="5"/>
  <c r="C159" i="2" s="1"/>
  <c r="C160" i="2" s="1"/>
  <c r="T173" i="5"/>
  <c r="Q173" i="5"/>
  <c r="R173" i="5" s="1"/>
  <c r="Q166" i="5"/>
  <c r="R166" i="5" s="1"/>
  <c r="T166" i="5"/>
  <c r="Q135" i="5"/>
  <c r="R135" i="5" s="1"/>
  <c r="T135" i="5"/>
  <c r="G67" i="5"/>
  <c r="H63" i="5"/>
  <c r="I63" i="5" s="1"/>
  <c r="H131" i="5"/>
  <c r="I131" i="5" s="1"/>
  <c r="M447" i="5"/>
  <c r="K455" i="5"/>
  <c r="M455" i="5" s="1"/>
  <c r="G280" i="5"/>
  <c r="E104" i="9"/>
  <c r="H596" i="5"/>
  <c r="I596" i="5" s="1"/>
  <c r="P283" i="5"/>
  <c r="T116" i="5"/>
  <c r="Q116" i="5"/>
  <c r="R116" i="5" s="1"/>
  <c r="H409" i="5"/>
  <c r="I409" i="5" s="1"/>
  <c r="E63" i="9"/>
  <c r="O356" i="5"/>
  <c r="O358" i="5" s="1"/>
  <c r="E147" i="2" s="1"/>
  <c r="E148" i="2" s="1"/>
  <c r="F42" i="10"/>
  <c r="M480" i="5"/>
  <c r="M515" i="5" s="1"/>
  <c r="K515" i="5"/>
  <c r="H572" i="5"/>
  <c r="I572" i="5" s="1"/>
  <c r="H124" i="5"/>
  <c r="I124" i="5" s="1"/>
  <c r="H70" i="5"/>
  <c r="I70" i="5" s="1"/>
  <c r="D536" i="5"/>
  <c r="G283" i="5"/>
  <c r="G421" i="5"/>
  <c r="H382" i="5"/>
  <c r="Q118" i="5"/>
  <c r="R118" i="5" s="1"/>
  <c r="T118" i="5"/>
  <c r="T420" i="5"/>
  <c r="Q420" i="5"/>
  <c r="R420" i="5" s="1"/>
  <c r="E93" i="9"/>
  <c r="Q110" i="5"/>
  <c r="R110" i="5" s="1"/>
  <c r="T110" i="5"/>
  <c r="H453" i="5"/>
  <c r="I453" i="5" s="1"/>
  <c r="T149" i="5"/>
  <c r="Q149" i="5"/>
  <c r="R149" i="5" s="1"/>
  <c r="E54" i="10"/>
  <c r="Q151" i="5"/>
  <c r="R151" i="5" s="1"/>
  <c r="T151" i="5"/>
  <c r="B672" i="5"/>
  <c r="E26" i="10"/>
  <c r="H670" i="5"/>
  <c r="I670" i="5" s="1"/>
  <c r="H241" i="5"/>
  <c r="I241" i="5" s="1"/>
  <c r="Q445" i="5"/>
  <c r="R445" i="5" s="1"/>
  <c r="Q483" i="5"/>
  <c r="R483" i="5" s="1"/>
  <c r="H562" i="5"/>
  <c r="I562" i="5" s="1"/>
  <c r="M316" i="5"/>
  <c r="H598" i="5"/>
  <c r="I598" i="5" s="1"/>
  <c r="G311" i="5"/>
  <c r="M357" i="5"/>
  <c r="G357" i="5"/>
  <c r="F29" i="10"/>
  <c r="E76" i="9"/>
  <c r="D347" i="5"/>
  <c r="H603" i="5"/>
  <c r="I603" i="5" s="1"/>
  <c r="D671" i="5"/>
  <c r="H578" i="5"/>
  <c r="I578" i="5" s="1"/>
  <c r="H398" i="5"/>
  <c r="I398" i="5" s="1"/>
  <c r="P354" i="5"/>
  <c r="H65" i="5"/>
  <c r="I65" i="5" s="1"/>
  <c r="P186" i="1"/>
  <c r="Q186" i="1" s="1"/>
  <c r="R186" i="1" s="1"/>
  <c r="G204" i="1"/>
  <c r="H204" i="1" s="1"/>
  <c r="I204" i="1" s="1"/>
  <c r="F203" i="5"/>
  <c r="C128" i="9" s="1"/>
  <c r="O203" i="5"/>
  <c r="C128" i="10" s="1"/>
  <c r="F203" i="8"/>
  <c r="F203" i="1"/>
  <c r="G203" i="1" s="1"/>
  <c r="H203" i="1" s="1"/>
  <c r="I203" i="1" s="1"/>
  <c r="O510" i="4"/>
  <c r="O203" i="1"/>
  <c r="P203" i="1" s="1"/>
  <c r="Q203" i="1" s="1"/>
  <c r="R203" i="1" s="1"/>
  <c r="P182" i="5"/>
  <c r="Q182" i="5" s="1"/>
  <c r="R182" i="5" s="1"/>
  <c r="F193" i="5"/>
  <c r="C118" i="9" s="1"/>
  <c r="O193" i="5"/>
  <c r="C118" i="10" s="1"/>
  <c r="J214" i="8"/>
  <c r="C214" i="5"/>
  <c r="D214" i="5" s="1"/>
  <c r="O193" i="1"/>
  <c r="P193" i="1" s="1"/>
  <c r="Q193" i="1" s="1"/>
  <c r="R193" i="1" s="1"/>
  <c r="C214" i="1"/>
  <c r="D214" i="1" s="1"/>
  <c r="AP870" i="3"/>
  <c r="E214" i="5" s="1"/>
  <c r="B139" i="9" s="1"/>
  <c r="F193" i="1"/>
  <c r="G193" i="1" s="1"/>
  <c r="H193" i="1" s="1"/>
  <c r="I193" i="1" s="1"/>
  <c r="L214" i="5"/>
  <c r="M214" i="5" s="1"/>
  <c r="E214" i="8"/>
  <c r="G182" i="5"/>
  <c r="H182" i="5" s="1"/>
  <c r="I182" i="5" s="1"/>
  <c r="C227" i="5"/>
  <c r="D227" i="5" s="1"/>
  <c r="F202" i="1"/>
  <c r="G202" i="1" s="1"/>
  <c r="H202" i="1" s="1"/>
  <c r="I202" i="1" s="1"/>
  <c r="O202" i="1"/>
  <c r="P202" i="1" s="1"/>
  <c r="Q202" i="1" s="1"/>
  <c r="R202" i="1" s="1"/>
  <c r="L196" i="1"/>
  <c r="M196" i="1" s="1"/>
  <c r="T319" i="1"/>
  <c r="L227" i="5"/>
  <c r="M227" i="5" s="1"/>
  <c r="AP883" i="3"/>
  <c r="N227" i="5" s="1"/>
  <c r="E227" i="8"/>
  <c r="C227" i="1"/>
  <c r="D227" i="1" s="1"/>
  <c r="L227" i="1"/>
  <c r="M227" i="1" s="1"/>
  <c r="C196" i="1"/>
  <c r="D196" i="1" s="1"/>
  <c r="O202" i="5"/>
  <c r="C127" i="10" s="1"/>
  <c r="C196" i="5"/>
  <c r="D196" i="5" s="1"/>
  <c r="L196" i="5"/>
  <c r="M196" i="5" s="1"/>
  <c r="K202" i="8"/>
  <c r="AP852" i="3"/>
  <c r="N196" i="5" s="1"/>
  <c r="J196" i="8"/>
  <c r="P537" i="1"/>
  <c r="T182" i="1"/>
  <c r="M214" i="1"/>
  <c r="H319" i="1"/>
  <c r="P510" i="4"/>
  <c r="E215" i="8"/>
  <c r="S183" i="4"/>
  <c r="S184" i="4" s="1"/>
  <c r="F198" i="1"/>
  <c r="G198" i="1" s="1"/>
  <c r="H198" i="1" s="1"/>
  <c r="I198" i="1" s="1"/>
  <c r="O198" i="5"/>
  <c r="F198" i="5"/>
  <c r="C123" i="9" s="1"/>
  <c r="O198" i="1"/>
  <c r="P198" i="1" s="1"/>
  <c r="N185" i="5"/>
  <c r="B110" i="10" s="1"/>
  <c r="N185" i="1"/>
  <c r="J91" i="4"/>
  <c r="O91" i="4" s="1"/>
  <c r="V91" i="4" s="1"/>
  <c r="X91" i="4" s="1"/>
  <c r="AQ841" i="3"/>
  <c r="E185" i="1"/>
  <c r="E185" i="5"/>
  <c r="B110" i="9" s="1"/>
  <c r="B123" i="9"/>
  <c r="J216" i="8"/>
  <c r="L216" i="5"/>
  <c r="M216" i="5" s="1"/>
  <c r="AP872" i="3"/>
  <c r="E216" i="8"/>
  <c r="C216" i="5"/>
  <c r="D216" i="5" s="1"/>
  <c r="C216" i="1"/>
  <c r="D216" i="1" s="1"/>
  <c r="L216" i="1"/>
  <c r="M216" i="1" s="1"/>
  <c r="E213" i="1"/>
  <c r="J103" i="4"/>
  <c r="O103" i="4" s="1"/>
  <c r="V103" i="4" s="1"/>
  <c r="X103" i="4" s="1"/>
  <c r="E213" i="5"/>
  <c r="B138" i="9" s="1"/>
  <c r="N213" i="1"/>
  <c r="N213" i="5"/>
  <c r="B138" i="10" s="1"/>
  <c r="AQ869" i="3"/>
  <c r="K198" i="8"/>
  <c r="F198" i="8"/>
  <c r="J212" i="8"/>
  <c r="L212" i="5"/>
  <c r="M212" i="5" s="1"/>
  <c r="C212" i="5"/>
  <c r="D212" i="5" s="1"/>
  <c r="L212" i="1"/>
  <c r="M212" i="1" s="1"/>
  <c r="AP868" i="3"/>
  <c r="E212" i="8"/>
  <c r="C212" i="1"/>
  <c r="D212" i="1" s="1"/>
  <c r="N206" i="1"/>
  <c r="N206" i="5"/>
  <c r="AQ862" i="3"/>
  <c r="K206" i="8" s="1"/>
  <c r="J101" i="4"/>
  <c r="O101" i="4" s="1"/>
  <c r="V101" i="4" s="1"/>
  <c r="X101" i="4" s="1"/>
  <c r="E206" i="5"/>
  <c r="E206" i="1"/>
  <c r="AP885" i="3"/>
  <c r="L229" i="1"/>
  <c r="M229" i="1" s="1"/>
  <c r="J229" i="8"/>
  <c r="L229" i="5"/>
  <c r="M229" i="5" s="1"/>
  <c r="C229" i="1"/>
  <c r="D229" i="1" s="1"/>
  <c r="E229" i="8"/>
  <c r="C229" i="5"/>
  <c r="D229" i="5" s="1"/>
  <c r="E207" i="8"/>
  <c r="C207" i="1"/>
  <c r="D207" i="1" s="1"/>
  <c r="L207" i="5"/>
  <c r="M207" i="5" s="1"/>
  <c r="AP863" i="3"/>
  <c r="C207" i="5"/>
  <c r="D207" i="5" s="1"/>
  <c r="L207" i="1"/>
  <c r="M207" i="1" s="1"/>
  <c r="C215" i="5"/>
  <c r="D215" i="5" s="1"/>
  <c r="L215" i="1"/>
  <c r="M215" i="1" s="1"/>
  <c r="L215" i="5"/>
  <c r="M215" i="5" s="1"/>
  <c r="C215" i="1"/>
  <c r="D215" i="1" s="1"/>
  <c r="AP871" i="3"/>
  <c r="J222" i="8"/>
  <c r="E205" i="8"/>
  <c r="E211" i="8"/>
  <c r="K232" i="1"/>
  <c r="K254" i="1" s="1"/>
  <c r="K74" i="1" s="1"/>
  <c r="K75" i="1" s="1"/>
  <c r="K30" i="1" s="1"/>
  <c r="K39" i="1" s="1"/>
  <c r="K232" i="5"/>
  <c r="K254" i="5" s="1"/>
  <c r="K74" i="5" s="1"/>
  <c r="K75" i="5" s="1"/>
  <c r="K30" i="5" s="1"/>
  <c r="K39" i="5" s="1"/>
  <c r="K76" i="5" s="1"/>
  <c r="C205" i="1"/>
  <c r="D205" i="1" s="1"/>
  <c r="L205" i="1"/>
  <c r="M205" i="1" s="1"/>
  <c r="L205" i="5"/>
  <c r="M205" i="5" s="1"/>
  <c r="C205" i="5"/>
  <c r="D205" i="5" s="1"/>
  <c r="AP861" i="3"/>
  <c r="L222" i="1"/>
  <c r="M222" i="1" s="1"/>
  <c r="C222" i="5"/>
  <c r="D222" i="5" s="1"/>
  <c r="L222" i="5"/>
  <c r="M222" i="5" s="1"/>
  <c r="C222" i="1"/>
  <c r="D222" i="1" s="1"/>
  <c r="AP878" i="3"/>
  <c r="E194" i="8"/>
  <c r="E192" i="8"/>
  <c r="AP867" i="3"/>
  <c r="C211" i="5"/>
  <c r="D211" i="5" s="1"/>
  <c r="C211" i="1"/>
  <c r="D211" i="1" s="1"/>
  <c r="L211" i="1"/>
  <c r="M211" i="1" s="1"/>
  <c r="L211" i="5"/>
  <c r="M211" i="5" s="1"/>
  <c r="J183" i="8"/>
  <c r="B232" i="1"/>
  <c r="B254" i="1" s="1"/>
  <c r="B74" i="1" s="1"/>
  <c r="B75" i="1" s="1"/>
  <c r="B30" i="1" s="1"/>
  <c r="B39" i="1" s="1"/>
  <c r="J230" i="8"/>
  <c r="B232" i="5"/>
  <c r="B254" i="5" s="1"/>
  <c r="B74" i="5" s="1"/>
  <c r="B75" i="5" s="1"/>
  <c r="N189" i="1"/>
  <c r="E189" i="5"/>
  <c r="E189" i="1"/>
  <c r="AQ845" i="3"/>
  <c r="K189" i="8" s="1"/>
  <c r="N189" i="5"/>
  <c r="J66" i="4"/>
  <c r="O66" i="4" s="1"/>
  <c r="V66" i="4" s="1"/>
  <c r="X66" i="4" s="1"/>
  <c r="L192" i="5"/>
  <c r="M192" i="5" s="1"/>
  <c r="AP848" i="3"/>
  <c r="L192" i="1"/>
  <c r="M192" i="1" s="1"/>
  <c r="C192" i="1"/>
  <c r="D192" i="1" s="1"/>
  <c r="C192" i="5"/>
  <c r="D192" i="5" s="1"/>
  <c r="E228" i="1"/>
  <c r="E228" i="5"/>
  <c r="AQ884" i="3"/>
  <c r="F228" i="8" s="1"/>
  <c r="J112" i="4"/>
  <c r="O112" i="4" s="1"/>
  <c r="V112" i="4" s="1"/>
  <c r="X112" i="4" s="1"/>
  <c r="N228" i="5"/>
  <c r="N228" i="1"/>
  <c r="J60" i="4"/>
  <c r="O60" i="4" s="1"/>
  <c r="V60" i="4" s="1"/>
  <c r="X60" i="4" s="1"/>
  <c r="AQ865" i="3"/>
  <c r="K209" i="8" s="1"/>
  <c r="N209" i="5"/>
  <c r="E209" i="1"/>
  <c r="N209" i="1"/>
  <c r="E209" i="5"/>
  <c r="AQ866" i="3"/>
  <c r="N210" i="1"/>
  <c r="J77" i="4"/>
  <c r="O77" i="4" s="1"/>
  <c r="V77" i="4" s="1"/>
  <c r="X77" i="4" s="1"/>
  <c r="E210" i="1"/>
  <c r="N210" i="5"/>
  <c r="E210" i="5"/>
  <c r="L225" i="1"/>
  <c r="M225" i="1" s="1"/>
  <c r="C225" i="5"/>
  <c r="D225" i="5" s="1"/>
  <c r="C225" i="1"/>
  <c r="D225" i="1" s="1"/>
  <c r="AP881" i="3"/>
  <c r="L225" i="5"/>
  <c r="M225" i="5" s="1"/>
  <c r="N220" i="5"/>
  <c r="B145" i="10" s="1"/>
  <c r="E220" i="1"/>
  <c r="AQ876" i="3"/>
  <c r="E220" i="5"/>
  <c r="B145" i="9" s="1"/>
  <c r="N220" i="1"/>
  <c r="J105" i="4"/>
  <c r="O105" i="4" s="1"/>
  <c r="V105" i="4" s="1"/>
  <c r="X105" i="4" s="1"/>
  <c r="J117" i="4"/>
  <c r="O117" i="4" s="1"/>
  <c r="V117" i="4" s="1"/>
  <c r="X117" i="4" s="1"/>
  <c r="N199" i="1"/>
  <c r="N199" i="5"/>
  <c r="AQ855" i="3"/>
  <c r="K199" i="8" s="1"/>
  <c r="E199" i="5"/>
  <c r="E199" i="1"/>
  <c r="J188" i="8"/>
  <c r="L194" i="1"/>
  <c r="M194" i="1" s="1"/>
  <c r="C194" i="5"/>
  <c r="D194" i="5" s="1"/>
  <c r="C194" i="1"/>
  <c r="D194" i="1" s="1"/>
  <c r="AP850" i="3"/>
  <c r="L194" i="5"/>
  <c r="M194" i="5" s="1"/>
  <c r="J61" i="4"/>
  <c r="O61" i="4" s="1"/>
  <c r="V61" i="4" s="1"/>
  <c r="X61" i="4" s="1"/>
  <c r="E219" i="5"/>
  <c r="N219" i="5"/>
  <c r="AQ875" i="3"/>
  <c r="E219" i="1"/>
  <c r="N219" i="1"/>
  <c r="J225" i="8"/>
  <c r="L230" i="1"/>
  <c r="M230" i="1" s="1"/>
  <c r="C230" i="5"/>
  <c r="D230" i="5" s="1"/>
  <c r="L230" i="5"/>
  <c r="M230" i="5" s="1"/>
  <c r="C230" i="1"/>
  <c r="D230" i="1" s="1"/>
  <c r="AP886" i="3"/>
  <c r="C183" i="1"/>
  <c r="D183" i="1" s="1"/>
  <c r="L183" i="5"/>
  <c r="M183" i="5" s="1"/>
  <c r="AP839" i="3"/>
  <c r="C183" i="5"/>
  <c r="D183" i="5" s="1"/>
  <c r="L183" i="1"/>
  <c r="M183" i="1" s="1"/>
  <c r="E217" i="5"/>
  <c r="E217" i="1"/>
  <c r="N217" i="1"/>
  <c r="N217" i="5"/>
  <c r="J84" i="4"/>
  <c r="O84" i="4" s="1"/>
  <c r="V84" i="4" s="1"/>
  <c r="X84" i="4" s="1"/>
  <c r="AQ873" i="3"/>
  <c r="K217" i="8" s="1"/>
  <c r="AQ857" i="3"/>
  <c r="F201" i="8" s="1"/>
  <c r="E201" i="5"/>
  <c r="N201" i="1"/>
  <c r="E201" i="1"/>
  <c r="N201" i="5"/>
  <c r="J97" i="4"/>
  <c r="O97" i="4" s="1"/>
  <c r="V97" i="4" s="1"/>
  <c r="X97" i="4" s="1"/>
  <c r="C188" i="1"/>
  <c r="D188" i="1" s="1"/>
  <c r="L188" i="1"/>
  <c r="M188" i="1" s="1"/>
  <c r="AP844" i="3"/>
  <c r="C188" i="5"/>
  <c r="D188" i="5" s="1"/>
  <c r="L188" i="5"/>
  <c r="M188" i="5" s="1"/>
  <c r="P186" i="5"/>
  <c r="Q186" i="5" s="1"/>
  <c r="R186" i="5" s="1"/>
  <c r="P231" i="5"/>
  <c r="Q231" i="5" s="1"/>
  <c r="R231" i="5" s="1"/>
  <c r="D226" i="1"/>
  <c r="Q619" i="1"/>
  <c r="R619" i="1" s="1"/>
  <c r="T202" i="4"/>
  <c r="G186" i="5"/>
  <c r="H186" i="5" s="1"/>
  <c r="I186" i="5" s="1"/>
  <c r="E226" i="1"/>
  <c r="N226" i="5"/>
  <c r="AQ882" i="3"/>
  <c r="F226" i="8" s="1"/>
  <c r="E226" i="5"/>
  <c r="N226" i="1"/>
  <c r="J89" i="4"/>
  <c r="O89" i="4" s="1"/>
  <c r="V89" i="4" s="1"/>
  <c r="X89" i="4" s="1"/>
  <c r="O221" i="1"/>
  <c r="P221" i="1" s="1"/>
  <c r="F221" i="1"/>
  <c r="G221" i="1" s="1"/>
  <c r="H221" i="1" s="1"/>
  <c r="I221" i="1" s="1"/>
  <c r="O221" i="5"/>
  <c r="F221" i="5"/>
  <c r="E197" i="1"/>
  <c r="N197" i="5"/>
  <c r="AQ853" i="3"/>
  <c r="K197" i="8" s="1"/>
  <c r="N197" i="1"/>
  <c r="E197" i="5"/>
  <c r="J71" i="4"/>
  <c r="O71" i="4" s="1"/>
  <c r="V71" i="4" s="1"/>
  <c r="X71" i="4" s="1"/>
  <c r="P204" i="5"/>
  <c r="G204" i="5"/>
  <c r="H204" i="5" s="1"/>
  <c r="I204" i="5" s="1"/>
  <c r="K221" i="8"/>
  <c r="F223" i="1"/>
  <c r="G223" i="1" s="1"/>
  <c r="H223" i="1" s="1"/>
  <c r="I223" i="1" s="1"/>
  <c r="K223" i="8"/>
  <c r="F223" i="8"/>
  <c r="F223" i="5"/>
  <c r="O223" i="5"/>
  <c r="O223" i="1"/>
  <c r="P223" i="1" s="1"/>
  <c r="P224" i="5"/>
  <c r="Q224" i="5" s="1"/>
  <c r="R224" i="5" s="1"/>
  <c r="G224" i="5"/>
  <c r="F184" i="8"/>
  <c r="T224" i="1"/>
  <c r="Q224" i="1"/>
  <c r="R224" i="1" s="1"/>
  <c r="R310" i="1"/>
  <c r="Q319" i="1"/>
  <c r="R605" i="1"/>
  <c r="Q607" i="1"/>
  <c r="F191" i="8"/>
  <c r="B133" i="10"/>
  <c r="K208" i="8"/>
  <c r="O208" i="1"/>
  <c r="P208" i="1" s="1"/>
  <c r="F208" i="1"/>
  <c r="G208" i="1" s="1"/>
  <c r="H208" i="1" s="1"/>
  <c r="I208" i="1" s="1"/>
  <c r="F208" i="5"/>
  <c r="C133" i="9" s="1"/>
  <c r="O208" i="5"/>
  <c r="C133" i="10" s="1"/>
  <c r="F190" i="8"/>
  <c r="O190" i="5"/>
  <c r="C115" i="10" s="1"/>
  <c r="F190" i="5"/>
  <c r="C115" i="9" s="1"/>
  <c r="F190" i="1"/>
  <c r="G190" i="1" s="1"/>
  <c r="H190" i="1" s="1"/>
  <c r="I190" i="1" s="1"/>
  <c r="O190" i="1"/>
  <c r="P190" i="1" s="1"/>
  <c r="B109" i="9"/>
  <c r="B143" i="9"/>
  <c r="B115" i="9"/>
  <c r="F218" i="5"/>
  <c r="C143" i="9" s="1"/>
  <c r="O218" i="1"/>
  <c r="P218" i="1" s="1"/>
  <c r="O218" i="5"/>
  <c r="C143" i="10" s="1"/>
  <c r="F218" i="1"/>
  <c r="G218" i="1" s="1"/>
  <c r="H218" i="1" s="1"/>
  <c r="I218" i="1" s="1"/>
  <c r="F195" i="1"/>
  <c r="G195" i="1" s="1"/>
  <c r="H195" i="1" s="1"/>
  <c r="I195" i="1" s="1"/>
  <c r="O195" i="1"/>
  <c r="P195" i="1" s="1"/>
  <c r="Q195" i="1" s="1"/>
  <c r="R195" i="1" s="1"/>
  <c r="F195" i="5"/>
  <c r="O195" i="5"/>
  <c r="B109" i="10"/>
  <c r="B115" i="10"/>
  <c r="O62" i="4"/>
  <c r="O187" i="1"/>
  <c r="P187" i="1" s="1"/>
  <c r="F187" i="1"/>
  <c r="G187" i="1" s="1"/>
  <c r="H187" i="1" s="1"/>
  <c r="I187" i="1" s="1"/>
  <c r="O187" i="5"/>
  <c r="C112" i="10" s="1"/>
  <c r="F187" i="5"/>
  <c r="C112" i="9" s="1"/>
  <c r="T231" i="1"/>
  <c r="Q231" i="1"/>
  <c r="R231" i="1" s="1"/>
  <c r="B133" i="9"/>
  <c r="K187" i="8"/>
  <c r="F191" i="5"/>
  <c r="C116" i="9" s="1"/>
  <c r="O191" i="5"/>
  <c r="C116" i="10" s="1"/>
  <c r="F191" i="1"/>
  <c r="G191" i="1" s="1"/>
  <c r="H191" i="1" s="1"/>
  <c r="I191" i="1" s="1"/>
  <c r="O191" i="1"/>
  <c r="P191" i="1" s="1"/>
  <c r="G231" i="5"/>
  <c r="B116" i="9"/>
  <c r="K218" i="8"/>
  <c r="B112" i="10"/>
  <c r="B116" i="10"/>
  <c r="F195" i="8"/>
  <c r="F184" i="1"/>
  <c r="F184" i="5"/>
  <c r="G184" i="5" s="1"/>
  <c r="H184" i="5" s="1"/>
  <c r="I184" i="5" s="1"/>
  <c r="O184" i="1"/>
  <c r="O184" i="5"/>
  <c r="B112" i="9"/>
  <c r="K195" i="8"/>
  <c r="B143" i="10"/>
  <c r="Q425" i="1"/>
  <c r="R425" i="1" s="1"/>
  <c r="R424" i="1"/>
  <c r="U223" i="4"/>
  <c r="Q442" i="1"/>
  <c r="R442" i="1" s="1"/>
  <c r="R438" i="1"/>
  <c r="T442" i="1"/>
  <c r="T421" i="1"/>
  <c r="P456" i="1"/>
  <c r="S421" i="1" s="1"/>
  <c r="M456" i="1"/>
  <c r="Q446" i="1"/>
  <c r="R446" i="1" s="1"/>
  <c r="R443" i="1"/>
  <c r="Q437" i="1"/>
  <c r="R437" i="1" s="1"/>
  <c r="R426" i="1"/>
  <c r="T446" i="1"/>
  <c r="T437" i="1"/>
  <c r="R382" i="1"/>
  <c r="Q421" i="1"/>
  <c r="J201" i="4" l="1"/>
  <c r="O190" i="4"/>
  <c r="O590" i="4"/>
  <c r="U590" i="4" s="1"/>
  <c r="J594" i="1"/>
  <c r="S314" i="1"/>
  <c r="J400" i="1"/>
  <c r="J426" i="1"/>
  <c r="J584" i="1"/>
  <c r="S312" i="1"/>
  <c r="J588" i="1"/>
  <c r="J602" i="1"/>
  <c r="J407" i="1"/>
  <c r="J433" i="1"/>
  <c r="J398" i="1"/>
  <c r="J592" i="1"/>
  <c r="J586" i="1"/>
  <c r="J609" i="1"/>
  <c r="J621" i="1"/>
  <c r="J623" i="1"/>
  <c r="J423" i="1"/>
  <c r="J619" i="1"/>
  <c r="E160" i="2"/>
  <c r="H349" i="5"/>
  <c r="I349" i="5" s="1"/>
  <c r="J662" i="1"/>
  <c r="S356" i="1"/>
  <c r="S352" i="1"/>
  <c r="Q315" i="5"/>
  <c r="R315" i="5" s="1"/>
  <c r="R600" i="1"/>
  <c r="E156" i="2"/>
  <c r="J669" i="1"/>
  <c r="J659" i="1"/>
  <c r="J282" i="1"/>
  <c r="J279" i="1"/>
  <c r="Q532" i="1"/>
  <c r="R532" i="1" s="1"/>
  <c r="T356" i="1"/>
  <c r="T315" i="5"/>
  <c r="J431" i="1"/>
  <c r="J429" i="1"/>
  <c r="J413" i="1"/>
  <c r="J394" i="1"/>
  <c r="J585" i="1"/>
  <c r="J427" i="1"/>
  <c r="J436" i="1"/>
  <c r="J445" i="1"/>
  <c r="J563" i="1"/>
  <c r="J425" i="1"/>
  <c r="J455" i="1"/>
  <c r="J412" i="1"/>
  <c r="J564" i="1"/>
  <c r="J383" i="1"/>
  <c r="J389" i="1"/>
  <c r="J440" i="1"/>
  <c r="J582" i="1"/>
  <c r="J603" i="1"/>
  <c r="J571" i="1"/>
  <c r="J417" i="1"/>
  <c r="J411" i="1"/>
  <c r="J625" i="1"/>
  <c r="J444" i="1"/>
  <c r="J565" i="1"/>
  <c r="J575" i="1"/>
  <c r="J581" i="1"/>
  <c r="J437" i="1"/>
  <c r="H455" i="5"/>
  <c r="I455" i="5" s="1"/>
  <c r="J630" i="1"/>
  <c r="J577" i="1"/>
  <c r="J618" i="1"/>
  <c r="J598" i="1"/>
  <c r="J395" i="1"/>
  <c r="J622" i="1"/>
  <c r="J399" i="1"/>
  <c r="J386" i="1"/>
  <c r="J418" i="1"/>
  <c r="J456" i="1"/>
  <c r="J561" i="1"/>
  <c r="J408" i="1"/>
  <c r="J589" i="1"/>
  <c r="J629" i="1"/>
  <c r="J576" i="1"/>
  <c r="J591" i="1"/>
  <c r="J439" i="1"/>
  <c r="J393" i="1"/>
  <c r="J615" i="1"/>
  <c r="J421" i="1"/>
  <c r="J404" i="1"/>
  <c r="J405" i="1"/>
  <c r="J626" i="1"/>
  <c r="J415" i="1"/>
  <c r="J624" i="1"/>
  <c r="J600" i="1"/>
  <c r="J599" i="1"/>
  <c r="J435" i="1"/>
  <c r="J569" i="1"/>
  <c r="J607" i="1"/>
  <c r="J605" i="1"/>
  <c r="J382" i="1"/>
  <c r="J583" i="1"/>
  <c r="J613" i="1"/>
  <c r="J597" i="1"/>
  <c r="J424" i="1"/>
  <c r="J401" i="1"/>
  <c r="J387" i="1"/>
  <c r="J578" i="1"/>
  <c r="J416" i="1"/>
  <c r="J414" i="1"/>
  <c r="J432" i="1"/>
  <c r="J441" i="1"/>
  <c r="J566" i="1"/>
  <c r="J604" i="1"/>
  <c r="J420" i="1"/>
  <c r="J443" i="1"/>
  <c r="J611" i="1"/>
  <c r="J391" i="1"/>
  <c r="J612" i="1"/>
  <c r="J422" i="1"/>
  <c r="J601" i="1"/>
  <c r="J410" i="1"/>
  <c r="J573" i="1"/>
  <c r="J409" i="1"/>
  <c r="J402" i="1"/>
  <c r="J390" i="1"/>
  <c r="J617" i="1"/>
  <c r="J567" i="1"/>
  <c r="J593" i="1"/>
  <c r="J610" i="1"/>
  <c r="J606" i="1"/>
  <c r="J616" i="1"/>
  <c r="J430" i="1"/>
  <c r="J403" i="1"/>
  <c r="J385" i="1"/>
  <c r="J419" i="1"/>
  <c r="J428" i="1"/>
  <c r="J446" i="1"/>
  <c r="J396" i="1"/>
  <c r="J608" i="1"/>
  <c r="J568" i="1"/>
  <c r="J434" i="1"/>
  <c r="J406" i="1"/>
  <c r="J614" i="1"/>
  <c r="J590" i="1"/>
  <c r="J438" i="1"/>
  <c r="J392" i="1"/>
  <c r="J572" i="1"/>
  <c r="J388" i="1"/>
  <c r="J579" i="1"/>
  <c r="J620" i="1"/>
  <c r="J587" i="1"/>
  <c r="J397" i="1"/>
  <c r="J574" i="1"/>
  <c r="J595" i="1"/>
  <c r="J570" i="1"/>
  <c r="J627" i="1"/>
  <c r="J596" i="1"/>
  <c r="J628" i="1"/>
  <c r="J562" i="1"/>
  <c r="J384" i="1"/>
  <c r="J580" i="1"/>
  <c r="Q312" i="5"/>
  <c r="R312" i="5" s="1"/>
  <c r="J663" i="1"/>
  <c r="J655" i="1"/>
  <c r="J665" i="1"/>
  <c r="J670" i="1"/>
  <c r="J666" i="1"/>
  <c r="J654" i="1"/>
  <c r="H356" i="1"/>
  <c r="I356" i="1" s="1"/>
  <c r="J672" i="1"/>
  <c r="J658" i="1"/>
  <c r="J660" i="1"/>
  <c r="J661" i="1"/>
  <c r="J671" i="1"/>
  <c r="J667" i="1"/>
  <c r="J664" i="1"/>
  <c r="J656" i="1"/>
  <c r="J657" i="1"/>
  <c r="Q316" i="5"/>
  <c r="R316" i="5" s="1"/>
  <c r="S315" i="1"/>
  <c r="S318" i="1"/>
  <c r="S316" i="1"/>
  <c r="S309" i="1"/>
  <c r="S310" i="1"/>
  <c r="S317" i="1"/>
  <c r="S311" i="1"/>
  <c r="S319" i="1"/>
  <c r="S320" i="1"/>
  <c r="S321" i="1"/>
  <c r="J278" i="1"/>
  <c r="J285" i="1"/>
  <c r="S349" i="1"/>
  <c r="S358" i="1"/>
  <c r="J281" i="1"/>
  <c r="J283" i="1"/>
  <c r="J284" i="1"/>
  <c r="S350" i="1"/>
  <c r="Q280" i="5"/>
  <c r="R280" i="5" s="1"/>
  <c r="I319" i="1"/>
  <c r="J315" i="1"/>
  <c r="S281" i="1"/>
  <c r="T285" i="1"/>
  <c r="J314" i="1"/>
  <c r="S284" i="1"/>
  <c r="S278" i="1"/>
  <c r="S283" i="1"/>
  <c r="S282" i="1"/>
  <c r="S280" i="1"/>
  <c r="S285" i="1"/>
  <c r="O589" i="4"/>
  <c r="S576" i="4"/>
  <c r="J321" i="1"/>
  <c r="E152" i="2"/>
  <c r="J311" i="1"/>
  <c r="J313" i="1"/>
  <c r="J310" i="1"/>
  <c r="J312" i="1"/>
  <c r="J318" i="1"/>
  <c r="T321" i="1"/>
  <c r="J316" i="1"/>
  <c r="J320" i="1"/>
  <c r="J317" i="1"/>
  <c r="J309" i="1"/>
  <c r="S353" i="1"/>
  <c r="P630" i="1"/>
  <c r="T630" i="1" s="1"/>
  <c r="S351" i="1"/>
  <c r="S346" i="1"/>
  <c r="S348" i="1"/>
  <c r="S355" i="1"/>
  <c r="S354" i="1"/>
  <c r="S357" i="1"/>
  <c r="H285" i="1"/>
  <c r="I285" i="1" s="1"/>
  <c r="S347" i="1"/>
  <c r="S345" i="1"/>
  <c r="Q356" i="1"/>
  <c r="Q358" i="1" s="1"/>
  <c r="R358" i="1" s="1"/>
  <c r="H630" i="1"/>
  <c r="I630" i="1" s="1"/>
  <c r="H672" i="1"/>
  <c r="I672" i="1" s="1"/>
  <c r="J497" i="1"/>
  <c r="J481" i="1"/>
  <c r="J531" i="1"/>
  <c r="T507" i="1"/>
  <c r="T455" i="5"/>
  <c r="Q285" i="1"/>
  <c r="R285" i="1" s="1"/>
  <c r="T506" i="1"/>
  <c r="T489" i="1"/>
  <c r="T490" i="1"/>
  <c r="T523" i="1"/>
  <c r="J514" i="1"/>
  <c r="T481" i="1"/>
  <c r="H283" i="5"/>
  <c r="I283" i="5" s="1"/>
  <c r="T524" i="1"/>
  <c r="T514" i="1"/>
  <c r="T517" i="1"/>
  <c r="J530" i="1"/>
  <c r="T509" i="1"/>
  <c r="J537" i="1"/>
  <c r="T482" i="1"/>
  <c r="J505" i="1"/>
  <c r="B192" i="10"/>
  <c r="B194" i="10" s="1"/>
  <c r="J521" i="1"/>
  <c r="J510" i="1"/>
  <c r="J522" i="1"/>
  <c r="T502" i="1"/>
  <c r="T491" i="1"/>
  <c r="J501" i="1"/>
  <c r="T510" i="1"/>
  <c r="T505" i="1"/>
  <c r="J527" i="1"/>
  <c r="J491" i="1"/>
  <c r="Q629" i="1"/>
  <c r="R629" i="1" s="1"/>
  <c r="Q455" i="5"/>
  <c r="R455" i="5" s="1"/>
  <c r="T320" i="5"/>
  <c r="Q320" i="5"/>
  <c r="R320" i="5" s="1"/>
  <c r="H284" i="5"/>
  <c r="I284" i="5" s="1"/>
  <c r="G202" i="5"/>
  <c r="H202" i="5" s="1"/>
  <c r="I202" i="5" s="1"/>
  <c r="H456" i="1"/>
  <c r="I456" i="1" s="1"/>
  <c r="T529" i="1"/>
  <c r="T486" i="1"/>
  <c r="T512" i="1"/>
  <c r="J489" i="1"/>
  <c r="T526" i="1"/>
  <c r="J536" i="1"/>
  <c r="T530" i="1"/>
  <c r="T498" i="1"/>
  <c r="J516" i="1"/>
  <c r="J518" i="1"/>
  <c r="T494" i="1"/>
  <c r="J513" i="1"/>
  <c r="T499" i="1"/>
  <c r="T508" i="1"/>
  <c r="H357" i="5"/>
  <c r="I357" i="5" s="1"/>
  <c r="T532" i="1"/>
  <c r="J525" i="1"/>
  <c r="J488" i="1"/>
  <c r="J511" i="1"/>
  <c r="J509" i="1"/>
  <c r="T497" i="1"/>
  <c r="T488" i="1"/>
  <c r="T496" i="1"/>
  <c r="T492" i="1"/>
  <c r="J484" i="1"/>
  <c r="J506" i="1"/>
  <c r="J519" i="1"/>
  <c r="T522" i="1"/>
  <c r="T484" i="1"/>
  <c r="T495" i="1"/>
  <c r="T500" i="1"/>
  <c r="T513" i="1"/>
  <c r="J520" i="1"/>
  <c r="T504" i="1"/>
  <c r="J492" i="1"/>
  <c r="J487" i="1"/>
  <c r="J528" i="1"/>
  <c r="J493" i="1"/>
  <c r="T520" i="1"/>
  <c r="T493" i="1"/>
  <c r="T536" i="1"/>
  <c r="J523" i="1"/>
  <c r="J534" i="1"/>
  <c r="T516" i="1"/>
  <c r="Q317" i="5"/>
  <c r="R317" i="5" s="1"/>
  <c r="T537" i="1"/>
  <c r="J533" i="1"/>
  <c r="J507" i="1"/>
  <c r="J532" i="1"/>
  <c r="T501" i="1"/>
  <c r="J499" i="1"/>
  <c r="T518" i="1"/>
  <c r="J512" i="1"/>
  <c r="J524" i="1"/>
  <c r="J529" i="1"/>
  <c r="J494" i="1"/>
  <c r="J496" i="1"/>
  <c r="T533" i="1"/>
  <c r="T521" i="1"/>
  <c r="J526" i="1"/>
  <c r="T527" i="1"/>
  <c r="T503" i="1"/>
  <c r="J504" i="1"/>
  <c r="J517" i="1"/>
  <c r="T487" i="1"/>
  <c r="J515" i="1"/>
  <c r="T531" i="1"/>
  <c r="T525" i="1"/>
  <c r="T528" i="1"/>
  <c r="J495" i="1"/>
  <c r="T511" i="1"/>
  <c r="J502" i="1"/>
  <c r="T519" i="1"/>
  <c r="J482" i="1"/>
  <c r="J486" i="1"/>
  <c r="T485" i="1"/>
  <c r="J500" i="1"/>
  <c r="J480" i="1"/>
  <c r="J508" i="1"/>
  <c r="J490" i="1"/>
  <c r="T483" i="1"/>
  <c r="J483" i="1"/>
  <c r="J503" i="1"/>
  <c r="T515" i="1"/>
  <c r="J485" i="1"/>
  <c r="T535" i="1"/>
  <c r="J498" i="1"/>
  <c r="J535" i="1"/>
  <c r="T534" i="1"/>
  <c r="H347" i="5"/>
  <c r="I347" i="5" s="1"/>
  <c r="Q536" i="1"/>
  <c r="R536" i="1" s="1"/>
  <c r="R533" i="1"/>
  <c r="F45" i="2"/>
  <c r="T353" i="5"/>
  <c r="M630" i="5"/>
  <c r="H537" i="1"/>
  <c r="I537" i="1" s="1"/>
  <c r="Q282" i="5"/>
  <c r="R282" i="5" s="1"/>
  <c r="P202" i="5"/>
  <c r="Q202" i="5" s="1"/>
  <c r="R202" i="5" s="1"/>
  <c r="P203" i="5"/>
  <c r="Q203" i="5" s="1"/>
  <c r="R203" i="5" s="1"/>
  <c r="T347" i="5"/>
  <c r="T284" i="5"/>
  <c r="T169" i="5"/>
  <c r="H320" i="5"/>
  <c r="I320" i="5" s="1"/>
  <c r="H346" i="5"/>
  <c r="I346" i="5" s="1"/>
  <c r="T346" i="5"/>
  <c r="T350" i="5"/>
  <c r="G203" i="5"/>
  <c r="H203" i="5" s="1"/>
  <c r="I203" i="5" s="1"/>
  <c r="G193" i="5"/>
  <c r="H193" i="5" s="1"/>
  <c r="I193" i="5" s="1"/>
  <c r="H313" i="5"/>
  <c r="I313" i="5" s="1"/>
  <c r="Q347" i="5"/>
  <c r="R347" i="5" s="1"/>
  <c r="M456" i="5"/>
  <c r="Q447" i="5"/>
  <c r="R447" i="5" s="1"/>
  <c r="F164" i="2"/>
  <c r="P193" i="5"/>
  <c r="Q193" i="5" s="1"/>
  <c r="R193" i="5" s="1"/>
  <c r="T245" i="5"/>
  <c r="K537" i="5"/>
  <c r="T160" i="5"/>
  <c r="E227" i="1"/>
  <c r="M356" i="5"/>
  <c r="M358" i="5" s="1"/>
  <c r="H67" i="5"/>
  <c r="I67" i="5" s="1"/>
  <c r="D672" i="5"/>
  <c r="J121" i="4"/>
  <c r="O121" i="4" s="1"/>
  <c r="V121" i="4" s="1"/>
  <c r="X121" i="4" s="1"/>
  <c r="G456" i="5"/>
  <c r="T73" i="5"/>
  <c r="F51" i="2"/>
  <c r="K630" i="5"/>
  <c r="T38" i="5"/>
  <c r="J355" i="1"/>
  <c r="J348" i="1"/>
  <c r="J354" i="1"/>
  <c r="Q284" i="5"/>
  <c r="R284" i="5" s="1"/>
  <c r="F148" i="2"/>
  <c r="M319" i="5"/>
  <c r="M321" i="5" s="1"/>
  <c r="F140" i="2"/>
  <c r="T181" i="5"/>
  <c r="H315" i="5"/>
  <c r="I315" i="5" s="1"/>
  <c r="D319" i="5"/>
  <c r="D321" i="5" s="1"/>
  <c r="H317" i="5"/>
  <c r="I317" i="5" s="1"/>
  <c r="T317" i="5"/>
  <c r="F144" i="2"/>
  <c r="H281" i="5"/>
  <c r="I281" i="5" s="1"/>
  <c r="I656" i="5"/>
  <c r="H668" i="5"/>
  <c r="I668" i="5" s="1"/>
  <c r="Q67" i="5"/>
  <c r="R67" i="5" s="1"/>
  <c r="T67" i="5"/>
  <c r="Q348" i="5"/>
  <c r="R348" i="5" s="1"/>
  <c r="T348" i="5"/>
  <c r="H282" i="5"/>
  <c r="I282" i="5" s="1"/>
  <c r="T282" i="5"/>
  <c r="H253" i="5"/>
  <c r="I253" i="5" s="1"/>
  <c r="I246" i="5"/>
  <c r="R32" i="5"/>
  <c r="Q38" i="5"/>
  <c r="R38" i="5" s="1"/>
  <c r="I140" i="5"/>
  <c r="H146" i="5"/>
  <c r="I146" i="5" s="1"/>
  <c r="I669" i="5"/>
  <c r="H671" i="5"/>
  <c r="I671" i="5" s="1"/>
  <c r="G356" i="5"/>
  <c r="G358" i="5" s="1"/>
  <c r="J356" i="5" s="1"/>
  <c r="H345" i="5"/>
  <c r="H311" i="5"/>
  <c r="I311" i="5" s="1"/>
  <c r="T311" i="5"/>
  <c r="T283" i="5"/>
  <c r="Q283" i="5"/>
  <c r="R283" i="5" s="1"/>
  <c r="R69" i="5"/>
  <c r="Q73" i="5"/>
  <c r="R73" i="5" s="1"/>
  <c r="H314" i="5"/>
  <c r="I314" i="5" s="1"/>
  <c r="T626" i="5"/>
  <c r="Q626" i="5"/>
  <c r="P629" i="5"/>
  <c r="T629" i="5" s="1"/>
  <c r="I654" i="5"/>
  <c r="H655" i="5"/>
  <c r="I516" i="5"/>
  <c r="H527" i="5"/>
  <c r="I527" i="5" s="1"/>
  <c r="I626" i="5"/>
  <c r="H629" i="5"/>
  <c r="I629" i="5" s="1"/>
  <c r="Q309" i="5"/>
  <c r="T309" i="5"/>
  <c r="P319" i="5"/>
  <c r="Q281" i="5"/>
  <c r="R281" i="5" s="1"/>
  <c r="T281" i="5"/>
  <c r="R100" i="5"/>
  <c r="Q139" i="5"/>
  <c r="R139" i="5" s="1"/>
  <c r="H421" i="5"/>
  <c r="I382" i="5"/>
  <c r="P356" i="5"/>
  <c r="T345" i="5"/>
  <c r="Q345" i="5"/>
  <c r="T312" i="5"/>
  <c r="H312" i="5"/>
  <c r="I312" i="5" s="1"/>
  <c r="Q357" i="5"/>
  <c r="R357" i="5" s="1"/>
  <c r="T357" i="5"/>
  <c r="G672" i="5"/>
  <c r="I422" i="5"/>
  <c r="H425" i="5"/>
  <c r="I425" i="5" s="1"/>
  <c r="Q528" i="5"/>
  <c r="M532" i="5"/>
  <c r="M537" i="5" s="1"/>
  <c r="I161" i="5"/>
  <c r="H169" i="5"/>
  <c r="I169" i="5" s="1"/>
  <c r="G630" i="5"/>
  <c r="T146" i="5"/>
  <c r="N456" i="5"/>
  <c r="D151" i="2" s="1"/>
  <c r="D152" i="2" s="1"/>
  <c r="N630" i="5"/>
  <c r="D159" i="2" s="1"/>
  <c r="D160" i="2" s="1"/>
  <c r="T139" i="5"/>
  <c r="I69" i="5"/>
  <c r="H73" i="5"/>
  <c r="I73" i="5" s="1"/>
  <c r="R178" i="5"/>
  <c r="Q181" i="5"/>
  <c r="R181" i="5" s="1"/>
  <c r="Q608" i="5"/>
  <c r="T608" i="5"/>
  <c r="P619" i="5"/>
  <c r="T619" i="5" s="1"/>
  <c r="R147" i="5"/>
  <c r="Q160" i="5"/>
  <c r="R160" i="5" s="1"/>
  <c r="T279" i="5"/>
  <c r="Q279" i="5"/>
  <c r="R279" i="5" s="1"/>
  <c r="T313" i="5"/>
  <c r="Q313" i="5"/>
  <c r="R313" i="5" s="1"/>
  <c r="D537" i="5"/>
  <c r="I443" i="5"/>
  <c r="H446" i="5"/>
  <c r="I446" i="5" s="1"/>
  <c r="Q314" i="5"/>
  <c r="R314" i="5" s="1"/>
  <c r="T314" i="5"/>
  <c r="T349" i="5"/>
  <c r="Q349" i="5"/>
  <c r="R349" i="5" s="1"/>
  <c r="G537" i="5"/>
  <c r="I561" i="5"/>
  <c r="H600" i="5"/>
  <c r="I178" i="5"/>
  <c r="H181" i="5"/>
  <c r="I181" i="5" s="1"/>
  <c r="I234" i="5"/>
  <c r="H245" i="5"/>
  <c r="I245" i="5" s="1"/>
  <c r="R140" i="5"/>
  <c r="Q146" i="5"/>
  <c r="R146" i="5" s="1"/>
  <c r="Q382" i="5"/>
  <c r="T382" i="5"/>
  <c r="P421" i="5"/>
  <c r="Q561" i="5"/>
  <c r="T561" i="5"/>
  <c r="P600" i="5"/>
  <c r="G285" i="5"/>
  <c r="H278" i="5"/>
  <c r="T177" i="5"/>
  <c r="T280" i="5"/>
  <c r="H280" i="5"/>
  <c r="I280" i="5" s="1"/>
  <c r="D456" i="5"/>
  <c r="T443" i="5"/>
  <c r="P446" i="5"/>
  <c r="T446" i="5" s="1"/>
  <c r="Q443" i="5"/>
  <c r="H316" i="5"/>
  <c r="I316" i="5" s="1"/>
  <c r="T316" i="5"/>
  <c r="I608" i="5"/>
  <c r="H619" i="5"/>
  <c r="I619" i="5" s="1"/>
  <c r="P285" i="5"/>
  <c r="T278" i="5"/>
  <c r="Q278" i="5"/>
  <c r="H309" i="5"/>
  <c r="G319" i="5"/>
  <c r="G321" i="5" s="1"/>
  <c r="J319" i="5" s="1"/>
  <c r="I533" i="5"/>
  <c r="H536" i="5"/>
  <c r="I536" i="5" s="1"/>
  <c r="H279" i="5"/>
  <c r="I279" i="5" s="1"/>
  <c r="I480" i="5"/>
  <c r="H515" i="5"/>
  <c r="I170" i="5"/>
  <c r="H177" i="5"/>
  <c r="I177" i="5" s="1"/>
  <c r="I438" i="5"/>
  <c r="H442" i="5"/>
  <c r="I442" i="5" s="1"/>
  <c r="H625" i="5"/>
  <c r="I625" i="5" s="1"/>
  <c r="I620" i="5"/>
  <c r="I601" i="5"/>
  <c r="H607" i="5"/>
  <c r="I607" i="5" s="1"/>
  <c r="T253" i="5"/>
  <c r="N537" i="5"/>
  <c r="D155" i="2" s="1"/>
  <c r="D156" i="2" s="1"/>
  <c r="T601" i="5"/>
  <c r="Q601" i="5"/>
  <c r="P607" i="5"/>
  <c r="T607" i="5" s="1"/>
  <c r="T355" i="5"/>
  <c r="H355" i="5"/>
  <c r="I355" i="5" s="1"/>
  <c r="Q318" i="5"/>
  <c r="R318" i="5" s="1"/>
  <c r="T318" i="5"/>
  <c r="H38" i="5"/>
  <c r="I38" i="5" s="1"/>
  <c r="I32" i="5"/>
  <c r="D285" i="5"/>
  <c r="K456" i="5"/>
  <c r="R246" i="5"/>
  <c r="Q253" i="5"/>
  <c r="R253" i="5" s="1"/>
  <c r="Q480" i="5"/>
  <c r="P515" i="5"/>
  <c r="T422" i="5"/>
  <c r="Q422" i="5"/>
  <c r="P425" i="5"/>
  <c r="T425" i="5" s="1"/>
  <c r="R170" i="5"/>
  <c r="Q177" i="5"/>
  <c r="R177" i="5" s="1"/>
  <c r="R161" i="5"/>
  <c r="Q169" i="5"/>
  <c r="R169" i="5" s="1"/>
  <c r="T351" i="5"/>
  <c r="Q351" i="5"/>
  <c r="R351" i="5" s="1"/>
  <c r="D630" i="5"/>
  <c r="H437" i="5"/>
  <c r="I437" i="5" s="1"/>
  <c r="I426" i="5"/>
  <c r="D356" i="5"/>
  <c r="D358" i="5" s="1"/>
  <c r="M285" i="5"/>
  <c r="Q310" i="5"/>
  <c r="R310" i="5" s="1"/>
  <c r="T310" i="5"/>
  <c r="P437" i="5"/>
  <c r="T437" i="5" s="1"/>
  <c r="T426" i="5"/>
  <c r="Q426" i="5"/>
  <c r="T620" i="5"/>
  <c r="Q620" i="5"/>
  <c r="P625" i="5"/>
  <c r="T625" i="5" s="1"/>
  <c r="T354" i="5"/>
  <c r="Q354" i="5"/>
  <c r="R354" i="5" s="1"/>
  <c r="I528" i="5"/>
  <c r="H532" i="5"/>
  <c r="I532" i="5" s="1"/>
  <c r="P536" i="5"/>
  <c r="Q533" i="5"/>
  <c r="Q516" i="5"/>
  <c r="P527" i="5"/>
  <c r="P442" i="5"/>
  <c r="T442" i="5" s="1"/>
  <c r="T438" i="5"/>
  <c r="Q438" i="5"/>
  <c r="Q245" i="5"/>
  <c r="R245" i="5" s="1"/>
  <c r="R234" i="5"/>
  <c r="H139" i="5"/>
  <c r="I139" i="5" s="1"/>
  <c r="I100" i="5"/>
  <c r="I147" i="5"/>
  <c r="H160" i="5"/>
  <c r="I160" i="5" s="1"/>
  <c r="Q352" i="5"/>
  <c r="R352" i="5" s="1"/>
  <c r="T352" i="5"/>
  <c r="J357" i="1"/>
  <c r="T358" i="1"/>
  <c r="J346" i="1"/>
  <c r="J345" i="1"/>
  <c r="J347" i="1"/>
  <c r="J351" i="1"/>
  <c r="J352" i="1"/>
  <c r="J353" i="1"/>
  <c r="J358" i="1"/>
  <c r="J349" i="1"/>
  <c r="J350" i="1"/>
  <c r="T204" i="1"/>
  <c r="T186" i="1"/>
  <c r="T202" i="1"/>
  <c r="J111" i="4"/>
  <c r="O111" i="4" s="1"/>
  <c r="V111" i="4" s="1"/>
  <c r="X111" i="4" s="1"/>
  <c r="N227" i="1"/>
  <c r="E227" i="5"/>
  <c r="B152" i="9" s="1"/>
  <c r="B30" i="5"/>
  <c r="B39" i="5" s="1"/>
  <c r="AQ883" i="3"/>
  <c r="K227" i="8" s="1"/>
  <c r="T203" i="1"/>
  <c r="N214" i="5"/>
  <c r="B139" i="10" s="1"/>
  <c r="N214" i="1"/>
  <c r="AQ870" i="3"/>
  <c r="O214" i="5" s="1"/>
  <c r="E214" i="1"/>
  <c r="T182" i="5"/>
  <c r="AQ852" i="3"/>
  <c r="O196" i="5" s="1"/>
  <c r="C121" i="10" s="1"/>
  <c r="T193" i="1"/>
  <c r="E196" i="5"/>
  <c r="B121" i="9" s="1"/>
  <c r="E196" i="1"/>
  <c r="N196" i="1"/>
  <c r="J68" i="4"/>
  <c r="O68" i="4" s="1"/>
  <c r="V68" i="4" s="1"/>
  <c r="X68" i="4" s="1"/>
  <c r="H321" i="1"/>
  <c r="I321" i="1" s="1"/>
  <c r="E232" i="8"/>
  <c r="E254" i="8" s="1"/>
  <c r="E74" i="8" s="1"/>
  <c r="E75" i="8" s="1"/>
  <c r="E30" i="8" s="1"/>
  <c r="E39" i="8" s="1"/>
  <c r="S202" i="4"/>
  <c r="G198" i="5"/>
  <c r="H198" i="5" s="1"/>
  <c r="I198" i="5" s="1"/>
  <c r="K185" i="8"/>
  <c r="O185" i="5"/>
  <c r="F185" i="1"/>
  <c r="G185" i="1" s="1"/>
  <c r="H185" i="1" s="1"/>
  <c r="I185" i="1" s="1"/>
  <c r="O185" i="1"/>
  <c r="P185" i="1" s="1"/>
  <c r="F185" i="8"/>
  <c r="F185" i="5"/>
  <c r="E216" i="5"/>
  <c r="B141" i="9" s="1"/>
  <c r="N216" i="1"/>
  <c r="E216" i="1"/>
  <c r="N216" i="5"/>
  <c r="B141" i="10" s="1"/>
  <c r="AQ872" i="3"/>
  <c r="J122" i="4"/>
  <c r="O122" i="4" s="1"/>
  <c r="V122" i="4" s="1"/>
  <c r="X122" i="4" s="1"/>
  <c r="T198" i="1"/>
  <c r="Q198" i="1"/>
  <c r="R198" i="1" s="1"/>
  <c r="F213" i="8"/>
  <c r="O213" i="1"/>
  <c r="P213" i="1" s="1"/>
  <c r="K213" i="8"/>
  <c r="F213" i="5"/>
  <c r="F213" i="1"/>
  <c r="G213" i="1" s="1"/>
  <c r="H213" i="1" s="1"/>
  <c r="I213" i="1" s="1"/>
  <c r="O213" i="5"/>
  <c r="P198" i="5"/>
  <c r="C123" i="10"/>
  <c r="AQ868" i="3"/>
  <c r="E212" i="1"/>
  <c r="N212" i="5"/>
  <c r="B137" i="10" s="1"/>
  <c r="N212" i="1"/>
  <c r="E212" i="5"/>
  <c r="B137" i="9" s="1"/>
  <c r="J102" i="4"/>
  <c r="O102" i="4" s="1"/>
  <c r="V102" i="4" s="1"/>
  <c r="X102" i="4" s="1"/>
  <c r="B152" i="10"/>
  <c r="AQ871" i="3"/>
  <c r="F215" i="8" s="1"/>
  <c r="N215" i="1"/>
  <c r="N215" i="5"/>
  <c r="E215" i="5"/>
  <c r="J104" i="4"/>
  <c r="O104" i="4" s="1"/>
  <c r="V104" i="4" s="1"/>
  <c r="X104" i="4" s="1"/>
  <c r="E215" i="1"/>
  <c r="F206" i="1"/>
  <c r="G206" i="1" s="1"/>
  <c r="H206" i="1" s="1"/>
  <c r="I206" i="1" s="1"/>
  <c r="O206" i="1"/>
  <c r="P206" i="1" s="1"/>
  <c r="O206" i="5"/>
  <c r="C131" i="10" s="1"/>
  <c r="F206" i="5"/>
  <c r="C131" i="9" s="1"/>
  <c r="B131" i="10"/>
  <c r="E229" i="1"/>
  <c r="N229" i="1"/>
  <c r="N229" i="5"/>
  <c r="B154" i="10" s="1"/>
  <c r="E229" i="5"/>
  <c r="B154" i="9" s="1"/>
  <c r="J113" i="4"/>
  <c r="O113" i="4" s="1"/>
  <c r="V113" i="4" s="1"/>
  <c r="X113" i="4" s="1"/>
  <c r="AQ885" i="3"/>
  <c r="B131" i="9"/>
  <c r="N207" i="1"/>
  <c r="J74" i="4"/>
  <c r="O74" i="4" s="1"/>
  <c r="V74" i="4" s="1"/>
  <c r="X74" i="4" s="1"/>
  <c r="E207" i="5"/>
  <c r="AQ863" i="3"/>
  <c r="F207" i="8" s="1"/>
  <c r="E207" i="1"/>
  <c r="N207" i="5"/>
  <c r="F206" i="8"/>
  <c r="T204" i="5"/>
  <c r="L232" i="1"/>
  <c r="M232" i="1" s="1"/>
  <c r="M254" i="1" s="1"/>
  <c r="N222" i="5"/>
  <c r="E222" i="1"/>
  <c r="N222" i="1"/>
  <c r="J106" i="4"/>
  <c r="O106" i="4" s="1"/>
  <c r="V106" i="4" s="1"/>
  <c r="X106" i="4" s="1"/>
  <c r="AQ878" i="3"/>
  <c r="F222" i="8" s="1"/>
  <c r="E222" i="5"/>
  <c r="K201" i="8"/>
  <c r="J73" i="4"/>
  <c r="O73" i="4" s="1"/>
  <c r="V73" i="4" s="1"/>
  <c r="X73" i="4" s="1"/>
  <c r="E205" i="5"/>
  <c r="E205" i="1"/>
  <c r="AQ861" i="3"/>
  <c r="K205" i="8" s="1"/>
  <c r="N205" i="1"/>
  <c r="N205" i="5"/>
  <c r="F197" i="8"/>
  <c r="Q204" i="5"/>
  <c r="R204" i="5" s="1"/>
  <c r="E211" i="1"/>
  <c r="N211" i="1"/>
  <c r="N211" i="5"/>
  <c r="E211" i="5"/>
  <c r="AQ867" i="3"/>
  <c r="F211" i="8" s="1"/>
  <c r="J78" i="4"/>
  <c r="O78" i="4" s="1"/>
  <c r="V78" i="4" s="1"/>
  <c r="X78" i="4" s="1"/>
  <c r="F189" i="8"/>
  <c r="J59" i="4"/>
  <c r="O59" i="4" s="1"/>
  <c r="V59" i="4" s="1"/>
  <c r="X59" i="4" s="1"/>
  <c r="E188" i="1"/>
  <c r="N188" i="1"/>
  <c r="AQ844" i="3"/>
  <c r="N188" i="5"/>
  <c r="E188" i="5"/>
  <c r="AQ850" i="3"/>
  <c r="E194" i="1"/>
  <c r="N194" i="1"/>
  <c r="N194" i="5"/>
  <c r="J67" i="4"/>
  <c r="O67" i="4" s="1"/>
  <c r="V67" i="4" s="1"/>
  <c r="X67" i="4" s="1"/>
  <c r="E194" i="5"/>
  <c r="B134" i="10"/>
  <c r="B153" i="9"/>
  <c r="C232" i="1"/>
  <c r="B142" i="10"/>
  <c r="B124" i="9"/>
  <c r="B121" i="10"/>
  <c r="F209" i="1"/>
  <c r="G209" i="1" s="1"/>
  <c r="H209" i="1" s="1"/>
  <c r="I209" i="1" s="1"/>
  <c r="O209" i="5"/>
  <c r="C134" i="10" s="1"/>
  <c r="F209" i="5"/>
  <c r="C134" i="9" s="1"/>
  <c r="O209" i="1"/>
  <c r="P209" i="1" s="1"/>
  <c r="B126" i="9"/>
  <c r="N230" i="5"/>
  <c r="N230" i="1"/>
  <c r="E230" i="5"/>
  <c r="E230" i="1"/>
  <c r="J128" i="4"/>
  <c r="O128" i="4" s="1"/>
  <c r="V128" i="4" s="1"/>
  <c r="X128" i="4" s="1"/>
  <c r="AQ886" i="3"/>
  <c r="K230" i="8" s="1"/>
  <c r="K219" i="8"/>
  <c r="F219" i="5"/>
  <c r="C144" i="9" s="1"/>
  <c r="O219" i="5"/>
  <c r="C144" i="10" s="1"/>
  <c r="O219" i="1"/>
  <c r="P219" i="1" s="1"/>
  <c r="F219" i="1"/>
  <c r="G219" i="1" s="1"/>
  <c r="H219" i="1" s="1"/>
  <c r="I219" i="1" s="1"/>
  <c r="O199" i="5"/>
  <c r="C124" i="10" s="1"/>
  <c r="F199" i="5"/>
  <c r="C124" i="9" s="1"/>
  <c r="O199" i="1"/>
  <c r="P199" i="1" s="1"/>
  <c r="F199" i="1"/>
  <c r="G199" i="1" s="1"/>
  <c r="H199" i="1" s="1"/>
  <c r="I199" i="1" s="1"/>
  <c r="F210" i="1"/>
  <c r="G210" i="1" s="1"/>
  <c r="H210" i="1" s="1"/>
  <c r="I210" i="1" s="1"/>
  <c r="O210" i="1"/>
  <c r="P210" i="1" s="1"/>
  <c r="F210" i="5"/>
  <c r="C135" i="9" s="1"/>
  <c r="O210" i="5"/>
  <c r="C135" i="10" s="1"/>
  <c r="B114" i="10"/>
  <c r="C232" i="5"/>
  <c r="F201" i="1"/>
  <c r="G201" i="1" s="1"/>
  <c r="H201" i="1" s="1"/>
  <c r="I201" i="1" s="1"/>
  <c r="O201" i="1"/>
  <c r="P201" i="1" s="1"/>
  <c r="F201" i="5"/>
  <c r="C126" i="9" s="1"/>
  <c r="O201" i="5"/>
  <c r="C126" i="10" s="1"/>
  <c r="B144" i="10"/>
  <c r="B124" i="10"/>
  <c r="K220" i="8"/>
  <c r="F220" i="8"/>
  <c r="F220" i="1"/>
  <c r="G220" i="1" s="1"/>
  <c r="H220" i="1" s="1"/>
  <c r="I220" i="1" s="1"/>
  <c r="O220" i="1"/>
  <c r="P220" i="1" s="1"/>
  <c r="F220" i="5"/>
  <c r="O220" i="5"/>
  <c r="F210" i="8"/>
  <c r="F209" i="8"/>
  <c r="O189" i="5"/>
  <c r="C114" i="10" s="1"/>
  <c r="F189" i="5"/>
  <c r="C114" i="9" s="1"/>
  <c r="O189" i="1"/>
  <c r="P189" i="1" s="1"/>
  <c r="F189" i="1"/>
  <c r="G189" i="1" s="1"/>
  <c r="H189" i="1" s="1"/>
  <c r="I189" i="1" s="1"/>
  <c r="L232" i="5"/>
  <c r="B142" i="9"/>
  <c r="B144" i="9"/>
  <c r="J232" i="8"/>
  <c r="J254" i="8" s="1"/>
  <c r="J74" i="8" s="1"/>
  <c r="J75" i="8" s="1"/>
  <c r="J30" i="8" s="1"/>
  <c r="J39" i="8" s="1"/>
  <c r="J76" i="8" s="1"/>
  <c r="K210" i="8"/>
  <c r="B134" i="9"/>
  <c r="B135" i="9"/>
  <c r="B153" i="10"/>
  <c r="E192" i="5"/>
  <c r="N192" i="1"/>
  <c r="J94" i="4"/>
  <c r="O94" i="4" s="1"/>
  <c r="V94" i="4" s="1"/>
  <c r="X94" i="4" s="1"/>
  <c r="N192" i="5"/>
  <c r="AQ848" i="3"/>
  <c r="K192" i="8" s="1"/>
  <c r="E192" i="1"/>
  <c r="B114" i="9"/>
  <c r="B126" i="10"/>
  <c r="B135" i="10"/>
  <c r="F217" i="8"/>
  <c r="F217" i="1"/>
  <c r="G217" i="1" s="1"/>
  <c r="H217" i="1" s="1"/>
  <c r="I217" i="1" s="1"/>
  <c r="O217" i="1"/>
  <c r="P217" i="1" s="1"/>
  <c r="F217" i="5"/>
  <c r="C142" i="9" s="1"/>
  <c r="O217" i="5"/>
  <c r="C142" i="10" s="1"/>
  <c r="AQ839" i="3"/>
  <c r="K183" i="8" s="1"/>
  <c r="J90" i="4"/>
  <c r="O90" i="4" s="1"/>
  <c r="V90" i="4" s="1"/>
  <c r="X90" i="4" s="1"/>
  <c r="E183" i="1"/>
  <c r="N183" i="5"/>
  <c r="N183" i="1"/>
  <c r="E183" i="5"/>
  <c r="F219" i="8"/>
  <c r="F199" i="8"/>
  <c r="E225" i="1"/>
  <c r="J88" i="4"/>
  <c r="O88" i="4" s="1"/>
  <c r="V88" i="4" s="1"/>
  <c r="X88" i="4" s="1"/>
  <c r="E225" i="5"/>
  <c r="N225" i="1"/>
  <c r="N225" i="5"/>
  <c r="AQ881" i="3"/>
  <c r="F225" i="8" s="1"/>
  <c r="K228" i="8"/>
  <c r="F228" i="5"/>
  <c r="C153" i="9" s="1"/>
  <c r="O228" i="5"/>
  <c r="C153" i="10" s="1"/>
  <c r="F228" i="1"/>
  <c r="G228" i="1" s="1"/>
  <c r="H228" i="1" s="1"/>
  <c r="I228" i="1" s="1"/>
  <c r="O228" i="1"/>
  <c r="P228" i="1" s="1"/>
  <c r="T186" i="5"/>
  <c r="P190" i="5"/>
  <c r="Q190" i="5" s="1"/>
  <c r="R190" i="5" s="1"/>
  <c r="T195" i="1"/>
  <c r="B122" i="9"/>
  <c r="C148" i="9"/>
  <c r="G223" i="5"/>
  <c r="H223" i="5" s="1"/>
  <c r="I223" i="5" s="1"/>
  <c r="P223" i="5"/>
  <c r="C148" i="10"/>
  <c r="T221" i="1"/>
  <c r="Q221" i="1"/>
  <c r="R221" i="1" s="1"/>
  <c r="O197" i="1"/>
  <c r="P197" i="1" s="1"/>
  <c r="F197" i="1"/>
  <c r="G197" i="1" s="1"/>
  <c r="H197" i="1" s="1"/>
  <c r="I197" i="1" s="1"/>
  <c r="F197" i="5"/>
  <c r="C122" i="9" s="1"/>
  <c r="O197" i="5"/>
  <c r="C122" i="10" s="1"/>
  <c r="B151" i="9"/>
  <c r="B122" i="10"/>
  <c r="O226" i="5"/>
  <c r="C151" i="10" s="1"/>
  <c r="F226" i="5"/>
  <c r="C151" i="9" s="1"/>
  <c r="F226" i="1"/>
  <c r="G226" i="1" s="1"/>
  <c r="H226" i="1" s="1"/>
  <c r="I226" i="1" s="1"/>
  <c r="O226" i="1"/>
  <c r="P226" i="1" s="1"/>
  <c r="Q223" i="1"/>
  <c r="R223" i="1" s="1"/>
  <c r="T223" i="1"/>
  <c r="B151" i="10"/>
  <c r="C146" i="9"/>
  <c r="G221" i="5"/>
  <c r="H221" i="5" s="1"/>
  <c r="I221" i="5" s="1"/>
  <c r="P218" i="5"/>
  <c r="Q218" i="5" s="1"/>
  <c r="R218" i="5" s="1"/>
  <c r="C146" i="10"/>
  <c r="P221" i="5"/>
  <c r="K226" i="8"/>
  <c r="G191" i="5"/>
  <c r="H191" i="5" s="1"/>
  <c r="I191" i="5" s="1"/>
  <c r="T224" i="5"/>
  <c r="H224" i="5"/>
  <c r="I224" i="5" s="1"/>
  <c r="G187" i="5"/>
  <c r="H187" i="5" s="1"/>
  <c r="I187" i="5" s="1"/>
  <c r="R607" i="1"/>
  <c r="R319" i="1"/>
  <c r="Q321" i="1"/>
  <c r="R321" i="1" s="1"/>
  <c r="G190" i="5"/>
  <c r="H190" i="5" s="1"/>
  <c r="I190" i="5" s="1"/>
  <c r="P191" i="5"/>
  <c r="Q191" i="5" s="1"/>
  <c r="R191" i="5" s="1"/>
  <c r="P208" i="5"/>
  <c r="Q208" i="5" s="1"/>
  <c r="R208" i="5" s="1"/>
  <c r="T218" i="1"/>
  <c r="Q218" i="1"/>
  <c r="R218" i="1" s="1"/>
  <c r="P187" i="5"/>
  <c r="C120" i="10"/>
  <c r="P195" i="5"/>
  <c r="G195" i="5"/>
  <c r="H195" i="5" s="1"/>
  <c r="I195" i="5" s="1"/>
  <c r="C120" i="9"/>
  <c r="G218" i="5"/>
  <c r="H218" i="5" s="1"/>
  <c r="I218" i="5" s="1"/>
  <c r="C109" i="10"/>
  <c r="P184" i="1"/>
  <c r="G208" i="5"/>
  <c r="H208" i="5" s="1"/>
  <c r="I208" i="5" s="1"/>
  <c r="P184" i="5"/>
  <c r="Q191" i="1"/>
  <c r="R191" i="1" s="1"/>
  <c r="T191" i="1"/>
  <c r="C109" i="9"/>
  <c r="V62" i="4"/>
  <c r="T187" i="1"/>
  <c r="Q187" i="1"/>
  <c r="R187" i="1" s="1"/>
  <c r="Q190" i="1"/>
  <c r="R190" i="1" s="1"/>
  <c r="T190" i="1"/>
  <c r="G184" i="1"/>
  <c r="H184" i="1" s="1"/>
  <c r="I184" i="1" s="1"/>
  <c r="T231" i="5"/>
  <c r="H231" i="5"/>
  <c r="I231" i="5" s="1"/>
  <c r="T208" i="1"/>
  <c r="Q208" i="1"/>
  <c r="R208" i="1" s="1"/>
  <c r="S442" i="1"/>
  <c r="S537" i="1"/>
  <c r="S437" i="1"/>
  <c r="U233" i="4"/>
  <c r="W223" i="4"/>
  <c r="W233" i="4" s="1"/>
  <c r="S446" i="1"/>
  <c r="S434" i="1"/>
  <c r="S627" i="1"/>
  <c r="S589" i="1"/>
  <c r="S615" i="1"/>
  <c r="S561" i="1"/>
  <c r="S611" i="1"/>
  <c r="S520" i="1"/>
  <c r="S597" i="1"/>
  <c r="S505" i="1"/>
  <c r="S529" i="1"/>
  <c r="S403" i="1"/>
  <c r="S564" i="1"/>
  <c r="S513" i="1"/>
  <c r="S613" i="1"/>
  <c r="S428" i="1"/>
  <c r="S585" i="1"/>
  <c r="S495" i="1"/>
  <c r="S507" i="1"/>
  <c r="S511" i="1"/>
  <c r="S599" i="1"/>
  <c r="S570" i="1"/>
  <c r="S583" i="1"/>
  <c r="S530" i="1"/>
  <c r="S616" i="1"/>
  <c r="S584" i="1"/>
  <c r="S622" i="1"/>
  <c r="T456" i="1"/>
  <c r="S591" i="1"/>
  <c r="S498" i="1"/>
  <c r="S568" i="1"/>
  <c r="S516" i="1"/>
  <c r="S386" i="1"/>
  <c r="S533" i="1"/>
  <c r="S508" i="1"/>
  <c r="S444" i="1"/>
  <c r="S594" i="1"/>
  <c r="S436" i="1"/>
  <c r="S497" i="1"/>
  <c r="S524" i="1"/>
  <c r="S612" i="1"/>
  <c r="S486" i="1"/>
  <c r="S503" i="1"/>
  <c r="S626" i="1"/>
  <c r="S394" i="1"/>
  <c r="S487" i="1"/>
  <c r="S489" i="1"/>
  <c r="S413" i="1"/>
  <c r="S618" i="1"/>
  <c r="S592" i="1"/>
  <c r="S610" i="1"/>
  <c r="S384" i="1"/>
  <c r="S628" i="1"/>
  <c r="S624" i="1"/>
  <c r="S405" i="1"/>
  <c r="S415" i="1"/>
  <c r="S621" i="1"/>
  <c r="S601" i="1"/>
  <c r="S406" i="1"/>
  <c r="S623" i="1"/>
  <c r="S500" i="1"/>
  <c r="S586" i="1"/>
  <c r="S605" i="1"/>
  <c r="S494" i="1"/>
  <c r="S573" i="1"/>
  <c r="S604" i="1"/>
  <c r="S532" i="1"/>
  <c r="S595" i="1"/>
  <c r="S575" i="1"/>
  <c r="S423" i="1"/>
  <c r="S523" i="1"/>
  <c r="S607" i="1"/>
  <c r="S609" i="1"/>
  <c r="S629" i="1"/>
  <c r="S482" i="1"/>
  <c r="S410" i="1"/>
  <c r="S535" i="1"/>
  <c r="S429" i="1"/>
  <c r="S614" i="1"/>
  <c r="S588" i="1"/>
  <c r="S521" i="1"/>
  <c r="S485" i="1"/>
  <c r="S496" i="1"/>
  <c r="S620" i="1"/>
  <c r="S571" i="1"/>
  <c r="S491" i="1"/>
  <c r="S596" i="1"/>
  <c r="S578" i="1"/>
  <c r="S580" i="1"/>
  <c r="S577" i="1"/>
  <c r="S383" i="1"/>
  <c r="S617" i="1"/>
  <c r="S528" i="1"/>
  <c r="S600" i="1"/>
  <c r="S519" i="1"/>
  <c r="S598" i="1"/>
  <c r="S567" i="1"/>
  <c r="S608" i="1"/>
  <c r="S581" i="1"/>
  <c r="S502" i="1"/>
  <c r="S484" i="1"/>
  <c r="S440" i="1"/>
  <c r="S534" i="1"/>
  <c r="S574" i="1"/>
  <c r="S576" i="1"/>
  <c r="S603" i="1"/>
  <c r="S389" i="1"/>
  <c r="S536" i="1"/>
  <c r="S563" i="1"/>
  <c r="S518" i="1"/>
  <c r="S504" i="1"/>
  <c r="S531" i="1"/>
  <c r="S590" i="1"/>
  <c r="S399" i="1"/>
  <c r="S417" i="1"/>
  <c r="S522" i="1"/>
  <c r="S401" i="1"/>
  <c r="S390" i="1"/>
  <c r="S593" i="1"/>
  <c r="S409" i="1"/>
  <c r="S509" i="1"/>
  <c r="S492" i="1"/>
  <c r="S456" i="1"/>
  <c r="S565" i="1"/>
  <c r="S602" i="1"/>
  <c r="S445" i="1"/>
  <c r="S501" i="1"/>
  <c r="S582" i="1"/>
  <c r="S424" i="1"/>
  <c r="S430" i="1"/>
  <c r="S606" i="1"/>
  <c r="S397" i="1"/>
  <c r="S493" i="1"/>
  <c r="S385" i="1"/>
  <c r="S562" i="1"/>
  <c r="S517" i="1"/>
  <c r="S510" i="1"/>
  <c r="S619" i="1"/>
  <c r="S526" i="1"/>
  <c r="S433" i="1"/>
  <c r="S488" i="1"/>
  <c r="S579" i="1"/>
  <c r="S407" i="1"/>
  <c r="S572" i="1"/>
  <c r="S569" i="1"/>
  <c r="S422" i="1"/>
  <c r="S499" i="1"/>
  <c r="S490" i="1"/>
  <c r="S587" i="1"/>
  <c r="S566" i="1"/>
  <c r="S512" i="1"/>
  <c r="S402" i="1"/>
  <c r="S514" i="1"/>
  <c r="S387" i="1"/>
  <c r="S391" i="1"/>
  <c r="S506" i="1"/>
  <c r="S393" i="1"/>
  <c r="S439" i="1"/>
  <c r="S481" i="1"/>
  <c r="S625" i="1"/>
  <c r="S398" i="1"/>
  <c r="S418" i="1"/>
  <c r="S441" i="1"/>
  <c r="S432" i="1"/>
  <c r="S419" i="1"/>
  <c r="S425" i="1"/>
  <c r="S395" i="1"/>
  <c r="S411" i="1"/>
  <c r="S388" i="1"/>
  <c r="S483" i="1"/>
  <c r="S420" i="1"/>
  <c r="S525" i="1"/>
  <c r="S404" i="1"/>
  <c r="S400" i="1"/>
  <c r="S392" i="1"/>
  <c r="S435" i="1"/>
  <c r="S414" i="1"/>
  <c r="S427" i="1"/>
  <c r="S408" i="1"/>
  <c r="S416" i="1"/>
  <c r="S431" i="1"/>
  <c r="S412" i="1"/>
  <c r="S480" i="1"/>
  <c r="S396" i="1"/>
  <c r="S438" i="1"/>
  <c r="S382" i="1"/>
  <c r="S455" i="1"/>
  <c r="S515" i="1"/>
  <c r="S527" i="1"/>
  <c r="S426" i="1"/>
  <c r="S443" i="1"/>
  <c r="R421" i="1"/>
  <c r="Q456" i="1"/>
  <c r="R456" i="1" s="1"/>
  <c r="F156" i="2" l="1"/>
  <c r="V590" i="4"/>
  <c r="W590" i="4" s="1"/>
  <c r="V190" i="4"/>
  <c r="V201" i="4" s="1"/>
  <c r="O201" i="4"/>
  <c r="F160" i="2"/>
  <c r="T577" i="4"/>
  <c r="S578" i="4"/>
  <c r="U589" i="4"/>
  <c r="R356" i="1"/>
  <c r="J313" i="5"/>
  <c r="J321" i="5"/>
  <c r="H358" i="1"/>
  <c r="I358" i="1" s="1"/>
  <c r="F152" i="2"/>
  <c r="S630" i="1"/>
  <c r="V589" i="4"/>
  <c r="O592" i="4"/>
  <c r="O593" i="4" s="1"/>
  <c r="O606" i="4" s="1"/>
  <c r="T193" i="5"/>
  <c r="B100" i="2"/>
  <c r="B101" i="2" s="1"/>
  <c r="F214" i="5"/>
  <c r="G214" i="5" s="1"/>
  <c r="H214" i="5" s="1"/>
  <c r="I214" i="5" s="1"/>
  <c r="T203" i="5"/>
  <c r="Q630" i="1"/>
  <c r="R630" i="1" s="1"/>
  <c r="T202" i="5"/>
  <c r="Q537" i="1"/>
  <c r="R537" i="1" s="1"/>
  <c r="J320" i="5"/>
  <c r="K214" i="8"/>
  <c r="J352" i="5"/>
  <c r="J406" i="5"/>
  <c r="J628" i="5"/>
  <c r="J429" i="5"/>
  <c r="J567" i="5"/>
  <c r="J590" i="5"/>
  <c r="J573" i="5"/>
  <c r="J399" i="5"/>
  <c r="J620" i="5"/>
  <c r="J386" i="5"/>
  <c r="J578" i="5"/>
  <c r="J388" i="5"/>
  <c r="J622" i="5"/>
  <c r="J566" i="5"/>
  <c r="J419" i="5"/>
  <c r="J415" i="5"/>
  <c r="J408" i="5"/>
  <c r="J425" i="5"/>
  <c r="J442" i="5"/>
  <c r="J383" i="5"/>
  <c r="J395" i="5"/>
  <c r="J597" i="5"/>
  <c r="J576" i="5"/>
  <c r="J411" i="5"/>
  <c r="J387" i="5"/>
  <c r="J611" i="5"/>
  <c r="J608" i="5"/>
  <c r="J601" i="5"/>
  <c r="J593" i="5"/>
  <c r="J598" i="5"/>
  <c r="J439" i="5"/>
  <c r="B104" i="2"/>
  <c r="B105" i="2" s="1"/>
  <c r="J418" i="5"/>
  <c r="J407" i="5"/>
  <c r="J438" i="5"/>
  <c r="J412" i="5"/>
  <c r="J592" i="5"/>
  <c r="J391" i="5"/>
  <c r="J583" i="5"/>
  <c r="J440" i="5"/>
  <c r="J385" i="5"/>
  <c r="J401" i="5"/>
  <c r="J584" i="5"/>
  <c r="J624" i="5"/>
  <c r="J561" i="5"/>
  <c r="J613" i="5"/>
  <c r="J443" i="5"/>
  <c r="J389" i="5"/>
  <c r="J610" i="5"/>
  <c r="J586" i="5"/>
  <c r="J609" i="5"/>
  <c r="J398" i="5"/>
  <c r="J627" i="5"/>
  <c r="J393" i="5"/>
  <c r="J417" i="5"/>
  <c r="J435" i="5"/>
  <c r="J565" i="5"/>
  <c r="J569" i="5"/>
  <c r="J436" i="5"/>
  <c r="J614" i="5"/>
  <c r="J616" i="5"/>
  <c r="J603" i="5"/>
  <c r="J410" i="5"/>
  <c r="J455" i="5"/>
  <c r="J400" i="5"/>
  <c r="J595" i="5"/>
  <c r="J618" i="5"/>
  <c r="J390" i="5"/>
  <c r="J384" i="5"/>
  <c r="J446" i="5"/>
  <c r="J433" i="5"/>
  <c r="J404" i="5"/>
  <c r="J409" i="5"/>
  <c r="J579" i="5"/>
  <c r="J445" i="5"/>
  <c r="J563" i="5"/>
  <c r="J602" i="5"/>
  <c r="J619" i="5"/>
  <c r="J403" i="5"/>
  <c r="J599" i="5"/>
  <c r="J580" i="5"/>
  <c r="J568" i="5"/>
  <c r="J570" i="5"/>
  <c r="J430" i="5"/>
  <c r="J413" i="5"/>
  <c r="J402" i="5"/>
  <c r="J394" i="5"/>
  <c r="J392" i="5"/>
  <c r="J431" i="5"/>
  <c r="J421" i="5"/>
  <c r="J612" i="5"/>
  <c r="J582" i="5"/>
  <c r="J626" i="5"/>
  <c r="J600" i="5"/>
  <c r="J621" i="5"/>
  <c r="J414" i="5"/>
  <c r="J607" i="5"/>
  <c r="J596" i="5"/>
  <c r="J441" i="5"/>
  <c r="J420" i="5"/>
  <c r="J581" i="5"/>
  <c r="J575" i="5"/>
  <c r="J564" i="5"/>
  <c r="J589" i="5"/>
  <c r="J444" i="5"/>
  <c r="J623" i="5"/>
  <c r="J432" i="5"/>
  <c r="J396" i="5"/>
  <c r="J585" i="5"/>
  <c r="J427" i="5"/>
  <c r="J405" i="5"/>
  <c r="J615" i="5"/>
  <c r="J572" i="5"/>
  <c r="J424" i="5"/>
  <c r="J426" i="5"/>
  <c r="J434" i="5"/>
  <c r="J617" i="5"/>
  <c r="J605" i="5"/>
  <c r="J397" i="5"/>
  <c r="J423" i="5"/>
  <c r="J604" i="5"/>
  <c r="J416" i="5"/>
  <c r="J629" i="5"/>
  <c r="J587" i="5"/>
  <c r="J606" i="5"/>
  <c r="J571" i="5"/>
  <c r="J588" i="5"/>
  <c r="J577" i="5"/>
  <c r="J422" i="5"/>
  <c r="J456" i="5"/>
  <c r="J382" i="5"/>
  <c r="J625" i="5"/>
  <c r="J594" i="5"/>
  <c r="J428" i="5"/>
  <c r="J574" i="5"/>
  <c r="J562" i="5"/>
  <c r="J591" i="5"/>
  <c r="J437" i="5"/>
  <c r="O227" i="5"/>
  <c r="C152" i="10" s="1"/>
  <c r="O227" i="1"/>
  <c r="P227" i="1" s="1"/>
  <c r="Q227" i="1" s="1"/>
  <c r="R227" i="1" s="1"/>
  <c r="J349" i="5"/>
  <c r="J314" i="5"/>
  <c r="J318" i="5"/>
  <c r="J311" i="5"/>
  <c r="J317" i="5"/>
  <c r="J345" i="5"/>
  <c r="J354" i="5"/>
  <c r="J357" i="5"/>
  <c r="J350" i="5"/>
  <c r="J355" i="5"/>
  <c r="J315" i="5"/>
  <c r="J316" i="5"/>
  <c r="J351" i="5"/>
  <c r="J358" i="5"/>
  <c r="J309" i="5"/>
  <c r="J348" i="5"/>
  <c r="J347" i="5"/>
  <c r="B96" i="2"/>
  <c r="B97" i="2" s="1"/>
  <c r="J346" i="5"/>
  <c r="J353" i="5"/>
  <c r="J310" i="5"/>
  <c r="J312" i="5"/>
  <c r="R422" i="5"/>
  <c r="Q425" i="5"/>
  <c r="R425" i="5" s="1"/>
  <c r="I600" i="5"/>
  <c r="H630" i="5"/>
  <c r="I630" i="5" s="1"/>
  <c r="R345" i="5"/>
  <c r="Q356" i="5"/>
  <c r="I655" i="5"/>
  <c r="H672" i="5"/>
  <c r="I672" i="5" s="1"/>
  <c r="Q442" i="5"/>
  <c r="R442" i="5" s="1"/>
  <c r="R438" i="5"/>
  <c r="Q607" i="5"/>
  <c r="R607" i="5" s="1"/>
  <c r="R601" i="5"/>
  <c r="R382" i="5"/>
  <c r="Q421" i="5"/>
  <c r="P321" i="5"/>
  <c r="T319" i="5"/>
  <c r="T515" i="5"/>
  <c r="P537" i="5"/>
  <c r="H285" i="5"/>
  <c r="I285" i="5" s="1"/>
  <c r="I278" i="5"/>
  <c r="J515" i="5"/>
  <c r="J523" i="5"/>
  <c r="T489" i="5"/>
  <c r="T482" i="5"/>
  <c r="J524" i="5"/>
  <c r="J534" i="5"/>
  <c r="J496" i="5"/>
  <c r="J506" i="5"/>
  <c r="T534" i="5"/>
  <c r="T529" i="5"/>
  <c r="B108" i="2"/>
  <c r="B109" i="2" s="1"/>
  <c r="T499" i="5"/>
  <c r="J500" i="5"/>
  <c r="T514" i="5"/>
  <c r="J482" i="5"/>
  <c r="T495" i="5"/>
  <c r="J502" i="5"/>
  <c r="J497" i="5"/>
  <c r="T494" i="5"/>
  <c r="T510" i="5"/>
  <c r="J529" i="5"/>
  <c r="T487" i="5"/>
  <c r="T508" i="5"/>
  <c r="T507" i="5"/>
  <c r="T513" i="5"/>
  <c r="T500" i="5"/>
  <c r="J527" i="5"/>
  <c r="T528" i="5"/>
  <c r="J518" i="5"/>
  <c r="T531" i="5"/>
  <c r="J508" i="5"/>
  <c r="J501" i="5"/>
  <c r="T504" i="5"/>
  <c r="J526" i="5"/>
  <c r="J483" i="5"/>
  <c r="T522" i="5"/>
  <c r="J517" i="5"/>
  <c r="T485" i="5"/>
  <c r="J498" i="5"/>
  <c r="J514" i="5"/>
  <c r="T519" i="5"/>
  <c r="T493" i="5"/>
  <c r="J535" i="5"/>
  <c r="J512" i="5"/>
  <c r="T491" i="5"/>
  <c r="T533" i="5"/>
  <c r="T484" i="5"/>
  <c r="J519" i="5"/>
  <c r="T511" i="5"/>
  <c r="J528" i="5"/>
  <c r="J493" i="5"/>
  <c r="J492" i="5"/>
  <c r="J490" i="5"/>
  <c r="T518" i="5"/>
  <c r="J481" i="5"/>
  <c r="J537" i="5"/>
  <c r="T530" i="5"/>
  <c r="J491" i="5"/>
  <c r="T505" i="5"/>
  <c r="T486" i="5"/>
  <c r="J499" i="5"/>
  <c r="T521" i="5"/>
  <c r="J503" i="5"/>
  <c r="T517" i="5"/>
  <c r="T497" i="5"/>
  <c r="T502" i="5"/>
  <c r="J495" i="5"/>
  <c r="T535" i="5"/>
  <c r="J522" i="5"/>
  <c r="T480" i="5"/>
  <c r="T523" i="5"/>
  <c r="J486" i="5"/>
  <c r="T526" i="5"/>
  <c r="J487" i="5"/>
  <c r="J488" i="5"/>
  <c r="J507" i="5"/>
  <c r="J480" i="5"/>
  <c r="T516" i="5"/>
  <c r="J511" i="5"/>
  <c r="J530" i="5"/>
  <c r="J533" i="5"/>
  <c r="T496" i="5"/>
  <c r="T481" i="5"/>
  <c r="J536" i="5"/>
  <c r="T509" i="5"/>
  <c r="T490" i="5"/>
  <c r="T488" i="5"/>
  <c r="J484" i="5"/>
  <c r="J521" i="5"/>
  <c r="J510" i="5"/>
  <c r="T503" i="5"/>
  <c r="T525" i="5"/>
  <c r="T506" i="5"/>
  <c r="J504" i="5"/>
  <c r="J516" i="5"/>
  <c r="T483" i="5"/>
  <c r="J520" i="5"/>
  <c r="J485" i="5"/>
  <c r="J509" i="5"/>
  <c r="T524" i="5"/>
  <c r="T501" i="5"/>
  <c r="T520" i="5"/>
  <c r="J494" i="5"/>
  <c r="J525" i="5"/>
  <c r="J531" i="5"/>
  <c r="J513" i="5"/>
  <c r="J489" i="5"/>
  <c r="T492" i="5"/>
  <c r="J505" i="5"/>
  <c r="T498" i="5"/>
  <c r="T512" i="5"/>
  <c r="Q619" i="5"/>
  <c r="R619" i="5" s="1"/>
  <c r="R608" i="5"/>
  <c r="J668" i="5"/>
  <c r="J666" i="5"/>
  <c r="J662" i="5"/>
  <c r="J661" i="5"/>
  <c r="J657" i="5"/>
  <c r="J671" i="5"/>
  <c r="J663" i="5"/>
  <c r="J664" i="5"/>
  <c r="J660" i="5"/>
  <c r="J670" i="5"/>
  <c r="J654" i="5"/>
  <c r="B116" i="2"/>
  <c r="B117" i="2" s="1"/>
  <c r="F117" i="2" s="1"/>
  <c r="J659" i="5"/>
  <c r="J669" i="5"/>
  <c r="J656" i="5"/>
  <c r="J667" i="5"/>
  <c r="J658" i="5"/>
  <c r="J665" i="5"/>
  <c r="J672" i="5"/>
  <c r="J655" i="5"/>
  <c r="T356" i="5"/>
  <c r="P358" i="5"/>
  <c r="R480" i="5"/>
  <c r="Q515" i="5"/>
  <c r="I309" i="5"/>
  <c r="H319" i="5"/>
  <c r="Q446" i="5"/>
  <c r="R446" i="5" s="1"/>
  <c r="R443" i="5"/>
  <c r="J278" i="5"/>
  <c r="J279" i="5"/>
  <c r="J285" i="5"/>
  <c r="J284" i="5"/>
  <c r="J283" i="5"/>
  <c r="J280" i="5"/>
  <c r="B92" i="2"/>
  <c r="B93" i="2" s="1"/>
  <c r="B112" i="2"/>
  <c r="B113" i="2" s="1"/>
  <c r="J630" i="5"/>
  <c r="R309" i="5"/>
  <c r="Q319" i="5"/>
  <c r="R626" i="5"/>
  <c r="Q629" i="5"/>
  <c r="R629" i="5" s="1"/>
  <c r="T527" i="5"/>
  <c r="R278" i="5"/>
  <c r="Q285" i="5"/>
  <c r="R285" i="5" s="1"/>
  <c r="P630" i="5"/>
  <c r="T600" i="5"/>
  <c r="I421" i="5"/>
  <c r="H456" i="5"/>
  <c r="I456" i="5" s="1"/>
  <c r="I345" i="5"/>
  <c r="H356" i="5"/>
  <c r="Q527" i="5"/>
  <c r="R527" i="5" s="1"/>
  <c r="R516" i="5"/>
  <c r="Q625" i="5"/>
  <c r="R625" i="5" s="1"/>
  <c r="R620" i="5"/>
  <c r="I515" i="5"/>
  <c r="H537" i="5"/>
  <c r="I537" i="5" s="1"/>
  <c r="R533" i="5"/>
  <c r="Q536" i="5"/>
  <c r="R536" i="5" s="1"/>
  <c r="J281" i="5"/>
  <c r="S278" i="5"/>
  <c r="D92" i="2"/>
  <c r="D93" i="2" s="1"/>
  <c r="T285" i="5"/>
  <c r="S279" i="5"/>
  <c r="S283" i="5"/>
  <c r="S280" i="5"/>
  <c r="S281" i="5"/>
  <c r="S284" i="5"/>
  <c r="S282" i="5"/>
  <c r="S285" i="5"/>
  <c r="R561" i="5"/>
  <c r="Q600" i="5"/>
  <c r="T532" i="5"/>
  <c r="T536" i="5"/>
  <c r="Q437" i="5"/>
  <c r="R437" i="5" s="1"/>
  <c r="R426" i="5"/>
  <c r="J282" i="5"/>
  <c r="T421" i="5"/>
  <c r="P456" i="5"/>
  <c r="R528" i="5"/>
  <c r="Q532" i="5"/>
  <c r="R532" i="5" s="1"/>
  <c r="J532" i="5"/>
  <c r="O214" i="1"/>
  <c r="P214" i="1" s="1"/>
  <c r="Q214" i="1" s="1"/>
  <c r="R214" i="1" s="1"/>
  <c r="F227" i="5"/>
  <c r="C152" i="9" s="1"/>
  <c r="F214" i="1"/>
  <c r="G214" i="1" s="1"/>
  <c r="H214" i="1" s="1"/>
  <c r="I214" i="1" s="1"/>
  <c r="F227" i="1"/>
  <c r="G227" i="1" s="1"/>
  <c r="H227" i="1" s="1"/>
  <c r="I227" i="1" s="1"/>
  <c r="F227" i="8"/>
  <c r="F196" i="1"/>
  <c r="G196" i="1" s="1"/>
  <c r="H196" i="1" s="1"/>
  <c r="I196" i="1" s="1"/>
  <c r="F214" i="8"/>
  <c r="O196" i="1"/>
  <c r="P196" i="1" s="1"/>
  <c r="Q196" i="1" s="1"/>
  <c r="R196" i="1" s="1"/>
  <c r="F196" i="5"/>
  <c r="C121" i="9" s="1"/>
  <c r="K196" i="8"/>
  <c r="F196" i="8"/>
  <c r="P201" i="5"/>
  <c r="Q201" i="5" s="1"/>
  <c r="R201" i="5" s="1"/>
  <c r="L254" i="1"/>
  <c r="L74" i="1" s="1"/>
  <c r="G206" i="5"/>
  <c r="H206" i="5" s="1"/>
  <c r="I206" i="5" s="1"/>
  <c r="T213" i="1"/>
  <c r="Q213" i="1"/>
  <c r="R213" i="1" s="1"/>
  <c r="P206" i="5"/>
  <c r="K212" i="8"/>
  <c r="F212" i="8"/>
  <c r="F212" i="5"/>
  <c r="O212" i="1"/>
  <c r="P212" i="1" s="1"/>
  <c r="O212" i="5"/>
  <c r="F212" i="1"/>
  <c r="G212" i="1" s="1"/>
  <c r="H212" i="1" s="1"/>
  <c r="I212" i="1" s="1"/>
  <c r="C110" i="9"/>
  <c r="G185" i="5"/>
  <c r="H185" i="5" s="1"/>
  <c r="I185" i="5" s="1"/>
  <c r="T198" i="5"/>
  <c r="Q198" i="5"/>
  <c r="R198" i="5" s="1"/>
  <c r="C138" i="10"/>
  <c r="P213" i="5"/>
  <c r="Q185" i="1"/>
  <c r="R185" i="1" s="1"/>
  <c r="T185" i="1"/>
  <c r="F216" i="8"/>
  <c r="O216" i="1"/>
  <c r="P216" i="1" s="1"/>
  <c r="F216" i="5"/>
  <c r="K216" i="8"/>
  <c r="O216" i="5"/>
  <c r="F216" i="1"/>
  <c r="G216" i="1" s="1"/>
  <c r="H216" i="1" s="1"/>
  <c r="I216" i="1" s="1"/>
  <c r="C138" i="9"/>
  <c r="G213" i="5"/>
  <c r="H213" i="5" s="1"/>
  <c r="I213" i="5" s="1"/>
  <c r="C110" i="10"/>
  <c r="P185" i="5"/>
  <c r="B132" i="10"/>
  <c r="B140" i="9"/>
  <c r="O229" i="1"/>
  <c r="P229" i="1" s="1"/>
  <c r="K229" i="8"/>
  <c r="F229" i="1"/>
  <c r="G229" i="1" s="1"/>
  <c r="H229" i="1" s="1"/>
  <c r="I229" i="1" s="1"/>
  <c r="F229" i="5"/>
  <c r="O229" i="5"/>
  <c r="F229" i="8"/>
  <c r="B140" i="10"/>
  <c r="K207" i="8"/>
  <c r="O207" i="5"/>
  <c r="C132" i="10" s="1"/>
  <c r="F207" i="5"/>
  <c r="C132" i="9" s="1"/>
  <c r="O207" i="1"/>
  <c r="P207" i="1" s="1"/>
  <c r="F207" i="1"/>
  <c r="G207" i="1" s="1"/>
  <c r="H207" i="1" s="1"/>
  <c r="I207" i="1" s="1"/>
  <c r="B132" i="9"/>
  <c r="T206" i="1"/>
  <c r="Q206" i="1"/>
  <c r="R206" i="1" s="1"/>
  <c r="K215" i="8"/>
  <c r="O215" i="5"/>
  <c r="C140" i="10" s="1"/>
  <c r="F215" i="1"/>
  <c r="G215" i="1" s="1"/>
  <c r="H215" i="1" s="1"/>
  <c r="I215" i="1" s="1"/>
  <c r="O215" i="1"/>
  <c r="P215" i="1" s="1"/>
  <c r="F215" i="5"/>
  <c r="C140" i="9" s="1"/>
  <c r="G219" i="5"/>
  <c r="H219" i="5" s="1"/>
  <c r="I219" i="5" s="1"/>
  <c r="G189" i="5"/>
  <c r="H189" i="5" s="1"/>
  <c r="I189" i="5" s="1"/>
  <c r="F205" i="8"/>
  <c r="B130" i="10"/>
  <c r="B147" i="9"/>
  <c r="K222" i="8"/>
  <c r="F222" i="5"/>
  <c r="C147" i="9" s="1"/>
  <c r="O222" i="5"/>
  <c r="C147" i="10" s="1"/>
  <c r="F222" i="1"/>
  <c r="G222" i="1" s="1"/>
  <c r="H222" i="1" s="1"/>
  <c r="I222" i="1" s="1"/>
  <c r="O222" i="1"/>
  <c r="P222" i="1" s="1"/>
  <c r="O205" i="5"/>
  <c r="C130" i="10" s="1"/>
  <c r="F205" i="1"/>
  <c r="G205" i="1" s="1"/>
  <c r="H205" i="1" s="1"/>
  <c r="I205" i="1" s="1"/>
  <c r="O205" i="1"/>
  <c r="P205" i="1" s="1"/>
  <c r="F205" i="5"/>
  <c r="C130" i="9" s="1"/>
  <c r="G209" i="5"/>
  <c r="H209" i="5" s="1"/>
  <c r="I209" i="5" s="1"/>
  <c r="B130" i="9"/>
  <c r="B147" i="10"/>
  <c r="J173" i="4"/>
  <c r="J245" i="4" s="1"/>
  <c r="O245" i="4" s="1"/>
  <c r="O248" i="4" s="1"/>
  <c r="K225" i="8"/>
  <c r="P189" i="5"/>
  <c r="Q189" i="5" s="1"/>
  <c r="R189" i="5" s="1"/>
  <c r="P226" i="5"/>
  <c r="Q226" i="5" s="1"/>
  <c r="R226" i="5" s="1"/>
  <c r="J169" i="4"/>
  <c r="F211" i="1"/>
  <c r="G211" i="1" s="1"/>
  <c r="H211" i="1" s="1"/>
  <c r="I211" i="1" s="1"/>
  <c r="F211" i="5"/>
  <c r="C136" i="9" s="1"/>
  <c r="O211" i="1"/>
  <c r="P211" i="1" s="1"/>
  <c r="O211" i="5"/>
  <c r="C136" i="10" s="1"/>
  <c r="P228" i="5"/>
  <c r="Q228" i="5" s="1"/>
  <c r="R228" i="5" s="1"/>
  <c r="B136" i="9"/>
  <c r="N232" i="1"/>
  <c r="N254" i="1" s="1"/>
  <c r="N74" i="1" s="1"/>
  <c r="N75" i="1" s="1"/>
  <c r="B136" i="10"/>
  <c r="N232" i="5"/>
  <c r="N254" i="5" s="1"/>
  <c r="P219" i="5"/>
  <c r="P209" i="5"/>
  <c r="Q209" i="5" s="1"/>
  <c r="R209" i="5" s="1"/>
  <c r="O169" i="4"/>
  <c r="E232" i="1"/>
  <c r="E254" i="1" s="1"/>
  <c r="B134" i="2" s="1"/>
  <c r="K211" i="8"/>
  <c r="O173" i="4"/>
  <c r="O183" i="4" s="1"/>
  <c r="T228" i="1"/>
  <c r="Q228" i="1"/>
  <c r="R228" i="1" s="1"/>
  <c r="P210" i="5"/>
  <c r="F192" i="8"/>
  <c r="O192" i="1"/>
  <c r="P192" i="1" s="1"/>
  <c r="F192" i="1"/>
  <c r="G192" i="1" s="1"/>
  <c r="H192" i="1" s="1"/>
  <c r="I192" i="1" s="1"/>
  <c r="O192" i="5"/>
  <c r="C117" i="10" s="1"/>
  <c r="F192" i="5"/>
  <c r="C117" i="9" s="1"/>
  <c r="T210" i="1"/>
  <c r="Q210" i="1"/>
  <c r="R210" i="1" s="1"/>
  <c r="P196" i="5"/>
  <c r="B119" i="10"/>
  <c r="B113" i="9"/>
  <c r="O225" i="1"/>
  <c r="P225" i="1" s="1"/>
  <c r="O225" i="5"/>
  <c r="C150" i="10" s="1"/>
  <c r="F225" i="1"/>
  <c r="G225" i="1" s="1"/>
  <c r="H225" i="1" s="1"/>
  <c r="I225" i="1" s="1"/>
  <c r="F225" i="5"/>
  <c r="C150" i="9" s="1"/>
  <c r="B117" i="10"/>
  <c r="G217" i="5"/>
  <c r="H217" i="5" s="1"/>
  <c r="I217" i="5" s="1"/>
  <c r="B155" i="10"/>
  <c r="G228" i="5"/>
  <c r="H228" i="5" s="1"/>
  <c r="I228" i="5" s="1"/>
  <c r="B113" i="10"/>
  <c r="B150" i="10"/>
  <c r="F183" i="5"/>
  <c r="C108" i="9" s="1"/>
  <c r="F183" i="1"/>
  <c r="G183" i="1" s="1"/>
  <c r="H183" i="1" s="1"/>
  <c r="I183" i="1" s="1"/>
  <c r="O183" i="1"/>
  <c r="P183" i="1" s="1"/>
  <c r="O183" i="5"/>
  <c r="C108" i="10" s="1"/>
  <c r="G210" i="5"/>
  <c r="H210" i="5" s="1"/>
  <c r="I210" i="5" s="1"/>
  <c r="C139" i="10"/>
  <c r="P214" i="5"/>
  <c r="P199" i="5"/>
  <c r="G201" i="5"/>
  <c r="H201" i="5" s="1"/>
  <c r="I201" i="5" s="1"/>
  <c r="G199" i="5"/>
  <c r="H199" i="5" s="1"/>
  <c r="I199" i="5" s="1"/>
  <c r="K188" i="8"/>
  <c r="O188" i="5"/>
  <c r="C113" i="10" s="1"/>
  <c r="F188" i="5"/>
  <c r="C113" i="9" s="1"/>
  <c r="F188" i="1"/>
  <c r="G188" i="1" s="1"/>
  <c r="H188" i="1" s="1"/>
  <c r="I188" i="1" s="1"/>
  <c r="O188" i="1"/>
  <c r="P188" i="1" s="1"/>
  <c r="B108" i="9"/>
  <c r="L254" i="5"/>
  <c r="L74" i="5" s="1"/>
  <c r="M232" i="5"/>
  <c r="M254" i="5" s="1"/>
  <c r="Q199" i="1"/>
  <c r="R199" i="1" s="1"/>
  <c r="T199" i="1"/>
  <c r="K194" i="8"/>
  <c r="F194" i="1"/>
  <c r="G194" i="1" s="1"/>
  <c r="H194" i="1" s="1"/>
  <c r="I194" i="1" s="1"/>
  <c r="O194" i="5"/>
  <c r="C119" i="10" s="1"/>
  <c r="F194" i="5"/>
  <c r="C119" i="9" s="1"/>
  <c r="O194" i="1"/>
  <c r="P194" i="1" s="1"/>
  <c r="B150" i="9"/>
  <c r="F183" i="8"/>
  <c r="B117" i="9"/>
  <c r="C145" i="10"/>
  <c r="P220" i="5"/>
  <c r="C254" i="5"/>
  <c r="C74" i="5" s="1"/>
  <c r="D232" i="5"/>
  <c r="D254" i="5" s="1"/>
  <c r="F230" i="8"/>
  <c r="F230" i="5"/>
  <c r="C155" i="9" s="1"/>
  <c r="O230" i="1"/>
  <c r="P230" i="1" s="1"/>
  <c r="O230" i="5"/>
  <c r="C155" i="10" s="1"/>
  <c r="F230" i="1"/>
  <c r="G230" i="1" s="1"/>
  <c r="H230" i="1" s="1"/>
  <c r="I230" i="1" s="1"/>
  <c r="P217" i="5"/>
  <c r="Q217" i="1"/>
  <c r="R217" i="1" s="1"/>
  <c r="T217" i="1"/>
  <c r="G220" i="5"/>
  <c r="H220" i="5" s="1"/>
  <c r="I220" i="5" s="1"/>
  <c r="C145" i="9"/>
  <c r="F194" i="8"/>
  <c r="J170" i="4"/>
  <c r="T220" i="1"/>
  <c r="Q220" i="1"/>
  <c r="R220" i="1" s="1"/>
  <c r="Q201" i="1"/>
  <c r="R201" i="1" s="1"/>
  <c r="T201" i="1"/>
  <c r="B119" i="9"/>
  <c r="E232" i="5"/>
  <c r="B108" i="10"/>
  <c r="Q209" i="1"/>
  <c r="R209" i="1" s="1"/>
  <c r="T209" i="1"/>
  <c r="Q189" i="1"/>
  <c r="R189" i="1" s="1"/>
  <c r="T189" i="1"/>
  <c r="Q219" i="1"/>
  <c r="R219" i="1" s="1"/>
  <c r="T219" i="1"/>
  <c r="B155" i="9"/>
  <c r="D232" i="1"/>
  <c r="D254" i="1" s="1"/>
  <c r="C254" i="1"/>
  <c r="C74" i="1" s="1"/>
  <c r="F188" i="8"/>
  <c r="Q223" i="5"/>
  <c r="R223" i="5" s="1"/>
  <c r="T223" i="5"/>
  <c r="Q197" i="1"/>
  <c r="R197" i="1" s="1"/>
  <c r="T197" i="1"/>
  <c r="G197" i="5"/>
  <c r="H197" i="5" s="1"/>
  <c r="I197" i="5" s="1"/>
  <c r="T221" i="5"/>
  <c r="Q221" i="5"/>
  <c r="R221" i="5" s="1"/>
  <c r="P197" i="5"/>
  <c r="Q226" i="1"/>
  <c r="R226" i="1" s="1"/>
  <c r="T226" i="1"/>
  <c r="G226" i="5"/>
  <c r="H226" i="5" s="1"/>
  <c r="I226" i="5" s="1"/>
  <c r="T191" i="5"/>
  <c r="T218" i="5"/>
  <c r="T190" i="5"/>
  <c r="Q184" i="5"/>
  <c r="R184" i="5" s="1"/>
  <c r="T184" i="5"/>
  <c r="Q187" i="5"/>
  <c r="R187" i="5" s="1"/>
  <c r="T187" i="5"/>
  <c r="X62" i="4"/>
  <c r="X169" i="4" s="1"/>
  <c r="V169" i="4"/>
  <c r="Q184" i="1"/>
  <c r="R184" i="1" s="1"/>
  <c r="T184" i="1"/>
  <c r="T208" i="5"/>
  <c r="T195" i="5"/>
  <c r="Q195" i="5"/>
  <c r="R195" i="5" s="1"/>
  <c r="O202" i="4" l="1"/>
  <c r="W589" i="4"/>
  <c r="C139" i="9"/>
  <c r="P227" i="5"/>
  <c r="Q227" i="5" s="1"/>
  <c r="R227" i="5" s="1"/>
  <c r="T227" i="1"/>
  <c r="T219" i="5"/>
  <c r="G196" i="5"/>
  <c r="H196" i="5" s="1"/>
  <c r="I196" i="5" s="1"/>
  <c r="F93" i="2"/>
  <c r="I356" i="5"/>
  <c r="H358" i="5"/>
  <c r="I358" i="5" s="1"/>
  <c r="I319" i="5"/>
  <c r="H321" i="5"/>
  <c r="I321" i="5" s="1"/>
  <c r="S319" i="5"/>
  <c r="S317" i="5"/>
  <c r="S311" i="5"/>
  <c r="S320" i="5"/>
  <c r="S315" i="5"/>
  <c r="S316" i="5"/>
  <c r="S310" i="5"/>
  <c r="D96" i="2"/>
  <c r="D97" i="2" s="1"/>
  <c r="F97" i="2" s="1"/>
  <c r="S313" i="5"/>
  <c r="S309" i="5"/>
  <c r="S318" i="5"/>
  <c r="S314" i="5"/>
  <c r="S312" i="5"/>
  <c r="S321" i="5"/>
  <c r="T321" i="5"/>
  <c r="R421" i="5"/>
  <c r="Q456" i="5"/>
  <c r="R456" i="5" s="1"/>
  <c r="R356" i="5"/>
  <c r="Q358" i="5"/>
  <c r="R358" i="5" s="1"/>
  <c r="R600" i="5"/>
  <c r="Q630" i="5"/>
  <c r="R630" i="5" s="1"/>
  <c r="R515" i="5"/>
  <c r="Q537" i="5"/>
  <c r="R537" i="5" s="1"/>
  <c r="S421" i="5"/>
  <c r="S444" i="5"/>
  <c r="S430" i="5"/>
  <c r="S613" i="5"/>
  <c r="S506" i="5"/>
  <c r="S423" i="5"/>
  <c r="S525" i="5"/>
  <c r="S609" i="5"/>
  <c r="S596" i="5"/>
  <c r="S520" i="5"/>
  <c r="S605" i="5"/>
  <c r="S616" i="5"/>
  <c r="S439" i="5"/>
  <c r="S589" i="5"/>
  <c r="S622" i="5"/>
  <c r="S608" i="5"/>
  <c r="S492" i="5"/>
  <c r="S456" i="5"/>
  <c r="S428" i="5"/>
  <c r="S618" i="5"/>
  <c r="S513" i="5"/>
  <c r="S526" i="5"/>
  <c r="S416" i="5"/>
  <c r="S408" i="5"/>
  <c r="S382" i="5"/>
  <c r="S572" i="5"/>
  <c r="S612" i="5"/>
  <c r="S598" i="5"/>
  <c r="S484" i="5"/>
  <c r="S625" i="5"/>
  <c r="T456" i="5"/>
  <c r="S580" i="5"/>
  <c r="S533" i="5"/>
  <c r="S606" i="5"/>
  <c r="S495" i="5"/>
  <c r="S523" i="5"/>
  <c r="S445" i="5"/>
  <c r="S400" i="5"/>
  <c r="S577" i="5"/>
  <c r="S431" i="5"/>
  <c r="S621" i="5"/>
  <c r="S570" i="5"/>
  <c r="S385" i="5"/>
  <c r="S494" i="5"/>
  <c r="S406" i="5"/>
  <c r="S386" i="5"/>
  <c r="S624" i="5"/>
  <c r="S402" i="5"/>
  <c r="S502" i="5"/>
  <c r="S481" i="5"/>
  <c r="S585" i="5"/>
  <c r="S399" i="5"/>
  <c r="S592" i="5"/>
  <c r="S522" i="5"/>
  <c r="S610" i="5"/>
  <c r="S389" i="5"/>
  <c r="S565" i="5"/>
  <c r="S564" i="5"/>
  <c r="S571" i="5"/>
  <c r="S395" i="5"/>
  <c r="S620" i="5"/>
  <c r="S599" i="5"/>
  <c r="S417" i="5"/>
  <c r="S528" i="5"/>
  <c r="S426" i="5"/>
  <c r="S584" i="5"/>
  <c r="S396" i="5"/>
  <c r="S579" i="5"/>
  <c r="S432" i="5"/>
  <c r="S590" i="5"/>
  <c r="S403" i="5"/>
  <c r="S392" i="5"/>
  <c r="S604" i="5"/>
  <c r="S578" i="5"/>
  <c r="S587" i="5"/>
  <c r="S595" i="5"/>
  <c r="S509" i="5"/>
  <c r="S437" i="5"/>
  <c r="S418" i="5"/>
  <c r="S611" i="5"/>
  <c r="S433" i="5"/>
  <c r="S566" i="5"/>
  <c r="S446" i="5"/>
  <c r="S617" i="5"/>
  <c r="S429" i="5"/>
  <c r="S588" i="5"/>
  <c r="S410" i="5"/>
  <c r="S482" i="5"/>
  <c r="S534" i="5"/>
  <c r="S563" i="5"/>
  <c r="S629" i="5"/>
  <c r="S536" i="5"/>
  <c r="S422" i="5"/>
  <c r="S485" i="5"/>
  <c r="S614" i="5"/>
  <c r="S398" i="5"/>
  <c r="S480" i="5"/>
  <c r="S582" i="5"/>
  <c r="S581" i="5"/>
  <c r="S576" i="5"/>
  <c r="S419" i="5"/>
  <c r="S593" i="5"/>
  <c r="S434" i="5"/>
  <c r="S490" i="5"/>
  <c r="S497" i="5"/>
  <c r="S404" i="5"/>
  <c r="S438" i="5"/>
  <c r="S388" i="5"/>
  <c r="S510" i="5"/>
  <c r="S615" i="5"/>
  <c r="S413" i="5"/>
  <c r="S409" i="5"/>
  <c r="S384" i="5"/>
  <c r="S500" i="5"/>
  <c r="S441" i="5"/>
  <c r="S575" i="5"/>
  <c r="S387" i="5"/>
  <c r="S483" i="5"/>
  <c r="S436" i="5"/>
  <c r="S488" i="5"/>
  <c r="S415" i="5"/>
  <c r="S527" i="5"/>
  <c r="S561" i="5"/>
  <c r="S600" i="5"/>
  <c r="S498" i="5"/>
  <c r="S489" i="5"/>
  <c r="S586" i="5"/>
  <c r="S607" i="5"/>
  <c r="S521" i="5"/>
  <c r="S569" i="5"/>
  <c r="S524" i="5"/>
  <c r="S532" i="5"/>
  <c r="S529" i="5"/>
  <c r="S427" i="5"/>
  <c r="S597" i="5"/>
  <c r="S414" i="5"/>
  <c r="S455" i="5"/>
  <c r="S530" i="5"/>
  <c r="S594" i="5"/>
  <c r="S508" i="5"/>
  <c r="S591" i="5"/>
  <c r="S512" i="5"/>
  <c r="S531" i="5"/>
  <c r="S503" i="5"/>
  <c r="D104" i="2"/>
  <c r="D105" i="2" s="1"/>
  <c r="F105" i="2" s="1"/>
  <c r="S425" i="5"/>
  <c r="S505" i="5"/>
  <c r="S393" i="5"/>
  <c r="S412" i="5"/>
  <c r="S507" i="5"/>
  <c r="S516" i="5"/>
  <c r="S628" i="5"/>
  <c r="S493" i="5"/>
  <c r="S568" i="5"/>
  <c r="S562" i="5"/>
  <c r="S514" i="5"/>
  <c r="S573" i="5"/>
  <c r="S499" i="5"/>
  <c r="S601" i="5"/>
  <c r="S574" i="5"/>
  <c r="S391" i="5"/>
  <c r="S407" i="5"/>
  <c r="S496" i="5"/>
  <c r="S486" i="5"/>
  <c r="S623" i="5"/>
  <c r="S519" i="5"/>
  <c r="S440" i="5"/>
  <c r="S394" i="5"/>
  <c r="S383" i="5"/>
  <c r="S435" i="5"/>
  <c r="S517" i="5"/>
  <c r="S515" i="5"/>
  <c r="S442" i="5"/>
  <c r="S397" i="5"/>
  <c r="S627" i="5"/>
  <c r="S602" i="5"/>
  <c r="S487" i="5"/>
  <c r="S583" i="5"/>
  <c r="S443" i="5"/>
  <c r="S501" i="5"/>
  <c r="S401" i="5"/>
  <c r="S491" i="5"/>
  <c r="S626" i="5"/>
  <c r="S424" i="5"/>
  <c r="S567" i="5"/>
  <c r="S504" i="5"/>
  <c r="S390" i="5"/>
  <c r="S603" i="5"/>
  <c r="S420" i="5"/>
  <c r="S518" i="5"/>
  <c r="S619" i="5"/>
  <c r="S535" i="5"/>
  <c r="S405" i="5"/>
  <c r="S411" i="5"/>
  <c r="S511" i="5"/>
  <c r="R319" i="5"/>
  <c r="Q321" i="5"/>
  <c r="R321" i="5" s="1"/>
  <c r="S358" i="5"/>
  <c r="S345" i="5"/>
  <c r="S356" i="5"/>
  <c r="D100" i="2"/>
  <c r="D101" i="2" s="1"/>
  <c r="F101" i="2" s="1"/>
  <c r="S347" i="5"/>
  <c r="S349" i="5"/>
  <c r="S357" i="5"/>
  <c r="S352" i="5"/>
  <c r="S355" i="5"/>
  <c r="T358" i="5"/>
  <c r="S348" i="5"/>
  <c r="S350" i="5"/>
  <c r="S353" i="5"/>
  <c r="S354" i="5"/>
  <c r="S351" i="5"/>
  <c r="S346" i="5"/>
  <c r="D112" i="2"/>
  <c r="D113" i="2" s="1"/>
  <c r="F113" i="2" s="1"/>
  <c r="S630" i="5"/>
  <c r="T630" i="5"/>
  <c r="T537" i="5"/>
  <c r="S537" i="5"/>
  <c r="D108" i="2"/>
  <c r="D109" i="2" s="1"/>
  <c r="F109" i="2" s="1"/>
  <c r="G227" i="5"/>
  <c r="H227" i="5" s="1"/>
  <c r="I227" i="5" s="1"/>
  <c r="T196" i="1"/>
  <c r="T214" i="1"/>
  <c r="Q219" i="5"/>
  <c r="R219" i="5" s="1"/>
  <c r="T189" i="5"/>
  <c r="T206" i="5"/>
  <c r="T209" i="5"/>
  <c r="Q206" i="5"/>
  <c r="R206" i="5" s="1"/>
  <c r="G225" i="5"/>
  <c r="H225" i="5" s="1"/>
  <c r="I225" i="5" s="1"/>
  <c r="L75" i="1"/>
  <c r="L30" i="1" s="1"/>
  <c r="M74" i="1"/>
  <c r="M75" i="1" s="1"/>
  <c r="C137" i="10"/>
  <c r="P212" i="5"/>
  <c r="Q213" i="5"/>
  <c r="R213" i="5" s="1"/>
  <c r="T213" i="5"/>
  <c r="Q212" i="1"/>
  <c r="R212" i="1" s="1"/>
  <c r="T212" i="1"/>
  <c r="C141" i="10"/>
  <c r="P216" i="5"/>
  <c r="C137" i="9"/>
  <c r="G212" i="5"/>
  <c r="H212" i="5" s="1"/>
  <c r="I212" i="5" s="1"/>
  <c r="C141" i="9"/>
  <c r="G216" i="5"/>
  <c r="H216" i="5" s="1"/>
  <c r="I216" i="5" s="1"/>
  <c r="Q185" i="5"/>
  <c r="R185" i="5" s="1"/>
  <c r="T185" i="5"/>
  <c r="Q216" i="1"/>
  <c r="R216" i="1" s="1"/>
  <c r="T216" i="1"/>
  <c r="G207" i="5"/>
  <c r="H207" i="5" s="1"/>
  <c r="I207" i="5" s="1"/>
  <c r="Q229" i="1"/>
  <c r="R229" i="1" s="1"/>
  <c r="T229" i="1"/>
  <c r="P215" i="5"/>
  <c r="G215" i="5"/>
  <c r="H215" i="5" s="1"/>
  <c r="I215" i="5" s="1"/>
  <c r="J249" i="4"/>
  <c r="P207" i="5"/>
  <c r="P183" i="5"/>
  <c r="Q183" i="5" s="1"/>
  <c r="R183" i="5" s="1"/>
  <c r="T215" i="1"/>
  <c r="Q215" i="1"/>
  <c r="R215" i="1" s="1"/>
  <c r="C154" i="10"/>
  <c r="P229" i="5"/>
  <c r="Q207" i="1"/>
  <c r="R207" i="1" s="1"/>
  <c r="T207" i="1"/>
  <c r="C154" i="9"/>
  <c r="G229" i="5"/>
  <c r="H229" i="5" s="1"/>
  <c r="I229" i="5" s="1"/>
  <c r="D61" i="2"/>
  <c r="D62" i="2" s="1"/>
  <c r="P205" i="5"/>
  <c r="Q205" i="5" s="1"/>
  <c r="R205" i="5" s="1"/>
  <c r="G230" i="5"/>
  <c r="H230" i="5" s="1"/>
  <c r="I230" i="5" s="1"/>
  <c r="B157" i="10"/>
  <c r="E157" i="10" s="1"/>
  <c r="E184" i="10" s="1"/>
  <c r="Q205" i="1"/>
  <c r="R205" i="1" s="1"/>
  <c r="T205" i="1"/>
  <c r="G222" i="5"/>
  <c r="H222" i="5" s="1"/>
  <c r="I222" i="5" s="1"/>
  <c r="P222" i="5"/>
  <c r="Q222" i="1"/>
  <c r="R222" i="1" s="1"/>
  <c r="T222" i="1"/>
  <c r="G194" i="5"/>
  <c r="H194" i="5" s="1"/>
  <c r="I194" i="5" s="1"/>
  <c r="E74" i="1"/>
  <c r="E75" i="1" s="1"/>
  <c r="E30" i="1" s="1"/>
  <c r="E39" i="1" s="1"/>
  <c r="B126" i="2" s="1"/>
  <c r="G205" i="5"/>
  <c r="H205" i="5" s="1"/>
  <c r="I205" i="5" s="1"/>
  <c r="N74" i="5"/>
  <c r="B15" i="10" s="1"/>
  <c r="D28" i="2"/>
  <c r="D35" i="2" s="1"/>
  <c r="D39" i="2" s="1"/>
  <c r="D135" i="2"/>
  <c r="N30" i="1"/>
  <c r="N39" i="1" s="1"/>
  <c r="D126" i="2" s="1"/>
  <c r="D130" i="2"/>
  <c r="Q211" i="1"/>
  <c r="R211" i="1" s="1"/>
  <c r="T211" i="1"/>
  <c r="P211" i="5"/>
  <c r="T228" i="5"/>
  <c r="G192" i="5"/>
  <c r="H192" i="5" s="1"/>
  <c r="I192" i="5" s="1"/>
  <c r="D134" i="2"/>
  <c r="G211" i="5"/>
  <c r="H211" i="5" s="1"/>
  <c r="I211" i="5" s="1"/>
  <c r="F232" i="5"/>
  <c r="G232" i="5" s="1"/>
  <c r="K232" i="8"/>
  <c r="K254" i="8" s="1"/>
  <c r="K74" i="8" s="1"/>
  <c r="K75" i="8" s="1"/>
  <c r="J183" i="4"/>
  <c r="P192" i="5"/>
  <c r="Q192" i="5" s="1"/>
  <c r="R192" i="5" s="1"/>
  <c r="B179" i="10"/>
  <c r="V173" i="4"/>
  <c r="V183" i="4" s="1"/>
  <c r="V184" i="4" s="1"/>
  <c r="Q183" i="1"/>
  <c r="R183" i="1" s="1"/>
  <c r="T183" i="1"/>
  <c r="Q188" i="1"/>
  <c r="R188" i="1" s="1"/>
  <c r="T188" i="1"/>
  <c r="Q214" i="5"/>
  <c r="R214" i="5" s="1"/>
  <c r="T214" i="5"/>
  <c r="Q225" i="1"/>
  <c r="R225" i="1" s="1"/>
  <c r="T225" i="1"/>
  <c r="O232" i="1"/>
  <c r="O254" i="1" s="1"/>
  <c r="E134" i="2" s="1"/>
  <c r="P225" i="5"/>
  <c r="G188" i="5"/>
  <c r="H188" i="5" s="1"/>
  <c r="I188" i="5" s="1"/>
  <c r="E254" i="5"/>
  <c r="B157" i="9"/>
  <c r="E157" i="9" s="1"/>
  <c r="E184" i="9" s="1"/>
  <c r="B61" i="2"/>
  <c r="B62" i="2" s="1"/>
  <c r="D74" i="5"/>
  <c r="D75" i="5" s="1"/>
  <c r="C75" i="5"/>
  <c r="C30" i="5" s="1"/>
  <c r="D30" i="5" s="1"/>
  <c r="L75" i="5"/>
  <c r="L30" i="5" s="1"/>
  <c r="M74" i="5"/>
  <c r="M75" i="5" s="1"/>
  <c r="T201" i="5"/>
  <c r="P188" i="5"/>
  <c r="P194" i="5"/>
  <c r="Q192" i="1"/>
  <c r="R192" i="1" s="1"/>
  <c r="T192" i="1"/>
  <c r="F232" i="8"/>
  <c r="F254" i="8" s="1"/>
  <c r="C75" i="1"/>
  <c r="C30" i="1" s="1"/>
  <c r="D74" i="1"/>
  <c r="D75" i="1" s="1"/>
  <c r="Q217" i="5"/>
  <c r="R217" i="5" s="1"/>
  <c r="T217" i="5"/>
  <c r="F232" i="1"/>
  <c r="O232" i="5"/>
  <c r="E61" i="2" s="1"/>
  <c r="E62" i="2" s="1"/>
  <c r="Q196" i="5"/>
  <c r="R196" i="5" s="1"/>
  <c r="Q210" i="5"/>
  <c r="R210" i="5" s="1"/>
  <c r="T210" i="5"/>
  <c r="Q220" i="5"/>
  <c r="R220" i="5" s="1"/>
  <c r="T220" i="5"/>
  <c r="G183" i="5"/>
  <c r="H183" i="5" s="1"/>
  <c r="I183" i="5" s="1"/>
  <c r="P230" i="5"/>
  <c r="T230" i="1"/>
  <c r="Q230" i="1"/>
  <c r="R230" i="1" s="1"/>
  <c r="Q194" i="1"/>
  <c r="R194" i="1" s="1"/>
  <c r="T194" i="1"/>
  <c r="Q199" i="5"/>
  <c r="R199" i="5" s="1"/>
  <c r="T199" i="5"/>
  <c r="Q197" i="5"/>
  <c r="R197" i="5" s="1"/>
  <c r="T197" i="5"/>
  <c r="T226" i="5"/>
  <c r="P544" i="4"/>
  <c r="P583" i="4"/>
  <c r="P586" i="4" s="1"/>
  <c r="P248" i="4"/>
  <c r="R544" i="4" s="1"/>
  <c r="R548" i="4" s="1"/>
  <c r="T548" i="4" s="1"/>
  <c r="O184" i="4"/>
  <c r="T227" i="5" l="1"/>
  <c r="T196" i="5"/>
  <c r="J250" i="4"/>
  <c r="L39" i="1"/>
  <c r="M30" i="1"/>
  <c r="M39" i="1" s="1"/>
  <c r="Q216" i="5"/>
  <c r="R216" i="5" s="1"/>
  <c r="T216" i="5"/>
  <c r="Q212" i="5"/>
  <c r="R212" i="5" s="1"/>
  <c r="T212" i="5"/>
  <c r="F254" i="5"/>
  <c r="C28" i="2" s="1"/>
  <c r="C35" i="2" s="1"/>
  <c r="C39" i="2" s="1"/>
  <c r="G254" i="5"/>
  <c r="H232" i="5"/>
  <c r="I232" i="5" s="1"/>
  <c r="O74" i="1"/>
  <c r="O75" i="1" s="1"/>
  <c r="T207" i="5"/>
  <c r="Q207" i="5"/>
  <c r="R207" i="5" s="1"/>
  <c r="Q229" i="5"/>
  <c r="R229" i="5" s="1"/>
  <c r="T229" i="5"/>
  <c r="Q215" i="5"/>
  <c r="R215" i="5" s="1"/>
  <c r="T215" i="5"/>
  <c r="T192" i="5"/>
  <c r="T205" i="5"/>
  <c r="Q222" i="5"/>
  <c r="R222" i="5" s="1"/>
  <c r="T222" i="5"/>
  <c r="B130" i="2"/>
  <c r="N75" i="5"/>
  <c r="N30" i="5" s="1"/>
  <c r="N39" i="5" s="1"/>
  <c r="J187" i="4"/>
  <c r="J202" i="4"/>
  <c r="J184" i="4"/>
  <c r="C157" i="9"/>
  <c r="F157" i="9" s="1"/>
  <c r="F184" i="9" s="1"/>
  <c r="C61" i="2"/>
  <c r="C62" i="2" s="1"/>
  <c r="F62" i="2" s="1"/>
  <c r="D87" i="2"/>
  <c r="D136" i="2"/>
  <c r="C157" i="10"/>
  <c r="F157" i="10" s="1"/>
  <c r="F184" i="10" s="1"/>
  <c r="Q211" i="5"/>
  <c r="R211" i="5" s="1"/>
  <c r="T211" i="5"/>
  <c r="B181" i="10"/>
  <c r="V202" i="4"/>
  <c r="C39" i="1"/>
  <c r="D30" i="1"/>
  <c r="D39" i="1" s="1"/>
  <c r="L39" i="5"/>
  <c r="L76" i="5" s="1"/>
  <c r="M30" i="5"/>
  <c r="M39" i="5" s="1"/>
  <c r="M76" i="5" s="1"/>
  <c r="F74" i="8"/>
  <c r="F75" i="8" s="1"/>
  <c r="B87" i="2"/>
  <c r="C39" i="5"/>
  <c r="D39" i="5"/>
  <c r="T225" i="5"/>
  <c r="Q225" i="5"/>
  <c r="R225" i="5" s="1"/>
  <c r="T230" i="5"/>
  <c r="Q230" i="5"/>
  <c r="R230" i="5" s="1"/>
  <c r="P232" i="5"/>
  <c r="O254" i="5"/>
  <c r="T183" i="5"/>
  <c r="G232" i="1"/>
  <c r="F254" i="1"/>
  <c r="Q194" i="5"/>
  <c r="R194" i="5" s="1"/>
  <c r="T194" i="5"/>
  <c r="P232" i="1"/>
  <c r="Q188" i="5"/>
  <c r="R188" i="5" s="1"/>
  <c r="T188" i="5"/>
  <c r="B28" i="2"/>
  <c r="B35" i="2" s="1"/>
  <c r="B39" i="2" s="1"/>
  <c r="E74" i="5"/>
  <c r="B135" i="2"/>
  <c r="B136" i="2" s="1"/>
  <c r="B178" i="9"/>
  <c r="K30" i="8"/>
  <c r="K39" i="8" s="1"/>
  <c r="D83" i="2"/>
  <c r="P552" i="4"/>
  <c r="P587" i="4" s="1"/>
  <c r="T547" i="4"/>
  <c r="J166" i="5" l="1"/>
  <c r="J168" i="5"/>
  <c r="J167" i="5"/>
  <c r="J118" i="5"/>
  <c r="J108" i="5"/>
  <c r="C178" i="9"/>
  <c r="J101" i="5"/>
  <c r="J144" i="5"/>
  <c r="J254" i="5"/>
  <c r="J220" i="5"/>
  <c r="J239" i="5"/>
  <c r="J123" i="5"/>
  <c r="J129" i="5"/>
  <c r="J221" i="5"/>
  <c r="J209" i="5"/>
  <c r="J160" i="5"/>
  <c r="J183" i="5"/>
  <c r="J112" i="5"/>
  <c r="J194" i="5"/>
  <c r="J212" i="5"/>
  <c r="J162" i="5"/>
  <c r="J205" i="5"/>
  <c r="J161" i="5"/>
  <c r="J226" i="5"/>
  <c r="J454" i="5"/>
  <c r="J200" i="5"/>
  <c r="J191" i="5"/>
  <c r="J199" i="5"/>
  <c r="J104" i="5"/>
  <c r="J252" i="5"/>
  <c r="J235" i="5"/>
  <c r="J215" i="5"/>
  <c r="J102" i="5"/>
  <c r="J169" i="5"/>
  <c r="J152" i="5"/>
  <c r="J107" i="5"/>
  <c r="J124" i="5"/>
  <c r="J192" i="5"/>
  <c r="J179" i="5"/>
  <c r="J249" i="5"/>
  <c r="J193" i="5"/>
  <c r="J240" i="5"/>
  <c r="J133" i="5"/>
  <c r="J122" i="5"/>
  <c r="J125" i="5"/>
  <c r="J170" i="5"/>
  <c r="J149" i="5"/>
  <c r="J117" i="5"/>
  <c r="J158" i="5"/>
  <c r="J218" i="5"/>
  <c r="J132" i="5"/>
  <c r="J177" i="5"/>
  <c r="J451" i="5"/>
  <c r="J171" i="5"/>
  <c r="J100" i="5"/>
  <c r="J204" i="5"/>
  <c r="J232" i="5"/>
  <c r="J248" i="5"/>
  <c r="J202" i="5"/>
  <c r="J115" i="5"/>
  <c r="J222" i="5"/>
  <c r="J154" i="5"/>
  <c r="J228" i="5"/>
  <c r="J176" i="5"/>
  <c r="J146" i="5"/>
  <c r="J163" i="5"/>
  <c r="J224" i="5"/>
  <c r="J188" i="5"/>
  <c r="J165" i="5"/>
  <c r="J172" i="5"/>
  <c r="J217" i="5"/>
  <c r="J159" i="5"/>
  <c r="J244" i="5"/>
  <c r="J181" i="5"/>
  <c r="P74" i="1"/>
  <c r="Q74" i="1" s="1"/>
  <c r="C135" i="2"/>
  <c r="F74" i="5"/>
  <c r="G74" i="5" s="1"/>
  <c r="J150" i="5"/>
  <c r="J208" i="5"/>
  <c r="J189" i="5"/>
  <c r="J247" i="5"/>
  <c r="J148" i="5"/>
  <c r="J253" i="5"/>
  <c r="J134" i="5"/>
  <c r="J450" i="5"/>
  <c r="J453" i="5"/>
  <c r="J178" i="5"/>
  <c r="J207" i="5"/>
  <c r="J245" i="5"/>
  <c r="J111" i="5"/>
  <c r="J182" i="5"/>
  <c r="J234" i="5"/>
  <c r="J155" i="5"/>
  <c r="J452" i="5"/>
  <c r="J126" i="5"/>
  <c r="J211" i="5"/>
  <c r="J198" i="5"/>
  <c r="J448" i="5"/>
  <c r="J229" i="5"/>
  <c r="J242" i="5"/>
  <c r="H254" i="5"/>
  <c r="I254" i="5" s="1"/>
  <c r="J116" i="5"/>
  <c r="J210" i="5"/>
  <c r="J143" i="5"/>
  <c r="J213" i="5"/>
  <c r="J197" i="5"/>
  <c r="J131" i="5"/>
  <c r="J139" i="5"/>
  <c r="J130" i="5"/>
  <c r="J250" i="5"/>
  <c r="J151" i="5"/>
  <c r="J113" i="5"/>
  <c r="J109" i="5"/>
  <c r="J119" i="5"/>
  <c r="J225" i="5"/>
  <c r="J136" i="5"/>
  <c r="J187" i="5"/>
  <c r="J110" i="5"/>
  <c r="J447" i="5"/>
  <c r="J449" i="5"/>
  <c r="B88" i="2"/>
  <c r="B89" i="2" s="1"/>
  <c r="J180" i="5"/>
  <c r="J201" i="5"/>
  <c r="J190" i="5"/>
  <c r="J186" i="5"/>
  <c r="J216" i="5"/>
  <c r="J238" i="5"/>
  <c r="J230" i="5"/>
  <c r="J156" i="5"/>
  <c r="J141" i="5"/>
  <c r="J106" i="5"/>
  <c r="J195" i="5"/>
  <c r="J121" i="5"/>
  <c r="J137" i="5"/>
  <c r="J147" i="5"/>
  <c r="J203" i="5"/>
  <c r="J153" i="5"/>
  <c r="J236" i="5"/>
  <c r="J185" i="5"/>
  <c r="J175" i="5"/>
  <c r="J223" i="5"/>
  <c r="J243" i="5"/>
  <c r="J128" i="5"/>
  <c r="J227" i="5"/>
  <c r="J196" i="5"/>
  <c r="J120" i="5"/>
  <c r="J184" i="5"/>
  <c r="J214" i="5"/>
  <c r="J135" i="5"/>
  <c r="J219" i="5"/>
  <c r="J127" i="5"/>
  <c r="J138" i="5"/>
  <c r="J237" i="5"/>
  <c r="J241" i="5"/>
  <c r="J105" i="5"/>
  <c r="J157" i="5"/>
  <c r="J114" i="5"/>
  <c r="J246" i="5"/>
  <c r="J173" i="5"/>
  <c r="J145" i="5"/>
  <c r="J140" i="5"/>
  <c r="J164" i="5"/>
  <c r="J206" i="5"/>
  <c r="J142" i="5"/>
  <c r="J174" i="5"/>
  <c r="J231" i="5"/>
  <c r="J103" i="5"/>
  <c r="D17" i="2"/>
  <c r="D18" i="2" s="1"/>
  <c r="D131" i="2"/>
  <c r="D132" i="2" s="1"/>
  <c r="B16" i="10"/>
  <c r="B18" i="10" s="1"/>
  <c r="O74" i="5"/>
  <c r="E28" i="2"/>
  <c r="E35" i="2" s="1"/>
  <c r="E39" i="2" s="1"/>
  <c r="F39" i="2" s="1"/>
  <c r="E135" i="2"/>
  <c r="E136" i="2" s="1"/>
  <c r="C179" i="10"/>
  <c r="D79" i="2"/>
  <c r="K76" i="8"/>
  <c r="Q232" i="1"/>
  <c r="T232" i="1"/>
  <c r="P254" i="1"/>
  <c r="P254" i="5"/>
  <c r="T232" i="5"/>
  <c r="Q232" i="5"/>
  <c r="F30" i="8"/>
  <c r="F39" i="8" s="1"/>
  <c r="B79" i="2" s="1"/>
  <c r="B83" i="2"/>
  <c r="B16" i="9"/>
  <c r="B181" i="9" s="1"/>
  <c r="E75" i="5"/>
  <c r="E30" i="5" s="1"/>
  <c r="C134" i="2"/>
  <c r="F74" i="1"/>
  <c r="G254" i="1"/>
  <c r="H232" i="1"/>
  <c r="E130" i="2"/>
  <c r="O30" i="1"/>
  <c r="P606" i="4"/>
  <c r="D7" i="2"/>
  <c r="D8" i="2" s="1"/>
  <c r="D127" i="2"/>
  <c r="D128" i="2" s="1"/>
  <c r="N76" i="5"/>
  <c r="C136" i="2" l="1"/>
  <c r="F136" i="2" s="1"/>
  <c r="J168" i="1"/>
  <c r="J167" i="1"/>
  <c r="S168" i="1"/>
  <c r="S167" i="1"/>
  <c r="S168" i="5"/>
  <c r="S167" i="5"/>
  <c r="S232" i="5"/>
  <c r="P75" i="1"/>
  <c r="S67" i="1" s="1"/>
  <c r="G75" i="5"/>
  <c r="J73" i="5" s="1"/>
  <c r="H74" i="5"/>
  <c r="I74" i="5" s="1"/>
  <c r="C16" i="9"/>
  <c r="C181" i="9" s="1"/>
  <c r="F75" i="5"/>
  <c r="F30" i="5" s="1"/>
  <c r="J200" i="1"/>
  <c r="J156" i="1"/>
  <c r="J232" i="1"/>
  <c r="J219" i="1"/>
  <c r="J252" i="1"/>
  <c r="J128" i="1"/>
  <c r="J143" i="1"/>
  <c r="J453" i="1"/>
  <c r="J112" i="1"/>
  <c r="J449" i="1"/>
  <c r="J211" i="1"/>
  <c r="J217" i="1"/>
  <c r="J180" i="1"/>
  <c r="J215" i="1"/>
  <c r="J144" i="1"/>
  <c r="J220" i="1"/>
  <c r="J229" i="1"/>
  <c r="J191" i="1"/>
  <c r="J253" i="1"/>
  <c r="J140" i="1"/>
  <c r="J136" i="1"/>
  <c r="J186" i="1"/>
  <c r="J198" i="1"/>
  <c r="J246" i="1"/>
  <c r="J189" i="1"/>
  <c r="J172" i="1"/>
  <c r="J111" i="1"/>
  <c r="J244" i="1"/>
  <c r="J157" i="1"/>
  <c r="J121" i="1"/>
  <c r="J213" i="1"/>
  <c r="J107" i="1"/>
  <c r="J110" i="1"/>
  <c r="J243" i="1"/>
  <c r="J212" i="1"/>
  <c r="J241" i="1"/>
  <c r="J447" i="1"/>
  <c r="J181" i="1"/>
  <c r="J194" i="1"/>
  <c r="J224" i="1"/>
  <c r="J238" i="1"/>
  <c r="J195" i="1"/>
  <c r="J216" i="1"/>
  <c r="J150" i="1"/>
  <c r="J129" i="1"/>
  <c r="J122" i="1"/>
  <c r="J117" i="1"/>
  <c r="J102" i="1"/>
  <c r="J190" i="1"/>
  <c r="J240" i="1"/>
  <c r="J236" i="1"/>
  <c r="J450" i="1"/>
  <c r="J166" i="1"/>
  <c r="J153" i="1"/>
  <c r="J161" i="1"/>
  <c r="J207" i="1"/>
  <c r="J206" i="1"/>
  <c r="J242" i="1"/>
  <c r="J171" i="1"/>
  <c r="J226" i="1"/>
  <c r="J228" i="1"/>
  <c r="J183" i="1"/>
  <c r="J127" i="1"/>
  <c r="J100" i="1"/>
  <c r="J108" i="1"/>
  <c r="J151" i="1"/>
  <c r="J115" i="1"/>
  <c r="J202" i="1"/>
  <c r="J148" i="1"/>
  <c r="J109" i="1"/>
  <c r="J132" i="1"/>
  <c r="J131" i="1"/>
  <c r="J231" i="1"/>
  <c r="J158" i="1"/>
  <c r="J165" i="1"/>
  <c r="J204" i="1"/>
  <c r="J182" i="1"/>
  <c r="J177" i="1"/>
  <c r="J118" i="1"/>
  <c r="J113" i="1"/>
  <c r="J116" i="1"/>
  <c r="J124" i="1"/>
  <c r="J173" i="1"/>
  <c r="J227" i="1"/>
  <c r="J130" i="1"/>
  <c r="J104" i="1"/>
  <c r="J199" i="1"/>
  <c r="J125" i="1"/>
  <c r="J137" i="1"/>
  <c r="J184" i="1"/>
  <c r="J138" i="1"/>
  <c r="J454" i="1"/>
  <c r="J146" i="1"/>
  <c r="J249" i="1"/>
  <c r="J141" i="1"/>
  <c r="J188" i="1"/>
  <c r="J101" i="1"/>
  <c r="J222" i="1"/>
  <c r="J235" i="1"/>
  <c r="J205" i="1"/>
  <c r="J448" i="1"/>
  <c r="J154" i="1"/>
  <c r="J208" i="1"/>
  <c r="J223" i="1"/>
  <c r="J152" i="1"/>
  <c r="J185" i="1"/>
  <c r="J237" i="1"/>
  <c r="J210" i="1"/>
  <c r="J176" i="1"/>
  <c r="J123" i="1"/>
  <c r="J239" i="1"/>
  <c r="J209" i="1"/>
  <c r="J214" i="1"/>
  <c r="J187" i="1"/>
  <c r="J155" i="1"/>
  <c r="J254" i="1"/>
  <c r="J170" i="1"/>
  <c r="J193" i="1"/>
  <c r="J234" i="1"/>
  <c r="J250" i="1"/>
  <c r="J159" i="1"/>
  <c r="J162" i="1"/>
  <c r="J103" i="1"/>
  <c r="J139" i="1"/>
  <c r="J120" i="1"/>
  <c r="J169" i="1"/>
  <c r="J451" i="1"/>
  <c r="J201" i="1"/>
  <c r="J218" i="1"/>
  <c r="J196" i="1"/>
  <c r="J179" i="1"/>
  <c r="J245" i="1"/>
  <c r="J197" i="1"/>
  <c r="J147" i="1"/>
  <c r="J221" i="1"/>
  <c r="J126" i="1"/>
  <c r="J149" i="1"/>
  <c r="J164" i="1"/>
  <c r="J142" i="1"/>
  <c r="J134" i="1"/>
  <c r="J247" i="1"/>
  <c r="J119" i="1"/>
  <c r="J174" i="1"/>
  <c r="J135" i="1"/>
  <c r="J145" i="1"/>
  <c r="J225" i="1"/>
  <c r="J251" i="1"/>
  <c r="J248" i="1"/>
  <c r="J133" i="1"/>
  <c r="J230" i="1"/>
  <c r="J163" i="1"/>
  <c r="J452" i="1"/>
  <c r="J106" i="1"/>
  <c r="J105" i="1"/>
  <c r="J192" i="1"/>
  <c r="J114" i="1"/>
  <c r="J178" i="1"/>
  <c r="J160" i="1"/>
  <c r="J203" i="1"/>
  <c r="J175" i="1"/>
  <c r="H254" i="1"/>
  <c r="I254" i="1" s="1"/>
  <c r="I232" i="1"/>
  <c r="F75" i="1"/>
  <c r="G74" i="1"/>
  <c r="Q254" i="5"/>
  <c r="R254" i="5" s="1"/>
  <c r="R232" i="5"/>
  <c r="R232" i="1"/>
  <c r="Q254" i="1"/>
  <c r="R254" i="1" s="1"/>
  <c r="B17" i="2"/>
  <c r="B18" i="2" s="1"/>
  <c r="B17" i="9"/>
  <c r="B19" i="9" s="1"/>
  <c r="E39" i="5"/>
  <c r="B7" i="2" s="1"/>
  <c r="B131" i="2"/>
  <c r="B132" i="2" s="1"/>
  <c r="S448" i="5"/>
  <c r="S241" i="5"/>
  <c r="S234" i="5"/>
  <c r="S249" i="5"/>
  <c r="S248" i="5"/>
  <c r="S154" i="5"/>
  <c r="S162" i="5"/>
  <c r="S205" i="5"/>
  <c r="S216" i="5"/>
  <c r="S185" i="5"/>
  <c r="S224" i="5"/>
  <c r="S173" i="5"/>
  <c r="S163" i="5"/>
  <c r="S166" i="5"/>
  <c r="S251" i="5"/>
  <c r="S246" i="5"/>
  <c r="S172" i="5"/>
  <c r="S220" i="5"/>
  <c r="S174" i="5"/>
  <c r="S452" i="5"/>
  <c r="S155" i="5"/>
  <c r="S201" i="5"/>
  <c r="S156" i="5"/>
  <c r="S125" i="5"/>
  <c r="S151" i="5"/>
  <c r="S102" i="5"/>
  <c r="S150" i="5"/>
  <c r="S186" i="5"/>
  <c r="S165" i="5"/>
  <c r="S143" i="5"/>
  <c r="S147" i="5"/>
  <c r="S160" i="5"/>
  <c r="S177" i="5"/>
  <c r="S214" i="5"/>
  <c r="S159" i="5"/>
  <c r="S114" i="5"/>
  <c r="S202" i="5"/>
  <c r="S139" i="5"/>
  <c r="S450" i="5"/>
  <c r="S135" i="5"/>
  <c r="S170" i="5"/>
  <c r="S226" i="5"/>
  <c r="S144" i="5"/>
  <c r="S158" i="5"/>
  <c r="S253" i="5"/>
  <c r="S198" i="5"/>
  <c r="S183" i="5"/>
  <c r="S153" i="5"/>
  <c r="S115" i="5"/>
  <c r="S149" i="5"/>
  <c r="S109" i="5"/>
  <c r="S130" i="5"/>
  <c r="S240" i="5"/>
  <c r="S244" i="5"/>
  <c r="S152" i="5"/>
  <c r="S164" i="5"/>
  <c r="S196" i="5"/>
  <c r="S223" i="5"/>
  <c r="S219" i="5"/>
  <c r="S105" i="5"/>
  <c r="S117" i="5"/>
  <c r="S120" i="5"/>
  <c r="S142" i="5"/>
  <c r="S242" i="5"/>
  <c r="S112" i="5"/>
  <c r="S212" i="5"/>
  <c r="S127" i="5"/>
  <c r="S451" i="5"/>
  <c r="S190" i="5"/>
  <c r="S228" i="5"/>
  <c r="S182" i="5"/>
  <c r="S206" i="5"/>
  <c r="S199" i="5"/>
  <c r="D88" i="2"/>
  <c r="D89" i="2" s="1"/>
  <c r="F89" i="2" s="1"/>
  <c r="S215" i="5"/>
  <c r="S191" i="5"/>
  <c r="S133" i="5"/>
  <c r="S231" i="5"/>
  <c r="S211" i="5"/>
  <c r="S138" i="5"/>
  <c r="S204" i="5"/>
  <c r="S146" i="5"/>
  <c r="S107" i="5"/>
  <c r="S136" i="5"/>
  <c r="S132" i="5"/>
  <c r="S454" i="5"/>
  <c r="S178" i="5"/>
  <c r="S208" i="5"/>
  <c r="S449" i="5"/>
  <c r="S140" i="5"/>
  <c r="S252" i="5"/>
  <c r="S192" i="5"/>
  <c r="S210" i="5"/>
  <c r="S193" i="5"/>
  <c r="S209" i="5"/>
  <c r="S121" i="5"/>
  <c r="S176" i="5"/>
  <c r="S236" i="5"/>
  <c r="S189" i="5"/>
  <c r="S126" i="5"/>
  <c r="S118" i="5"/>
  <c r="S179" i="5"/>
  <c r="S128" i="5"/>
  <c r="S108" i="5"/>
  <c r="S203" i="5"/>
  <c r="S145" i="5"/>
  <c r="S110" i="5"/>
  <c r="S157" i="5"/>
  <c r="S245" i="5"/>
  <c r="S222" i="5"/>
  <c r="S169" i="5"/>
  <c r="S137" i="5"/>
  <c r="S238" i="5"/>
  <c r="S181" i="5"/>
  <c r="S104" i="5"/>
  <c r="S207" i="5"/>
  <c r="S235" i="5"/>
  <c r="S113" i="5"/>
  <c r="S200" i="5"/>
  <c r="S111" i="5"/>
  <c r="S239" i="5"/>
  <c r="S124" i="5"/>
  <c r="S119" i="5"/>
  <c r="S221" i="5"/>
  <c r="S103" i="5"/>
  <c r="S217" i="5"/>
  <c r="S122" i="5"/>
  <c r="S187" i="5"/>
  <c r="S129" i="5"/>
  <c r="S101" i="5"/>
  <c r="S141" i="5"/>
  <c r="S195" i="5"/>
  <c r="S237" i="5"/>
  <c r="S100" i="5"/>
  <c r="S131" i="5"/>
  <c r="S453" i="5"/>
  <c r="S175" i="5"/>
  <c r="S247" i="5"/>
  <c r="S184" i="5"/>
  <c r="S218" i="5"/>
  <c r="S254" i="5"/>
  <c r="S447" i="5"/>
  <c r="S171" i="5"/>
  <c r="S243" i="5"/>
  <c r="S188" i="5"/>
  <c r="S116" i="5"/>
  <c r="S134" i="5"/>
  <c r="S250" i="5"/>
  <c r="S180" i="5"/>
  <c r="S197" i="5"/>
  <c r="S148" i="5"/>
  <c r="S123" i="5"/>
  <c r="S161" i="5"/>
  <c r="S229" i="5"/>
  <c r="S227" i="5"/>
  <c r="S213" i="5"/>
  <c r="S106" i="5"/>
  <c r="S194" i="5"/>
  <c r="S230" i="5"/>
  <c r="S225" i="5"/>
  <c r="T254" i="5"/>
  <c r="S119" i="1"/>
  <c r="S128" i="1"/>
  <c r="S129" i="1"/>
  <c r="S192" i="1"/>
  <c r="S451" i="1"/>
  <c r="S194" i="1"/>
  <c r="S191" i="1"/>
  <c r="S449" i="1"/>
  <c r="S246" i="1"/>
  <c r="S165" i="1"/>
  <c r="S244" i="1"/>
  <c r="S216" i="1"/>
  <c r="S137" i="1"/>
  <c r="S220" i="1"/>
  <c r="S104" i="1"/>
  <c r="S122" i="1"/>
  <c r="S161" i="1"/>
  <c r="S172" i="1"/>
  <c r="S139" i="1"/>
  <c r="S114" i="1"/>
  <c r="S234" i="1"/>
  <c r="S186" i="1"/>
  <c r="S190" i="1"/>
  <c r="S149" i="1"/>
  <c r="S207" i="1"/>
  <c r="S242" i="1"/>
  <c r="S120" i="1"/>
  <c r="S229" i="1"/>
  <c r="S124" i="1"/>
  <c r="S226" i="1"/>
  <c r="S232" i="1"/>
  <c r="S189" i="1"/>
  <c r="S209" i="1"/>
  <c r="S166" i="1"/>
  <c r="S245" i="1"/>
  <c r="S182" i="1"/>
  <c r="S170" i="1"/>
  <c r="S450" i="1"/>
  <c r="S228" i="1"/>
  <c r="S196" i="1"/>
  <c r="S156" i="1"/>
  <c r="S160" i="1"/>
  <c r="S231" i="1"/>
  <c r="S115" i="1"/>
  <c r="S151" i="1"/>
  <c r="S219" i="1"/>
  <c r="S252" i="1"/>
  <c r="S164" i="1"/>
  <c r="S223" i="1"/>
  <c r="S237" i="1"/>
  <c r="S130" i="1"/>
  <c r="S204" i="1"/>
  <c r="S230" i="1"/>
  <c r="S241" i="1"/>
  <c r="S454" i="1"/>
  <c r="S117" i="1"/>
  <c r="S218" i="1"/>
  <c r="S135" i="1"/>
  <c r="S148" i="1"/>
  <c r="S116" i="1"/>
  <c r="S111" i="1"/>
  <c r="S243" i="1"/>
  <c r="S222" i="1"/>
  <c r="S214" i="1"/>
  <c r="S199" i="1"/>
  <c r="S176" i="1"/>
  <c r="S201" i="1"/>
  <c r="S200" i="1"/>
  <c r="S179" i="1"/>
  <c r="S188" i="1"/>
  <c r="S100" i="1"/>
  <c r="S448" i="1"/>
  <c r="S253" i="1"/>
  <c r="S211" i="1"/>
  <c r="S212" i="1"/>
  <c r="S101" i="1"/>
  <c r="S197" i="1"/>
  <c r="S198" i="1"/>
  <c r="S143" i="1"/>
  <c r="S217" i="1"/>
  <c r="S158" i="1"/>
  <c r="S177" i="1"/>
  <c r="S184" i="1"/>
  <c r="S248" i="1"/>
  <c r="S157" i="1"/>
  <c r="S105" i="1"/>
  <c r="S225" i="1"/>
  <c r="S236" i="1"/>
  <c r="S126" i="1"/>
  <c r="S152" i="1"/>
  <c r="S239" i="1"/>
  <c r="S183" i="1"/>
  <c r="S144" i="1"/>
  <c r="S169" i="1"/>
  <c r="S140" i="1"/>
  <c r="S203" i="1"/>
  <c r="S240" i="1"/>
  <c r="S178" i="1"/>
  <c r="S180" i="1"/>
  <c r="S106" i="1"/>
  <c r="S224" i="1"/>
  <c r="S213" i="1"/>
  <c r="S123" i="1"/>
  <c r="S181" i="1"/>
  <c r="S162" i="1"/>
  <c r="S221" i="1"/>
  <c r="S453" i="1"/>
  <c r="S132" i="1"/>
  <c r="S238" i="1"/>
  <c r="S133" i="1"/>
  <c r="S250" i="1"/>
  <c r="S249" i="1"/>
  <c r="S150" i="1"/>
  <c r="S108" i="1"/>
  <c r="S146" i="1"/>
  <c r="S452" i="1"/>
  <c r="S254" i="1"/>
  <c r="S171" i="1"/>
  <c r="S447" i="1"/>
  <c r="S154" i="1"/>
  <c r="S193" i="1"/>
  <c r="S185" i="1"/>
  <c r="S153" i="1"/>
  <c r="S138" i="1"/>
  <c r="S103" i="1"/>
  <c r="S113" i="1"/>
  <c r="S136" i="1"/>
  <c r="S145" i="1"/>
  <c r="S110" i="1"/>
  <c r="S112" i="1"/>
  <c r="S206" i="1"/>
  <c r="S118" i="1"/>
  <c r="S107" i="1"/>
  <c r="S202" i="1"/>
  <c r="S208" i="1"/>
  <c r="S215" i="1"/>
  <c r="S102" i="1"/>
  <c r="S109" i="1"/>
  <c r="S134" i="1"/>
  <c r="S195" i="1"/>
  <c r="S187" i="1"/>
  <c r="S127" i="1"/>
  <c r="S155" i="1"/>
  <c r="S147" i="1"/>
  <c r="S235" i="1"/>
  <c r="S142" i="1"/>
  <c r="S141" i="1"/>
  <c r="S121" i="1"/>
  <c r="S131" i="1"/>
  <c r="S251" i="1"/>
  <c r="S125" i="1"/>
  <c r="S159" i="1"/>
  <c r="S175" i="1"/>
  <c r="S163" i="1"/>
  <c r="S173" i="1"/>
  <c r="S174" i="1"/>
  <c r="S227" i="1"/>
  <c r="S210" i="1"/>
  <c r="S205" i="1"/>
  <c r="S247" i="1"/>
  <c r="T254" i="1"/>
  <c r="O75" i="5"/>
  <c r="P74" i="5"/>
  <c r="C15" i="10"/>
  <c r="C181" i="10" s="1"/>
  <c r="O39" i="1"/>
  <c r="E126" i="2" s="1"/>
  <c r="P30" i="1"/>
  <c r="Q75" i="1"/>
  <c r="R75" i="1" s="1"/>
  <c r="R74" i="1"/>
  <c r="S64" i="1" l="1"/>
  <c r="S68" i="1"/>
  <c r="J71" i="5"/>
  <c r="J251" i="5"/>
  <c r="J72" i="5"/>
  <c r="H75" i="5"/>
  <c r="I75" i="5" s="1"/>
  <c r="J69" i="5"/>
  <c r="J68" i="5"/>
  <c r="B84" i="2"/>
  <c r="B85" i="2" s="1"/>
  <c r="J65" i="5"/>
  <c r="J75" i="5"/>
  <c r="J74" i="5"/>
  <c r="J64" i="5"/>
  <c r="J70" i="5"/>
  <c r="J67" i="5"/>
  <c r="J66" i="5"/>
  <c r="S70" i="1"/>
  <c r="S71" i="1"/>
  <c r="S66" i="1"/>
  <c r="S74" i="1"/>
  <c r="S65" i="1"/>
  <c r="S72" i="1"/>
  <c r="S63" i="1"/>
  <c r="S73" i="1"/>
  <c r="S69" i="1"/>
  <c r="S75" i="1"/>
  <c r="C17" i="9"/>
  <c r="C19" i="9" s="1"/>
  <c r="C17" i="2"/>
  <c r="C18" i="2" s="1"/>
  <c r="C131" i="2"/>
  <c r="T74" i="1"/>
  <c r="H74" i="1"/>
  <c r="G75" i="1"/>
  <c r="B127" i="2"/>
  <c r="B128" i="2" s="1"/>
  <c r="B8" i="2"/>
  <c r="C130" i="2"/>
  <c r="F30" i="1"/>
  <c r="Q74" i="5"/>
  <c r="P75" i="5"/>
  <c r="T74" i="5"/>
  <c r="E17" i="2"/>
  <c r="E18" i="2" s="1"/>
  <c r="O30" i="5"/>
  <c r="E131" i="2"/>
  <c r="E132" i="2" s="1"/>
  <c r="C16" i="10"/>
  <c r="C18" i="10" s="1"/>
  <c r="Q30" i="1"/>
  <c r="P39" i="1"/>
  <c r="F18" i="2" l="1"/>
  <c r="C132" i="2"/>
  <c r="F132" i="2" s="1"/>
  <c r="G30" i="5"/>
  <c r="F39" i="5"/>
  <c r="C7" i="2" s="1"/>
  <c r="Q75" i="5"/>
  <c r="R75" i="5" s="1"/>
  <c r="R74" i="5"/>
  <c r="F39" i="1"/>
  <c r="C126" i="2" s="1"/>
  <c r="G30" i="1"/>
  <c r="O39" i="5"/>
  <c r="P30" i="5"/>
  <c r="J74" i="1"/>
  <c r="J66" i="1"/>
  <c r="T75" i="1"/>
  <c r="J64" i="1"/>
  <c r="J70" i="1"/>
  <c r="J65" i="1"/>
  <c r="J71" i="1"/>
  <c r="J75" i="1"/>
  <c r="J73" i="1"/>
  <c r="J69" i="1"/>
  <c r="J67" i="1"/>
  <c r="J72" i="1"/>
  <c r="J68" i="1"/>
  <c r="H75" i="1"/>
  <c r="I75" i="1" s="1"/>
  <c r="I74" i="1"/>
  <c r="S74" i="5"/>
  <c r="S67" i="5"/>
  <c r="S68" i="5"/>
  <c r="S72" i="5"/>
  <c r="S75" i="5"/>
  <c r="S71" i="5"/>
  <c r="S66" i="5"/>
  <c r="S70" i="5"/>
  <c r="T75" i="5"/>
  <c r="S73" i="5"/>
  <c r="D84" i="2"/>
  <c r="D85" i="2" s="1"/>
  <c r="F85" i="2" s="1"/>
  <c r="S69" i="5"/>
  <c r="S65" i="5"/>
  <c r="S63" i="5"/>
  <c r="S64" i="5"/>
  <c r="S30" i="1"/>
  <c r="T23" i="1"/>
  <c r="S37" i="1"/>
  <c r="S32" i="1"/>
  <c r="S31" i="1"/>
  <c r="S35" i="1"/>
  <c r="S29" i="1"/>
  <c r="S38" i="1"/>
  <c r="S28" i="1"/>
  <c r="S36" i="1"/>
  <c r="S39" i="1"/>
  <c r="S33" i="1"/>
  <c r="S34" i="1"/>
  <c r="R30" i="1"/>
  <c r="Q39" i="1"/>
  <c r="R39" i="1" s="1"/>
  <c r="C8" i="2" l="1"/>
  <c r="C127" i="2"/>
  <c r="C128" i="2" s="1"/>
  <c r="G39" i="5"/>
  <c r="H30" i="5"/>
  <c r="E127" i="2"/>
  <c r="E128" i="2" s="1"/>
  <c r="E7" i="2"/>
  <c r="E8" i="2" s="1"/>
  <c r="O76" i="5"/>
  <c r="Q30" i="5"/>
  <c r="T30" i="5"/>
  <c r="P39" i="5"/>
  <c r="S30" i="5" s="1"/>
  <c r="G39" i="1"/>
  <c r="H30" i="1"/>
  <c r="T30" i="1"/>
  <c r="F8" i="2" l="1"/>
  <c r="F128" i="2"/>
  <c r="H39" i="5"/>
  <c r="I39" i="5" s="1"/>
  <c r="I30" i="5"/>
  <c r="J35" i="5"/>
  <c r="J31" i="5"/>
  <c r="J28" i="5"/>
  <c r="B80" i="2"/>
  <c r="B81" i="2" s="1"/>
  <c r="J39" i="5"/>
  <c r="J29" i="5"/>
  <c r="J23" i="5"/>
  <c r="J34" i="5"/>
  <c r="J38" i="5"/>
  <c r="J63" i="5"/>
  <c r="J37" i="5"/>
  <c r="J36" i="5"/>
  <c r="J30" i="5"/>
  <c r="J33" i="5"/>
  <c r="J32" i="5"/>
  <c r="J32" i="1"/>
  <c r="J37" i="1"/>
  <c r="J35" i="1"/>
  <c r="J63" i="1"/>
  <c r="J29" i="1"/>
  <c r="T39" i="1"/>
  <c r="J23" i="1"/>
  <c r="J28" i="1"/>
  <c r="J34" i="1"/>
  <c r="J39" i="1"/>
  <c r="J38" i="1"/>
  <c r="J33" i="1"/>
  <c r="J36" i="1"/>
  <c r="J31" i="1"/>
  <c r="Q39" i="5"/>
  <c r="R39" i="5" s="1"/>
  <c r="R30" i="5"/>
  <c r="S33" i="5"/>
  <c r="S28" i="5"/>
  <c r="S32" i="5"/>
  <c r="S37" i="5"/>
  <c r="S34" i="5"/>
  <c r="D80" i="2"/>
  <c r="D81" i="2" s="1"/>
  <c r="S29" i="5"/>
  <c r="S38" i="5"/>
  <c r="S39" i="5"/>
  <c r="S35" i="5"/>
  <c r="P76" i="5"/>
  <c r="T39" i="5"/>
  <c r="S31" i="5"/>
  <c r="T23" i="5"/>
  <c r="S36" i="5"/>
  <c r="J30" i="1"/>
  <c r="H39" i="1"/>
  <c r="I39" i="1" s="1"/>
  <c r="I30" i="1"/>
  <c r="F81" i="2" l="1"/>
  <c r="F1" i="2" s="1"/>
  <c r="AI1601" i="3"/>
  <c r="AI2118" i="3" s="1"/>
  <c r="AG1601" i="3"/>
  <c r="AG2118" i="3" s="1"/>
  <c r="AF1601" i="3"/>
  <c r="AF2118" i="3" s="1"/>
  <c r="AH1601" i="3"/>
  <c r="B385" i="8" l="1"/>
  <c r="B421" i="8" s="1"/>
  <c r="B456" i="8" s="1"/>
  <c r="AH2118" i="3"/>
  <c r="G385" i="8" l="1"/>
  <c r="G421" i="8" s="1"/>
  <c r="G45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Paul Turcotte</author>
    <author>.</author>
    <author>Cormier, Emily</author>
    <author>'</author>
    <author>-</author>
    <author>Leal, Ruben</author>
    <author>THECB</author>
  </authors>
  <commentList>
    <comment ref="AJ1" authorId="0" shapeId="0" xr:uid="{00000000-0006-0000-0500-000001000000}">
      <text>
        <r>
          <rPr>
            <b/>
            <sz val="9"/>
            <color indexed="81"/>
            <rFont val="Tahoma"/>
            <family val="2"/>
          </rPr>
          <t>..:</t>
        </r>
        <r>
          <rPr>
            <sz val="9"/>
            <color indexed="81"/>
            <rFont val="Tahoma"/>
            <family val="2"/>
          </rPr>
          <t xml:space="preserve">
Data per printed Approp Act (Blue book).  Includes Art. IX, HB1025, HB7, &amp; other misc. bill.</t>
        </r>
      </text>
    </comment>
    <comment ref="AK1" authorId="0" shapeId="0" xr:uid="{00000000-0006-0000-0500-000002000000}">
      <text>
        <r>
          <rPr>
            <b/>
            <sz val="9"/>
            <color indexed="81"/>
            <rFont val="Tahoma"/>
            <family val="2"/>
          </rPr>
          <t>..:</t>
        </r>
        <r>
          <rPr>
            <sz val="9"/>
            <color indexed="81"/>
            <rFont val="Tahoma"/>
            <family val="2"/>
          </rPr>
          <t xml:space="preserve">
Data per printed Approp Act (Blue book).  Includes Art. IX, HB1025, HB7, &amp; other misc. bill.</t>
        </r>
      </text>
    </comment>
    <comment ref="AF4" authorId="1" shapeId="0" xr:uid="{00000000-0006-0000-0500-000003000000}">
      <text>
        <r>
          <rPr>
            <b/>
            <sz val="9"/>
            <color indexed="81"/>
            <rFont val="Tahoma"/>
            <family val="2"/>
          </rPr>
          <t>Paul  :</t>
        </r>
        <r>
          <rPr>
            <sz val="9"/>
            <color indexed="81"/>
            <rFont val="Tahoma"/>
            <family val="2"/>
          </rPr>
          <t xml:space="preserve">
$403,727,300 ARRA</t>
        </r>
      </text>
    </comment>
    <comment ref="AI4" authorId="0" shapeId="0" xr:uid="{00000000-0006-0000-0500-000004000000}">
      <text>
        <r>
          <rPr>
            <b/>
            <sz val="9"/>
            <color indexed="81"/>
            <rFont val="Tahoma"/>
            <family val="2"/>
          </rPr>
          <t>..:</t>
        </r>
        <r>
          <rPr>
            <sz val="9"/>
            <color indexed="81"/>
            <rFont val="Tahoma"/>
            <family val="2"/>
          </rPr>
          <t xml:space="preserve">
Includes HB 1025
</t>
        </r>
      </text>
    </comment>
    <comment ref="AF5" authorId="1" shapeId="0" xr:uid="{00000000-0006-0000-0500-000005000000}">
      <text>
        <r>
          <rPr>
            <b/>
            <sz val="9"/>
            <color indexed="81"/>
            <rFont val="Tahoma"/>
            <family val="2"/>
          </rPr>
          <t>Paul  :</t>
        </r>
        <r>
          <rPr>
            <sz val="9"/>
            <color indexed="81"/>
            <rFont val="Tahoma"/>
            <family val="2"/>
          </rPr>
          <t xml:space="preserve">
$213,763,816 ARRA</t>
        </r>
      </text>
    </comment>
    <comment ref="AI5" authorId="0" shapeId="0" xr:uid="{00000000-0006-0000-0500-000006000000}">
      <text>
        <r>
          <rPr>
            <b/>
            <sz val="9"/>
            <color indexed="81"/>
            <rFont val="Tahoma"/>
            <family val="2"/>
          </rPr>
          <t>..:</t>
        </r>
        <r>
          <rPr>
            <sz val="9"/>
            <color indexed="81"/>
            <rFont val="Tahoma"/>
            <family val="2"/>
          </rPr>
          <t xml:space="preserve">
Includes HB 1025
</t>
        </r>
      </text>
    </comment>
    <comment ref="AF6" authorId="1" shapeId="0" xr:uid="{00000000-0006-0000-0500-000007000000}">
      <text>
        <r>
          <rPr>
            <b/>
            <sz val="9"/>
            <color indexed="81"/>
            <rFont val="Tahoma"/>
            <family val="2"/>
          </rPr>
          <t>Paul  :</t>
        </r>
        <r>
          <rPr>
            <sz val="9"/>
            <color indexed="81"/>
            <rFont val="Tahoma"/>
            <family val="2"/>
          </rPr>
          <t xml:space="preserve">
$2,363,507,500 ARRA</t>
        </r>
      </text>
    </comment>
    <comment ref="AG6" authorId="1" shapeId="0" xr:uid="{00000000-0006-0000-0500-000008000000}">
      <text>
        <r>
          <rPr>
            <b/>
            <sz val="9"/>
            <color indexed="81"/>
            <rFont val="Tahoma"/>
            <family val="2"/>
          </rPr>
          <t>Paul  :</t>
        </r>
        <r>
          <rPr>
            <sz val="9"/>
            <color indexed="81"/>
            <rFont val="Tahoma"/>
            <family val="2"/>
          </rPr>
          <t xml:space="preserve">
, $45 M HB4+550M HB4</t>
        </r>
      </text>
    </comment>
    <comment ref="AI6" authorId="0" shapeId="0" xr:uid="{00000000-0006-0000-0500-000009000000}">
      <text>
        <r>
          <rPr>
            <b/>
            <sz val="9"/>
            <color indexed="81"/>
            <rFont val="Tahoma"/>
            <family val="2"/>
          </rPr>
          <t>..:</t>
        </r>
        <r>
          <rPr>
            <sz val="9"/>
            <color indexed="81"/>
            <rFont val="Tahoma"/>
            <family val="2"/>
          </rPr>
          <t xml:space="preserve">
Includes HB 1025 
</t>
        </r>
      </text>
    </comment>
    <comment ref="AI8" authorId="0" shapeId="0" xr:uid="{00000000-0006-0000-0500-00000A000000}">
      <text>
        <r>
          <rPr>
            <b/>
            <sz val="9"/>
            <color indexed="81"/>
            <rFont val="Tahoma"/>
            <family val="2"/>
          </rPr>
          <t>..:</t>
        </r>
        <r>
          <rPr>
            <sz val="9"/>
            <color indexed="81"/>
            <rFont val="Tahoma"/>
            <family val="2"/>
          </rPr>
          <t xml:space="preserve">
Includes HB 1025
</t>
        </r>
      </text>
    </comment>
    <comment ref="AF9" authorId="1" shapeId="0" xr:uid="{00000000-0006-0000-0500-00000B000000}">
      <text>
        <r>
          <rPr>
            <b/>
            <sz val="9"/>
            <color indexed="81"/>
            <rFont val="Tahoma"/>
            <family val="2"/>
          </rPr>
          <t>Paul  :</t>
        </r>
        <r>
          <rPr>
            <sz val="9"/>
            <color indexed="81"/>
            <rFont val="Tahoma"/>
            <family val="2"/>
          </rPr>
          <t xml:space="preserve">
$35,309,000 ARRA</t>
        </r>
      </text>
    </comment>
    <comment ref="AI9" authorId="0" shapeId="0" xr:uid="{00000000-0006-0000-0500-00000C000000}">
      <text>
        <r>
          <rPr>
            <b/>
            <sz val="9"/>
            <color indexed="81"/>
            <rFont val="Tahoma"/>
            <family val="2"/>
          </rPr>
          <t>..:</t>
        </r>
        <r>
          <rPr>
            <sz val="9"/>
            <color indexed="81"/>
            <rFont val="Tahoma"/>
            <family val="2"/>
          </rPr>
          <t xml:space="preserve">
Includes HB 1025
</t>
        </r>
      </text>
    </comment>
    <comment ref="AF10" authorId="1" shapeId="0" xr:uid="{00000000-0006-0000-0500-00000D000000}">
      <text>
        <r>
          <rPr>
            <b/>
            <sz val="9"/>
            <color indexed="81"/>
            <rFont val="Tahoma"/>
            <family val="2"/>
          </rPr>
          <t>Paul  :</t>
        </r>
        <r>
          <rPr>
            <sz val="9"/>
            <color indexed="81"/>
            <rFont val="Tahoma"/>
            <family val="2"/>
          </rPr>
          <t xml:space="preserve">
$2,659,187,499 ARRA</t>
        </r>
      </text>
    </comment>
    <comment ref="AI10" authorId="0" shapeId="0" xr:uid="{00000000-0006-0000-0500-00000E000000}">
      <text>
        <r>
          <rPr>
            <b/>
            <sz val="9"/>
            <color indexed="81"/>
            <rFont val="Tahoma"/>
            <family val="2"/>
          </rPr>
          <t>..:</t>
        </r>
        <r>
          <rPr>
            <sz val="9"/>
            <color indexed="81"/>
            <rFont val="Tahoma"/>
            <family val="2"/>
          </rPr>
          <t xml:space="preserve">
Includes HB 1025
</t>
        </r>
      </text>
    </comment>
    <comment ref="AF14" authorId="0" shapeId="0" xr:uid="{00000000-0006-0000-0500-00000F000000}">
      <text>
        <r>
          <rPr>
            <b/>
            <sz val="9"/>
            <color indexed="81"/>
            <rFont val="Tahoma"/>
            <family val="2"/>
          </rPr>
          <t>..:</t>
        </r>
        <r>
          <rPr>
            <sz val="9"/>
            <color indexed="81"/>
            <rFont val="Tahoma"/>
            <family val="2"/>
          </rPr>
          <t xml:space="preserve">
Distribute ARRA to other Articles.</t>
        </r>
      </text>
    </comment>
    <comment ref="AG15" authorId="1" shapeId="0" xr:uid="{00000000-0006-0000-0500-000010000000}">
      <text>
        <r>
          <rPr>
            <b/>
            <sz val="9"/>
            <color indexed="81"/>
            <rFont val="Tahoma"/>
            <family val="2"/>
          </rPr>
          <t>Paul  :</t>
        </r>
        <r>
          <rPr>
            <sz val="9"/>
            <color indexed="81"/>
            <rFont val="Tahoma"/>
            <family val="2"/>
          </rPr>
          <t xml:space="preserve">
$45 M HB4+550M HB4</t>
        </r>
      </text>
    </comment>
    <comment ref="AI15" authorId="0" shapeId="0" xr:uid="{00000000-0006-0000-0500-000011000000}">
      <text>
        <r>
          <rPr>
            <b/>
            <sz val="9"/>
            <color indexed="81"/>
            <rFont val="Tahoma"/>
            <family val="2"/>
          </rPr>
          <t>..:</t>
        </r>
        <r>
          <rPr>
            <sz val="9"/>
            <color indexed="81"/>
            <rFont val="Tahoma"/>
            <family val="2"/>
          </rPr>
          <t xml:space="preserve">
Includes HB 1025 
</t>
        </r>
      </text>
    </comment>
    <comment ref="AF17" authorId="0" shapeId="0" xr:uid="{00000000-0006-0000-0500-000012000000}">
      <text>
        <r>
          <rPr>
            <b/>
            <sz val="9"/>
            <color indexed="81"/>
            <rFont val="Tahoma"/>
            <family val="2"/>
          </rPr>
          <t>..:</t>
        </r>
        <r>
          <rPr>
            <sz val="9"/>
            <color indexed="81"/>
            <rFont val="Tahoma"/>
            <family val="2"/>
          </rPr>
          <t xml:space="preserve">
Less $27,300.000 of ARRA included in GR</t>
        </r>
      </text>
    </comment>
    <comment ref="AI17" authorId="0" shapeId="0" xr:uid="{00000000-0006-0000-0500-000013000000}">
      <text>
        <r>
          <rPr>
            <b/>
            <sz val="9"/>
            <color indexed="81"/>
            <rFont val="Tahoma"/>
            <family val="2"/>
          </rPr>
          <t>..:</t>
        </r>
        <r>
          <rPr>
            <sz val="9"/>
            <color indexed="81"/>
            <rFont val="Tahoma"/>
            <family val="2"/>
          </rPr>
          <t xml:space="preserve">
Includes HB 1025
</t>
        </r>
      </text>
    </comment>
    <comment ref="AF18" authorId="0" shapeId="0" xr:uid="{00000000-0006-0000-0500-000014000000}">
      <text>
        <r>
          <rPr>
            <b/>
            <sz val="9"/>
            <color indexed="81"/>
            <rFont val="Tahoma"/>
            <family val="2"/>
          </rPr>
          <t>..:</t>
        </r>
        <r>
          <rPr>
            <sz val="9"/>
            <color indexed="81"/>
            <rFont val="Tahoma"/>
            <family val="2"/>
          </rPr>
          <t xml:space="preserve">
Less $2,517,200,000 of ARRA included in GR</t>
        </r>
      </text>
    </comment>
    <comment ref="AI18" authorId="0" shapeId="0" xr:uid="{00000000-0006-0000-0500-000015000000}">
      <text>
        <r>
          <rPr>
            <b/>
            <sz val="9"/>
            <color indexed="81"/>
            <rFont val="Tahoma"/>
            <family val="2"/>
          </rPr>
          <t>..:</t>
        </r>
        <r>
          <rPr>
            <sz val="9"/>
            <color indexed="81"/>
            <rFont val="Tahoma"/>
            <family val="2"/>
          </rPr>
          <t xml:space="preserve">
Includes HB 1025
</t>
        </r>
      </text>
    </comment>
    <comment ref="AD19" authorId="0" shapeId="0" xr:uid="{00000000-0006-0000-0500-000016000000}">
      <text>
        <r>
          <rPr>
            <b/>
            <sz val="9"/>
            <color indexed="81"/>
            <rFont val="Tahoma"/>
            <family val="2"/>
          </rPr>
          <t>..:</t>
        </r>
        <r>
          <rPr>
            <sz val="9"/>
            <color indexed="81"/>
            <rFont val="Tahoma"/>
            <family val="2"/>
          </rPr>
          <t xml:space="preserve">
Less Budget Reductions $41,614,290 see total row 1406.</t>
        </r>
      </text>
    </comment>
    <comment ref="AE19" authorId="0" shapeId="0" xr:uid="{00000000-0006-0000-0500-000017000000}">
      <text>
        <r>
          <rPr>
            <b/>
            <sz val="9"/>
            <color indexed="81"/>
            <rFont val="Tahoma"/>
            <family val="2"/>
          </rPr>
          <t>..:</t>
        </r>
        <r>
          <rPr>
            <sz val="9"/>
            <color indexed="81"/>
            <rFont val="Tahoma"/>
            <family val="2"/>
          </rPr>
          <t xml:space="preserve">
Less Budget Reductions $41,614,290 see total row 1406.</t>
        </r>
      </text>
    </comment>
    <comment ref="AF19" authorId="0" shapeId="0" xr:uid="{00000000-0006-0000-0500-000018000000}">
      <text>
        <r>
          <rPr>
            <b/>
            <sz val="9"/>
            <color indexed="81"/>
            <rFont val="Tahoma"/>
            <family val="2"/>
          </rPr>
          <t>..:</t>
        </r>
        <r>
          <rPr>
            <sz val="9"/>
            <color indexed="81"/>
            <rFont val="Tahoma"/>
            <family val="2"/>
          </rPr>
          <t xml:space="preserve">
Less $3,838,792,000 in ARRA included in GR</t>
        </r>
      </text>
    </comment>
    <comment ref="AG19" authorId="0" shapeId="0" xr:uid="{00000000-0006-0000-0500-000019000000}">
      <text>
        <r>
          <rPr>
            <b/>
            <sz val="9"/>
            <color indexed="81"/>
            <rFont val="Tahoma"/>
            <family val="2"/>
          </rPr>
          <t>..:</t>
        </r>
        <r>
          <rPr>
            <sz val="9"/>
            <color indexed="81"/>
            <rFont val="Tahoma"/>
            <family val="2"/>
          </rPr>
          <t xml:space="preserve">
$45 M HB4
</t>
        </r>
      </text>
    </comment>
    <comment ref="AI19" authorId="0" shapeId="0" xr:uid="{00000000-0006-0000-0500-00001A000000}">
      <text>
        <r>
          <rPr>
            <b/>
            <sz val="9"/>
            <color indexed="81"/>
            <rFont val="Tahoma"/>
            <family val="2"/>
          </rPr>
          <t>..:</t>
        </r>
        <r>
          <rPr>
            <sz val="9"/>
            <color indexed="81"/>
            <rFont val="Tahoma"/>
            <family val="2"/>
          </rPr>
          <t xml:space="preserve">
Includes HB 1025 
</t>
        </r>
      </text>
    </comment>
    <comment ref="AI21" authorId="0" shapeId="0" xr:uid="{00000000-0006-0000-0500-00001B000000}">
      <text>
        <r>
          <rPr>
            <b/>
            <sz val="9"/>
            <color indexed="81"/>
            <rFont val="Tahoma"/>
            <family val="2"/>
          </rPr>
          <t>..:</t>
        </r>
        <r>
          <rPr>
            <sz val="9"/>
            <color indexed="81"/>
            <rFont val="Tahoma"/>
            <family val="2"/>
          </rPr>
          <t xml:space="preserve">
Includes HB 1025
</t>
        </r>
      </text>
    </comment>
    <comment ref="AI22" authorId="0" shapeId="0" xr:uid="{00000000-0006-0000-0500-00001C000000}">
      <text>
        <r>
          <rPr>
            <b/>
            <sz val="9"/>
            <color indexed="81"/>
            <rFont val="Tahoma"/>
            <family val="2"/>
          </rPr>
          <t>..:</t>
        </r>
        <r>
          <rPr>
            <sz val="9"/>
            <color indexed="81"/>
            <rFont val="Tahoma"/>
            <family val="2"/>
          </rPr>
          <t xml:space="preserve">
Includes HB 1025
</t>
        </r>
      </text>
    </comment>
    <comment ref="AI23" authorId="0" shapeId="0" xr:uid="{00000000-0006-0000-0500-00001D000000}">
      <text>
        <r>
          <rPr>
            <b/>
            <sz val="9"/>
            <color indexed="81"/>
            <rFont val="Tahoma"/>
            <family val="2"/>
          </rPr>
          <t>..:</t>
        </r>
        <r>
          <rPr>
            <sz val="9"/>
            <color indexed="81"/>
            <rFont val="Tahoma"/>
            <family val="2"/>
          </rPr>
          <t xml:space="preserve">
Includes HB 1025
</t>
        </r>
      </text>
    </comment>
    <comment ref="AF27" authorId="0" shapeId="0" xr:uid="{00000000-0006-0000-0500-00001E000000}">
      <text>
        <r>
          <rPr>
            <b/>
            <sz val="9"/>
            <color indexed="81"/>
            <rFont val="Tahoma"/>
            <family val="2"/>
          </rPr>
          <t>..:</t>
        </r>
        <r>
          <rPr>
            <sz val="9"/>
            <color indexed="81"/>
            <rFont val="Tahoma"/>
            <family val="2"/>
          </rPr>
          <t xml:space="preserve">
Distribute ARRA to other Articles.</t>
        </r>
      </text>
    </comment>
    <comment ref="AD28" authorId="0" shapeId="0" xr:uid="{00000000-0006-0000-0500-00001F000000}">
      <text>
        <r>
          <rPr>
            <b/>
            <sz val="9"/>
            <color indexed="81"/>
            <rFont val="Tahoma"/>
            <family val="2"/>
          </rPr>
          <t>..:</t>
        </r>
        <r>
          <rPr>
            <sz val="9"/>
            <color indexed="81"/>
            <rFont val="Tahoma"/>
            <family val="2"/>
          </rPr>
          <t xml:space="preserve">
Less Budget Reductions $41,614,290 see total row 1406.</t>
        </r>
      </text>
    </comment>
    <comment ref="AE28" authorId="0" shapeId="0" xr:uid="{00000000-0006-0000-0500-000020000000}">
      <text>
        <r>
          <rPr>
            <b/>
            <sz val="9"/>
            <color indexed="81"/>
            <rFont val="Tahoma"/>
            <family val="2"/>
          </rPr>
          <t>..:</t>
        </r>
        <r>
          <rPr>
            <sz val="9"/>
            <color indexed="81"/>
            <rFont val="Tahoma"/>
            <family val="2"/>
          </rPr>
          <t xml:space="preserve">
Less Budget Reductions $41,614,290 see total row 1406.</t>
        </r>
      </text>
    </comment>
    <comment ref="AG28" authorId="0" shapeId="0" xr:uid="{00000000-0006-0000-0500-000021000000}">
      <text>
        <r>
          <rPr>
            <b/>
            <sz val="9"/>
            <color indexed="81"/>
            <rFont val="Tahoma"/>
            <family val="2"/>
          </rPr>
          <t>..:</t>
        </r>
        <r>
          <rPr>
            <sz val="9"/>
            <color indexed="81"/>
            <rFont val="Tahoma"/>
            <family val="2"/>
          </rPr>
          <t xml:space="preserve">
$45 M HB4
</t>
        </r>
      </text>
    </comment>
    <comment ref="AI28" authorId="0" shapeId="0" xr:uid="{00000000-0006-0000-0500-000022000000}">
      <text>
        <r>
          <rPr>
            <b/>
            <sz val="9"/>
            <color indexed="81"/>
            <rFont val="Tahoma"/>
            <family val="2"/>
          </rPr>
          <t>..:</t>
        </r>
        <r>
          <rPr>
            <sz val="9"/>
            <color indexed="81"/>
            <rFont val="Tahoma"/>
            <family val="2"/>
          </rPr>
          <t xml:space="preserve">
Includes HB 1025 
</t>
        </r>
      </text>
    </comment>
    <comment ref="AF30" authorId="1" shapeId="0" xr:uid="{00000000-0006-0000-0500-000023000000}">
      <text>
        <r>
          <rPr>
            <b/>
            <sz val="9"/>
            <color indexed="81"/>
            <rFont val="Tahoma"/>
            <family val="2"/>
          </rPr>
          <t>Paul  :</t>
        </r>
        <r>
          <rPr>
            <sz val="9"/>
            <color indexed="81"/>
            <rFont val="Tahoma"/>
            <family val="2"/>
          </rPr>
          <t xml:space="preserve">
$2,263,600,000 ARRA</t>
        </r>
      </text>
    </comment>
    <comment ref="AG30" authorId="1" shapeId="0" xr:uid="{00000000-0006-0000-0500-000024000000}">
      <text>
        <r>
          <rPr>
            <b/>
            <sz val="9"/>
            <color indexed="81"/>
            <rFont val="Tahoma"/>
            <family val="2"/>
          </rPr>
          <t>Paul  :</t>
        </r>
        <r>
          <rPr>
            <sz val="9"/>
            <color indexed="81"/>
            <rFont val="Tahoma"/>
            <family val="2"/>
          </rPr>
          <t xml:space="preserve">
$550M HB4</t>
        </r>
      </text>
    </comment>
    <comment ref="AI30" authorId="0" shapeId="0" xr:uid="{00000000-0006-0000-0500-000025000000}">
      <text>
        <r>
          <rPr>
            <b/>
            <sz val="9"/>
            <color indexed="81"/>
            <rFont val="Tahoma"/>
            <family val="2"/>
          </rPr>
          <t>..:</t>
        </r>
        <r>
          <rPr>
            <sz val="9"/>
            <color indexed="81"/>
            <rFont val="Tahoma"/>
            <family val="2"/>
          </rPr>
          <t xml:space="preserve">
Includes HB 1025
</t>
        </r>
      </text>
    </comment>
    <comment ref="AF33" authorId="1" shapeId="0" xr:uid="{00000000-0006-0000-0500-000026000000}">
      <text>
        <r>
          <rPr>
            <b/>
            <sz val="9"/>
            <color indexed="81"/>
            <rFont val="Tahoma"/>
            <family val="2"/>
          </rPr>
          <t>Paul  :</t>
        </r>
        <r>
          <rPr>
            <sz val="9"/>
            <color indexed="81"/>
            <rFont val="Tahoma"/>
            <family val="2"/>
          </rPr>
          <t xml:space="preserve">
$500K Contingency</t>
        </r>
      </text>
    </comment>
    <comment ref="AI37" authorId="0" shapeId="0" xr:uid="{00000000-0006-0000-0500-000027000000}">
      <text>
        <r>
          <rPr>
            <b/>
            <sz val="9"/>
            <color indexed="81"/>
            <rFont val="Tahoma"/>
            <family val="2"/>
          </rPr>
          <t>..:</t>
        </r>
        <r>
          <rPr>
            <sz val="9"/>
            <color indexed="81"/>
            <rFont val="Tahoma"/>
            <family val="2"/>
          </rPr>
          <t xml:space="preserve">
Includes HB 1025
</t>
        </r>
      </text>
    </comment>
    <comment ref="AI38" authorId="0" shapeId="0" xr:uid="{00000000-0006-0000-0500-000028000000}">
      <text>
        <r>
          <rPr>
            <b/>
            <sz val="9"/>
            <color indexed="81"/>
            <rFont val="Tahoma"/>
            <family val="2"/>
          </rPr>
          <t>..:</t>
        </r>
        <r>
          <rPr>
            <sz val="9"/>
            <color indexed="81"/>
            <rFont val="Tahoma"/>
            <family val="2"/>
          </rPr>
          <t xml:space="preserve">
Includes HB 1025
</t>
        </r>
      </text>
    </comment>
    <comment ref="AI44" authorId="0" shapeId="0" xr:uid="{00000000-0006-0000-0500-000029000000}">
      <text>
        <r>
          <rPr>
            <b/>
            <sz val="9"/>
            <color indexed="81"/>
            <rFont val="Tahoma"/>
            <family val="2"/>
          </rPr>
          <t>..:</t>
        </r>
        <r>
          <rPr>
            <sz val="9"/>
            <color indexed="81"/>
            <rFont val="Tahoma"/>
            <family val="2"/>
          </rPr>
          <t xml:space="preserve">
Includes HB 1025
</t>
        </r>
      </text>
    </comment>
    <comment ref="AF45" authorId="1" shapeId="0" xr:uid="{00000000-0006-0000-0500-00002A000000}">
      <text>
        <r>
          <rPr>
            <b/>
            <sz val="9"/>
            <color indexed="81"/>
            <rFont val="Tahoma"/>
            <family val="2"/>
          </rPr>
          <t>Paul  :</t>
        </r>
        <r>
          <rPr>
            <sz val="9"/>
            <color indexed="81"/>
            <rFont val="Tahoma"/>
            <family val="2"/>
          </rPr>
          <t xml:space="preserve">
$420K Sec 25 Federal Funds</t>
        </r>
      </text>
    </comment>
    <comment ref="AN45" authorId="2" shapeId="0" xr:uid="{00000000-0006-0000-0500-00002B000000}">
      <text>
        <r>
          <rPr>
            <b/>
            <sz val="9"/>
            <color indexed="81"/>
            <rFont val="Tahoma"/>
            <family val="2"/>
          </rPr>
          <t>.:</t>
        </r>
        <r>
          <rPr>
            <sz val="9"/>
            <color indexed="81"/>
            <rFont val="Tahoma"/>
            <family val="2"/>
          </rPr>
          <t xml:space="preserve">
Medical School amounts moved to HRI sector.</t>
        </r>
      </text>
    </comment>
    <comment ref="AO45" authorId="2" shapeId="0" xr:uid="{00000000-0006-0000-0500-00002C000000}">
      <text>
        <r>
          <rPr>
            <b/>
            <sz val="9"/>
            <color indexed="81"/>
            <rFont val="Tahoma"/>
            <family val="2"/>
          </rPr>
          <t>.:</t>
        </r>
        <r>
          <rPr>
            <sz val="9"/>
            <color indexed="81"/>
            <rFont val="Tahoma"/>
            <family val="2"/>
          </rPr>
          <t xml:space="preserve">
Medical School amounts moved to HRI sector.</t>
        </r>
      </text>
    </comment>
    <comment ref="AP45" authorId="2" shapeId="0" xr:uid="{00000000-0006-0000-0500-00002D000000}">
      <text>
        <r>
          <rPr>
            <b/>
            <sz val="9"/>
            <color indexed="81"/>
            <rFont val="Tahoma"/>
            <family val="2"/>
          </rPr>
          <t>.:</t>
        </r>
        <r>
          <rPr>
            <sz val="9"/>
            <color indexed="81"/>
            <rFont val="Tahoma"/>
            <family val="2"/>
          </rPr>
          <t xml:space="preserve">
Medical School amounts moved to HRI sector.</t>
        </r>
      </text>
    </comment>
    <comment ref="AQ45" authorId="2" shapeId="0" xr:uid="{00000000-0006-0000-0500-00002E000000}">
      <text>
        <r>
          <rPr>
            <b/>
            <sz val="9"/>
            <color indexed="81"/>
            <rFont val="Tahoma"/>
            <family val="2"/>
          </rPr>
          <t>.:</t>
        </r>
        <r>
          <rPr>
            <sz val="9"/>
            <color indexed="81"/>
            <rFont val="Tahoma"/>
            <family val="2"/>
          </rPr>
          <t xml:space="preserve">
Medical School amounts moved to HRI sector.</t>
        </r>
      </text>
    </comment>
    <comment ref="AF46" authorId="1" shapeId="0" xr:uid="{00000000-0006-0000-0500-00002F000000}">
      <text>
        <r>
          <rPr>
            <b/>
            <sz val="9"/>
            <color indexed="81"/>
            <rFont val="Tahoma"/>
            <family val="2"/>
          </rPr>
          <t>Paul  :</t>
        </r>
        <r>
          <rPr>
            <sz val="9"/>
            <color indexed="81"/>
            <rFont val="Tahoma"/>
            <family val="2"/>
          </rPr>
          <t xml:space="preserve">
$11,462,500 Sec 25 Federal Funds</t>
        </r>
      </text>
    </comment>
    <comment ref="AI46" authorId="0" shapeId="0" xr:uid="{00000000-0006-0000-0500-000030000000}">
      <text>
        <r>
          <rPr>
            <b/>
            <sz val="9"/>
            <color indexed="81"/>
            <rFont val="Tahoma"/>
            <family val="2"/>
          </rPr>
          <t>..:</t>
        </r>
        <r>
          <rPr>
            <sz val="9"/>
            <color indexed="81"/>
            <rFont val="Tahoma"/>
            <family val="2"/>
          </rPr>
          <t xml:space="preserve">
Includes HB 1025
</t>
        </r>
      </text>
    </comment>
    <comment ref="AN48" authorId="2" shapeId="0" xr:uid="{00000000-0006-0000-0500-000031000000}">
      <text>
        <r>
          <rPr>
            <b/>
            <sz val="9"/>
            <color indexed="81"/>
            <rFont val="Tahoma"/>
            <family val="2"/>
          </rPr>
          <t>.:</t>
        </r>
        <r>
          <rPr>
            <sz val="9"/>
            <color indexed="81"/>
            <rFont val="Tahoma"/>
            <family val="2"/>
          </rPr>
          <t xml:space="preserve">
Medical School amounts moved to HRI sector.</t>
        </r>
      </text>
    </comment>
    <comment ref="AO48" authorId="2" shapeId="0" xr:uid="{00000000-0006-0000-0500-000032000000}">
      <text>
        <r>
          <rPr>
            <b/>
            <sz val="9"/>
            <color indexed="81"/>
            <rFont val="Tahoma"/>
            <family val="2"/>
          </rPr>
          <t>.:</t>
        </r>
        <r>
          <rPr>
            <sz val="9"/>
            <color indexed="81"/>
            <rFont val="Tahoma"/>
            <family val="2"/>
          </rPr>
          <t xml:space="preserve">
Medical School amounts moved to HRI sector.</t>
        </r>
      </text>
    </comment>
    <comment ref="AF52" authorId="1" shapeId="0" xr:uid="{00000000-0006-0000-0500-000033000000}">
      <text>
        <r>
          <rPr>
            <b/>
            <sz val="9"/>
            <color indexed="81"/>
            <rFont val="Tahoma"/>
            <family val="2"/>
          </rPr>
          <t>Paul :</t>
        </r>
        <r>
          <rPr>
            <sz val="9"/>
            <color indexed="81"/>
            <rFont val="Tahoma"/>
            <family val="2"/>
          </rPr>
          <t xml:space="preserve">
$4.5M Sec 25 Federal Funds</t>
        </r>
      </text>
    </comment>
    <comment ref="AF65" authorId="1" shapeId="0" xr:uid="{00000000-0006-0000-0500-000034000000}">
      <text>
        <r>
          <rPr>
            <b/>
            <sz val="9"/>
            <color indexed="81"/>
            <rFont val="Tahoma"/>
            <family val="2"/>
          </rPr>
          <t>Paul :</t>
        </r>
        <r>
          <rPr>
            <sz val="9"/>
            <color indexed="81"/>
            <rFont val="Tahoma"/>
            <family val="2"/>
          </rPr>
          <t xml:space="preserve">
$1M Sec 25 Federal Funds</t>
        </r>
      </text>
    </comment>
    <comment ref="AF66" authorId="1" shapeId="0" xr:uid="{00000000-0006-0000-0500-000035000000}">
      <text>
        <r>
          <rPr>
            <b/>
            <sz val="9"/>
            <color indexed="81"/>
            <rFont val="Tahoma"/>
            <family val="2"/>
          </rPr>
          <t>Paul :</t>
        </r>
        <r>
          <rPr>
            <sz val="9"/>
            <color indexed="81"/>
            <rFont val="Tahoma"/>
            <family val="2"/>
          </rPr>
          <t xml:space="preserve">
$6M Sec 25 Federal Funds</t>
        </r>
      </text>
    </comment>
    <comment ref="AJ67" authorId="0" shapeId="0" xr:uid="{00000000-0006-0000-0500-000036000000}">
      <text>
        <r>
          <rPr>
            <b/>
            <sz val="9"/>
            <color indexed="81"/>
            <rFont val="Tahoma"/>
            <family val="2"/>
          </rPr>
          <t>..:</t>
        </r>
        <r>
          <rPr>
            <sz val="9"/>
            <color indexed="81"/>
            <rFont val="Tahoma"/>
            <family val="2"/>
          </rPr>
          <t xml:space="preserve">
Debt Service Moved to Individual UH institutions.</t>
        </r>
      </text>
    </comment>
    <comment ref="AK67" authorId="0" shapeId="0" xr:uid="{00000000-0006-0000-0500-000037000000}">
      <text>
        <r>
          <rPr>
            <b/>
            <sz val="9"/>
            <color indexed="81"/>
            <rFont val="Tahoma"/>
            <family val="2"/>
          </rPr>
          <t>..:</t>
        </r>
        <r>
          <rPr>
            <sz val="9"/>
            <color indexed="81"/>
            <rFont val="Tahoma"/>
            <family val="2"/>
          </rPr>
          <t xml:space="preserve">
Debt Service Moved to Individual UH institutions.</t>
        </r>
      </text>
    </comment>
    <comment ref="AF68" authorId="1" shapeId="0" xr:uid="{00000000-0006-0000-0500-000038000000}">
      <text>
        <r>
          <rPr>
            <b/>
            <sz val="9"/>
            <color indexed="81"/>
            <rFont val="Tahoma"/>
            <family val="2"/>
          </rPr>
          <t>Paul :</t>
        </r>
        <r>
          <rPr>
            <sz val="9"/>
            <color indexed="81"/>
            <rFont val="Tahoma"/>
            <family val="2"/>
          </rPr>
          <t xml:space="preserve">
$3M Sec 25 Federal Funds</t>
        </r>
      </text>
    </comment>
    <comment ref="AI69" authorId="0" shapeId="0" xr:uid="{00000000-0006-0000-0500-000039000000}">
      <text>
        <r>
          <rPr>
            <b/>
            <sz val="9"/>
            <color indexed="81"/>
            <rFont val="Tahoma"/>
            <family val="2"/>
          </rPr>
          <t>..:</t>
        </r>
        <r>
          <rPr>
            <sz val="9"/>
            <color indexed="81"/>
            <rFont val="Tahoma"/>
            <family val="2"/>
          </rPr>
          <t xml:space="preserve">
Includes HB 1025
</t>
        </r>
      </text>
    </comment>
    <comment ref="AF70" authorId="1" shapeId="0" xr:uid="{00000000-0006-0000-0500-00003A000000}">
      <text>
        <r>
          <rPr>
            <b/>
            <sz val="9"/>
            <color indexed="81"/>
            <rFont val="Tahoma"/>
            <family val="2"/>
          </rPr>
          <t>Paul  :</t>
        </r>
        <r>
          <rPr>
            <sz val="9"/>
            <color indexed="81"/>
            <rFont val="Tahoma"/>
            <family val="2"/>
          </rPr>
          <t xml:space="preserve">
$250K Sec 25 Federal Funds</t>
        </r>
      </text>
    </comment>
    <comment ref="AF72" authorId="1" shapeId="0" xr:uid="{00000000-0006-0000-0500-00003B000000}">
      <text>
        <r>
          <rPr>
            <b/>
            <sz val="9"/>
            <color indexed="81"/>
            <rFont val="Tahoma"/>
            <family val="2"/>
          </rPr>
          <t>Paul  :</t>
        </r>
        <r>
          <rPr>
            <sz val="9"/>
            <color indexed="81"/>
            <rFont val="Tahoma"/>
            <family val="2"/>
          </rPr>
          <t xml:space="preserve">
$4106,500 Sec 25 Federal Funds</t>
        </r>
      </text>
    </comment>
    <comment ref="AF73" authorId="1" shapeId="0" xr:uid="{00000000-0006-0000-0500-00003C000000}">
      <text>
        <r>
          <rPr>
            <b/>
            <sz val="9"/>
            <color indexed="81"/>
            <rFont val="Tahoma"/>
            <family val="2"/>
          </rPr>
          <t>Paul  :</t>
        </r>
        <r>
          <rPr>
            <sz val="9"/>
            <color indexed="81"/>
            <rFont val="Tahoma"/>
            <family val="2"/>
          </rPr>
          <t xml:space="preserve">
$5M Sec 25 Federal Funds</t>
        </r>
      </text>
    </comment>
    <comment ref="AF74" authorId="1" shapeId="0" xr:uid="{00000000-0006-0000-0500-00003D000000}">
      <text>
        <r>
          <rPr>
            <b/>
            <sz val="9"/>
            <color indexed="81"/>
            <rFont val="Tahoma"/>
            <family val="2"/>
          </rPr>
          <t>Paul  :</t>
        </r>
        <r>
          <rPr>
            <sz val="9"/>
            <color indexed="81"/>
            <rFont val="Tahoma"/>
            <family val="2"/>
          </rPr>
          <t xml:space="preserve">
$2,075K Sec 25 Federal Funds</t>
        </r>
      </text>
    </comment>
    <comment ref="AF79" authorId="1" shapeId="0" xr:uid="{00000000-0006-0000-0500-00003E000000}">
      <text>
        <r>
          <rPr>
            <b/>
            <sz val="9"/>
            <color indexed="81"/>
            <rFont val="Tahoma"/>
            <family val="2"/>
          </rPr>
          <t>Paul  :</t>
        </r>
        <r>
          <rPr>
            <sz val="9"/>
            <color indexed="81"/>
            <rFont val="Tahoma"/>
            <family val="2"/>
          </rPr>
          <t xml:space="preserve">
$4M Sec 25 Federal Funds</t>
        </r>
      </text>
    </comment>
    <comment ref="AF80" authorId="1" shapeId="0" xr:uid="{00000000-0006-0000-0500-00003F000000}">
      <text>
        <r>
          <rPr>
            <b/>
            <sz val="9"/>
            <color indexed="81"/>
            <rFont val="Tahoma"/>
            <family val="2"/>
          </rPr>
          <t>Paul  :</t>
        </r>
        <r>
          <rPr>
            <sz val="9"/>
            <color indexed="81"/>
            <rFont val="Tahoma"/>
            <family val="2"/>
          </rPr>
          <t xml:space="preserve">
$2M Sec 25 Federal Funds</t>
        </r>
      </text>
    </comment>
    <comment ref="AF83" authorId="1" shapeId="0" xr:uid="{00000000-0006-0000-0500-000040000000}">
      <text>
        <r>
          <rPr>
            <b/>
            <sz val="9"/>
            <color indexed="81"/>
            <rFont val="Tahoma"/>
            <family val="2"/>
          </rPr>
          <t>Paul  :</t>
        </r>
        <r>
          <rPr>
            <sz val="9"/>
            <color indexed="81"/>
            <rFont val="Tahoma"/>
            <family val="2"/>
          </rPr>
          <t xml:space="preserve">
$2.5M Sec 25 Federal Funds</t>
        </r>
      </text>
    </comment>
    <comment ref="AF86" authorId="1" shapeId="0" xr:uid="{00000000-0006-0000-0500-000041000000}">
      <text>
        <r>
          <rPr>
            <b/>
            <sz val="9"/>
            <color indexed="81"/>
            <rFont val="Tahoma"/>
            <family val="2"/>
          </rPr>
          <t>Paul  :</t>
        </r>
        <r>
          <rPr>
            <sz val="9"/>
            <color indexed="81"/>
            <rFont val="Tahoma"/>
            <family val="2"/>
          </rPr>
          <t xml:space="preserve">
$500K Sec 25 Federal Funds</t>
        </r>
      </text>
    </comment>
    <comment ref="AF87" authorId="1" shapeId="0" xr:uid="{00000000-0006-0000-0500-000042000000}">
      <text>
        <r>
          <rPr>
            <b/>
            <sz val="9"/>
            <color indexed="81"/>
            <rFont val="Tahoma"/>
            <family val="2"/>
          </rPr>
          <t>Paul  :</t>
        </r>
        <r>
          <rPr>
            <sz val="9"/>
            <color indexed="81"/>
            <rFont val="Tahoma"/>
            <family val="2"/>
          </rPr>
          <t xml:space="preserve">
$4M Sec 25 Federal Funds</t>
        </r>
      </text>
    </comment>
    <comment ref="AF88" authorId="1" shapeId="0" xr:uid="{00000000-0006-0000-0500-000043000000}">
      <text>
        <r>
          <rPr>
            <b/>
            <sz val="9"/>
            <color indexed="81"/>
            <rFont val="Tahoma"/>
            <family val="2"/>
          </rPr>
          <t>Paul  :</t>
        </r>
        <r>
          <rPr>
            <sz val="9"/>
            <color indexed="81"/>
            <rFont val="Tahoma"/>
            <family val="2"/>
          </rPr>
          <t xml:space="preserve">
$1M Sec 25 Federal Funds</t>
        </r>
      </text>
    </comment>
    <comment ref="AF91" authorId="1" shapeId="0" xr:uid="{00000000-0006-0000-0500-000044000000}">
      <text>
        <r>
          <rPr>
            <b/>
            <sz val="9"/>
            <color indexed="81"/>
            <rFont val="Tahoma"/>
            <family val="2"/>
          </rPr>
          <t>Paul  :</t>
        </r>
        <r>
          <rPr>
            <sz val="9"/>
            <color indexed="81"/>
            <rFont val="Tahoma"/>
            <family val="2"/>
          </rPr>
          <t xml:space="preserve">
$8M Sec 25 Federal Funds</t>
        </r>
      </text>
    </comment>
    <comment ref="AG91" authorId="1" shapeId="0" xr:uid="{00000000-0006-0000-0500-000045000000}">
      <text>
        <r>
          <rPr>
            <b/>
            <sz val="9"/>
            <color indexed="81"/>
            <rFont val="Tahoma"/>
            <family val="2"/>
          </rPr>
          <t>Paul  :</t>
        </r>
        <r>
          <rPr>
            <sz val="9"/>
            <color indexed="81"/>
            <rFont val="Tahoma"/>
            <family val="2"/>
          </rPr>
          <t xml:space="preserve">
$8M HB4</t>
        </r>
      </text>
    </comment>
    <comment ref="AF93" authorId="1" shapeId="0" xr:uid="{00000000-0006-0000-0500-000046000000}">
      <text>
        <r>
          <rPr>
            <b/>
            <sz val="9"/>
            <color indexed="81"/>
            <rFont val="Tahoma"/>
            <family val="2"/>
          </rPr>
          <t>Paul  :</t>
        </r>
        <r>
          <rPr>
            <sz val="9"/>
            <color indexed="81"/>
            <rFont val="Tahoma"/>
            <family val="2"/>
          </rPr>
          <t xml:space="preserve">
$14.5M Sec 25 Federal Funds</t>
        </r>
      </text>
    </comment>
    <comment ref="AF94" authorId="1" shapeId="0" xr:uid="{00000000-0006-0000-0500-000047000000}">
      <text>
        <r>
          <rPr>
            <b/>
            <sz val="9"/>
            <color indexed="81"/>
            <rFont val="Tahoma"/>
            <family val="2"/>
          </rPr>
          <t>Paul  :</t>
        </r>
        <r>
          <rPr>
            <sz val="9"/>
            <color indexed="81"/>
            <rFont val="Tahoma"/>
            <family val="2"/>
          </rPr>
          <t xml:space="preserve">
$10.5M Sec 25 Federal Funds</t>
        </r>
      </text>
    </comment>
    <comment ref="AG94" authorId="1" shapeId="0" xr:uid="{00000000-0006-0000-0500-000048000000}">
      <text>
        <r>
          <rPr>
            <b/>
            <sz val="9"/>
            <color indexed="81"/>
            <rFont val="Tahoma"/>
            <family val="2"/>
          </rPr>
          <t>Paul  :</t>
        </r>
        <r>
          <rPr>
            <sz val="9"/>
            <color indexed="81"/>
            <rFont val="Tahoma"/>
            <family val="2"/>
          </rPr>
          <t xml:space="preserve">
$8M HB4</t>
        </r>
      </text>
    </comment>
    <comment ref="AG96" authorId="1" shapeId="0" xr:uid="{00000000-0006-0000-0500-000049000000}">
      <text>
        <r>
          <rPr>
            <b/>
            <sz val="9"/>
            <color indexed="81"/>
            <rFont val="Tahoma"/>
            <family val="2"/>
          </rPr>
          <t>Paul  :</t>
        </r>
        <r>
          <rPr>
            <sz val="9"/>
            <color indexed="81"/>
            <rFont val="Tahoma"/>
            <family val="2"/>
          </rPr>
          <t xml:space="preserve">
$8M HB4</t>
        </r>
      </text>
    </comment>
    <comment ref="AJ96" authorId="0" shapeId="0" xr:uid="{00000000-0006-0000-0500-00004A000000}">
      <text>
        <r>
          <rPr>
            <b/>
            <sz val="9"/>
            <color indexed="81"/>
            <rFont val="Tahoma"/>
            <family val="2"/>
          </rPr>
          <t>..:</t>
        </r>
        <r>
          <rPr>
            <sz val="9"/>
            <color indexed="81"/>
            <rFont val="Tahoma"/>
            <family val="2"/>
          </rPr>
          <t xml:space="preserve">
Starting in FY 2014-15, Patient Care Activities of $1/5-$1.6 billion are no longer appropriated.</t>
        </r>
      </text>
    </comment>
    <comment ref="AF98" authorId="1" shapeId="0" xr:uid="{00000000-0006-0000-0500-00004B000000}">
      <text>
        <r>
          <rPr>
            <b/>
            <sz val="9"/>
            <color indexed="81"/>
            <rFont val="Tahoma"/>
            <family val="2"/>
          </rPr>
          <t>Paul  :</t>
        </r>
        <r>
          <rPr>
            <sz val="9"/>
            <color indexed="81"/>
            <rFont val="Tahoma"/>
            <family val="2"/>
          </rPr>
          <t xml:space="preserve">
$9M Sec 25 Federal Funds</t>
        </r>
      </text>
    </comment>
    <comment ref="AG98" authorId="1" shapeId="0" xr:uid="{00000000-0006-0000-0500-00004C000000}">
      <text>
        <r>
          <rPr>
            <b/>
            <sz val="9"/>
            <color indexed="81"/>
            <rFont val="Tahoma"/>
            <family val="2"/>
          </rPr>
          <t>Paul  :</t>
        </r>
        <r>
          <rPr>
            <sz val="9"/>
            <color indexed="81"/>
            <rFont val="Tahoma"/>
            <family val="2"/>
          </rPr>
          <t xml:space="preserve">
$8M HB4</t>
        </r>
      </text>
    </comment>
    <comment ref="AG99" authorId="1" shapeId="0" xr:uid="{00000000-0006-0000-0500-00004D000000}">
      <text>
        <r>
          <rPr>
            <b/>
            <sz val="9"/>
            <color indexed="81"/>
            <rFont val="Tahoma"/>
            <family val="2"/>
          </rPr>
          <t>Paul  :</t>
        </r>
        <r>
          <rPr>
            <sz val="9"/>
            <color indexed="81"/>
            <rFont val="Tahoma"/>
            <family val="2"/>
          </rPr>
          <t xml:space="preserve">
$5M HB4</t>
        </r>
      </text>
    </comment>
    <comment ref="AF100" authorId="1" shapeId="0" xr:uid="{00000000-0006-0000-0500-00004E000000}">
      <text>
        <r>
          <rPr>
            <b/>
            <sz val="9"/>
            <color indexed="81"/>
            <rFont val="Tahoma"/>
            <family val="2"/>
          </rPr>
          <t>Paul  :</t>
        </r>
        <r>
          <rPr>
            <sz val="9"/>
            <color indexed="81"/>
            <rFont val="Tahoma"/>
            <family val="2"/>
          </rPr>
          <t xml:space="preserve">
$4M Sec 25 Federal Funds</t>
        </r>
      </text>
    </comment>
    <comment ref="AG100" authorId="1" shapeId="0" xr:uid="{00000000-0006-0000-0500-00004F000000}">
      <text>
        <r>
          <rPr>
            <b/>
            <sz val="9"/>
            <color indexed="81"/>
            <rFont val="Tahoma"/>
            <family val="2"/>
          </rPr>
          <t>Paul  :</t>
        </r>
        <r>
          <rPr>
            <sz val="9"/>
            <color indexed="81"/>
            <rFont val="Tahoma"/>
            <family val="2"/>
          </rPr>
          <t xml:space="preserve">
$8M HB4</t>
        </r>
      </text>
    </comment>
    <comment ref="AF103" authorId="0" shapeId="0" xr:uid="{00000000-0006-0000-0500-000050000000}">
      <text>
        <r>
          <rPr>
            <b/>
            <sz val="9"/>
            <color indexed="81"/>
            <rFont val="Tahoma"/>
            <family val="2"/>
          </rPr>
          <t>..:</t>
        </r>
        <r>
          <rPr>
            <sz val="9"/>
            <color indexed="81"/>
            <rFont val="Tahoma"/>
            <family val="2"/>
          </rPr>
          <t xml:space="preserve">
Plus $1,905,000 - ARRA</t>
        </r>
      </text>
    </comment>
    <comment ref="AI111" authorId="0" shapeId="0" xr:uid="{00000000-0006-0000-0500-000051000000}">
      <text>
        <r>
          <rPr>
            <b/>
            <sz val="9"/>
            <color indexed="81"/>
            <rFont val="Tahoma"/>
            <family val="2"/>
          </rPr>
          <t>..:</t>
        </r>
        <r>
          <rPr>
            <sz val="9"/>
            <color indexed="81"/>
            <rFont val="Tahoma"/>
            <family val="2"/>
          </rPr>
          <t xml:space="preserve">
Includes HB 1025
</t>
        </r>
      </text>
    </comment>
    <comment ref="AF113" authorId="1" shapeId="0" xr:uid="{00000000-0006-0000-0500-000052000000}">
      <text>
        <r>
          <rPr>
            <b/>
            <sz val="9"/>
            <color indexed="81"/>
            <rFont val="Tahoma"/>
            <family val="2"/>
          </rPr>
          <t>Paul  :</t>
        </r>
        <r>
          <rPr>
            <sz val="9"/>
            <color indexed="81"/>
            <rFont val="Tahoma"/>
            <family val="2"/>
          </rPr>
          <t xml:space="preserve">
$4M Sec 25 Federal Funds</t>
        </r>
      </text>
    </comment>
    <comment ref="AI115" authorId="0" shapeId="0" xr:uid="{00000000-0006-0000-0500-000053000000}">
      <text>
        <r>
          <rPr>
            <b/>
            <sz val="9"/>
            <color indexed="81"/>
            <rFont val="Tahoma"/>
            <family val="2"/>
          </rPr>
          <t>..:</t>
        </r>
        <r>
          <rPr>
            <sz val="9"/>
            <color indexed="81"/>
            <rFont val="Tahoma"/>
            <family val="2"/>
          </rPr>
          <t xml:space="preserve">
Includes HB 1025
</t>
        </r>
      </text>
    </comment>
    <comment ref="AI116" authorId="0" shapeId="0" xr:uid="{00000000-0006-0000-0500-000054000000}">
      <text>
        <r>
          <rPr>
            <b/>
            <sz val="9"/>
            <color indexed="81"/>
            <rFont val="Tahoma"/>
            <family val="2"/>
          </rPr>
          <t>..:</t>
        </r>
        <r>
          <rPr>
            <sz val="9"/>
            <color indexed="81"/>
            <rFont val="Tahoma"/>
            <family val="2"/>
          </rPr>
          <t xml:space="preserve">
Includes HB 1025
</t>
        </r>
      </text>
    </comment>
    <comment ref="AF120" authorId="1" shapeId="0" xr:uid="{00000000-0006-0000-0500-000055000000}">
      <text>
        <r>
          <rPr>
            <b/>
            <sz val="9"/>
            <color indexed="81"/>
            <rFont val="Tahoma"/>
            <family val="2"/>
          </rPr>
          <t>Paul  :</t>
        </r>
        <r>
          <rPr>
            <sz val="9"/>
            <color indexed="81"/>
            <rFont val="Tahoma"/>
            <family val="2"/>
          </rPr>
          <t xml:space="preserve">
ARRA 2,363,507,500</t>
        </r>
      </text>
    </comment>
    <comment ref="AG120" authorId="1" shapeId="0" xr:uid="{00000000-0006-0000-0500-000056000000}">
      <text>
        <r>
          <rPr>
            <b/>
            <sz val="9"/>
            <color indexed="81"/>
            <rFont val="Tahoma"/>
            <family val="2"/>
          </rPr>
          <t>Paul  :</t>
        </r>
        <r>
          <rPr>
            <sz val="9"/>
            <color indexed="81"/>
            <rFont val="Tahoma"/>
            <family val="2"/>
          </rPr>
          <t xml:space="preserve"> 
$45M HB4+$550M HB4</t>
        </r>
      </text>
    </comment>
    <comment ref="AI120" authorId="0" shapeId="0" xr:uid="{00000000-0006-0000-0500-000057000000}">
      <text>
        <r>
          <rPr>
            <b/>
            <sz val="9"/>
            <color indexed="81"/>
            <rFont val="Tahoma"/>
            <family val="2"/>
          </rPr>
          <t>..:</t>
        </r>
        <r>
          <rPr>
            <sz val="9"/>
            <color indexed="81"/>
            <rFont val="Tahoma"/>
            <family val="2"/>
          </rPr>
          <t xml:space="preserve">
Includes HB 1025
</t>
        </r>
      </text>
    </comment>
    <comment ref="AF129" authorId="1" shapeId="0" xr:uid="{00000000-0006-0000-0500-000058000000}">
      <text>
        <r>
          <rPr>
            <b/>
            <sz val="9"/>
            <color indexed="81"/>
            <rFont val="Tahoma"/>
            <family val="2"/>
          </rPr>
          <t>Paul  :</t>
        </r>
        <r>
          <rPr>
            <sz val="9"/>
            <color indexed="81"/>
            <rFont val="Tahoma"/>
            <family val="2"/>
          </rPr>
          <t xml:space="preserve">
ARRA 2,363,507,500</t>
        </r>
      </text>
    </comment>
    <comment ref="AG129" authorId="1" shapeId="0" xr:uid="{00000000-0006-0000-0500-000059000000}">
      <text>
        <r>
          <rPr>
            <b/>
            <sz val="9"/>
            <color indexed="81"/>
            <rFont val="Tahoma"/>
            <family val="2"/>
          </rPr>
          <t>Paul  :</t>
        </r>
        <r>
          <rPr>
            <sz val="9"/>
            <color indexed="81"/>
            <rFont val="Tahoma"/>
            <family val="2"/>
          </rPr>
          <t xml:space="preserve">
$188,500 Sec 25 Federal Funds 
$45M HB4+550M HB 4</t>
        </r>
      </text>
    </comment>
    <comment ref="AI129" authorId="0" shapeId="0" xr:uid="{00000000-0006-0000-0500-00005A000000}">
      <text>
        <r>
          <rPr>
            <b/>
            <sz val="9"/>
            <color indexed="81"/>
            <rFont val="Tahoma"/>
            <family val="2"/>
          </rPr>
          <t>..:</t>
        </r>
        <r>
          <rPr>
            <sz val="9"/>
            <color indexed="81"/>
            <rFont val="Tahoma"/>
            <family val="2"/>
          </rPr>
          <t xml:space="preserve">
Includes HB 1025
</t>
        </r>
      </text>
    </comment>
    <comment ref="AF131" authorId="0" shapeId="0" xr:uid="{00000000-0006-0000-0500-00005B000000}">
      <text>
        <r>
          <rPr>
            <b/>
            <sz val="9"/>
            <color indexed="81"/>
            <rFont val="Tahoma"/>
            <family val="2"/>
          </rPr>
          <t>..:</t>
        </r>
        <r>
          <rPr>
            <sz val="9"/>
            <color indexed="81"/>
            <rFont val="Tahoma"/>
            <family val="2"/>
          </rPr>
          <t xml:space="preserve">
Less $3,611,792,500 of ARRA included in GR</t>
        </r>
      </text>
    </comment>
    <comment ref="AI131" authorId="0" shapeId="0" xr:uid="{00000000-0006-0000-0500-00005C000000}">
      <text>
        <r>
          <rPr>
            <b/>
            <sz val="9"/>
            <color indexed="81"/>
            <rFont val="Tahoma"/>
            <family val="2"/>
          </rPr>
          <t>..:</t>
        </r>
        <r>
          <rPr>
            <sz val="9"/>
            <color indexed="81"/>
            <rFont val="Tahoma"/>
            <family val="2"/>
          </rPr>
          <t xml:space="preserve">
Includes HB 1025
</t>
        </r>
      </text>
    </comment>
    <comment ref="AI138" authorId="0" shapeId="0" xr:uid="{00000000-0006-0000-0500-00005D000000}">
      <text>
        <r>
          <rPr>
            <b/>
            <sz val="9"/>
            <color indexed="81"/>
            <rFont val="Tahoma"/>
            <family val="2"/>
          </rPr>
          <t>..:</t>
        </r>
        <r>
          <rPr>
            <sz val="9"/>
            <color indexed="81"/>
            <rFont val="Tahoma"/>
            <family val="2"/>
          </rPr>
          <t xml:space="preserve">
Includes HB 1025
</t>
        </r>
      </text>
    </comment>
    <comment ref="AF139" authorId="0" shapeId="0" xr:uid="{00000000-0006-0000-0500-00005E000000}">
      <text>
        <r>
          <rPr>
            <b/>
            <sz val="9"/>
            <color indexed="81"/>
            <rFont val="Tahoma"/>
            <family val="2"/>
          </rPr>
          <t>..:</t>
        </r>
        <r>
          <rPr>
            <sz val="9"/>
            <color indexed="81"/>
            <rFont val="Tahoma"/>
            <family val="2"/>
          </rPr>
          <t xml:space="preserve">
Less $80,000,000 in ARRA included in GR.</t>
        </r>
      </text>
    </comment>
    <comment ref="AI139" authorId="0" shapeId="0" xr:uid="{00000000-0006-0000-0500-00005F000000}">
      <text>
        <r>
          <rPr>
            <b/>
            <sz val="9"/>
            <color indexed="81"/>
            <rFont val="Tahoma"/>
            <family val="2"/>
          </rPr>
          <t>..:</t>
        </r>
        <r>
          <rPr>
            <sz val="9"/>
            <color indexed="81"/>
            <rFont val="Tahoma"/>
            <family val="2"/>
          </rPr>
          <t xml:space="preserve">
Includes HB 1025
</t>
        </r>
      </text>
    </comment>
    <comment ref="AF143" authorId="0" shapeId="0" xr:uid="{00000000-0006-0000-0500-000060000000}">
      <text>
        <r>
          <rPr>
            <b/>
            <sz val="9"/>
            <color indexed="81"/>
            <rFont val="Tahoma"/>
            <family val="2"/>
          </rPr>
          <t>..:</t>
        </r>
        <r>
          <rPr>
            <sz val="9"/>
            <color indexed="81"/>
            <rFont val="Tahoma"/>
            <family val="2"/>
          </rPr>
          <t xml:space="preserve">
Less $3,839,588 in ARRA included in GR Less $3.00 to balance Academics to $81,000,000.</t>
        </r>
      </text>
    </comment>
    <comment ref="AI143" authorId="0" shapeId="0" xr:uid="{00000000-0006-0000-0500-000061000000}">
      <text>
        <r>
          <rPr>
            <b/>
            <sz val="9"/>
            <color indexed="81"/>
            <rFont val="Tahoma"/>
            <family val="2"/>
          </rPr>
          <t>..:</t>
        </r>
        <r>
          <rPr>
            <sz val="9"/>
            <color indexed="81"/>
            <rFont val="Tahoma"/>
            <family val="2"/>
          </rPr>
          <t xml:space="preserve">
Includes HB 1025
</t>
        </r>
      </text>
    </comment>
    <comment ref="AF144" authorId="0" shapeId="0" xr:uid="{00000000-0006-0000-0500-000062000000}">
      <text>
        <r>
          <rPr>
            <b/>
            <sz val="9"/>
            <color indexed="81"/>
            <rFont val="Tahoma"/>
            <family val="2"/>
          </rPr>
          <t>..:</t>
        </r>
        <r>
          <rPr>
            <sz val="9"/>
            <color indexed="81"/>
            <rFont val="Tahoma"/>
            <family val="2"/>
          </rPr>
          <t xml:space="preserve">
Less $9,889,405 in ARRA included in GR</t>
        </r>
      </text>
    </comment>
    <comment ref="AN144" authorId="2" shapeId="0" xr:uid="{00000000-0006-0000-0500-000063000000}">
      <text>
        <r>
          <rPr>
            <b/>
            <sz val="9"/>
            <color indexed="81"/>
            <rFont val="Tahoma"/>
            <family val="2"/>
          </rPr>
          <t>.:</t>
        </r>
        <r>
          <rPr>
            <sz val="9"/>
            <color indexed="81"/>
            <rFont val="Tahoma"/>
            <family val="2"/>
          </rPr>
          <t xml:space="preserve">
Medical School amounts moved to HRI sector.</t>
        </r>
      </text>
    </comment>
    <comment ref="AO144" authorId="2" shapeId="0" xr:uid="{00000000-0006-0000-0500-000064000000}">
      <text>
        <r>
          <rPr>
            <b/>
            <sz val="9"/>
            <color indexed="81"/>
            <rFont val="Tahoma"/>
            <family val="2"/>
          </rPr>
          <t>.:</t>
        </r>
        <r>
          <rPr>
            <sz val="9"/>
            <color indexed="81"/>
            <rFont val="Tahoma"/>
            <family val="2"/>
          </rPr>
          <t xml:space="preserve">
Medical School amounts moved to HRI sector.</t>
        </r>
      </text>
    </comment>
    <comment ref="AP144" authorId="2" shapeId="0" xr:uid="{00000000-0006-0000-0500-000065000000}">
      <text>
        <r>
          <rPr>
            <b/>
            <sz val="9"/>
            <color indexed="81"/>
            <rFont val="Tahoma"/>
            <family val="2"/>
          </rPr>
          <t>.:</t>
        </r>
        <r>
          <rPr>
            <sz val="9"/>
            <color indexed="81"/>
            <rFont val="Tahoma"/>
            <family val="2"/>
          </rPr>
          <t xml:space="preserve">
Medical School amounts moved to HRI sector.</t>
        </r>
      </text>
    </comment>
    <comment ref="AQ144" authorId="2" shapeId="0" xr:uid="{00000000-0006-0000-0500-000066000000}">
      <text>
        <r>
          <rPr>
            <b/>
            <sz val="9"/>
            <color indexed="81"/>
            <rFont val="Tahoma"/>
            <family val="2"/>
          </rPr>
          <t>.:</t>
        </r>
        <r>
          <rPr>
            <sz val="9"/>
            <color indexed="81"/>
            <rFont val="Tahoma"/>
            <family val="2"/>
          </rPr>
          <t xml:space="preserve">
Medical School amounts moved to HRI sector.</t>
        </r>
      </text>
    </comment>
    <comment ref="AF145" authorId="0" shapeId="0" xr:uid="{00000000-0006-0000-0500-000067000000}">
      <text>
        <r>
          <rPr>
            <b/>
            <sz val="9"/>
            <color indexed="81"/>
            <rFont val="Tahoma"/>
            <family val="2"/>
          </rPr>
          <t>..:</t>
        </r>
        <r>
          <rPr>
            <sz val="9"/>
            <color indexed="81"/>
            <rFont val="Tahoma"/>
            <family val="2"/>
          </rPr>
          <t xml:space="preserve">
Less $3,062,48 in ARRA included in GR</t>
        </r>
      </text>
    </comment>
    <comment ref="AI145" authorId="0" shapeId="0" xr:uid="{00000000-0006-0000-0500-000068000000}">
      <text>
        <r>
          <rPr>
            <b/>
            <sz val="9"/>
            <color indexed="81"/>
            <rFont val="Tahoma"/>
            <family val="2"/>
          </rPr>
          <t>..:</t>
        </r>
        <r>
          <rPr>
            <sz val="9"/>
            <color indexed="81"/>
            <rFont val="Tahoma"/>
            <family val="2"/>
          </rPr>
          <t xml:space="preserve">
Includes HB 1025
</t>
        </r>
      </text>
    </comment>
    <comment ref="AF146" authorId="0" shapeId="0" xr:uid="{00000000-0006-0000-0500-000069000000}">
      <text>
        <r>
          <rPr>
            <b/>
            <sz val="9"/>
            <color indexed="81"/>
            <rFont val="Tahoma"/>
            <family val="2"/>
          </rPr>
          <t>..:</t>
        </r>
        <r>
          <rPr>
            <sz val="9"/>
            <color indexed="81"/>
            <rFont val="Tahoma"/>
            <family val="2"/>
          </rPr>
          <t xml:space="preserve">
Less 2,681,876 in ARRA included in GR</t>
        </r>
      </text>
    </comment>
    <comment ref="AN147" authorId="2" shapeId="0" xr:uid="{00000000-0006-0000-0500-00006A000000}">
      <text>
        <r>
          <rPr>
            <b/>
            <sz val="9"/>
            <color indexed="81"/>
            <rFont val="Tahoma"/>
            <family val="2"/>
          </rPr>
          <t>.:</t>
        </r>
        <r>
          <rPr>
            <sz val="9"/>
            <color indexed="81"/>
            <rFont val="Tahoma"/>
            <family val="2"/>
          </rPr>
          <t xml:space="preserve">
Medical School amounts moved to HRI sector.</t>
        </r>
      </text>
    </comment>
    <comment ref="AO147" authorId="2" shapeId="0" xr:uid="{00000000-0006-0000-0500-00006B000000}">
      <text>
        <r>
          <rPr>
            <b/>
            <sz val="9"/>
            <color indexed="81"/>
            <rFont val="Tahoma"/>
            <family val="2"/>
          </rPr>
          <t>.:</t>
        </r>
        <r>
          <rPr>
            <sz val="9"/>
            <color indexed="81"/>
            <rFont val="Tahoma"/>
            <family val="2"/>
          </rPr>
          <t xml:space="preserve">
Medical School amounts moved to HRI sector.</t>
        </r>
      </text>
    </comment>
    <comment ref="AF148" authorId="0" shapeId="0" xr:uid="{00000000-0006-0000-0500-00006C000000}">
      <text>
        <r>
          <rPr>
            <b/>
            <sz val="9"/>
            <color indexed="81"/>
            <rFont val="Tahoma"/>
            <family val="2"/>
          </rPr>
          <t>..:</t>
        </r>
        <r>
          <rPr>
            <sz val="9"/>
            <color indexed="81"/>
            <rFont val="Tahoma"/>
            <family val="2"/>
          </rPr>
          <t xml:space="preserve">
Less $2,241,274 in ARRA included in GR</t>
        </r>
      </text>
    </comment>
    <comment ref="AF149" authorId="0" shapeId="0" xr:uid="{00000000-0006-0000-0500-00006D000000}">
      <text>
        <r>
          <rPr>
            <b/>
            <sz val="9"/>
            <color indexed="81"/>
            <rFont val="Tahoma"/>
            <family val="2"/>
          </rPr>
          <t>..:</t>
        </r>
        <r>
          <rPr>
            <sz val="9"/>
            <color indexed="81"/>
            <rFont val="Tahoma"/>
            <family val="2"/>
          </rPr>
          <t xml:space="preserve">
Less $540,108 in ARRA included in GR</t>
        </r>
      </text>
    </comment>
    <comment ref="AF150" authorId="0" shapeId="0" xr:uid="{00000000-0006-0000-0500-00006E000000}">
      <text>
        <r>
          <rPr>
            <b/>
            <sz val="9"/>
            <color indexed="81"/>
            <rFont val="Tahoma"/>
            <family val="2"/>
          </rPr>
          <t>..:</t>
        </r>
        <r>
          <rPr>
            <sz val="9"/>
            <color indexed="81"/>
            <rFont val="Tahoma"/>
            <family val="2"/>
          </rPr>
          <t xml:space="preserve">
Less $400,587 in ARRA included in GR</t>
        </r>
      </text>
    </comment>
    <comment ref="AF151" authorId="0" shapeId="0" xr:uid="{00000000-0006-0000-0500-00006F000000}">
      <text>
        <r>
          <rPr>
            <b/>
            <sz val="9"/>
            <color indexed="81"/>
            <rFont val="Tahoma"/>
            <family val="2"/>
          </rPr>
          <t>..:</t>
        </r>
        <r>
          <rPr>
            <sz val="9"/>
            <color indexed="81"/>
            <rFont val="Tahoma"/>
            <family val="2"/>
          </rPr>
          <t xml:space="preserve">
Less $3,525,733 in ARRA included in GR</t>
        </r>
      </text>
    </comment>
    <comment ref="AF152" authorId="0" shapeId="0" xr:uid="{00000000-0006-0000-0500-000070000000}">
      <text>
        <r>
          <rPr>
            <b/>
            <sz val="9"/>
            <color indexed="81"/>
            <rFont val="Tahoma"/>
            <family val="2"/>
          </rPr>
          <t>..:</t>
        </r>
        <r>
          <rPr>
            <sz val="9"/>
            <color indexed="81"/>
            <rFont val="Tahoma"/>
            <family val="2"/>
          </rPr>
          <t xml:space="preserve">
Less $777,102 in ARRA included in GR</t>
        </r>
      </text>
    </comment>
    <comment ref="AF154" authorId="0" shapeId="0" xr:uid="{00000000-0006-0000-0500-000071000000}">
      <text>
        <r>
          <rPr>
            <b/>
            <sz val="9"/>
            <color indexed="81"/>
            <rFont val="Tahoma"/>
            <family val="2"/>
          </rPr>
          <t>..:</t>
        </r>
        <r>
          <rPr>
            <sz val="9"/>
            <color indexed="81"/>
            <rFont val="Tahoma"/>
            <family val="2"/>
          </rPr>
          <t xml:space="preserve">
Less $10,292,033 in ARRA included in GR</t>
        </r>
      </text>
    </comment>
    <comment ref="AF155" authorId="0" shapeId="0" xr:uid="{00000000-0006-0000-0500-000072000000}">
      <text>
        <r>
          <rPr>
            <b/>
            <sz val="9"/>
            <color indexed="81"/>
            <rFont val="Tahoma"/>
            <family val="2"/>
          </rPr>
          <t>..:</t>
        </r>
        <r>
          <rPr>
            <sz val="9"/>
            <color indexed="81"/>
            <rFont val="Tahoma"/>
            <family val="2"/>
          </rPr>
          <t xml:space="preserve">
Less $349,135 in ARRA included in GR</t>
        </r>
      </text>
    </comment>
    <comment ref="AF156" authorId="0" shapeId="0" xr:uid="{00000000-0006-0000-0500-000073000000}">
      <text>
        <r>
          <rPr>
            <b/>
            <sz val="9"/>
            <color indexed="81"/>
            <rFont val="Tahoma"/>
            <family val="2"/>
          </rPr>
          <t>..:</t>
        </r>
        <r>
          <rPr>
            <sz val="9"/>
            <color indexed="81"/>
            <rFont val="Tahoma"/>
            <family val="2"/>
          </rPr>
          <t xml:space="preserve">
Less $1,144,808 in ARRA included in GR</t>
        </r>
      </text>
    </comment>
    <comment ref="AF157" authorId="0" shapeId="0" xr:uid="{00000000-0006-0000-0500-000074000000}">
      <text>
        <r>
          <rPr>
            <b/>
            <sz val="9"/>
            <color indexed="81"/>
            <rFont val="Tahoma"/>
            <family val="2"/>
          </rPr>
          <t>..:</t>
        </r>
        <r>
          <rPr>
            <sz val="9"/>
            <color indexed="81"/>
            <rFont val="Tahoma"/>
            <family val="2"/>
          </rPr>
          <t xml:space="preserve">
Less $1,274,872 in ARRA included in GR</t>
        </r>
      </text>
    </comment>
    <comment ref="AF159" authorId="0" shapeId="0" xr:uid="{00000000-0006-0000-0500-000075000000}">
      <text>
        <r>
          <rPr>
            <b/>
            <sz val="9"/>
            <color indexed="81"/>
            <rFont val="Tahoma"/>
            <family val="2"/>
          </rPr>
          <t>..:</t>
        </r>
        <r>
          <rPr>
            <sz val="9"/>
            <color indexed="81"/>
            <rFont val="Tahoma"/>
            <family val="2"/>
          </rPr>
          <t xml:space="preserve">
Less $1,259,502 in ARRA included in GR</t>
        </r>
      </text>
    </comment>
    <comment ref="AF160" authorId="0" shapeId="0" xr:uid="{00000000-0006-0000-0500-000076000000}">
      <text>
        <r>
          <rPr>
            <b/>
            <sz val="9"/>
            <color indexed="81"/>
            <rFont val="Tahoma"/>
            <family val="2"/>
          </rPr>
          <t>..:</t>
        </r>
        <r>
          <rPr>
            <sz val="9"/>
            <color indexed="81"/>
            <rFont val="Tahoma"/>
            <family val="2"/>
          </rPr>
          <t xml:space="preserve">
Less $1,113,003 in ARRA included in GR</t>
        </r>
      </text>
    </comment>
    <comment ref="AF162" authorId="0" shapeId="0" xr:uid="{00000000-0006-0000-0500-000077000000}">
      <text>
        <r>
          <rPr>
            <b/>
            <sz val="9"/>
            <color indexed="81"/>
            <rFont val="Tahoma"/>
            <family val="2"/>
          </rPr>
          <t>..:</t>
        </r>
        <r>
          <rPr>
            <sz val="9"/>
            <color indexed="81"/>
            <rFont val="Tahoma"/>
            <family val="2"/>
          </rPr>
          <t xml:space="preserve">
Less $658,885 in ARRA included in GR</t>
        </r>
      </text>
    </comment>
    <comment ref="AF163" authorId="0" shapeId="0" xr:uid="{00000000-0006-0000-0500-000078000000}">
      <text>
        <r>
          <rPr>
            <b/>
            <sz val="9"/>
            <color indexed="81"/>
            <rFont val="Tahoma"/>
            <family val="2"/>
          </rPr>
          <t>..:</t>
        </r>
        <r>
          <rPr>
            <sz val="9"/>
            <color indexed="81"/>
            <rFont val="Tahoma"/>
            <family val="2"/>
          </rPr>
          <t xml:space="preserve">
Less $903,966 in ARRA included in GR</t>
        </r>
      </text>
    </comment>
    <comment ref="AF164" authorId="0" shapeId="0" xr:uid="{00000000-0006-0000-0500-000079000000}">
      <text>
        <r>
          <rPr>
            <b/>
            <sz val="9"/>
            <color indexed="81"/>
            <rFont val="Tahoma"/>
            <family val="2"/>
          </rPr>
          <t>..:</t>
        </r>
        <r>
          <rPr>
            <sz val="9"/>
            <color indexed="81"/>
            <rFont val="Tahoma"/>
            <family val="2"/>
          </rPr>
          <t xml:space="preserve">
Less $1,325,217 in ARRA included in GR</t>
        </r>
      </text>
    </comment>
    <comment ref="AF165" authorId="0" shapeId="0" xr:uid="{00000000-0006-0000-0500-00007A000000}">
      <text>
        <r>
          <rPr>
            <b/>
            <sz val="9"/>
            <color indexed="81"/>
            <rFont val="Tahoma"/>
            <family val="2"/>
          </rPr>
          <t>..:</t>
        </r>
        <r>
          <rPr>
            <sz val="9"/>
            <color indexed="81"/>
            <rFont val="Tahoma"/>
            <family val="2"/>
          </rPr>
          <t xml:space="preserve">
Less $210,721 in ARRA included in GR</t>
        </r>
      </text>
    </comment>
    <comment ref="AJ166" authorId="0" shapeId="0" xr:uid="{00000000-0006-0000-0500-00007B000000}">
      <text>
        <r>
          <rPr>
            <b/>
            <sz val="9"/>
            <color indexed="81"/>
            <rFont val="Tahoma"/>
            <family val="2"/>
          </rPr>
          <t>..:</t>
        </r>
        <r>
          <rPr>
            <sz val="9"/>
            <color indexed="81"/>
            <rFont val="Tahoma"/>
            <family val="2"/>
          </rPr>
          <t xml:space="preserve">
Debt Service Moved to Individual UH institutions.</t>
        </r>
      </text>
    </comment>
    <comment ref="AK166" authorId="0" shapeId="0" xr:uid="{00000000-0006-0000-0500-00007C000000}">
      <text>
        <r>
          <rPr>
            <b/>
            <sz val="9"/>
            <color indexed="81"/>
            <rFont val="Tahoma"/>
            <family val="2"/>
          </rPr>
          <t>..:</t>
        </r>
        <r>
          <rPr>
            <sz val="9"/>
            <color indexed="81"/>
            <rFont val="Tahoma"/>
            <family val="2"/>
          </rPr>
          <t xml:space="preserve">
Debt Service Moved to Individual UH institutions.</t>
        </r>
      </text>
    </comment>
    <comment ref="AF167" authorId="0" shapeId="0" xr:uid="{00000000-0006-0000-0500-00007D000000}">
      <text>
        <r>
          <rPr>
            <b/>
            <sz val="9"/>
            <color indexed="81"/>
            <rFont val="Tahoma"/>
            <family val="2"/>
          </rPr>
          <t>..:</t>
        </r>
        <r>
          <rPr>
            <sz val="9"/>
            <color indexed="81"/>
            <rFont val="Tahoma"/>
            <family val="2"/>
          </rPr>
          <t xml:space="preserve">
Less $t,707,005 in ARRA included in GR</t>
        </r>
      </text>
    </comment>
    <comment ref="AF168" authorId="0" shapeId="0" xr:uid="{00000000-0006-0000-0500-00007E000000}">
      <text>
        <r>
          <rPr>
            <b/>
            <sz val="9"/>
            <color indexed="81"/>
            <rFont val="Tahoma"/>
            <family val="2"/>
          </rPr>
          <t>..:</t>
        </r>
        <r>
          <rPr>
            <sz val="9"/>
            <color indexed="81"/>
            <rFont val="Tahoma"/>
            <family val="2"/>
          </rPr>
          <t xml:space="preserve">
Less $1,169,439 in ARRA included in GR</t>
        </r>
      </text>
    </comment>
    <comment ref="AI168" authorId="0" shapeId="0" xr:uid="{00000000-0006-0000-0500-00007F000000}">
      <text>
        <r>
          <rPr>
            <b/>
            <sz val="9"/>
            <color indexed="81"/>
            <rFont val="Tahoma"/>
            <family val="2"/>
          </rPr>
          <t>..:</t>
        </r>
        <r>
          <rPr>
            <sz val="9"/>
            <color indexed="81"/>
            <rFont val="Tahoma"/>
            <family val="2"/>
          </rPr>
          <t xml:space="preserve">
Includes HB 1025
</t>
        </r>
      </text>
    </comment>
    <comment ref="AF169" authorId="0" shapeId="0" xr:uid="{00000000-0006-0000-0500-000080000000}">
      <text>
        <r>
          <rPr>
            <b/>
            <sz val="9"/>
            <color indexed="81"/>
            <rFont val="Tahoma"/>
            <family val="2"/>
          </rPr>
          <t>..:</t>
        </r>
        <r>
          <rPr>
            <sz val="9"/>
            <color indexed="81"/>
            <rFont val="Tahoma"/>
            <family val="2"/>
          </rPr>
          <t xml:space="preserve">
Less $1,148,296 in ARRA included in GR</t>
        </r>
      </text>
    </comment>
    <comment ref="AF170" authorId="0" shapeId="0" xr:uid="{00000000-0006-0000-0500-000081000000}">
      <text>
        <r>
          <rPr>
            <b/>
            <sz val="9"/>
            <color indexed="81"/>
            <rFont val="Tahoma"/>
            <family val="2"/>
          </rPr>
          <t>..:</t>
        </r>
        <r>
          <rPr>
            <sz val="9"/>
            <color indexed="81"/>
            <rFont val="Tahoma"/>
            <family val="2"/>
          </rPr>
          <t xml:space="preserve">
Less $433,233 in ARRA included in GR</t>
        </r>
      </text>
    </comment>
    <comment ref="AF171" authorId="0" shapeId="0" xr:uid="{00000000-0006-0000-0500-000082000000}">
      <text>
        <r>
          <rPr>
            <b/>
            <sz val="9"/>
            <color indexed="81"/>
            <rFont val="Tahoma"/>
            <family val="2"/>
          </rPr>
          <t>..:</t>
        </r>
        <r>
          <rPr>
            <sz val="9"/>
            <color indexed="81"/>
            <rFont val="Tahoma"/>
            <family val="2"/>
          </rPr>
          <t xml:space="preserve">
Less $682,565 in ARRA included in GR</t>
        </r>
      </text>
    </comment>
    <comment ref="AF173" authorId="0" shapeId="0" xr:uid="{00000000-0006-0000-0500-000083000000}">
      <text>
        <r>
          <rPr>
            <b/>
            <sz val="9"/>
            <color indexed="81"/>
            <rFont val="Tahoma"/>
            <family val="2"/>
          </rPr>
          <t>..:</t>
        </r>
        <r>
          <rPr>
            <sz val="9"/>
            <color indexed="81"/>
            <rFont val="Tahoma"/>
            <family val="2"/>
          </rPr>
          <t xml:space="preserve">
Less $4,722,705 in ARRA included in GR</t>
        </r>
      </text>
    </comment>
    <comment ref="AP173" authorId="3" shapeId="0" xr:uid="{00000000-0006-0000-0500-000084000000}">
      <text>
        <r>
          <rPr>
            <b/>
            <sz val="9"/>
            <color indexed="81"/>
            <rFont val="Tahoma"/>
            <family val="2"/>
          </rPr>
          <t>:</t>
        </r>
        <r>
          <rPr>
            <sz val="9"/>
            <color indexed="81"/>
            <rFont val="Tahoma"/>
            <family val="2"/>
          </rPr>
          <t xml:space="preserve">
Less $2.5m for rape kit testing per LBB letter.</t>
        </r>
      </text>
    </comment>
    <comment ref="AQ173" authorId="3" shapeId="0" xr:uid="{F6D90805-75D8-47B6-921E-BC450A4AE42E}">
      <text>
        <r>
          <rPr>
            <b/>
            <sz val="9"/>
            <color indexed="81"/>
            <rFont val="Tahoma"/>
            <family val="2"/>
          </rPr>
          <t>:</t>
        </r>
        <r>
          <rPr>
            <sz val="9"/>
            <color indexed="81"/>
            <rFont val="Tahoma"/>
            <family val="2"/>
          </rPr>
          <t xml:space="preserve">
Less $2.5m for rape kit testing.</t>
        </r>
      </text>
    </comment>
    <comment ref="AF175" authorId="0" shapeId="0" xr:uid="{00000000-0006-0000-0500-000086000000}">
      <text>
        <r>
          <rPr>
            <b/>
            <sz val="9"/>
            <color indexed="81"/>
            <rFont val="Tahoma"/>
            <family val="2"/>
          </rPr>
          <t>..:</t>
        </r>
        <r>
          <rPr>
            <sz val="9"/>
            <color indexed="81"/>
            <rFont val="Tahoma"/>
            <family val="2"/>
          </rPr>
          <t xml:space="preserve">
Less $1,499,875 in ARRA included in GR</t>
        </r>
      </text>
    </comment>
    <comment ref="AF176" authorId="0" shapeId="0" xr:uid="{00000000-0006-0000-0500-000087000000}">
      <text>
        <r>
          <rPr>
            <b/>
            <sz val="9"/>
            <color indexed="81"/>
            <rFont val="Tahoma"/>
            <family val="2"/>
          </rPr>
          <t>..:</t>
        </r>
        <r>
          <rPr>
            <sz val="9"/>
            <color indexed="81"/>
            <rFont val="Tahoma"/>
            <family val="2"/>
          </rPr>
          <t xml:space="preserve">
Less $1,221,724 in ARRA included in GR</t>
        </r>
      </text>
    </comment>
    <comment ref="AF178" authorId="0" shapeId="0" xr:uid="{00000000-0006-0000-0500-000088000000}">
      <text>
        <r>
          <rPr>
            <b/>
            <sz val="9"/>
            <color indexed="81"/>
            <rFont val="Tahoma"/>
            <family val="2"/>
          </rPr>
          <t>..:</t>
        </r>
        <r>
          <rPr>
            <sz val="9"/>
            <color indexed="81"/>
            <rFont val="Tahoma"/>
            <family val="2"/>
          </rPr>
          <t xml:space="preserve">
Less $1,894,371 in ARRA included in GR</t>
        </r>
      </text>
    </comment>
    <comment ref="AF179" authorId="0" shapeId="0" xr:uid="{00000000-0006-0000-0500-000089000000}">
      <text>
        <r>
          <rPr>
            <b/>
            <sz val="9"/>
            <color indexed="81"/>
            <rFont val="Tahoma"/>
            <family val="2"/>
          </rPr>
          <t>..:</t>
        </r>
        <r>
          <rPr>
            <sz val="9"/>
            <color indexed="81"/>
            <rFont val="Tahoma"/>
            <family val="2"/>
          </rPr>
          <t xml:space="preserve">
Less $701,274 in ARRA included in GR</t>
        </r>
      </text>
    </comment>
    <comment ref="AF180" authorId="0" shapeId="0" xr:uid="{00000000-0006-0000-0500-00008A000000}">
      <text>
        <r>
          <rPr>
            <b/>
            <sz val="9"/>
            <color indexed="81"/>
            <rFont val="Tahoma"/>
            <family val="2"/>
          </rPr>
          <t>..:</t>
        </r>
        <r>
          <rPr>
            <sz val="9"/>
            <color indexed="81"/>
            <rFont val="Tahoma"/>
            <family val="2"/>
          </rPr>
          <t xml:space="preserve">
Less $1,874,548 in ARRA included in GR</t>
        </r>
      </text>
    </comment>
    <comment ref="AF182" authorId="0" shapeId="0" xr:uid="{00000000-0006-0000-0500-00008B000000}">
      <text>
        <r>
          <rPr>
            <b/>
            <sz val="9"/>
            <color indexed="81"/>
            <rFont val="Tahoma"/>
            <family val="2"/>
          </rPr>
          <t>..:</t>
        </r>
        <r>
          <rPr>
            <sz val="9"/>
            <color indexed="81"/>
            <rFont val="Tahoma"/>
            <family val="2"/>
          </rPr>
          <t xml:space="preserve">
Plus $1,816,749 in ARRA included in GR</t>
        </r>
      </text>
    </comment>
    <comment ref="AF183" authorId="0" shapeId="0" xr:uid="{00000000-0006-0000-0500-00008C000000}">
      <text>
        <r>
          <rPr>
            <b/>
            <sz val="9"/>
            <color indexed="81"/>
            <rFont val="Tahoma"/>
            <family val="2"/>
          </rPr>
          <t>..:</t>
        </r>
        <r>
          <rPr>
            <sz val="9"/>
            <color indexed="81"/>
            <rFont val="Tahoma"/>
            <family val="2"/>
          </rPr>
          <t xml:space="preserve">
Less $400,96 in ARRA included in GR</t>
        </r>
      </text>
    </comment>
    <comment ref="AF184" authorId="0" shapeId="0" xr:uid="{00000000-0006-0000-0500-00008D000000}">
      <text>
        <r>
          <rPr>
            <b/>
            <sz val="9"/>
            <color indexed="81"/>
            <rFont val="Tahoma"/>
            <family val="2"/>
          </rPr>
          <t>..:</t>
        </r>
        <r>
          <rPr>
            <sz val="9"/>
            <color indexed="81"/>
            <rFont val="Tahoma"/>
            <family val="2"/>
          </rPr>
          <t xml:space="preserve">
Less $229,063 in ARRA included in GR</t>
        </r>
      </text>
    </comment>
    <comment ref="AF185" authorId="0" shapeId="0" xr:uid="{00000000-0006-0000-0500-00008E000000}">
      <text>
        <r>
          <rPr>
            <b/>
            <sz val="9"/>
            <color indexed="81"/>
            <rFont val="Tahoma"/>
            <family val="2"/>
          </rPr>
          <t>..:</t>
        </r>
        <r>
          <rPr>
            <sz val="9"/>
            <color indexed="81"/>
            <rFont val="Tahoma"/>
            <family val="2"/>
          </rPr>
          <t xml:space="preserve">
Less $285,470 in ARRA included in GR</t>
        </r>
      </text>
    </comment>
    <comment ref="AF186" authorId="0" shapeId="0" xr:uid="{00000000-0006-0000-0500-00008F000000}">
      <text>
        <r>
          <rPr>
            <b/>
            <sz val="9"/>
            <color indexed="81"/>
            <rFont val="Tahoma"/>
            <family val="2"/>
          </rPr>
          <t>..:</t>
        </r>
        <r>
          <rPr>
            <sz val="9"/>
            <color indexed="81"/>
            <rFont val="Tahoma"/>
            <family val="2"/>
          </rPr>
          <t xml:space="preserve">
Less $2,122,710 in ARRA included in GR</t>
        </r>
      </text>
    </comment>
    <comment ref="AF187" authorId="0" shapeId="0" xr:uid="{00000000-0006-0000-0500-000090000000}">
      <text>
        <r>
          <rPr>
            <b/>
            <sz val="9"/>
            <color indexed="81"/>
            <rFont val="Tahoma"/>
            <family val="2"/>
          </rPr>
          <t>..:</t>
        </r>
        <r>
          <rPr>
            <sz val="9"/>
            <color indexed="81"/>
            <rFont val="Tahoma"/>
            <family val="2"/>
          </rPr>
          <t xml:space="preserve">
Less $3,652,684 in ARRA included in GR</t>
        </r>
      </text>
    </comment>
    <comment ref="AF188" authorId="0" shapeId="0" xr:uid="{00000000-0006-0000-0500-000091000000}">
      <text>
        <r>
          <rPr>
            <b/>
            <sz val="9"/>
            <color indexed="81"/>
            <rFont val="Tahoma"/>
            <family val="2"/>
          </rPr>
          <t>..:</t>
        </r>
        <r>
          <rPr>
            <sz val="9"/>
            <color indexed="81"/>
            <rFont val="Tahoma"/>
            <family val="2"/>
          </rPr>
          <t xml:space="preserve">
Less $235,001 in ARRA included in GR</t>
        </r>
      </text>
    </comment>
    <comment ref="AF189" authorId="0" shapeId="0" xr:uid="{00000000-0006-0000-0500-000092000000}">
      <text>
        <r>
          <rPr>
            <b/>
            <sz val="9"/>
            <color indexed="81"/>
            <rFont val="Tahoma"/>
            <family val="2"/>
          </rPr>
          <t>..:</t>
        </r>
        <r>
          <rPr>
            <sz val="9"/>
            <color indexed="81"/>
            <rFont val="Tahoma"/>
            <family val="2"/>
          </rPr>
          <t xml:space="preserve">
Less $107,514 in ARRA included in GR</t>
        </r>
      </text>
    </comment>
    <comment ref="AF190" authorId="0" shapeId="0" xr:uid="{00000000-0006-0000-0500-000093000000}">
      <text>
        <r>
          <rPr>
            <b/>
            <sz val="9"/>
            <color indexed="81"/>
            <rFont val="Tahoma"/>
            <family val="2"/>
          </rPr>
          <t>..:</t>
        </r>
        <r>
          <rPr>
            <sz val="9"/>
            <color indexed="81"/>
            <rFont val="Tahoma"/>
            <family val="2"/>
          </rPr>
          <t xml:space="preserve">
Less $8,614,304 in ARRA included in GR</t>
        </r>
      </text>
    </comment>
    <comment ref="AG190" authorId="1" shapeId="0" xr:uid="{00000000-0006-0000-0500-000094000000}">
      <text>
        <r>
          <rPr>
            <b/>
            <sz val="9"/>
            <color indexed="81"/>
            <rFont val="Tahoma"/>
            <family val="2"/>
          </rPr>
          <t>Paul  :</t>
        </r>
        <r>
          <rPr>
            <sz val="9"/>
            <color indexed="81"/>
            <rFont val="Tahoma"/>
            <family val="2"/>
          </rPr>
          <t xml:space="preserve">
$8M HB4</t>
        </r>
      </text>
    </comment>
    <comment ref="AF191" authorId="0" shapeId="0" xr:uid="{00000000-0006-0000-0500-000095000000}">
      <text>
        <r>
          <rPr>
            <b/>
            <sz val="9"/>
            <color indexed="81"/>
            <rFont val="Tahoma"/>
            <family val="2"/>
          </rPr>
          <t>..:</t>
        </r>
        <r>
          <rPr>
            <sz val="9"/>
            <color indexed="81"/>
            <rFont val="Tahoma"/>
            <family val="2"/>
          </rPr>
          <t xml:space="preserve">
Less $6,767,161 in ARRA included in GR</t>
        </r>
      </text>
    </comment>
    <comment ref="AF192" authorId="0" shapeId="0" xr:uid="{00000000-0006-0000-0500-000096000000}">
      <text>
        <r>
          <rPr>
            <b/>
            <sz val="9"/>
            <color indexed="81"/>
            <rFont val="Tahoma"/>
            <family val="2"/>
          </rPr>
          <t>..:</t>
        </r>
        <r>
          <rPr>
            <sz val="9"/>
            <color indexed="81"/>
            <rFont val="Tahoma"/>
            <family val="2"/>
          </rPr>
          <t xml:space="preserve">
Less $6,673,646 in ARRA included in GR</t>
        </r>
      </text>
    </comment>
    <comment ref="AF193" authorId="0" shapeId="0" xr:uid="{00000000-0006-0000-0500-000097000000}">
      <text>
        <r>
          <rPr>
            <b/>
            <sz val="9"/>
            <color indexed="81"/>
            <rFont val="Tahoma"/>
            <family val="2"/>
          </rPr>
          <t>..:</t>
        </r>
        <r>
          <rPr>
            <sz val="9"/>
            <color indexed="81"/>
            <rFont val="Tahoma"/>
            <family val="2"/>
          </rPr>
          <t xml:space="preserve">
Less $8,724,332 in ARRA included in GR</t>
        </r>
      </text>
    </comment>
    <comment ref="AG193" authorId="1" shapeId="0" xr:uid="{00000000-0006-0000-0500-000098000000}">
      <text>
        <r>
          <rPr>
            <b/>
            <sz val="9"/>
            <color indexed="81"/>
            <rFont val="Tahoma"/>
            <family val="2"/>
          </rPr>
          <t>Paul  :</t>
        </r>
        <r>
          <rPr>
            <sz val="9"/>
            <color indexed="81"/>
            <rFont val="Tahoma"/>
            <family val="2"/>
          </rPr>
          <t xml:space="preserve">
$8M HB4</t>
        </r>
      </text>
    </comment>
    <comment ref="AN194" authorId="4" shapeId="0" xr:uid="{00000000-0006-0000-0500-000099000000}">
      <text>
        <r>
          <rPr>
            <b/>
            <sz val="9"/>
            <color indexed="81"/>
            <rFont val="Tahoma"/>
            <family val="2"/>
          </rPr>
          <t>':</t>
        </r>
        <r>
          <rPr>
            <sz val="9"/>
            <color indexed="81"/>
            <rFont val="Tahoma"/>
            <family val="2"/>
          </rPr>
          <t xml:space="preserve">
Per HRI MOF RGV Medical School GR.</t>
        </r>
      </text>
    </comment>
    <comment ref="AO194" authorId="4" shapeId="0" xr:uid="{00000000-0006-0000-0500-00009A000000}">
      <text>
        <r>
          <rPr>
            <b/>
            <sz val="9"/>
            <color indexed="81"/>
            <rFont val="Tahoma"/>
            <family val="2"/>
          </rPr>
          <t>':</t>
        </r>
        <r>
          <rPr>
            <sz val="9"/>
            <color indexed="81"/>
            <rFont val="Tahoma"/>
            <family val="2"/>
          </rPr>
          <t xml:space="preserve">
Per HRI MOF RGV Medical School GR.</t>
        </r>
      </text>
    </comment>
    <comment ref="AF195" authorId="0" shapeId="0" xr:uid="{00000000-0006-0000-0500-00009B000000}">
      <text>
        <r>
          <rPr>
            <b/>
            <sz val="9"/>
            <color indexed="81"/>
            <rFont val="Tahoma"/>
            <family val="2"/>
          </rPr>
          <t>..:</t>
        </r>
        <r>
          <rPr>
            <sz val="9"/>
            <color indexed="81"/>
            <rFont val="Tahoma"/>
            <family val="2"/>
          </rPr>
          <t xml:space="preserve">
Less $634,206 in ARRA included in GR</t>
        </r>
      </text>
    </comment>
    <comment ref="AG195" authorId="1" shapeId="0" xr:uid="{00000000-0006-0000-0500-00009C000000}">
      <text>
        <r>
          <rPr>
            <b/>
            <sz val="9"/>
            <color indexed="81"/>
            <rFont val="Tahoma"/>
            <family val="2"/>
          </rPr>
          <t>Paul  :</t>
        </r>
        <r>
          <rPr>
            <sz val="9"/>
            <color indexed="81"/>
            <rFont val="Tahoma"/>
            <family val="2"/>
          </rPr>
          <t xml:space="preserve">
$8M HB4</t>
        </r>
      </text>
    </comment>
    <comment ref="AF196" authorId="0" shapeId="0" xr:uid="{00000000-0006-0000-0500-00009D000000}">
      <text>
        <r>
          <rPr>
            <b/>
            <sz val="9"/>
            <color indexed="81"/>
            <rFont val="Tahoma"/>
            <family val="2"/>
          </rPr>
          <t>..:</t>
        </r>
        <r>
          <rPr>
            <sz val="9"/>
            <color indexed="81"/>
            <rFont val="Tahoma"/>
            <family val="2"/>
          </rPr>
          <t xml:space="preserve">
Less $80,210 in ARRA included in GR</t>
        </r>
      </text>
    </comment>
    <comment ref="AF197" authorId="0" shapeId="0" xr:uid="{00000000-0006-0000-0500-00009E000000}">
      <text>
        <r>
          <rPr>
            <b/>
            <sz val="9"/>
            <color indexed="81"/>
            <rFont val="Tahoma"/>
            <family val="2"/>
          </rPr>
          <t>..:</t>
        </r>
        <r>
          <rPr>
            <sz val="9"/>
            <color indexed="81"/>
            <rFont val="Tahoma"/>
            <family val="2"/>
          </rPr>
          <t xml:space="preserve">
Less $6,014,608 in ARRA included in GR</t>
        </r>
      </text>
    </comment>
    <comment ref="AG197" authorId="1" shapeId="0" xr:uid="{00000000-0006-0000-0500-00009F000000}">
      <text>
        <r>
          <rPr>
            <b/>
            <sz val="9"/>
            <color indexed="81"/>
            <rFont val="Tahoma"/>
            <family val="2"/>
          </rPr>
          <t>Paul  :</t>
        </r>
        <r>
          <rPr>
            <sz val="9"/>
            <color indexed="81"/>
            <rFont val="Tahoma"/>
            <family val="2"/>
          </rPr>
          <t xml:space="preserve">
$8M HB4</t>
        </r>
      </text>
    </comment>
    <comment ref="AF198" authorId="0" shapeId="0" xr:uid="{00000000-0006-0000-0500-0000A0000000}">
      <text>
        <r>
          <rPr>
            <b/>
            <sz val="9"/>
            <color indexed="81"/>
            <rFont val="Tahoma"/>
            <family val="2"/>
          </rPr>
          <t>..:</t>
        </r>
        <r>
          <rPr>
            <sz val="9"/>
            <color indexed="81"/>
            <rFont val="Tahoma"/>
            <family val="2"/>
          </rPr>
          <t xml:space="preserve">
Less $3,438,054 in ARRA included in ARRA</t>
        </r>
      </text>
    </comment>
    <comment ref="AG198" authorId="1" shapeId="0" xr:uid="{00000000-0006-0000-0500-0000A1000000}">
      <text>
        <r>
          <rPr>
            <b/>
            <sz val="9"/>
            <color indexed="81"/>
            <rFont val="Tahoma"/>
            <family val="2"/>
          </rPr>
          <t>Paul  :</t>
        </r>
        <r>
          <rPr>
            <sz val="9"/>
            <color indexed="81"/>
            <rFont val="Tahoma"/>
            <family val="2"/>
          </rPr>
          <t xml:space="preserve">
$5M HB4</t>
        </r>
      </text>
    </comment>
    <comment ref="AP198" authorId="3" shapeId="0" xr:uid="{00000000-0006-0000-0500-0000A2000000}">
      <text>
        <r>
          <rPr>
            <b/>
            <sz val="9"/>
            <color indexed="81"/>
            <rFont val="Tahoma"/>
            <family val="2"/>
          </rPr>
          <t>:</t>
        </r>
        <r>
          <rPr>
            <sz val="9"/>
            <color indexed="81"/>
            <rFont val="Tahoma"/>
            <family val="2"/>
          </rPr>
          <t xml:space="preserve">
Plus $2.5 m for rape kittesting per LBB letter.
</t>
        </r>
      </text>
    </comment>
    <comment ref="AQ198" authorId="3" shapeId="0" xr:uid="{B1715657-181E-4831-AE88-38A78B3AEA4C}">
      <text>
        <r>
          <rPr>
            <b/>
            <sz val="9"/>
            <color indexed="81"/>
            <rFont val="Tahoma"/>
            <family val="2"/>
          </rPr>
          <t>:</t>
        </r>
        <r>
          <rPr>
            <sz val="9"/>
            <color indexed="81"/>
            <rFont val="Tahoma"/>
            <family val="2"/>
          </rPr>
          <t xml:space="preserve">
Plus $2.5 m for rape kittesting per LBB letter.
</t>
        </r>
      </text>
    </comment>
    <comment ref="AF199" authorId="0" shapeId="0" xr:uid="{00000000-0006-0000-0500-0000A4000000}">
      <text>
        <r>
          <rPr>
            <b/>
            <sz val="9"/>
            <color indexed="81"/>
            <rFont val="Tahoma"/>
            <family val="2"/>
          </rPr>
          <t>..:</t>
        </r>
        <r>
          <rPr>
            <sz val="9"/>
            <color indexed="81"/>
            <rFont val="Tahoma"/>
            <family val="2"/>
          </rPr>
          <t xml:space="preserve">
Less $7,075,479 in ARRA included in GR</t>
        </r>
      </text>
    </comment>
    <comment ref="AG199" authorId="1" shapeId="0" xr:uid="{00000000-0006-0000-0500-0000A5000000}">
      <text>
        <r>
          <rPr>
            <b/>
            <sz val="9"/>
            <color indexed="81"/>
            <rFont val="Tahoma"/>
            <family val="2"/>
          </rPr>
          <t>Paul  :</t>
        </r>
        <r>
          <rPr>
            <sz val="9"/>
            <color indexed="81"/>
            <rFont val="Tahoma"/>
            <family val="2"/>
          </rPr>
          <t xml:space="preserve">
$8M HB4</t>
        </r>
      </text>
    </comment>
    <comment ref="AN201" authorId="4" shapeId="0" xr:uid="{00000000-0006-0000-0500-0000A6000000}">
      <text>
        <r>
          <rPr>
            <b/>
            <sz val="9"/>
            <color indexed="81"/>
            <rFont val="Tahoma"/>
            <family val="2"/>
          </rPr>
          <t>':</t>
        </r>
        <r>
          <rPr>
            <sz val="9"/>
            <color indexed="81"/>
            <rFont val="Tahoma"/>
            <family val="2"/>
          </rPr>
          <t xml:space="preserve">
Less GRD from HRI MOF.</t>
        </r>
      </text>
    </comment>
    <comment ref="AO201" authorId="4" shapeId="0" xr:uid="{00000000-0006-0000-0500-0000A7000000}">
      <text>
        <r>
          <rPr>
            <b/>
            <sz val="9"/>
            <color indexed="81"/>
            <rFont val="Tahoma"/>
            <family val="2"/>
          </rPr>
          <t>':</t>
        </r>
        <r>
          <rPr>
            <sz val="9"/>
            <color indexed="81"/>
            <rFont val="Tahoma"/>
            <family val="2"/>
          </rPr>
          <t xml:space="preserve">
Less GRD from HRI MOF.</t>
        </r>
      </text>
    </comment>
    <comment ref="AP201" authorId="4" shapeId="0" xr:uid="{00000000-0006-0000-0500-0000A8000000}">
      <text>
        <r>
          <rPr>
            <b/>
            <sz val="9"/>
            <color indexed="81"/>
            <rFont val="Tahoma"/>
            <family val="2"/>
          </rPr>
          <t>':</t>
        </r>
        <r>
          <rPr>
            <sz val="9"/>
            <color indexed="81"/>
            <rFont val="Tahoma"/>
            <family val="2"/>
          </rPr>
          <t xml:space="preserve">
Less GRD from HRI MOF.</t>
        </r>
      </text>
    </comment>
    <comment ref="AQ201" authorId="4" shapeId="0" xr:uid="{00000000-0006-0000-0500-0000A9000000}">
      <text>
        <r>
          <rPr>
            <b/>
            <sz val="9"/>
            <color indexed="81"/>
            <rFont val="Tahoma"/>
            <family val="2"/>
          </rPr>
          <t>':</t>
        </r>
        <r>
          <rPr>
            <sz val="9"/>
            <color indexed="81"/>
            <rFont val="Tahoma"/>
            <family val="2"/>
          </rPr>
          <t xml:space="preserve">
Less GRD from HRI MOF.</t>
        </r>
      </text>
    </comment>
    <comment ref="AF202" authorId="0" shapeId="0" xr:uid="{00000000-0006-0000-0500-0000AA000000}">
      <text>
        <r>
          <rPr>
            <b/>
            <sz val="9"/>
            <color indexed="81"/>
            <rFont val="Tahoma"/>
            <family val="2"/>
          </rPr>
          <t>..:</t>
        </r>
        <r>
          <rPr>
            <sz val="9"/>
            <color indexed="81"/>
            <rFont val="Tahoma"/>
            <family val="2"/>
          </rPr>
          <t xml:space="preserve">
Less $15,000,000 in ARRA included in GR</t>
        </r>
      </text>
    </comment>
    <comment ref="AF204" authorId="0" shapeId="0" xr:uid="{00000000-0006-0000-0500-0000AB000000}">
      <text>
        <r>
          <rPr>
            <b/>
            <sz val="9"/>
            <color indexed="81"/>
            <rFont val="Tahoma"/>
            <family val="2"/>
          </rPr>
          <t>..:</t>
        </r>
        <r>
          <rPr>
            <sz val="9"/>
            <color indexed="81"/>
            <rFont val="Tahoma"/>
            <family val="2"/>
          </rPr>
          <t xml:space="preserve">
Less $850,530 in ARRA included in GR</t>
        </r>
      </text>
    </comment>
    <comment ref="AF205" authorId="0" shapeId="0" xr:uid="{00000000-0006-0000-0500-0000AC000000}">
      <text>
        <r>
          <rPr>
            <b/>
            <sz val="9"/>
            <color indexed="81"/>
            <rFont val="Tahoma"/>
            <family val="2"/>
          </rPr>
          <t>..:</t>
        </r>
        <r>
          <rPr>
            <sz val="9"/>
            <color indexed="81"/>
            <rFont val="Tahoma"/>
            <family val="2"/>
          </rPr>
          <t xml:space="preserve">
Less $419,578 in ARRA included in GR</t>
        </r>
      </text>
    </comment>
    <comment ref="AF206" authorId="0" shapeId="0" xr:uid="{00000000-0006-0000-0500-0000AD000000}">
      <text>
        <r>
          <rPr>
            <b/>
            <sz val="9"/>
            <color indexed="81"/>
            <rFont val="Tahoma"/>
            <family val="2"/>
          </rPr>
          <t>..:</t>
        </r>
        <r>
          <rPr>
            <sz val="9"/>
            <color indexed="81"/>
            <rFont val="Tahoma"/>
            <family val="2"/>
          </rPr>
          <t xml:space="preserve">
Less $1,157,191 in ARRA included in GR</t>
        </r>
      </text>
    </comment>
    <comment ref="AF207" authorId="0" shapeId="0" xr:uid="{00000000-0006-0000-0500-0000AE000000}">
      <text>
        <r>
          <rPr>
            <b/>
            <sz val="9"/>
            <color indexed="81"/>
            <rFont val="Tahoma"/>
            <family val="2"/>
          </rPr>
          <t>..:</t>
        </r>
        <r>
          <rPr>
            <sz val="9"/>
            <color indexed="81"/>
            <rFont val="Tahoma"/>
            <family val="2"/>
          </rPr>
          <t xml:space="preserve">
Less $152,123 in ARRA included in GR</t>
        </r>
      </text>
    </comment>
    <comment ref="AI210" authorId="0" shapeId="0" xr:uid="{00000000-0006-0000-0500-0000AF000000}">
      <text>
        <r>
          <rPr>
            <b/>
            <sz val="9"/>
            <color indexed="81"/>
            <rFont val="Tahoma"/>
            <family val="2"/>
          </rPr>
          <t>..:</t>
        </r>
        <r>
          <rPr>
            <sz val="9"/>
            <color indexed="81"/>
            <rFont val="Tahoma"/>
            <family val="2"/>
          </rPr>
          <t xml:space="preserve">
Includes HB 1025
</t>
        </r>
      </text>
    </comment>
    <comment ref="AI214" authorId="0" shapeId="0" xr:uid="{00000000-0006-0000-0500-0000B0000000}">
      <text>
        <r>
          <rPr>
            <b/>
            <sz val="9"/>
            <color indexed="81"/>
            <rFont val="Tahoma"/>
            <family val="2"/>
          </rPr>
          <t>..:</t>
        </r>
        <r>
          <rPr>
            <sz val="9"/>
            <color indexed="81"/>
            <rFont val="Tahoma"/>
            <family val="2"/>
          </rPr>
          <t xml:space="preserve">
Includes HB 1025
</t>
        </r>
      </text>
    </comment>
    <comment ref="AI215" authorId="0" shapeId="0" xr:uid="{00000000-0006-0000-0500-0000B1000000}">
      <text>
        <r>
          <rPr>
            <b/>
            <sz val="9"/>
            <color indexed="81"/>
            <rFont val="Tahoma"/>
            <family val="2"/>
          </rPr>
          <t>..:</t>
        </r>
        <r>
          <rPr>
            <sz val="9"/>
            <color indexed="81"/>
            <rFont val="Tahoma"/>
            <family val="2"/>
          </rPr>
          <t xml:space="preserve">
Includes HB 1025
</t>
        </r>
      </text>
    </comment>
    <comment ref="AF227" authorId="0" shapeId="0" xr:uid="{00000000-0006-0000-0500-0000B2000000}">
      <text>
        <r>
          <rPr>
            <b/>
            <sz val="9"/>
            <color indexed="81"/>
            <rFont val="Tahoma"/>
            <family val="2"/>
          </rPr>
          <t>..:</t>
        </r>
        <r>
          <rPr>
            <sz val="9"/>
            <color indexed="81"/>
            <rFont val="Tahoma"/>
            <family val="2"/>
          </rPr>
          <t xml:space="preserve">
Less $3,838,793,500 in ARRA included in GR</t>
        </r>
      </text>
    </comment>
    <comment ref="AG227" authorId="1" shapeId="0" xr:uid="{00000000-0006-0000-0500-0000B3000000}">
      <text>
        <r>
          <rPr>
            <b/>
            <sz val="9"/>
            <color indexed="81"/>
            <rFont val="Tahoma"/>
            <family val="2"/>
          </rPr>
          <t>Paul  :</t>
        </r>
        <r>
          <rPr>
            <sz val="9"/>
            <color indexed="81"/>
            <rFont val="Tahoma"/>
            <family val="2"/>
          </rPr>
          <t xml:space="preserve">
$45M HB4</t>
        </r>
      </text>
    </comment>
    <comment ref="AI227" authorId="0" shapeId="0" xr:uid="{00000000-0006-0000-0500-0000B4000000}">
      <text>
        <r>
          <rPr>
            <b/>
            <sz val="9"/>
            <color indexed="81"/>
            <rFont val="Tahoma"/>
            <family val="2"/>
          </rPr>
          <t>..:</t>
        </r>
        <r>
          <rPr>
            <sz val="9"/>
            <color indexed="81"/>
            <rFont val="Tahoma"/>
            <family val="2"/>
          </rPr>
          <t xml:space="preserve">
Includes HB 1025
</t>
        </r>
      </text>
    </comment>
    <comment ref="E228" authorId="0" shapeId="0" xr:uid="{00000000-0006-0000-0500-0000B5000000}">
      <text>
        <r>
          <rPr>
            <b/>
            <sz val="9"/>
            <color indexed="81"/>
            <rFont val="Tahoma"/>
            <family val="2"/>
          </rPr>
          <t>..:</t>
        </r>
        <r>
          <rPr>
            <sz val="9"/>
            <color indexed="81"/>
            <rFont val="Tahoma"/>
            <family val="2"/>
          </rPr>
          <t xml:space="preserve">
Used in NASBO Survey for Governor's Office.</t>
        </r>
      </text>
    </comment>
    <comment ref="E230" authorId="0" shapeId="0" xr:uid="{00000000-0006-0000-0500-0000B6000000}">
      <text>
        <r>
          <rPr>
            <b/>
            <sz val="9"/>
            <color indexed="81"/>
            <rFont val="Tahoma"/>
            <family val="2"/>
          </rPr>
          <t>..:</t>
        </r>
        <r>
          <rPr>
            <sz val="9"/>
            <color indexed="81"/>
            <rFont val="Tahoma"/>
            <family val="2"/>
          </rPr>
          <t xml:space="preserve">
Used in NASBO Survey for Governor's Office.</t>
        </r>
      </text>
    </comment>
    <comment ref="E231" authorId="0" shapeId="0" xr:uid="{00000000-0006-0000-0500-0000B7000000}">
      <text>
        <r>
          <rPr>
            <b/>
            <sz val="9"/>
            <color indexed="81"/>
            <rFont val="Tahoma"/>
            <family val="2"/>
          </rPr>
          <t>..:</t>
        </r>
        <r>
          <rPr>
            <sz val="9"/>
            <color indexed="81"/>
            <rFont val="Tahoma"/>
            <family val="2"/>
          </rPr>
          <t xml:space="preserve">
Used in NASBO Survey for Governor's Office.</t>
        </r>
      </text>
    </comment>
    <comment ref="AN241" authorId="4" shapeId="0" xr:uid="{00000000-0006-0000-0500-0000B8000000}">
      <text>
        <r>
          <rPr>
            <b/>
            <sz val="9"/>
            <color indexed="81"/>
            <rFont val="Tahoma"/>
            <family val="2"/>
          </rPr>
          <t>':</t>
        </r>
        <r>
          <rPr>
            <sz val="9"/>
            <color indexed="81"/>
            <rFont val="Tahoma"/>
            <family val="2"/>
          </rPr>
          <t xml:space="preserve">
Move Medical School GRD.
</t>
        </r>
      </text>
    </comment>
    <comment ref="AO241" authorId="4" shapeId="0" xr:uid="{00000000-0006-0000-0500-0000B9000000}">
      <text>
        <r>
          <rPr>
            <b/>
            <sz val="9"/>
            <color indexed="81"/>
            <rFont val="Tahoma"/>
            <family val="2"/>
          </rPr>
          <t>':</t>
        </r>
        <r>
          <rPr>
            <sz val="9"/>
            <color indexed="81"/>
            <rFont val="Tahoma"/>
            <family val="2"/>
          </rPr>
          <t xml:space="preserve">
Move Medical School GRD.
</t>
        </r>
      </text>
    </comment>
    <comment ref="AP241" authorId="4" shapeId="0" xr:uid="{00000000-0006-0000-0500-0000BA000000}">
      <text>
        <r>
          <rPr>
            <b/>
            <sz val="9"/>
            <color indexed="81"/>
            <rFont val="Tahoma"/>
            <family val="2"/>
          </rPr>
          <t>':</t>
        </r>
        <r>
          <rPr>
            <sz val="9"/>
            <color indexed="81"/>
            <rFont val="Tahoma"/>
            <family val="2"/>
          </rPr>
          <t xml:space="preserve">
Move Medical School GRD.
</t>
        </r>
      </text>
    </comment>
    <comment ref="AQ241" authorId="4" shapeId="0" xr:uid="{00000000-0006-0000-0500-0000BB000000}">
      <text>
        <r>
          <rPr>
            <b/>
            <sz val="9"/>
            <color indexed="81"/>
            <rFont val="Tahoma"/>
            <family val="2"/>
          </rPr>
          <t>':</t>
        </r>
        <r>
          <rPr>
            <sz val="9"/>
            <color indexed="81"/>
            <rFont val="Tahoma"/>
            <family val="2"/>
          </rPr>
          <t xml:space="preserve">
Move Medical School GRD.
</t>
        </r>
      </text>
    </comment>
    <comment ref="AN244" authorId="4" shapeId="0" xr:uid="{00000000-0006-0000-0500-0000BC000000}">
      <text>
        <r>
          <rPr>
            <b/>
            <sz val="9"/>
            <color indexed="81"/>
            <rFont val="Tahoma"/>
            <family val="2"/>
          </rPr>
          <t>':</t>
        </r>
        <r>
          <rPr>
            <sz val="9"/>
            <color indexed="81"/>
            <rFont val="Tahoma"/>
            <family val="2"/>
          </rPr>
          <t xml:space="preserve">
Move Medical School GRD.
</t>
        </r>
      </text>
    </comment>
    <comment ref="AO244" authorId="4" shapeId="0" xr:uid="{00000000-0006-0000-0500-0000BD000000}">
      <text>
        <r>
          <rPr>
            <b/>
            <sz val="9"/>
            <color indexed="81"/>
            <rFont val="Tahoma"/>
            <family val="2"/>
          </rPr>
          <t>':</t>
        </r>
        <r>
          <rPr>
            <sz val="9"/>
            <color indexed="81"/>
            <rFont val="Tahoma"/>
            <family val="2"/>
          </rPr>
          <t xml:space="preserve">
Move Medical School GRD.
</t>
        </r>
      </text>
    </comment>
    <comment ref="AF326" authorId="0" shapeId="0" xr:uid="{00000000-0006-0000-0500-0000BE000000}">
      <text>
        <r>
          <rPr>
            <b/>
            <sz val="9"/>
            <color indexed="81"/>
            <rFont val="Tahoma"/>
            <family val="2"/>
          </rPr>
          <t>..:</t>
        </r>
        <r>
          <rPr>
            <sz val="9"/>
            <color indexed="81"/>
            <rFont val="Tahoma"/>
            <family val="2"/>
          </rPr>
          <t xml:space="preserve">
Plus ARRA $100,000</t>
        </r>
      </text>
    </comment>
    <comment ref="AF331" authorId="0" shapeId="0" xr:uid="{00000000-0006-0000-0500-0000BF000000}">
      <text>
        <r>
          <rPr>
            <b/>
            <sz val="9"/>
            <color indexed="81"/>
            <rFont val="Tahoma"/>
            <family val="2"/>
          </rPr>
          <t>..:</t>
        </r>
        <r>
          <rPr>
            <sz val="9"/>
            <color indexed="81"/>
            <rFont val="Tahoma"/>
            <family val="2"/>
          </rPr>
          <t xml:space="preserve">
Plus ARRA $500,000</t>
        </r>
      </text>
    </comment>
    <comment ref="AF361" authorId="0" shapeId="0" xr:uid="{00000000-0006-0000-0500-0000C0000000}">
      <text>
        <r>
          <rPr>
            <b/>
            <sz val="9"/>
            <color indexed="81"/>
            <rFont val="Tahoma"/>
            <family val="2"/>
          </rPr>
          <t>..:</t>
        </r>
        <r>
          <rPr>
            <sz val="9"/>
            <color indexed="81"/>
            <rFont val="Tahoma"/>
            <family val="2"/>
          </rPr>
          <t xml:space="preserve">
Plus ARRA $805,000</t>
        </r>
      </text>
    </comment>
    <comment ref="AF366" authorId="0" shapeId="0" xr:uid="{00000000-0006-0000-0500-0000C1000000}">
      <text>
        <r>
          <rPr>
            <b/>
            <sz val="9"/>
            <color indexed="81"/>
            <rFont val="Tahoma"/>
            <family val="2"/>
          </rPr>
          <t>..:</t>
        </r>
        <r>
          <rPr>
            <sz val="9"/>
            <color indexed="81"/>
            <rFont val="Tahoma"/>
            <family val="2"/>
          </rPr>
          <t xml:space="preserve">
Plus ARRA $500,000</t>
        </r>
      </text>
    </comment>
    <comment ref="AF371" authorId="0" shapeId="0" xr:uid="{00000000-0006-0000-0500-0000C2000000}">
      <text>
        <r>
          <rPr>
            <b/>
            <sz val="9"/>
            <color indexed="81"/>
            <rFont val="Tahoma"/>
            <family val="2"/>
          </rPr>
          <t>..:</t>
        </r>
        <r>
          <rPr>
            <sz val="9"/>
            <color indexed="81"/>
            <rFont val="Tahoma"/>
            <family val="2"/>
          </rPr>
          <t xml:space="preserve">
Plus ARRA 1,905,000</t>
        </r>
      </text>
    </comment>
    <comment ref="AF373" authorId="0" shapeId="0" xr:uid="{00000000-0006-0000-0500-0000C3000000}">
      <text>
        <r>
          <rPr>
            <b/>
            <sz val="9"/>
            <color indexed="81"/>
            <rFont val="Tahoma"/>
            <family val="2"/>
          </rPr>
          <t>..:</t>
        </r>
        <r>
          <rPr>
            <sz val="9"/>
            <color indexed="81"/>
            <rFont val="Tahoma"/>
            <family val="2"/>
          </rPr>
          <t xml:space="preserve">
Less the amount of ARRA included in GR</t>
        </r>
      </text>
    </comment>
    <comment ref="AF374" authorId="0" shapeId="0" xr:uid="{00000000-0006-0000-0500-0000C4000000}">
      <text>
        <r>
          <rPr>
            <b/>
            <sz val="9"/>
            <color indexed="81"/>
            <rFont val="Tahoma"/>
            <family val="2"/>
          </rPr>
          <t>..:</t>
        </r>
        <r>
          <rPr>
            <sz val="9"/>
            <color indexed="81"/>
            <rFont val="Tahoma"/>
            <family val="2"/>
          </rPr>
          <t xml:space="preserve">
Less the amount of ARRA included in GR</t>
        </r>
      </text>
    </comment>
    <comment ref="AF375" authorId="0" shapeId="0" xr:uid="{00000000-0006-0000-0500-0000C5000000}">
      <text>
        <r>
          <rPr>
            <b/>
            <sz val="9"/>
            <color indexed="81"/>
            <rFont val="Tahoma"/>
            <family val="2"/>
          </rPr>
          <t>..:</t>
        </r>
        <r>
          <rPr>
            <sz val="9"/>
            <color indexed="81"/>
            <rFont val="Tahoma"/>
            <family val="2"/>
          </rPr>
          <t xml:space="preserve">
Less the amount of ARRA included in GR</t>
        </r>
      </text>
    </comment>
    <comment ref="AF376" authorId="0" shapeId="0" xr:uid="{00000000-0006-0000-0500-0000C6000000}">
      <text>
        <r>
          <rPr>
            <b/>
            <sz val="9"/>
            <color indexed="81"/>
            <rFont val="Tahoma"/>
            <family val="2"/>
          </rPr>
          <t>..:</t>
        </r>
        <r>
          <rPr>
            <sz val="9"/>
            <color indexed="81"/>
            <rFont val="Tahoma"/>
            <family val="2"/>
          </rPr>
          <t xml:space="preserve">
Less the amount of ARRA included in GR</t>
        </r>
      </text>
    </comment>
    <comment ref="AF377" authorId="0" shapeId="0" xr:uid="{00000000-0006-0000-0500-0000C7000000}">
      <text>
        <r>
          <rPr>
            <b/>
            <sz val="9"/>
            <color indexed="81"/>
            <rFont val="Tahoma"/>
            <family val="2"/>
          </rPr>
          <t>..:</t>
        </r>
        <r>
          <rPr>
            <sz val="9"/>
            <color indexed="81"/>
            <rFont val="Tahoma"/>
            <family val="2"/>
          </rPr>
          <t xml:space="preserve">
Less the amount of ARRA included in GR</t>
        </r>
      </text>
    </comment>
    <comment ref="AF378" authorId="0" shapeId="0" xr:uid="{00000000-0006-0000-0500-0000C8000000}">
      <text>
        <r>
          <rPr>
            <b/>
            <sz val="9"/>
            <color indexed="81"/>
            <rFont val="Tahoma"/>
            <family val="2"/>
          </rPr>
          <t>..:</t>
        </r>
        <r>
          <rPr>
            <sz val="9"/>
            <color indexed="81"/>
            <rFont val="Tahoma"/>
            <family val="2"/>
          </rPr>
          <t xml:space="preserve">
Less the amount of ARRA included in GR</t>
        </r>
      </text>
    </comment>
    <comment ref="AF379" authorId="0" shapeId="0" xr:uid="{00000000-0006-0000-0500-0000C9000000}">
      <text>
        <r>
          <rPr>
            <b/>
            <sz val="9"/>
            <color indexed="81"/>
            <rFont val="Tahoma"/>
            <family val="2"/>
          </rPr>
          <t>..:</t>
        </r>
        <r>
          <rPr>
            <sz val="9"/>
            <color indexed="81"/>
            <rFont val="Tahoma"/>
            <family val="2"/>
          </rPr>
          <t xml:space="preserve">
Less the amount of ARRA included in GR</t>
        </r>
      </text>
    </comment>
    <comment ref="AF380" authorId="0" shapeId="0" xr:uid="{00000000-0006-0000-0500-0000CA000000}">
      <text>
        <r>
          <rPr>
            <b/>
            <sz val="9"/>
            <color indexed="81"/>
            <rFont val="Tahoma"/>
            <family val="2"/>
          </rPr>
          <t>..:</t>
        </r>
        <r>
          <rPr>
            <sz val="9"/>
            <color indexed="81"/>
            <rFont val="Tahoma"/>
            <family val="2"/>
          </rPr>
          <t xml:space="preserve">
Less the amount of ARRA included in GR</t>
        </r>
      </text>
    </comment>
    <comment ref="AF381" authorId="0" shapeId="0" xr:uid="{00000000-0006-0000-0500-0000CB000000}">
      <text>
        <r>
          <rPr>
            <b/>
            <sz val="9"/>
            <color indexed="81"/>
            <rFont val="Tahoma"/>
            <family val="2"/>
          </rPr>
          <t>..:</t>
        </r>
        <r>
          <rPr>
            <sz val="9"/>
            <color indexed="81"/>
            <rFont val="Tahoma"/>
            <family val="2"/>
          </rPr>
          <t xml:space="preserve">
Less the amount of ARRA included in GR</t>
        </r>
      </text>
    </comment>
    <comment ref="AF382" authorId="0" shapeId="0" xr:uid="{00000000-0006-0000-0500-0000CC000000}">
      <text>
        <r>
          <rPr>
            <b/>
            <sz val="9"/>
            <color indexed="81"/>
            <rFont val="Tahoma"/>
            <family val="2"/>
          </rPr>
          <t>..:</t>
        </r>
        <r>
          <rPr>
            <sz val="9"/>
            <color indexed="81"/>
            <rFont val="Tahoma"/>
            <family val="2"/>
          </rPr>
          <t xml:space="preserve">
Less the amount of ARRA included in GR</t>
        </r>
      </text>
    </comment>
    <comment ref="AF383" authorId="0" shapeId="0" xr:uid="{00000000-0006-0000-0500-0000CD000000}">
      <text>
        <r>
          <rPr>
            <b/>
            <sz val="9"/>
            <color indexed="81"/>
            <rFont val="Tahoma"/>
            <family val="2"/>
          </rPr>
          <t>..:</t>
        </r>
        <r>
          <rPr>
            <sz val="9"/>
            <color indexed="81"/>
            <rFont val="Tahoma"/>
            <family val="2"/>
          </rPr>
          <t xml:space="preserve">
Less the amount of ARRA included in GR</t>
        </r>
      </text>
    </comment>
    <comment ref="AF384" authorId="0" shapeId="0" xr:uid="{00000000-0006-0000-0500-0000CE000000}">
      <text>
        <r>
          <rPr>
            <b/>
            <sz val="9"/>
            <color indexed="81"/>
            <rFont val="Tahoma"/>
            <family val="2"/>
          </rPr>
          <t>..:</t>
        </r>
        <r>
          <rPr>
            <sz val="9"/>
            <color indexed="81"/>
            <rFont val="Tahoma"/>
            <family val="2"/>
          </rPr>
          <t xml:space="preserve">
Less the amount of ARRA included in GR</t>
        </r>
      </text>
    </comment>
    <comment ref="AF385" authorId="0" shapeId="0" xr:uid="{00000000-0006-0000-0500-0000CF000000}">
      <text>
        <r>
          <rPr>
            <b/>
            <sz val="9"/>
            <color indexed="81"/>
            <rFont val="Tahoma"/>
            <family val="2"/>
          </rPr>
          <t>..:</t>
        </r>
        <r>
          <rPr>
            <sz val="9"/>
            <color indexed="81"/>
            <rFont val="Tahoma"/>
            <family val="2"/>
          </rPr>
          <t xml:space="preserve">
Less the amount of ARRA included in GR</t>
        </r>
      </text>
    </comment>
    <comment ref="AF386" authorId="0" shapeId="0" xr:uid="{00000000-0006-0000-0500-0000D0000000}">
      <text>
        <r>
          <rPr>
            <b/>
            <sz val="9"/>
            <color indexed="81"/>
            <rFont val="Tahoma"/>
            <family val="2"/>
          </rPr>
          <t>..:</t>
        </r>
        <r>
          <rPr>
            <sz val="9"/>
            <color indexed="81"/>
            <rFont val="Tahoma"/>
            <family val="2"/>
          </rPr>
          <t xml:space="preserve">
Less the amount of ARRA included in GR</t>
        </r>
      </text>
    </comment>
    <comment ref="AF387" authorId="0" shapeId="0" xr:uid="{00000000-0006-0000-0500-0000D1000000}">
      <text>
        <r>
          <rPr>
            <b/>
            <sz val="9"/>
            <color indexed="81"/>
            <rFont val="Tahoma"/>
            <family val="2"/>
          </rPr>
          <t>..:</t>
        </r>
        <r>
          <rPr>
            <sz val="9"/>
            <color indexed="81"/>
            <rFont val="Tahoma"/>
            <family val="2"/>
          </rPr>
          <t xml:space="preserve">
Less the amount of ARRA included in GR</t>
        </r>
      </text>
    </comment>
    <comment ref="AF388" authorId="0" shapeId="0" xr:uid="{00000000-0006-0000-0500-0000D2000000}">
      <text>
        <r>
          <rPr>
            <b/>
            <sz val="9"/>
            <color indexed="81"/>
            <rFont val="Tahoma"/>
            <family val="2"/>
          </rPr>
          <t>..:</t>
        </r>
        <r>
          <rPr>
            <sz val="9"/>
            <color indexed="81"/>
            <rFont val="Tahoma"/>
            <family val="2"/>
          </rPr>
          <t xml:space="preserve">
Less the amount of ARRA included in GR</t>
        </r>
      </text>
    </comment>
    <comment ref="AF389" authorId="0" shapeId="0" xr:uid="{00000000-0006-0000-0500-0000D3000000}">
      <text>
        <r>
          <rPr>
            <b/>
            <sz val="9"/>
            <color indexed="81"/>
            <rFont val="Tahoma"/>
            <family val="2"/>
          </rPr>
          <t>..:</t>
        </r>
        <r>
          <rPr>
            <sz val="9"/>
            <color indexed="81"/>
            <rFont val="Tahoma"/>
            <family val="2"/>
          </rPr>
          <t xml:space="preserve">
Less the amount of ARRA included in GR</t>
        </r>
      </text>
    </comment>
    <comment ref="AF390" authorId="0" shapeId="0" xr:uid="{00000000-0006-0000-0500-0000D4000000}">
      <text>
        <r>
          <rPr>
            <b/>
            <sz val="9"/>
            <color indexed="81"/>
            <rFont val="Tahoma"/>
            <family val="2"/>
          </rPr>
          <t>..:</t>
        </r>
        <r>
          <rPr>
            <sz val="9"/>
            <color indexed="81"/>
            <rFont val="Tahoma"/>
            <family val="2"/>
          </rPr>
          <t xml:space="preserve">
Less the amount of ARRA included in GR</t>
        </r>
      </text>
    </comment>
    <comment ref="AF391" authorId="0" shapeId="0" xr:uid="{00000000-0006-0000-0500-0000D5000000}">
      <text>
        <r>
          <rPr>
            <b/>
            <sz val="9"/>
            <color indexed="81"/>
            <rFont val="Tahoma"/>
            <family val="2"/>
          </rPr>
          <t>..:</t>
        </r>
        <r>
          <rPr>
            <sz val="9"/>
            <color indexed="81"/>
            <rFont val="Tahoma"/>
            <family val="2"/>
          </rPr>
          <t xml:space="preserve">
Less the amount of ARRA included in GR</t>
        </r>
      </text>
    </comment>
    <comment ref="AF392" authorId="0" shapeId="0" xr:uid="{00000000-0006-0000-0500-0000D6000000}">
      <text>
        <r>
          <rPr>
            <b/>
            <sz val="9"/>
            <color indexed="81"/>
            <rFont val="Tahoma"/>
            <family val="2"/>
          </rPr>
          <t>..:</t>
        </r>
        <r>
          <rPr>
            <sz val="9"/>
            <color indexed="81"/>
            <rFont val="Tahoma"/>
            <family val="2"/>
          </rPr>
          <t xml:space="preserve">
Less the amount of ARRA included in GR</t>
        </r>
      </text>
    </comment>
    <comment ref="AF393" authorId="0" shapeId="0" xr:uid="{00000000-0006-0000-0500-0000D7000000}">
      <text>
        <r>
          <rPr>
            <b/>
            <sz val="9"/>
            <color indexed="81"/>
            <rFont val="Tahoma"/>
            <family val="2"/>
          </rPr>
          <t>..:</t>
        </r>
        <r>
          <rPr>
            <sz val="9"/>
            <color indexed="81"/>
            <rFont val="Tahoma"/>
            <family val="2"/>
          </rPr>
          <t xml:space="preserve">
Less the amount of ARRA included in GR</t>
        </r>
      </text>
    </comment>
    <comment ref="AF394" authorId="0" shapeId="0" xr:uid="{00000000-0006-0000-0500-0000D8000000}">
      <text>
        <r>
          <rPr>
            <b/>
            <sz val="9"/>
            <color indexed="81"/>
            <rFont val="Tahoma"/>
            <family val="2"/>
          </rPr>
          <t>..:</t>
        </r>
        <r>
          <rPr>
            <sz val="9"/>
            <color indexed="81"/>
            <rFont val="Tahoma"/>
            <family val="2"/>
          </rPr>
          <t xml:space="preserve">
Less the amount of ARRA included in GR</t>
        </r>
      </text>
    </comment>
    <comment ref="AF395" authorId="0" shapeId="0" xr:uid="{00000000-0006-0000-0500-0000D9000000}">
      <text>
        <r>
          <rPr>
            <b/>
            <sz val="9"/>
            <color indexed="81"/>
            <rFont val="Tahoma"/>
            <family val="2"/>
          </rPr>
          <t>..:</t>
        </r>
        <r>
          <rPr>
            <sz val="9"/>
            <color indexed="81"/>
            <rFont val="Tahoma"/>
            <family val="2"/>
          </rPr>
          <t xml:space="preserve">
Less the amount of ARRA included in GR</t>
        </r>
      </text>
    </comment>
    <comment ref="AF396" authorId="0" shapeId="0" xr:uid="{00000000-0006-0000-0500-0000DA000000}">
      <text>
        <r>
          <rPr>
            <b/>
            <sz val="9"/>
            <color indexed="81"/>
            <rFont val="Tahoma"/>
            <family val="2"/>
          </rPr>
          <t>..:</t>
        </r>
        <r>
          <rPr>
            <sz val="9"/>
            <color indexed="81"/>
            <rFont val="Tahoma"/>
            <family val="2"/>
          </rPr>
          <t xml:space="preserve">
Less the amount of ARRA included in GR</t>
        </r>
      </text>
    </comment>
    <comment ref="AF397" authorId="0" shapeId="0" xr:uid="{00000000-0006-0000-0500-0000DB000000}">
      <text>
        <r>
          <rPr>
            <b/>
            <sz val="9"/>
            <color indexed="81"/>
            <rFont val="Tahoma"/>
            <family val="2"/>
          </rPr>
          <t>..:</t>
        </r>
        <r>
          <rPr>
            <sz val="9"/>
            <color indexed="81"/>
            <rFont val="Tahoma"/>
            <family val="2"/>
          </rPr>
          <t xml:space="preserve">
Less the amount of ARRA included in GR</t>
        </r>
      </text>
    </comment>
    <comment ref="AF398" authorId="0" shapeId="0" xr:uid="{00000000-0006-0000-0500-0000DC000000}">
      <text>
        <r>
          <rPr>
            <b/>
            <sz val="9"/>
            <color indexed="81"/>
            <rFont val="Tahoma"/>
            <family val="2"/>
          </rPr>
          <t>..:</t>
        </r>
        <r>
          <rPr>
            <sz val="9"/>
            <color indexed="81"/>
            <rFont val="Tahoma"/>
            <family val="2"/>
          </rPr>
          <t xml:space="preserve">
Less the amount of ARRA included in GR</t>
        </r>
      </text>
    </comment>
    <comment ref="AF399" authorId="0" shapeId="0" xr:uid="{00000000-0006-0000-0500-0000DD000000}">
      <text>
        <r>
          <rPr>
            <b/>
            <sz val="9"/>
            <color indexed="81"/>
            <rFont val="Tahoma"/>
            <family val="2"/>
          </rPr>
          <t>..:</t>
        </r>
        <r>
          <rPr>
            <sz val="9"/>
            <color indexed="81"/>
            <rFont val="Tahoma"/>
            <family val="2"/>
          </rPr>
          <t xml:space="preserve">
Less the amount of ARRA included in GR</t>
        </r>
      </text>
    </comment>
    <comment ref="AF400" authorId="0" shapeId="0" xr:uid="{00000000-0006-0000-0500-0000DE000000}">
      <text>
        <r>
          <rPr>
            <b/>
            <sz val="9"/>
            <color indexed="81"/>
            <rFont val="Tahoma"/>
            <family val="2"/>
          </rPr>
          <t>..:</t>
        </r>
        <r>
          <rPr>
            <sz val="9"/>
            <color indexed="81"/>
            <rFont val="Tahoma"/>
            <family val="2"/>
          </rPr>
          <t xml:space="preserve">
Less the amount of ARRA included in GR</t>
        </r>
      </text>
    </comment>
    <comment ref="AF401" authorId="0" shapeId="0" xr:uid="{00000000-0006-0000-0500-0000DF000000}">
      <text>
        <r>
          <rPr>
            <b/>
            <sz val="9"/>
            <color indexed="81"/>
            <rFont val="Tahoma"/>
            <family val="2"/>
          </rPr>
          <t>..:</t>
        </r>
        <r>
          <rPr>
            <sz val="9"/>
            <color indexed="81"/>
            <rFont val="Tahoma"/>
            <family val="2"/>
          </rPr>
          <t xml:space="preserve">
Less the amount of ARRA included in GR</t>
        </r>
      </text>
    </comment>
    <comment ref="AF402" authorId="0" shapeId="0" xr:uid="{00000000-0006-0000-0500-0000E0000000}">
      <text>
        <r>
          <rPr>
            <b/>
            <sz val="9"/>
            <color indexed="81"/>
            <rFont val="Tahoma"/>
            <family val="2"/>
          </rPr>
          <t>..:</t>
        </r>
        <r>
          <rPr>
            <sz val="9"/>
            <color indexed="81"/>
            <rFont val="Tahoma"/>
            <family val="2"/>
          </rPr>
          <t xml:space="preserve">
Less the amount of ARRA included in GR</t>
        </r>
      </text>
    </comment>
    <comment ref="AF403" authorId="0" shapeId="0" xr:uid="{00000000-0006-0000-0500-0000E1000000}">
      <text>
        <r>
          <rPr>
            <b/>
            <sz val="9"/>
            <color indexed="81"/>
            <rFont val="Tahoma"/>
            <family val="2"/>
          </rPr>
          <t>..:</t>
        </r>
        <r>
          <rPr>
            <sz val="9"/>
            <color indexed="81"/>
            <rFont val="Tahoma"/>
            <family val="2"/>
          </rPr>
          <t xml:space="preserve">
Less the amount of ARRA included in GR</t>
        </r>
      </text>
    </comment>
    <comment ref="AF404" authorId="0" shapeId="0" xr:uid="{00000000-0006-0000-0500-0000E2000000}">
      <text>
        <r>
          <rPr>
            <b/>
            <sz val="9"/>
            <color indexed="81"/>
            <rFont val="Tahoma"/>
            <family val="2"/>
          </rPr>
          <t>..:</t>
        </r>
        <r>
          <rPr>
            <sz val="9"/>
            <color indexed="81"/>
            <rFont val="Tahoma"/>
            <family val="2"/>
          </rPr>
          <t xml:space="preserve">
Less the amount of ARRA included in GR</t>
        </r>
      </text>
    </comment>
    <comment ref="AF405" authorId="0" shapeId="0" xr:uid="{00000000-0006-0000-0500-0000E3000000}">
      <text>
        <r>
          <rPr>
            <b/>
            <sz val="9"/>
            <color indexed="81"/>
            <rFont val="Tahoma"/>
            <family val="2"/>
          </rPr>
          <t>..:</t>
        </r>
        <r>
          <rPr>
            <sz val="9"/>
            <color indexed="81"/>
            <rFont val="Tahoma"/>
            <family val="2"/>
          </rPr>
          <t xml:space="preserve">
Less the amount of ARRA included in GR</t>
        </r>
      </text>
    </comment>
    <comment ref="AF406" authorId="0" shapeId="0" xr:uid="{00000000-0006-0000-0500-0000E4000000}">
      <text>
        <r>
          <rPr>
            <b/>
            <sz val="9"/>
            <color indexed="81"/>
            <rFont val="Tahoma"/>
            <family val="2"/>
          </rPr>
          <t>..:</t>
        </r>
        <r>
          <rPr>
            <sz val="9"/>
            <color indexed="81"/>
            <rFont val="Tahoma"/>
            <family val="2"/>
          </rPr>
          <t xml:space="preserve">
Less the amount of ARRA included in GR</t>
        </r>
      </text>
    </comment>
    <comment ref="AF407" authorId="0" shapeId="0" xr:uid="{00000000-0006-0000-0500-0000E5000000}">
      <text>
        <r>
          <rPr>
            <b/>
            <sz val="9"/>
            <color indexed="81"/>
            <rFont val="Tahoma"/>
            <family val="2"/>
          </rPr>
          <t>..:</t>
        </r>
        <r>
          <rPr>
            <sz val="9"/>
            <color indexed="81"/>
            <rFont val="Tahoma"/>
            <family val="2"/>
          </rPr>
          <t xml:space="preserve">
Less the amount of ARRA included in GR</t>
        </r>
      </text>
    </comment>
    <comment ref="AF408" authorId="0" shapeId="0" xr:uid="{00000000-0006-0000-0500-0000E6000000}">
      <text>
        <r>
          <rPr>
            <b/>
            <sz val="9"/>
            <color indexed="81"/>
            <rFont val="Tahoma"/>
            <family val="2"/>
          </rPr>
          <t>..:</t>
        </r>
        <r>
          <rPr>
            <sz val="9"/>
            <color indexed="81"/>
            <rFont val="Tahoma"/>
            <family val="2"/>
          </rPr>
          <t xml:space="preserve">
Less the amount of ARRA included in GR</t>
        </r>
      </text>
    </comment>
    <comment ref="AF409" authorId="0" shapeId="0" xr:uid="{00000000-0006-0000-0500-0000E7000000}">
      <text>
        <r>
          <rPr>
            <b/>
            <sz val="9"/>
            <color indexed="81"/>
            <rFont val="Tahoma"/>
            <family val="2"/>
          </rPr>
          <t>..:</t>
        </r>
        <r>
          <rPr>
            <sz val="9"/>
            <color indexed="81"/>
            <rFont val="Tahoma"/>
            <family val="2"/>
          </rPr>
          <t xml:space="preserve">
Less the amount of ARRA included in GR</t>
        </r>
      </text>
    </comment>
    <comment ref="AF410" authorId="0" shapeId="0" xr:uid="{00000000-0006-0000-0500-0000E8000000}">
      <text>
        <r>
          <rPr>
            <b/>
            <sz val="9"/>
            <color indexed="81"/>
            <rFont val="Tahoma"/>
            <family val="2"/>
          </rPr>
          <t>..:</t>
        </r>
        <r>
          <rPr>
            <sz val="9"/>
            <color indexed="81"/>
            <rFont val="Tahoma"/>
            <family val="2"/>
          </rPr>
          <t xml:space="preserve">
Less the amount of ARRA included in GR</t>
        </r>
      </text>
    </comment>
    <comment ref="AF411" authorId="0" shapeId="0" xr:uid="{00000000-0006-0000-0500-0000E9000000}">
      <text>
        <r>
          <rPr>
            <b/>
            <sz val="9"/>
            <color indexed="81"/>
            <rFont val="Tahoma"/>
            <family val="2"/>
          </rPr>
          <t>..:</t>
        </r>
        <r>
          <rPr>
            <sz val="9"/>
            <color indexed="81"/>
            <rFont val="Tahoma"/>
            <family val="2"/>
          </rPr>
          <t xml:space="preserve">
Less the amount of ARRA included in GR</t>
        </r>
      </text>
    </comment>
    <comment ref="AF412" authorId="0" shapeId="0" xr:uid="{00000000-0006-0000-0500-0000EA000000}">
      <text>
        <r>
          <rPr>
            <b/>
            <sz val="9"/>
            <color indexed="81"/>
            <rFont val="Tahoma"/>
            <family val="2"/>
          </rPr>
          <t>..:</t>
        </r>
        <r>
          <rPr>
            <sz val="9"/>
            <color indexed="81"/>
            <rFont val="Tahoma"/>
            <family val="2"/>
          </rPr>
          <t xml:space="preserve">
Less the amount of ARRA included in GR</t>
        </r>
      </text>
    </comment>
    <comment ref="AF413" authorId="0" shapeId="0" xr:uid="{00000000-0006-0000-0500-0000EB000000}">
      <text>
        <r>
          <rPr>
            <b/>
            <sz val="9"/>
            <color indexed="81"/>
            <rFont val="Tahoma"/>
            <family val="2"/>
          </rPr>
          <t>..:</t>
        </r>
        <r>
          <rPr>
            <sz val="9"/>
            <color indexed="81"/>
            <rFont val="Tahoma"/>
            <family val="2"/>
          </rPr>
          <t xml:space="preserve">
Less the amount of ARRA included in GR</t>
        </r>
      </text>
    </comment>
    <comment ref="AF414" authorId="0" shapeId="0" xr:uid="{00000000-0006-0000-0500-0000EC000000}">
      <text>
        <r>
          <rPr>
            <b/>
            <sz val="9"/>
            <color indexed="81"/>
            <rFont val="Tahoma"/>
            <family val="2"/>
          </rPr>
          <t>..:</t>
        </r>
        <r>
          <rPr>
            <sz val="9"/>
            <color indexed="81"/>
            <rFont val="Tahoma"/>
            <family val="2"/>
          </rPr>
          <t xml:space="preserve">
Less the amount of ARRA included in GR</t>
        </r>
      </text>
    </comment>
    <comment ref="AF415" authorId="0" shapeId="0" xr:uid="{00000000-0006-0000-0500-0000ED000000}">
      <text>
        <r>
          <rPr>
            <b/>
            <sz val="9"/>
            <color indexed="81"/>
            <rFont val="Tahoma"/>
            <family val="2"/>
          </rPr>
          <t>..:</t>
        </r>
        <r>
          <rPr>
            <sz val="9"/>
            <color indexed="81"/>
            <rFont val="Tahoma"/>
            <family val="2"/>
          </rPr>
          <t xml:space="preserve">
Less the amount of ARRA included in GR</t>
        </r>
      </text>
    </comment>
    <comment ref="AF416" authorId="0" shapeId="0" xr:uid="{00000000-0006-0000-0500-0000EE000000}">
      <text>
        <r>
          <rPr>
            <b/>
            <sz val="9"/>
            <color indexed="81"/>
            <rFont val="Tahoma"/>
            <family val="2"/>
          </rPr>
          <t>..:</t>
        </r>
        <r>
          <rPr>
            <sz val="9"/>
            <color indexed="81"/>
            <rFont val="Tahoma"/>
            <family val="2"/>
          </rPr>
          <t xml:space="preserve">
Less the amount of ARRA included in GR</t>
        </r>
      </text>
    </comment>
    <comment ref="AF417" authorId="0" shapeId="0" xr:uid="{00000000-0006-0000-0500-0000EF000000}">
      <text>
        <r>
          <rPr>
            <b/>
            <sz val="9"/>
            <color indexed="81"/>
            <rFont val="Tahoma"/>
            <family val="2"/>
          </rPr>
          <t>..:</t>
        </r>
        <r>
          <rPr>
            <sz val="9"/>
            <color indexed="81"/>
            <rFont val="Tahoma"/>
            <family val="2"/>
          </rPr>
          <t xml:space="preserve">
Less the amount of ARRA included in GR</t>
        </r>
      </text>
    </comment>
    <comment ref="AF418" authorId="0" shapeId="0" xr:uid="{00000000-0006-0000-0500-0000F0000000}">
      <text>
        <r>
          <rPr>
            <b/>
            <sz val="9"/>
            <color indexed="81"/>
            <rFont val="Tahoma"/>
            <family val="2"/>
          </rPr>
          <t>..:</t>
        </r>
        <r>
          <rPr>
            <sz val="9"/>
            <color indexed="81"/>
            <rFont val="Tahoma"/>
            <family val="2"/>
          </rPr>
          <t xml:space="preserve">
Less the amount of ARRA included in GR</t>
        </r>
      </text>
    </comment>
    <comment ref="AF419" authorId="0" shapeId="0" xr:uid="{00000000-0006-0000-0500-0000F1000000}">
      <text>
        <r>
          <rPr>
            <b/>
            <sz val="9"/>
            <color indexed="81"/>
            <rFont val="Tahoma"/>
            <family val="2"/>
          </rPr>
          <t>..:</t>
        </r>
        <r>
          <rPr>
            <sz val="9"/>
            <color indexed="81"/>
            <rFont val="Tahoma"/>
            <family val="2"/>
          </rPr>
          <t xml:space="preserve">
Less the amount of ARRA included in GR</t>
        </r>
      </text>
    </comment>
    <comment ref="AF420" authorId="0" shapeId="0" xr:uid="{00000000-0006-0000-0500-0000F2000000}">
      <text>
        <r>
          <rPr>
            <b/>
            <sz val="9"/>
            <color indexed="81"/>
            <rFont val="Tahoma"/>
            <family val="2"/>
          </rPr>
          <t>..:</t>
        </r>
        <r>
          <rPr>
            <sz val="9"/>
            <color indexed="81"/>
            <rFont val="Tahoma"/>
            <family val="2"/>
          </rPr>
          <t xml:space="preserve">
Less the amount of ARRA included in GR</t>
        </r>
      </text>
    </comment>
    <comment ref="AF421" authorId="0" shapeId="0" xr:uid="{00000000-0006-0000-0500-0000F3000000}">
      <text>
        <r>
          <rPr>
            <b/>
            <sz val="9"/>
            <color indexed="81"/>
            <rFont val="Tahoma"/>
            <family val="2"/>
          </rPr>
          <t>..:</t>
        </r>
        <r>
          <rPr>
            <sz val="9"/>
            <color indexed="81"/>
            <rFont val="Tahoma"/>
            <family val="2"/>
          </rPr>
          <t xml:space="preserve">
Less the amount of ARRA included in GR</t>
        </r>
      </text>
    </comment>
    <comment ref="AF422" authorId="0" shapeId="0" xr:uid="{00000000-0006-0000-0500-0000F4000000}">
      <text>
        <r>
          <rPr>
            <b/>
            <sz val="9"/>
            <color indexed="81"/>
            <rFont val="Tahoma"/>
            <family val="2"/>
          </rPr>
          <t>..:</t>
        </r>
        <r>
          <rPr>
            <sz val="9"/>
            <color indexed="81"/>
            <rFont val="Tahoma"/>
            <family val="2"/>
          </rPr>
          <t xml:space="preserve">
Less the amount of ARRA included in GR</t>
        </r>
      </text>
    </comment>
    <comment ref="AF423" authorId="0" shapeId="0" xr:uid="{00000000-0006-0000-0500-0000F5000000}">
      <text>
        <r>
          <rPr>
            <b/>
            <sz val="9"/>
            <color indexed="81"/>
            <rFont val="Tahoma"/>
            <family val="2"/>
          </rPr>
          <t>..:</t>
        </r>
        <r>
          <rPr>
            <sz val="9"/>
            <color indexed="81"/>
            <rFont val="Tahoma"/>
            <family val="2"/>
          </rPr>
          <t xml:space="preserve">
Less the amount of ARRA included in GR</t>
        </r>
      </text>
    </comment>
    <comment ref="AI436" authorId="0" shapeId="0" xr:uid="{00000000-0006-0000-0500-0000F6000000}">
      <text>
        <r>
          <rPr>
            <b/>
            <sz val="9"/>
            <color indexed="81"/>
            <rFont val="Tahoma"/>
            <family val="2"/>
          </rPr>
          <t>..:</t>
        </r>
        <r>
          <rPr>
            <sz val="9"/>
            <color indexed="81"/>
            <rFont val="Tahoma"/>
            <family val="2"/>
          </rPr>
          <t xml:space="preserve">
Includes HB 1025
</t>
        </r>
      </text>
    </comment>
    <comment ref="AJ498" authorId="0" shapeId="0" xr:uid="{00000000-0006-0000-0500-0000F7000000}">
      <text>
        <r>
          <rPr>
            <b/>
            <sz val="9"/>
            <color indexed="81"/>
            <rFont val="Tahoma"/>
            <family val="2"/>
          </rPr>
          <t>..:</t>
        </r>
        <r>
          <rPr>
            <sz val="9"/>
            <color indexed="81"/>
            <rFont val="Tahoma"/>
            <family val="2"/>
          </rPr>
          <t xml:space="preserve">
$3 added to balance.</t>
        </r>
      </text>
    </comment>
    <comment ref="AK498" authorId="0" shapeId="0" xr:uid="{00000000-0006-0000-0500-0000F8000000}">
      <text>
        <r>
          <rPr>
            <b/>
            <sz val="9"/>
            <color indexed="81"/>
            <rFont val="Tahoma"/>
            <family val="2"/>
          </rPr>
          <t>..:</t>
        </r>
        <r>
          <rPr>
            <sz val="9"/>
            <color indexed="81"/>
            <rFont val="Tahoma"/>
            <family val="2"/>
          </rPr>
          <t xml:space="preserve">
$1 subtracted to balance
</t>
        </r>
      </text>
    </comment>
    <comment ref="AD499" authorId="0" shapeId="0" xr:uid="{00000000-0006-0000-0500-0000F9000000}">
      <text>
        <r>
          <rPr>
            <b/>
            <sz val="9"/>
            <color indexed="81"/>
            <rFont val="Tahoma"/>
            <family val="2"/>
          </rPr>
          <t>..:</t>
        </r>
        <r>
          <rPr>
            <sz val="9"/>
            <color indexed="81"/>
            <rFont val="Tahoma"/>
            <family val="2"/>
          </rPr>
          <t xml:space="preserve">
Southmost added.</t>
        </r>
      </text>
    </comment>
    <comment ref="AE499" authorId="0" shapeId="0" xr:uid="{00000000-0006-0000-0500-0000FA000000}">
      <text>
        <r>
          <rPr>
            <b/>
            <sz val="9"/>
            <color indexed="81"/>
            <rFont val="Tahoma"/>
            <family val="2"/>
          </rPr>
          <t>..:</t>
        </r>
        <r>
          <rPr>
            <sz val="9"/>
            <color indexed="81"/>
            <rFont val="Tahoma"/>
            <family val="2"/>
          </rPr>
          <t xml:space="preserve">
Southmost added.</t>
        </r>
      </text>
    </comment>
    <comment ref="AF499" authorId="0" shapeId="0" xr:uid="{00000000-0006-0000-0500-0000FB000000}">
      <text>
        <r>
          <rPr>
            <b/>
            <sz val="9"/>
            <color indexed="81"/>
            <rFont val="Tahoma"/>
            <family val="2"/>
          </rPr>
          <t>..:</t>
        </r>
        <r>
          <rPr>
            <sz val="9"/>
            <color indexed="81"/>
            <rFont val="Tahoma"/>
            <family val="2"/>
          </rPr>
          <t xml:space="preserve">
Southmost added.</t>
        </r>
      </text>
    </comment>
    <comment ref="AG499" authorId="0" shapeId="0" xr:uid="{00000000-0006-0000-0500-0000FC000000}">
      <text>
        <r>
          <rPr>
            <b/>
            <sz val="9"/>
            <color indexed="81"/>
            <rFont val="Tahoma"/>
            <family val="2"/>
          </rPr>
          <t>..:</t>
        </r>
        <r>
          <rPr>
            <sz val="9"/>
            <color indexed="81"/>
            <rFont val="Tahoma"/>
            <family val="2"/>
          </rPr>
          <t xml:space="preserve">
Southmost added.</t>
        </r>
      </text>
    </comment>
    <comment ref="AH499" authorId="0" shapeId="0" xr:uid="{00000000-0006-0000-0500-0000FD000000}">
      <text>
        <r>
          <rPr>
            <b/>
            <sz val="9"/>
            <color indexed="81"/>
            <rFont val="Tahoma"/>
            <family val="2"/>
          </rPr>
          <t>..:</t>
        </r>
        <r>
          <rPr>
            <sz val="9"/>
            <color indexed="81"/>
            <rFont val="Tahoma"/>
            <family val="2"/>
          </rPr>
          <t xml:space="preserve">
Southmost added.</t>
        </r>
      </text>
    </comment>
    <comment ref="AI499" authorId="0" shapeId="0" xr:uid="{00000000-0006-0000-0500-0000FE000000}">
      <text>
        <r>
          <rPr>
            <b/>
            <sz val="9"/>
            <color indexed="81"/>
            <rFont val="Tahoma"/>
            <family val="2"/>
          </rPr>
          <t>..:</t>
        </r>
        <r>
          <rPr>
            <sz val="9"/>
            <color indexed="81"/>
            <rFont val="Tahoma"/>
            <family val="2"/>
          </rPr>
          <t xml:space="preserve">
Southmost added.</t>
        </r>
      </text>
    </comment>
    <comment ref="AJ499" authorId="0" shapeId="0" xr:uid="{00000000-0006-0000-0500-0000FF000000}">
      <text>
        <r>
          <rPr>
            <b/>
            <sz val="9"/>
            <color indexed="81"/>
            <rFont val="Tahoma"/>
            <family val="2"/>
          </rPr>
          <t>..:</t>
        </r>
        <r>
          <rPr>
            <sz val="9"/>
            <color indexed="81"/>
            <rFont val="Tahoma"/>
            <family val="2"/>
          </rPr>
          <t xml:space="preserve">
Southmost added.</t>
        </r>
      </text>
    </comment>
    <comment ref="AK499" authorId="0" shapeId="0" xr:uid="{00000000-0006-0000-0500-000000010000}">
      <text>
        <r>
          <rPr>
            <b/>
            <sz val="9"/>
            <color indexed="81"/>
            <rFont val="Tahoma"/>
            <family val="2"/>
          </rPr>
          <t>..:</t>
        </r>
        <r>
          <rPr>
            <sz val="9"/>
            <color indexed="81"/>
            <rFont val="Tahoma"/>
            <family val="2"/>
          </rPr>
          <t xml:space="preserve">
Southmost added.</t>
        </r>
      </text>
    </comment>
    <comment ref="AI502" authorId="0" shapeId="0" xr:uid="{00000000-0006-0000-0500-000001010000}">
      <text>
        <r>
          <rPr>
            <b/>
            <sz val="9"/>
            <color indexed="81"/>
            <rFont val="Tahoma"/>
            <family val="2"/>
          </rPr>
          <t>..:</t>
        </r>
        <r>
          <rPr>
            <sz val="9"/>
            <color indexed="81"/>
            <rFont val="Tahoma"/>
            <family val="2"/>
          </rPr>
          <t xml:space="preserve">
Includes HB 1025
</t>
        </r>
      </text>
    </comment>
    <comment ref="E643" authorId="0" shapeId="0" xr:uid="{00000000-0006-0000-0500-000002010000}">
      <text>
        <r>
          <rPr>
            <b/>
            <sz val="9"/>
            <color indexed="81"/>
            <rFont val="Tahoma"/>
            <family val="2"/>
          </rPr>
          <t>..:</t>
        </r>
        <r>
          <rPr>
            <sz val="9"/>
            <color indexed="81"/>
            <rFont val="Tahoma"/>
            <family val="2"/>
          </rPr>
          <t xml:space="preserve">
Per the LBB, these numbers are estimates and no detail by institution exists. 3/2015</t>
        </r>
      </text>
    </comment>
    <comment ref="C645" authorId="0" shapeId="0" xr:uid="{00000000-0006-0000-0500-000003010000}">
      <text>
        <r>
          <rPr>
            <b/>
            <sz val="9"/>
            <color indexed="81"/>
            <rFont val="Tahoma"/>
            <family val="2"/>
          </rPr>
          <t>..:</t>
        </r>
        <r>
          <rPr>
            <sz val="9"/>
            <color indexed="81"/>
            <rFont val="Tahoma"/>
            <family val="2"/>
          </rPr>
          <t xml:space="preserve">
Source:  TRS - Gloria Nichols 512-542-2967 gloria.nichols@trs.texas.gov
Detail prior to 2011 is not available.</t>
        </r>
      </text>
    </comment>
    <comment ref="AK645" authorId="0" shapeId="0" xr:uid="{00000000-0006-0000-0500-000004010000}">
      <text>
        <r>
          <rPr>
            <b/>
            <sz val="9"/>
            <color indexed="81"/>
            <rFont val="Tahoma"/>
            <family val="2"/>
          </rPr>
          <t>..:</t>
        </r>
        <r>
          <rPr>
            <sz val="9"/>
            <color indexed="81"/>
            <rFont val="Tahoma"/>
            <family val="2"/>
          </rPr>
          <t xml:space="preserve">
Rec'd from Jim Early October 2015
</t>
        </r>
      </text>
    </comment>
    <comment ref="AL645" authorId="0" shapeId="0" xr:uid="{00000000-0006-0000-0500-000005010000}">
      <text>
        <r>
          <rPr>
            <b/>
            <sz val="9"/>
            <color indexed="81"/>
            <rFont val="Tahoma"/>
            <family val="2"/>
          </rPr>
          <t>..:</t>
        </r>
        <r>
          <rPr>
            <sz val="9"/>
            <color indexed="81"/>
            <rFont val="Tahoma"/>
            <family val="2"/>
          </rPr>
          <t xml:space="preserve">
Rec'd from Jim on April, 2017.
</t>
        </r>
      </text>
    </comment>
    <comment ref="AP695" authorId="4" shapeId="0" xr:uid="{00000000-0006-0000-0500-000006010000}">
      <text>
        <r>
          <rPr>
            <b/>
            <sz val="9"/>
            <color indexed="81"/>
            <rFont val="Tahoma"/>
            <family val="2"/>
          </rPr>
          <t>':</t>
        </r>
        <r>
          <rPr>
            <sz val="9"/>
            <color indexed="81"/>
            <rFont val="Tahoma"/>
            <family val="2"/>
          </rPr>
          <t xml:space="preserve">
Minus $3. to balance.</t>
        </r>
      </text>
    </comment>
    <comment ref="AQ695" authorId="4" shapeId="0" xr:uid="{00000000-0006-0000-0500-000007010000}">
      <text>
        <r>
          <rPr>
            <b/>
            <sz val="9"/>
            <color indexed="81"/>
            <rFont val="Tahoma"/>
            <family val="2"/>
          </rPr>
          <t>':</t>
        </r>
        <r>
          <rPr>
            <sz val="9"/>
            <color indexed="81"/>
            <rFont val="Tahoma"/>
            <family val="2"/>
          </rPr>
          <t xml:space="preserve">
Minus $1. to balance.</t>
        </r>
      </text>
    </comment>
    <comment ref="C697" authorId="0" shapeId="0" xr:uid="{00000000-0006-0000-0500-000008010000}">
      <text>
        <r>
          <rPr>
            <b/>
            <sz val="9"/>
            <color indexed="81"/>
            <rFont val="Tahoma"/>
            <family val="2"/>
          </rPr>
          <t>..:</t>
        </r>
        <r>
          <rPr>
            <sz val="9"/>
            <color indexed="81"/>
            <rFont val="Tahoma"/>
            <family val="2"/>
          </rPr>
          <t xml:space="preserve">
Source:  THECB Payroll Dept.  Data prior to 2002 is not available.</t>
        </r>
      </text>
    </comment>
    <comment ref="AK697" authorId="0" shapeId="0" xr:uid="{00000000-0006-0000-0500-000009010000}">
      <text>
        <r>
          <rPr>
            <b/>
            <sz val="9"/>
            <color indexed="81"/>
            <rFont val="Tahoma"/>
            <family val="2"/>
          </rPr>
          <t>..:</t>
        </r>
        <r>
          <rPr>
            <sz val="9"/>
            <color indexed="81"/>
            <rFont val="Tahoma"/>
            <family val="2"/>
          </rPr>
          <t xml:space="preserve">
Source:  Toni Alexander provided report on ORP - rec'd 3/16/16 - Use Total $ column (L)</t>
        </r>
      </text>
    </comment>
    <comment ref="AL697" authorId="0" shapeId="0" xr:uid="{00000000-0006-0000-0500-00000A010000}">
      <text>
        <r>
          <rPr>
            <b/>
            <sz val="9"/>
            <color indexed="81"/>
            <rFont val="Tahoma"/>
            <family val="2"/>
          </rPr>
          <t>..:</t>
        </r>
        <r>
          <rPr>
            <sz val="9"/>
            <color indexed="81"/>
            <rFont val="Tahoma"/>
            <family val="2"/>
          </rPr>
          <t xml:space="preserve">
Source:  Toni Alexander provided report on ORP - rec'd 9/17 - Use Total $ column (L)</t>
        </r>
      </text>
    </comment>
    <comment ref="AM697" authorId="0" shapeId="0" xr:uid="{00000000-0006-0000-0500-00000B010000}">
      <text>
        <r>
          <rPr>
            <b/>
            <sz val="9"/>
            <color indexed="81"/>
            <rFont val="Tahoma"/>
            <family val="2"/>
          </rPr>
          <t>..:</t>
        </r>
        <r>
          <rPr>
            <sz val="9"/>
            <color indexed="81"/>
            <rFont val="Tahoma"/>
            <family val="2"/>
          </rPr>
          <t xml:space="preserve">
Source:  Toni Alexander provided report on ORP - rec'd 12/17 - Use Total $ column (L)</t>
        </r>
      </text>
    </comment>
    <comment ref="AN697" authorId="0" shapeId="0" xr:uid="{00000000-0006-0000-0500-00000C010000}">
      <text>
        <r>
          <rPr>
            <b/>
            <sz val="9"/>
            <color indexed="81"/>
            <rFont val="Tahoma"/>
            <family val="2"/>
          </rPr>
          <t>..:</t>
        </r>
        <r>
          <rPr>
            <sz val="9"/>
            <color indexed="81"/>
            <rFont val="Tahoma"/>
            <family val="2"/>
          </rPr>
          <t xml:space="preserve">
Source:  Toni Alexander provided report on ORP - rec'd 12/18 - Use Total $ column (L)</t>
        </r>
      </text>
    </comment>
    <comment ref="AO697" authorId="0" shapeId="0" xr:uid="{00000000-0006-0000-0500-00000D010000}">
      <text>
        <r>
          <rPr>
            <b/>
            <sz val="9"/>
            <color indexed="81"/>
            <rFont val="Tahoma"/>
            <family val="2"/>
          </rPr>
          <t>..:</t>
        </r>
        <r>
          <rPr>
            <sz val="9"/>
            <color indexed="81"/>
            <rFont val="Tahoma"/>
            <family val="2"/>
          </rPr>
          <t xml:space="preserve">
Source:  Toni Alexander provided report on ORP - rec'd 3/20 - Use Yellow column</t>
        </r>
      </text>
    </comment>
    <comment ref="AP747" authorId="4" shapeId="0" xr:uid="{00000000-0006-0000-0500-00000E010000}">
      <text>
        <r>
          <rPr>
            <b/>
            <sz val="9"/>
            <color indexed="81"/>
            <rFont val="Tahoma"/>
            <family val="2"/>
          </rPr>
          <t>':</t>
        </r>
        <r>
          <rPr>
            <sz val="9"/>
            <color indexed="81"/>
            <rFont val="Tahoma"/>
            <family val="2"/>
          </rPr>
          <t xml:space="preserve">
$1 added to balance.</t>
        </r>
      </text>
    </comment>
    <comment ref="AQ747" authorId="4" shapeId="0" xr:uid="{00000000-0006-0000-0500-00000F010000}">
      <text>
        <r>
          <rPr>
            <b/>
            <sz val="9"/>
            <color indexed="81"/>
            <rFont val="Tahoma"/>
            <family val="2"/>
          </rPr>
          <t>':</t>
        </r>
        <r>
          <rPr>
            <sz val="9"/>
            <color indexed="81"/>
            <rFont val="Tahoma"/>
            <family val="2"/>
          </rPr>
          <t xml:space="preserve">
$1 added to balance.</t>
        </r>
      </text>
    </comment>
    <comment ref="E751" authorId="0" shapeId="0" xr:uid="{00000000-0006-0000-0500-000010010000}">
      <text>
        <r>
          <rPr>
            <b/>
            <sz val="9"/>
            <color indexed="81"/>
            <rFont val="Tahoma"/>
            <family val="2"/>
          </rPr>
          <t>..:</t>
        </r>
        <r>
          <rPr>
            <sz val="9"/>
            <color indexed="81"/>
            <rFont val="Tahoma"/>
            <family val="2"/>
          </rPr>
          <t xml:space="preserve">
Source Bill Pattern for CB</t>
        </r>
      </text>
    </comment>
    <comment ref="AI763" authorId="0" shapeId="0" xr:uid="{00000000-0006-0000-0500-000011010000}">
      <text>
        <r>
          <rPr>
            <b/>
            <sz val="9"/>
            <color indexed="81"/>
            <rFont val="Tahoma"/>
            <family val="2"/>
          </rPr>
          <t>..:</t>
        </r>
        <r>
          <rPr>
            <sz val="9"/>
            <color indexed="81"/>
            <rFont val="Tahoma"/>
            <family val="2"/>
          </rPr>
          <t xml:space="preserve">
Includes HB 1025
</t>
        </r>
      </text>
    </comment>
    <comment ref="AD786" authorId="2" shapeId="0" xr:uid="{00000000-0006-0000-0500-000012010000}">
      <text>
        <r>
          <rPr>
            <b/>
            <sz val="8"/>
            <color indexed="8"/>
            <rFont val="Tahoma"/>
            <family val="2"/>
          </rPr>
          <t>.:</t>
        </r>
        <r>
          <rPr>
            <sz val="8"/>
            <color indexed="8"/>
            <rFont val="Tahoma"/>
            <family val="2"/>
          </rPr>
          <t xml:space="preserve">
No GR used - Funded through State Highway Fund 6.
</t>
        </r>
      </text>
    </comment>
    <comment ref="AE786" authorId="2" shapeId="0" xr:uid="{00000000-0006-0000-0500-000013010000}">
      <text>
        <r>
          <rPr>
            <b/>
            <sz val="8"/>
            <color indexed="8"/>
            <rFont val="Tahoma"/>
            <family val="2"/>
          </rPr>
          <t>.:</t>
        </r>
        <r>
          <rPr>
            <sz val="8"/>
            <color indexed="8"/>
            <rFont val="Tahoma"/>
            <family val="2"/>
          </rPr>
          <t xml:space="preserve">
No GR used - Funded through State Highway Fund 6.
</t>
        </r>
      </text>
    </comment>
    <comment ref="AF786" authorId="2" shapeId="0" xr:uid="{00000000-0006-0000-0500-000014010000}">
      <text>
        <r>
          <rPr>
            <b/>
            <sz val="8"/>
            <color indexed="8"/>
            <rFont val="Tahoma"/>
            <family val="2"/>
          </rPr>
          <t>.:</t>
        </r>
        <r>
          <rPr>
            <sz val="8"/>
            <color indexed="8"/>
            <rFont val="Tahoma"/>
            <family val="2"/>
          </rPr>
          <t xml:space="preserve">
No GR used - Funded through State Highway Fund 6.
</t>
        </r>
      </text>
    </comment>
    <comment ref="AG786" authorId="2" shapeId="0" xr:uid="{00000000-0006-0000-0500-000015010000}">
      <text>
        <r>
          <rPr>
            <b/>
            <sz val="8"/>
            <color indexed="8"/>
            <rFont val="Tahoma"/>
            <family val="2"/>
          </rPr>
          <t>.:</t>
        </r>
        <r>
          <rPr>
            <sz val="8"/>
            <color indexed="8"/>
            <rFont val="Tahoma"/>
            <family val="2"/>
          </rPr>
          <t xml:space="preserve">
No GR used - Funded through State Highway Fund 6.
</t>
        </r>
      </text>
    </comment>
    <comment ref="AH786" authorId="2" shapeId="0" xr:uid="{00000000-0006-0000-0500-000016010000}">
      <text>
        <r>
          <rPr>
            <b/>
            <sz val="8"/>
            <color indexed="8"/>
            <rFont val="Tahoma"/>
            <family val="2"/>
          </rPr>
          <t>.:</t>
        </r>
        <r>
          <rPr>
            <sz val="8"/>
            <color indexed="8"/>
            <rFont val="Tahoma"/>
            <family val="2"/>
          </rPr>
          <t xml:space="preserve">
No GR used - Funded through State Highway Fund 6.
</t>
        </r>
      </text>
    </comment>
    <comment ref="AI786" authorId="2" shapeId="0" xr:uid="{00000000-0006-0000-0500-000017010000}">
      <text>
        <r>
          <rPr>
            <b/>
            <sz val="8"/>
            <color indexed="8"/>
            <rFont val="Tahoma"/>
            <family val="2"/>
          </rPr>
          <t>.:</t>
        </r>
        <r>
          <rPr>
            <sz val="8"/>
            <color indexed="8"/>
            <rFont val="Tahoma"/>
            <family val="2"/>
          </rPr>
          <t xml:space="preserve">
No GR used - Funded through State Highway Fund 6.
</t>
        </r>
      </text>
    </comment>
    <comment ref="AJ786" authorId="2" shapeId="0" xr:uid="{00000000-0006-0000-0500-000018010000}">
      <text>
        <r>
          <rPr>
            <b/>
            <sz val="8"/>
            <color indexed="8"/>
            <rFont val="Tahoma"/>
            <family val="2"/>
          </rPr>
          <t>.:</t>
        </r>
        <r>
          <rPr>
            <sz val="8"/>
            <color indexed="8"/>
            <rFont val="Tahoma"/>
            <family val="2"/>
          </rPr>
          <t xml:space="preserve">
No GR used - Funded through State Highway Fund 6.
</t>
        </r>
      </text>
    </comment>
    <comment ref="AK786" authorId="2" shapeId="0" xr:uid="{00000000-0006-0000-0500-000019010000}">
      <text>
        <r>
          <rPr>
            <b/>
            <sz val="8"/>
            <color indexed="8"/>
            <rFont val="Tahoma"/>
            <family val="2"/>
          </rPr>
          <t>.:</t>
        </r>
        <r>
          <rPr>
            <sz val="8"/>
            <color indexed="8"/>
            <rFont val="Tahoma"/>
            <family val="2"/>
          </rPr>
          <t xml:space="preserve">
No GR used - Funded through State Highway Fund 6.
</t>
        </r>
      </text>
    </comment>
    <comment ref="AJ825" authorId="0" shapeId="0" xr:uid="{00000000-0006-0000-0500-00001A010000}">
      <text>
        <r>
          <rPr>
            <b/>
            <sz val="9"/>
            <color indexed="81"/>
            <rFont val="Tahoma"/>
            <family val="2"/>
          </rPr>
          <t>..:</t>
        </r>
        <r>
          <rPr>
            <sz val="9"/>
            <color indexed="81"/>
            <rFont val="Tahoma"/>
            <family val="2"/>
          </rPr>
          <t xml:space="preserve">
$3 added to balance.</t>
        </r>
      </text>
    </comment>
    <comment ref="AK825" authorId="0" shapeId="0" xr:uid="{00000000-0006-0000-0500-00001B010000}">
      <text>
        <r>
          <rPr>
            <b/>
            <sz val="9"/>
            <color indexed="81"/>
            <rFont val="Tahoma"/>
            <family val="2"/>
          </rPr>
          <t>..:</t>
        </r>
        <r>
          <rPr>
            <sz val="9"/>
            <color indexed="81"/>
            <rFont val="Tahoma"/>
            <family val="2"/>
          </rPr>
          <t xml:space="preserve">
$1 subtracted to balance
</t>
        </r>
      </text>
    </comment>
    <comment ref="AD826" authorId="0" shapeId="0" xr:uid="{00000000-0006-0000-0500-00001C010000}">
      <text>
        <r>
          <rPr>
            <b/>
            <sz val="9"/>
            <color indexed="81"/>
            <rFont val="Tahoma"/>
            <family val="2"/>
          </rPr>
          <t>..:</t>
        </r>
        <r>
          <rPr>
            <sz val="9"/>
            <color indexed="81"/>
            <rFont val="Tahoma"/>
            <family val="2"/>
          </rPr>
          <t xml:space="preserve">
Southmost added.</t>
        </r>
      </text>
    </comment>
    <comment ref="AE826" authorId="0" shapeId="0" xr:uid="{00000000-0006-0000-0500-00001D010000}">
      <text>
        <r>
          <rPr>
            <b/>
            <sz val="9"/>
            <color indexed="81"/>
            <rFont val="Tahoma"/>
            <family val="2"/>
          </rPr>
          <t>..:</t>
        </r>
        <r>
          <rPr>
            <sz val="9"/>
            <color indexed="81"/>
            <rFont val="Tahoma"/>
            <family val="2"/>
          </rPr>
          <t xml:space="preserve">
Southmost added.</t>
        </r>
      </text>
    </comment>
    <comment ref="AF826" authorId="0" shapeId="0" xr:uid="{00000000-0006-0000-0500-00001E010000}">
      <text>
        <r>
          <rPr>
            <b/>
            <sz val="9"/>
            <color indexed="81"/>
            <rFont val="Tahoma"/>
            <family val="2"/>
          </rPr>
          <t>..:</t>
        </r>
        <r>
          <rPr>
            <sz val="9"/>
            <color indexed="81"/>
            <rFont val="Tahoma"/>
            <family val="2"/>
          </rPr>
          <t xml:space="preserve">
Southmost added.</t>
        </r>
      </text>
    </comment>
    <comment ref="AG826" authorId="0" shapeId="0" xr:uid="{00000000-0006-0000-0500-00001F010000}">
      <text>
        <r>
          <rPr>
            <b/>
            <sz val="9"/>
            <color indexed="81"/>
            <rFont val="Tahoma"/>
            <family val="2"/>
          </rPr>
          <t>..:</t>
        </r>
        <r>
          <rPr>
            <sz val="9"/>
            <color indexed="81"/>
            <rFont val="Tahoma"/>
            <family val="2"/>
          </rPr>
          <t xml:space="preserve">
Southmost added.</t>
        </r>
      </text>
    </comment>
    <comment ref="AH826" authorId="0" shapeId="0" xr:uid="{00000000-0006-0000-0500-000020010000}">
      <text>
        <r>
          <rPr>
            <b/>
            <sz val="9"/>
            <color indexed="81"/>
            <rFont val="Tahoma"/>
            <family val="2"/>
          </rPr>
          <t>..:</t>
        </r>
        <r>
          <rPr>
            <sz val="9"/>
            <color indexed="81"/>
            <rFont val="Tahoma"/>
            <family val="2"/>
          </rPr>
          <t xml:space="preserve">
Southmost added.</t>
        </r>
      </text>
    </comment>
    <comment ref="AI826" authorId="0" shapeId="0" xr:uid="{00000000-0006-0000-0500-000021010000}">
      <text>
        <r>
          <rPr>
            <b/>
            <sz val="9"/>
            <color indexed="81"/>
            <rFont val="Tahoma"/>
            <family val="2"/>
          </rPr>
          <t>..:</t>
        </r>
        <r>
          <rPr>
            <sz val="9"/>
            <color indexed="81"/>
            <rFont val="Tahoma"/>
            <family val="2"/>
          </rPr>
          <t xml:space="preserve">
Southmost added.</t>
        </r>
      </text>
    </comment>
    <comment ref="AJ826" authorId="0" shapeId="0" xr:uid="{00000000-0006-0000-0500-000022010000}">
      <text>
        <r>
          <rPr>
            <b/>
            <sz val="9"/>
            <color indexed="81"/>
            <rFont val="Tahoma"/>
            <family val="2"/>
          </rPr>
          <t>..:</t>
        </r>
        <r>
          <rPr>
            <sz val="9"/>
            <color indexed="81"/>
            <rFont val="Tahoma"/>
            <family val="2"/>
          </rPr>
          <t xml:space="preserve">
Southmost added.</t>
        </r>
      </text>
    </comment>
    <comment ref="AK826" authorId="0" shapeId="0" xr:uid="{00000000-0006-0000-0500-000023010000}">
      <text>
        <r>
          <rPr>
            <b/>
            <sz val="9"/>
            <color indexed="81"/>
            <rFont val="Tahoma"/>
            <family val="2"/>
          </rPr>
          <t>..:</t>
        </r>
        <r>
          <rPr>
            <sz val="9"/>
            <color indexed="81"/>
            <rFont val="Tahoma"/>
            <family val="2"/>
          </rPr>
          <t xml:space="preserve">
Southmost added.</t>
        </r>
      </text>
    </comment>
    <comment ref="AF829" authorId="0" shapeId="0" xr:uid="{00000000-0006-0000-0500-000024010000}">
      <text>
        <r>
          <rPr>
            <b/>
            <sz val="9"/>
            <color indexed="81"/>
            <rFont val="Tahoma"/>
            <family val="2"/>
          </rPr>
          <t>..:</t>
        </r>
        <r>
          <rPr>
            <sz val="9"/>
            <color indexed="81"/>
            <rFont val="Tahoma"/>
            <family val="2"/>
          </rPr>
          <t xml:space="preserve">
Less Non GR for TTI</t>
        </r>
      </text>
    </comment>
    <comment ref="AG829" authorId="0" shapeId="0" xr:uid="{00000000-0006-0000-0500-000025010000}">
      <text>
        <r>
          <rPr>
            <b/>
            <sz val="9"/>
            <color indexed="81"/>
            <rFont val="Tahoma"/>
            <family val="2"/>
          </rPr>
          <t>..:</t>
        </r>
        <r>
          <rPr>
            <sz val="9"/>
            <color indexed="81"/>
            <rFont val="Tahoma"/>
            <family val="2"/>
          </rPr>
          <t xml:space="preserve">
Less Non GR for TTI</t>
        </r>
      </text>
    </comment>
    <comment ref="AH829" authorId="0" shapeId="0" xr:uid="{00000000-0006-0000-0500-000026010000}">
      <text>
        <r>
          <rPr>
            <b/>
            <sz val="9"/>
            <color indexed="81"/>
            <rFont val="Tahoma"/>
            <family val="2"/>
          </rPr>
          <t>..:</t>
        </r>
        <r>
          <rPr>
            <sz val="9"/>
            <color indexed="81"/>
            <rFont val="Tahoma"/>
            <family val="2"/>
          </rPr>
          <t xml:space="preserve">
Less Non GR for TTI</t>
        </r>
      </text>
    </comment>
    <comment ref="AI829" authorId="0" shapeId="0" xr:uid="{00000000-0006-0000-0500-000027010000}">
      <text>
        <r>
          <rPr>
            <b/>
            <sz val="9"/>
            <color indexed="81"/>
            <rFont val="Tahoma"/>
            <family val="2"/>
          </rPr>
          <t>..:</t>
        </r>
        <r>
          <rPr>
            <sz val="9"/>
            <color indexed="81"/>
            <rFont val="Tahoma"/>
            <family val="2"/>
          </rPr>
          <t xml:space="preserve">
Less Non GR for TTI</t>
        </r>
      </text>
    </comment>
    <comment ref="AD837" authorId="0" shapeId="0" xr:uid="{00000000-0006-0000-0500-000028010000}">
      <text>
        <r>
          <rPr>
            <b/>
            <sz val="9"/>
            <color indexed="81"/>
            <rFont val="Tahoma"/>
            <family val="2"/>
          </rPr>
          <t>..:</t>
        </r>
        <r>
          <rPr>
            <sz val="9"/>
            <color indexed="81"/>
            <rFont val="Tahoma"/>
            <family val="2"/>
          </rPr>
          <t xml:space="preserve">
Detail is not available from LBB.</t>
        </r>
      </text>
    </comment>
    <comment ref="AD887" authorId="0" shapeId="0" xr:uid="{00000000-0006-0000-0500-000029010000}">
      <text>
        <r>
          <rPr>
            <b/>
            <sz val="9"/>
            <color indexed="81"/>
            <rFont val="Tahoma"/>
            <family val="2"/>
          </rPr>
          <t>..:</t>
        </r>
        <r>
          <rPr>
            <sz val="9"/>
            <color indexed="81"/>
            <rFont val="Tahoma"/>
            <family val="2"/>
          </rPr>
          <t xml:space="preserve">
Less $3.00 to balance.</t>
        </r>
      </text>
    </comment>
    <comment ref="AE887" authorId="0" shapeId="0" xr:uid="{00000000-0006-0000-0500-00002A010000}">
      <text>
        <r>
          <rPr>
            <b/>
            <sz val="9"/>
            <color indexed="81"/>
            <rFont val="Tahoma"/>
            <family val="2"/>
          </rPr>
          <t>..:</t>
        </r>
        <r>
          <rPr>
            <sz val="9"/>
            <color indexed="81"/>
            <rFont val="Tahoma"/>
            <family val="2"/>
          </rPr>
          <t xml:space="preserve">
Less $4.00 to balance</t>
        </r>
      </text>
    </comment>
    <comment ref="AH887" authorId="0" shapeId="0" xr:uid="{00000000-0006-0000-0500-00002B010000}">
      <text>
        <r>
          <rPr>
            <b/>
            <sz val="9"/>
            <color indexed="81"/>
            <rFont val="Tahoma"/>
            <family val="2"/>
          </rPr>
          <t>..:</t>
        </r>
        <r>
          <rPr>
            <sz val="9"/>
            <color indexed="81"/>
            <rFont val="Tahoma"/>
            <family val="2"/>
          </rPr>
          <t xml:space="preserve">
Less $2 to agree with III-196.</t>
        </r>
      </text>
    </comment>
    <comment ref="AL887" authorId="0" shapeId="0" xr:uid="{00000000-0006-0000-0500-00002C010000}">
      <text>
        <r>
          <rPr>
            <b/>
            <sz val="9"/>
            <color indexed="81"/>
            <rFont val="Tahoma"/>
            <family val="2"/>
          </rPr>
          <t>..:</t>
        </r>
        <r>
          <rPr>
            <sz val="9"/>
            <color indexed="81"/>
            <rFont val="Tahoma"/>
            <family val="2"/>
          </rPr>
          <t xml:space="preserve">
Minus $1.00 to balance.</t>
        </r>
      </text>
    </comment>
    <comment ref="AM887" authorId="5" shapeId="0" xr:uid="{00000000-0006-0000-0500-00002D010000}">
      <text>
        <r>
          <rPr>
            <b/>
            <sz val="9"/>
            <color indexed="81"/>
            <rFont val="Tahoma"/>
            <family val="2"/>
          </rPr>
          <t>-:</t>
        </r>
        <r>
          <rPr>
            <sz val="9"/>
            <color indexed="81"/>
            <rFont val="Tahoma"/>
            <family val="2"/>
          </rPr>
          <t xml:space="preserve">
Minus $2.00 to balance.
</t>
        </r>
      </text>
    </comment>
    <comment ref="AN887" authorId="5" shapeId="0" xr:uid="{00000000-0006-0000-0500-00002E010000}">
      <text>
        <r>
          <rPr>
            <b/>
            <sz val="9"/>
            <color indexed="81"/>
            <rFont val="Tahoma"/>
            <family val="2"/>
          </rPr>
          <t>-:</t>
        </r>
        <r>
          <rPr>
            <sz val="9"/>
            <color indexed="81"/>
            <rFont val="Tahoma"/>
            <family val="2"/>
          </rPr>
          <t xml:space="preserve">
 to balance.</t>
        </r>
      </text>
    </comment>
    <comment ref="AO887" authorId="5" shapeId="0" xr:uid="{00000000-0006-0000-0500-00002F010000}">
      <text>
        <r>
          <rPr>
            <b/>
            <sz val="9"/>
            <color indexed="81"/>
            <rFont val="Tahoma"/>
            <family val="2"/>
          </rPr>
          <t>-:</t>
        </r>
        <r>
          <rPr>
            <sz val="9"/>
            <color indexed="81"/>
            <rFont val="Tahoma"/>
            <family val="2"/>
          </rPr>
          <t xml:space="preserve">
 to balance.
</t>
        </r>
      </text>
    </comment>
    <comment ref="AP887" authorId="5" shapeId="0" xr:uid="{00000000-0006-0000-0500-000030010000}">
      <text>
        <r>
          <rPr>
            <b/>
            <sz val="9"/>
            <color indexed="81"/>
            <rFont val="Tahoma"/>
            <family val="2"/>
          </rPr>
          <t>-:</t>
        </r>
        <r>
          <rPr>
            <sz val="9"/>
            <color indexed="81"/>
            <rFont val="Tahoma"/>
            <family val="2"/>
          </rPr>
          <t xml:space="preserve">
 to balance.</t>
        </r>
      </text>
    </comment>
    <comment ref="AQ887" authorId="5" shapeId="0" xr:uid="{00000000-0006-0000-0500-000031010000}">
      <text>
        <r>
          <rPr>
            <b/>
            <sz val="9"/>
            <color indexed="81"/>
            <rFont val="Tahoma"/>
            <family val="2"/>
          </rPr>
          <t>-:</t>
        </r>
        <r>
          <rPr>
            <sz val="9"/>
            <color indexed="81"/>
            <rFont val="Tahoma"/>
            <family val="2"/>
          </rPr>
          <t xml:space="preserve">
 to balance.
</t>
        </r>
      </text>
    </comment>
    <comment ref="E890" authorId="0" shapeId="0" xr:uid="{00000000-0006-0000-0500-000032010000}">
      <text>
        <r>
          <rPr>
            <b/>
            <sz val="9"/>
            <color indexed="81"/>
            <rFont val="Tahoma"/>
            <family val="2"/>
          </rPr>
          <t>..:</t>
        </r>
        <r>
          <rPr>
            <sz val="9"/>
            <color indexed="81"/>
            <rFont val="Tahoma"/>
            <family val="2"/>
          </rPr>
          <t xml:space="preserve">
Source Bill Pattern for CB</t>
        </r>
      </text>
    </comment>
    <comment ref="AH890" authorId="0" shapeId="0" xr:uid="{00000000-0006-0000-0500-000033010000}">
      <text>
        <r>
          <rPr>
            <b/>
            <sz val="9"/>
            <color indexed="81"/>
            <rFont val="Tahoma"/>
            <family val="2"/>
          </rPr>
          <t>..:</t>
        </r>
        <r>
          <rPr>
            <sz val="9"/>
            <color indexed="81"/>
            <rFont val="Tahoma"/>
            <family val="2"/>
          </rPr>
          <t xml:space="preserve">
Includes BRP.</t>
        </r>
      </text>
    </comment>
    <comment ref="AI890" authorId="0" shapeId="0" xr:uid="{00000000-0006-0000-0500-000034010000}">
      <text>
        <r>
          <rPr>
            <b/>
            <sz val="9"/>
            <color indexed="81"/>
            <rFont val="Tahoma"/>
            <family val="2"/>
          </rPr>
          <t>..:</t>
        </r>
        <r>
          <rPr>
            <sz val="9"/>
            <color indexed="81"/>
            <rFont val="Tahoma"/>
            <family val="2"/>
          </rPr>
          <t xml:space="preserve">
Includes BRP.</t>
        </r>
      </text>
    </comment>
    <comment ref="AB991" authorId="0" shapeId="0" xr:uid="{00000000-0006-0000-0500-000035010000}">
      <text>
        <r>
          <rPr>
            <b/>
            <sz val="9"/>
            <color indexed="81"/>
            <rFont val="Tahoma"/>
            <family val="2"/>
          </rPr>
          <t>..:</t>
        </r>
        <r>
          <rPr>
            <sz val="9"/>
            <color indexed="81"/>
            <rFont val="Tahoma"/>
            <family val="2"/>
          </rPr>
          <t xml:space="preserve">
Includes Rider 46, Spec. Prov. $370,000.</t>
        </r>
      </text>
    </comment>
    <comment ref="AC991" authorId="0" shapeId="0" xr:uid="{00000000-0006-0000-0500-000036010000}">
      <text>
        <r>
          <rPr>
            <b/>
            <sz val="9"/>
            <color indexed="81"/>
            <rFont val="Tahoma"/>
            <family val="2"/>
          </rPr>
          <t>..:</t>
        </r>
        <r>
          <rPr>
            <sz val="9"/>
            <color indexed="81"/>
            <rFont val="Tahoma"/>
            <family val="2"/>
          </rPr>
          <t xml:space="preserve">
Includes Rider 46, Spec. Prov. $370,000.</t>
        </r>
      </text>
    </comment>
    <comment ref="AF1010" authorId="1" shapeId="0" xr:uid="{00000000-0006-0000-0500-000037010000}">
      <text>
        <r>
          <rPr>
            <b/>
            <sz val="9"/>
            <color indexed="81"/>
            <rFont val="Tahoma"/>
            <family val="2"/>
          </rPr>
          <t>Paul  :</t>
        </r>
        <r>
          <rPr>
            <sz val="9"/>
            <color indexed="81"/>
            <rFont val="Tahoma"/>
            <family val="2"/>
          </rPr>
          <t xml:space="preserve">
$25M for TRIP moved to TRIP strategy</t>
        </r>
      </text>
    </comment>
    <comment ref="AG1010" authorId="1" shapeId="0" xr:uid="{00000000-0006-0000-0500-000038010000}">
      <text>
        <r>
          <rPr>
            <b/>
            <sz val="9"/>
            <color indexed="81"/>
            <rFont val="Tahoma"/>
            <family val="2"/>
          </rPr>
          <t>Paul  :</t>
        </r>
        <r>
          <rPr>
            <sz val="9"/>
            <color indexed="81"/>
            <rFont val="Tahoma"/>
            <family val="2"/>
          </rPr>
          <t xml:space="preserve">
$25M for TRIP moved to TRIP strategy</t>
        </r>
      </text>
    </comment>
    <comment ref="AI1013" authorId="0" shapeId="0" xr:uid="{00000000-0006-0000-0500-000039010000}">
      <text>
        <r>
          <rPr>
            <b/>
            <sz val="9"/>
            <color indexed="81"/>
            <rFont val="Tahoma"/>
            <family val="2"/>
          </rPr>
          <t>..:</t>
        </r>
        <r>
          <rPr>
            <sz val="9"/>
            <color indexed="81"/>
            <rFont val="Tahoma"/>
            <family val="2"/>
          </rPr>
          <t xml:space="preserve">
Includes HB 1025
</t>
        </r>
      </text>
    </comment>
    <comment ref="AF1017" authorId="1" shapeId="0" xr:uid="{00000000-0006-0000-0500-00003A010000}">
      <text>
        <r>
          <rPr>
            <b/>
            <sz val="9"/>
            <color indexed="81"/>
            <rFont val="Tahoma"/>
            <family val="2"/>
          </rPr>
          <t>Paul  :</t>
        </r>
        <r>
          <rPr>
            <sz val="9"/>
            <color indexed="81"/>
            <rFont val="Tahoma"/>
            <family val="2"/>
          </rPr>
          <t xml:space="preserve">
$25M for TRIP moved from Higher Education Performance Program Strategy</t>
        </r>
      </text>
    </comment>
    <comment ref="AG1017" authorId="1" shapeId="0" xr:uid="{00000000-0006-0000-0500-00003B010000}">
      <text>
        <r>
          <rPr>
            <b/>
            <sz val="9"/>
            <color indexed="81"/>
            <rFont val="Tahoma"/>
            <family val="2"/>
          </rPr>
          <t>Paul  :</t>
        </r>
        <r>
          <rPr>
            <sz val="9"/>
            <color indexed="81"/>
            <rFont val="Tahoma"/>
            <family val="2"/>
          </rPr>
          <t xml:space="preserve">
$25M for TRIP moved from Higher Education Performance Program Strategy</t>
        </r>
      </text>
    </comment>
    <comment ref="AI1017" authorId="0" shapeId="0" xr:uid="{00000000-0006-0000-0500-00003C010000}">
      <text>
        <r>
          <rPr>
            <b/>
            <sz val="9"/>
            <color indexed="81"/>
            <rFont val="Tahoma"/>
            <family val="2"/>
          </rPr>
          <t>..:</t>
        </r>
        <r>
          <rPr>
            <sz val="9"/>
            <color indexed="81"/>
            <rFont val="Tahoma"/>
            <family val="2"/>
          </rPr>
          <t xml:space="preserve">
Includes HB 1025
</t>
        </r>
      </text>
    </comment>
    <comment ref="AI1020" authorId="0" shapeId="0" xr:uid="{00000000-0006-0000-0500-00003D010000}">
      <text>
        <r>
          <rPr>
            <b/>
            <sz val="9"/>
            <color indexed="81"/>
            <rFont val="Tahoma"/>
            <family val="2"/>
          </rPr>
          <t>..:</t>
        </r>
        <r>
          <rPr>
            <sz val="9"/>
            <color indexed="81"/>
            <rFont val="Tahoma"/>
            <family val="2"/>
          </rPr>
          <t xml:space="preserve">
Includes HB 1025
</t>
        </r>
      </text>
    </comment>
    <comment ref="AJ1032" authorId="0" shapeId="0" xr:uid="{00000000-0006-0000-0500-00003E010000}">
      <text>
        <r>
          <rPr>
            <b/>
            <sz val="9"/>
            <color indexed="81"/>
            <rFont val="Tahoma"/>
            <family val="2"/>
          </rPr>
          <t>..:</t>
        </r>
        <r>
          <rPr>
            <sz val="9"/>
            <color indexed="81"/>
            <rFont val="Tahoma"/>
            <family val="2"/>
          </rPr>
          <t xml:space="preserve">
Governor's Veto
</t>
        </r>
      </text>
    </comment>
    <comment ref="AK1032" authorId="0" shapeId="0" xr:uid="{00000000-0006-0000-0500-00003F010000}">
      <text>
        <r>
          <rPr>
            <b/>
            <sz val="9"/>
            <color indexed="81"/>
            <rFont val="Tahoma"/>
            <family val="2"/>
          </rPr>
          <t>..:</t>
        </r>
        <r>
          <rPr>
            <sz val="9"/>
            <color indexed="81"/>
            <rFont val="Tahoma"/>
            <family val="2"/>
          </rPr>
          <t xml:space="preserve">
Governor's Veto
</t>
        </r>
      </text>
    </comment>
    <comment ref="AJ1034" authorId="0" shapeId="0" xr:uid="{00000000-0006-0000-0500-000040010000}">
      <text>
        <r>
          <rPr>
            <b/>
            <sz val="9"/>
            <color indexed="81"/>
            <rFont val="Tahoma"/>
            <family val="2"/>
          </rPr>
          <t>..:</t>
        </r>
        <r>
          <rPr>
            <sz val="9"/>
            <color indexed="81"/>
            <rFont val="Tahoma"/>
            <family val="2"/>
          </rPr>
          <t xml:space="preserve">
Governor's Veto
</t>
        </r>
      </text>
    </comment>
    <comment ref="AK1034" authorId="0" shapeId="0" xr:uid="{00000000-0006-0000-0500-000041010000}">
      <text>
        <r>
          <rPr>
            <b/>
            <sz val="9"/>
            <color indexed="81"/>
            <rFont val="Tahoma"/>
            <family val="2"/>
          </rPr>
          <t>..:</t>
        </r>
        <r>
          <rPr>
            <sz val="9"/>
            <color indexed="81"/>
            <rFont val="Tahoma"/>
            <family val="2"/>
          </rPr>
          <t xml:space="preserve">
Governor's Veto
</t>
        </r>
      </text>
    </comment>
    <comment ref="AI1043" authorId="0" shapeId="0" xr:uid="{00000000-0006-0000-0500-000042010000}">
      <text>
        <r>
          <rPr>
            <b/>
            <sz val="9"/>
            <color indexed="81"/>
            <rFont val="Tahoma"/>
            <family val="2"/>
          </rPr>
          <t>..:</t>
        </r>
        <r>
          <rPr>
            <sz val="9"/>
            <color indexed="81"/>
            <rFont val="Tahoma"/>
            <family val="2"/>
          </rPr>
          <t xml:space="preserve">
Includes HB 1025
</t>
        </r>
      </text>
    </comment>
    <comment ref="AJ1043" authorId="1" shapeId="0" xr:uid="{00000000-0006-0000-0500-000043010000}">
      <text>
        <r>
          <rPr>
            <b/>
            <sz val="9"/>
            <color indexed="81"/>
            <rFont val="Tahoma"/>
            <family val="2"/>
          </rPr>
          <t>Paul  :</t>
        </r>
        <r>
          <rPr>
            <sz val="9"/>
            <color indexed="81"/>
            <rFont val="Tahoma"/>
            <family val="2"/>
          </rPr>
          <t xml:space="preserve">
Contingency for Senate Bill 143: Graduate Medical Education Residency Expansion.</t>
        </r>
      </text>
    </comment>
    <comment ref="AL1059" authorId="6" shapeId="0" xr:uid="{00000000-0006-0000-0500-000044010000}">
      <text>
        <r>
          <rPr>
            <b/>
            <sz val="9"/>
            <color indexed="81"/>
            <rFont val="Tahoma"/>
            <family val="2"/>
          </rPr>
          <t xml:space="preserve">Leal, Ruben:
</t>
        </r>
        <r>
          <rPr>
            <sz val="9"/>
            <color indexed="81"/>
            <rFont val="Tahoma"/>
            <family val="2"/>
          </rPr>
          <t>Initially per the first draft of the LBB Crosswalk,</t>
        </r>
        <r>
          <rPr>
            <b/>
            <sz val="9"/>
            <color indexed="81"/>
            <rFont val="Tahoma"/>
            <family val="2"/>
          </rPr>
          <t xml:space="preserve"> a</t>
        </r>
        <r>
          <rPr>
            <sz val="9"/>
            <color indexed="81"/>
            <rFont val="Tahoma"/>
            <family val="2"/>
          </rPr>
          <t>dded $850,000 to B.1.18, because of passage of SB-239 and HB1 Conf Commt, Art. IX-94, Sec. 18.60 Mental Health Professionals. LBB Crosswalk reflected the 850K in the B Goal not in D;  However, we rec'd revised LBB Crosswalk from CPA, and LBB changed and placed Mental Health LRP in the D Goal. In the Fiscal Size-Up, we believe that this pgm will be a strategy. Made it, D.1.12....</t>
        </r>
      </text>
    </comment>
    <comment ref="AI1061" authorId="0" shapeId="0" xr:uid="{00000000-0006-0000-0500-000045010000}">
      <text>
        <r>
          <rPr>
            <b/>
            <sz val="9"/>
            <color indexed="81"/>
            <rFont val="Tahoma"/>
            <family val="2"/>
          </rPr>
          <t>..:</t>
        </r>
        <r>
          <rPr>
            <sz val="9"/>
            <color indexed="81"/>
            <rFont val="Tahoma"/>
            <family val="2"/>
          </rPr>
          <t xml:space="preserve">
Includes HB 1025
</t>
        </r>
      </text>
    </comment>
    <comment ref="AM1083" authorId="0" shapeId="0" xr:uid="{00000000-0006-0000-0500-000046010000}">
      <text>
        <r>
          <rPr>
            <b/>
            <sz val="9"/>
            <color indexed="81"/>
            <rFont val="Tahoma"/>
            <family val="2"/>
          </rPr>
          <t>..:</t>
        </r>
        <r>
          <rPr>
            <sz val="9"/>
            <color indexed="81"/>
            <rFont val="Tahoma"/>
            <family val="2"/>
          </rPr>
          <t xml:space="preserve">
Sec III special prov. Section 64, HB 10
</t>
        </r>
      </text>
    </comment>
    <comment ref="AB1101" authorId="0" shapeId="0" xr:uid="{00000000-0006-0000-0500-000047010000}">
      <text>
        <r>
          <rPr>
            <b/>
            <sz val="9"/>
            <color indexed="81"/>
            <rFont val="Tahoma"/>
            <family val="2"/>
          </rPr>
          <t>..:</t>
        </r>
        <r>
          <rPr>
            <sz val="9"/>
            <color indexed="81"/>
            <rFont val="Tahoma"/>
            <family val="2"/>
          </rPr>
          <t xml:space="preserve">
BCM Perm Health Fund was not in the THECB Bill patter for 06-07.  Amount added for consistency.</t>
        </r>
      </text>
    </comment>
    <comment ref="AC1101" authorId="0" shapeId="0" xr:uid="{00000000-0006-0000-0500-000048010000}">
      <text>
        <r>
          <rPr>
            <b/>
            <sz val="9"/>
            <color indexed="81"/>
            <rFont val="Tahoma"/>
            <family val="2"/>
          </rPr>
          <t>..:</t>
        </r>
        <r>
          <rPr>
            <sz val="9"/>
            <color indexed="81"/>
            <rFont val="Tahoma"/>
            <family val="2"/>
          </rPr>
          <t xml:space="preserve">
BCM Perm Health Fund was not in the THECB Bill patter for 06-07.  Amount added for consistency.</t>
        </r>
      </text>
    </comment>
    <comment ref="AL1105" authorId="0" shapeId="0" xr:uid="{00000000-0006-0000-0500-000049010000}">
      <text>
        <r>
          <rPr>
            <b/>
            <sz val="9"/>
            <color indexed="81"/>
            <rFont val="Tahoma"/>
            <family val="2"/>
          </rPr>
          <t>..:</t>
        </r>
        <r>
          <rPr>
            <sz val="9"/>
            <color indexed="81"/>
            <rFont val="Tahoma"/>
            <family val="2"/>
          </rPr>
          <t xml:space="preserve">
Per LBB Crosswalk</t>
        </r>
      </text>
    </comment>
    <comment ref="AM1105" authorId="0" shapeId="0" xr:uid="{00000000-0006-0000-0500-00004A010000}">
      <text>
        <r>
          <rPr>
            <b/>
            <sz val="9"/>
            <color indexed="81"/>
            <rFont val="Tahoma"/>
            <family val="2"/>
          </rPr>
          <t>..:</t>
        </r>
        <r>
          <rPr>
            <sz val="9"/>
            <color indexed="81"/>
            <rFont val="Tahoma"/>
            <family val="2"/>
          </rPr>
          <t xml:space="preserve">
Plus Art.IX, Sec 18.03 CAPPS $750,024.</t>
        </r>
      </text>
    </comment>
    <comment ref="AI1109" authorId="0" shapeId="0" xr:uid="{00000000-0006-0000-0500-00004B010000}">
      <text>
        <r>
          <rPr>
            <b/>
            <sz val="9"/>
            <color indexed="81"/>
            <rFont val="Tahoma"/>
            <family val="2"/>
          </rPr>
          <t>..:</t>
        </r>
        <r>
          <rPr>
            <sz val="9"/>
            <color indexed="81"/>
            <rFont val="Tahoma"/>
            <family val="2"/>
          </rPr>
          <t xml:space="preserve">
Includes HB 1025
</t>
        </r>
      </text>
    </comment>
    <comment ref="AJ1114" authorId="0" shapeId="0" xr:uid="{00000000-0006-0000-0500-00004C010000}">
      <text>
        <r>
          <rPr>
            <b/>
            <sz val="9"/>
            <color indexed="81"/>
            <rFont val="Tahoma"/>
            <family val="2"/>
          </rPr>
          <t>..:College Readiness and Success</t>
        </r>
      </text>
    </comment>
    <comment ref="AB1127" authorId="0" shapeId="0" xr:uid="{00000000-0006-0000-0500-00004D010000}">
      <text>
        <r>
          <rPr>
            <b/>
            <sz val="9"/>
            <color indexed="81"/>
            <rFont val="Tahoma"/>
            <family val="2"/>
          </rPr>
          <t>..:</t>
        </r>
        <r>
          <rPr>
            <sz val="9"/>
            <color indexed="81"/>
            <rFont val="Tahoma"/>
            <family val="2"/>
          </rPr>
          <t xml:space="preserve">
Rider 46, Special Provisions</t>
        </r>
      </text>
    </comment>
    <comment ref="AC1127" authorId="0" shapeId="0" xr:uid="{00000000-0006-0000-0500-00004E010000}">
      <text>
        <r>
          <rPr>
            <b/>
            <sz val="9"/>
            <color indexed="81"/>
            <rFont val="Tahoma"/>
            <family val="2"/>
          </rPr>
          <t>..:</t>
        </r>
        <r>
          <rPr>
            <sz val="9"/>
            <color indexed="81"/>
            <rFont val="Tahoma"/>
            <family val="2"/>
          </rPr>
          <t xml:space="preserve">
Rider 46, Special Provisions</t>
        </r>
      </text>
    </comment>
    <comment ref="E1140" authorId="0" shapeId="0" xr:uid="{00000000-0006-0000-0500-00004F010000}">
      <text>
        <r>
          <rPr>
            <b/>
            <sz val="9"/>
            <color indexed="81"/>
            <rFont val="Tahoma"/>
            <family val="2"/>
          </rPr>
          <t>..:</t>
        </r>
        <r>
          <rPr>
            <sz val="9"/>
            <color indexed="81"/>
            <rFont val="Tahoma"/>
            <family val="2"/>
          </rPr>
          <t xml:space="preserve">
Used for TEG Calculation
</t>
        </r>
      </text>
    </comment>
    <comment ref="AF1140" authorId="0" shapeId="0" xr:uid="{00000000-0006-0000-0500-000050010000}">
      <text>
        <r>
          <rPr>
            <b/>
            <sz val="9"/>
            <color indexed="81"/>
            <rFont val="Tahoma"/>
            <family val="2"/>
          </rPr>
          <t>..:</t>
        </r>
        <r>
          <rPr>
            <sz val="9"/>
            <color indexed="81"/>
            <rFont val="Tahoma"/>
            <family val="2"/>
          </rPr>
          <t xml:space="preserve">
Plus $2.00 to balance with SFA total.
</t>
        </r>
      </text>
    </comment>
    <comment ref="AF1145" authorId="1" shapeId="0" xr:uid="{00000000-0006-0000-0500-000051010000}">
      <text>
        <r>
          <rPr>
            <b/>
            <sz val="9"/>
            <color indexed="81"/>
            <rFont val="Tahoma"/>
            <family val="2"/>
          </rPr>
          <t>Paul  :</t>
        </r>
        <r>
          <rPr>
            <sz val="9"/>
            <color indexed="81"/>
            <rFont val="Tahoma"/>
            <family val="2"/>
          </rPr>
          <t xml:space="preserve">
$25M for TRIP moved to TRIP strategy - Remove $80,000,000 in ARRA included in GR</t>
        </r>
      </text>
    </comment>
    <comment ref="AG1145" authorId="1" shapeId="0" xr:uid="{00000000-0006-0000-0500-000052010000}">
      <text>
        <r>
          <rPr>
            <b/>
            <sz val="9"/>
            <color indexed="81"/>
            <rFont val="Tahoma"/>
            <family val="2"/>
          </rPr>
          <t>Paul  :</t>
        </r>
        <r>
          <rPr>
            <sz val="9"/>
            <color indexed="81"/>
            <rFont val="Tahoma"/>
            <family val="2"/>
          </rPr>
          <t xml:space="preserve">
$25M for TRIP moved to TRIP strategy</t>
        </r>
      </text>
    </comment>
    <comment ref="E1146" authorId="0" shapeId="0" xr:uid="{00000000-0006-0000-0500-000053010000}">
      <text>
        <r>
          <rPr>
            <b/>
            <sz val="9"/>
            <color indexed="81"/>
            <rFont val="Tahoma"/>
            <family val="2"/>
          </rPr>
          <t>..:</t>
        </r>
        <r>
          <rPr>
            <sz val="9"/>
            <color indexed="81"/>
            <rFont val="Tahoma"/>
            <family val="2"/>
          </rPr>
          <t xml:space="preserve">
Used for TEG Calculation
</t>
        </r>
      </text>
    </comment>
    <comment ref="AB1147" authorId="0" shapeId="0" xr:uid="{00000000-0006-0000-0500-000054010000}">
      <text>
        <r>
          <rPr>
            <b/>
            <sz val="9"/>
            <color indexed="81"/>
            <rFont val="Tahoma"/>
            <family val="2"/>
          </rPr>
          <t>..:</t>
        </r>
        <r>
          <rPr>
            <sz val="9"/>
            <color indexed="81"/>
            <rFont val="Tahoma"/>
            <family val="2"/>
          </rPr>
          <t xml:space="preserve">
State Military Tuition Assistance</t>
        </r>
      </text>
    </comment>
    <comment ref="AC1147" authorId="0" shapeId="0" xr:uid="{00000000-0006-0000-0500-000055010000}">
      <text>
        <r>
          <rPr>
            <b/>
            <sz val="9"/>
            <color indexed="81"/>
            <rFont val="Tahoma"/>
            <family val="2"/>
          </rPr>
          <t>..:</t>
        </r>
        <r>
          <rPr>
            <sz val="9"/>
            <color indexed="81"/>
            <rFont val="Tahoma"/>
            <family val="2"/>
          </rPr>
          <t xml:space="preserve">
State Military Tuition Assistance</t>
        </r>
      </text>
    </comment>
    <comment ref="AI1148" authorId="0" shapeId="0" xr:uid="{00000000-0006-0000-0500-000056010000}">
      <text>
        <r>
          <rPr>
            <b/>
            <sz val="9"/>
            <color indexed="81"/>
            <rFont val="Tahoma"/>
            <family val="2"/>
          </rPr>
          <t>..:</t>
        </r>
        <r>
          <rPr>
            <sz val="9"/>
            <color indexed="81"/>
            <rFont val="Tahoma"/>
            <family val="2"/>
          </rPr>
          <t xml:space="preserve">
Includes HB 1025
</t>
        </r>
      </text>
    </comment>
    <comment ref="AF1151" authorId="1" shapeId="0" xr:uid="{00000000-0006-0000-0500-000057010000}">
      <text>
        <r>
          <rPr>
            <b/>
            <sz val="9"/>
            <color indexed="81"/>
            <rFont val="Tahoma"/>
            <family val="2"/>
          </rPr>
          <t>Paul  :</t>
        </r>
        <r>
          <rPr>
            <sz val="9"/>
            <color indexed="81"/>
            <rFont val="Tahoma"/>
            <family val="2"/>
          </rPr>
          <t xml:space="preserve">
$25M for TRIP moved from Higher Education Performance Program Strategy</t>
        </r>
      </text>
    </comment>
    <comment ref="AG1151" authorId="1" shapeId="0" xr:uid="{00000000-0006-0000-0500-000058010000}">
      <text>
        <r>
          <rPr>
            <b/>
            <sz val="9"/>
            <color indexed="81"/>
            <rFont val="Tahoma"/>
            <family val="2"/>
          </rPr>
          <t>Paul  :</t>
        </r>
        <r>
          <rPr>
            <sz val="9"/>
            <color indexed="81"/>
            <rFont val="Tahoma"/>
            <family val="2"/>
          </rPr>
          <t xml:space="preserve">
$25M for TRIP moved from Higher Education Performance Program Strategy</t>
        </r>
      </text>
    </comment>
    <comment ref="AI1151" authorId="0" shapeId="0" xr:uid="{00000000-0006-0000-0500-000059010000}">
      <text>
        <r>
          <rPr>
            <b/>
            <sz val="9"/>
            <color indexed="81"/>
            <rFont val="Tahoma"/>
            <family val="2"/>
          </rPr>
          <t>..:</t>
        </r>
        <r>
          <rPr>
            <sz val="9"/>
            <color indexed="81"/>
            <rFont val="Tahoma"/>
            <family val="2"/>
          </rPr>
          <t xml:space="preserve">
Includes HB 1025
</t>
        </r>
      </text>
    </comment>
    <comment ref="AF1154" authorId="0" shapeId="0" xr:uid="{00000000-0006-0000-0500-00005A010000}">
      <text>
        <r>
          <rPr>
            <b/>
            <sz val="9"/>
            <color indexed="81"/>
            <rFont val="Tahoma"/>
            <family val="2"/>
          </rPr>
          <t>..:</t>
        </r>
        <r>
          <rPr>
            <sz val="9"/>
            <color indexed="81"/>
            <rFont val="Tahoma"/>
            <family val="2"/>
          </rPr>
          <t xml:space="preserve">
Less $40,000,000 in ARRA included in GR</t>
        </r>
      </text>
    </comment>
    <comment ref="AI1154" authorId="0" shapeId="0" xr:uid="{00000000-0006-0000-0500-00005B010000}">
      <text>
        <r>
          <rPr>
            <b/>
            <sz val="9"/>
            <color indexed="81"/>
            <rFont val="Tahoma"/>
            <family val="2"/>
          </rPr>
          <t>..:</t>
        </r>
        <r>
          <rPr>
            <sz val="9"/>
            <color indexed="81"/>
            <rFont val="Tahoma"/>
            <family val="2"/>
          </rPr>
          <t xml:space="preserve">
Includes HB 1025
</t>
        </r>
      </text>
    </comment>
    <comment ref="AH1178" authorId="0" shapeId="0" xr:uid="{00000000-0006-0000-0500-00005C010000}">
      <text>
        <r>
          <rPr>
            <b/>
            <sz val="9"/>
            <color indexed="81"/>
            <rFont val="Tahoma"/>
            <family val="2"/>
          </rPr>
          <t>..:</t>
        </r>
        <r>
          <rPr>
            <sz val="9"/>
            <color indexed="81"/>
            <rFont val="Tahoma"/>
            <family val="2"/>
          </rPr>
          <t xml:space="preserve">
Includes $4.1 M from HB 4</t>
        </r>
      </text>
    </comment>
    <comment ref="AI1183" authorId="0" shapeId="0" xr:uid="{00000000-0006-0000-0500-00005D010000}">
      <text>
        <r>
          <rPr>
            <b/>
            <sz val="9"/>
            <color indexed="81"/>
            <rFont val="Tahoma"/>
            <family val="2"/>
          </rPr>
          <t>..:</t>
        </r>
        <r>
          <rPr>
            <sz val="9"/>
            <color indexed="81"/>
            <rFont val="Tahoma"/>
            <family val="2"/>
          </rPr>
          <t xml:space="preserve">
Includes HB 1025
</t>
        </r>
      </text>
    </comment>
    <comment ref="E1185" authorId="0" shapeId="0" xr:uid="{00000000-0006-0000-0500-00005E010000}">
      <text>
        <r>
          <rPr>
            <b/>
            <sz val="9"/>
            <color indexed="81"/>
            <rFont val="Tahoma"/>
            <family val="2"/>
          </rPr>
          <t>..:</t>
        </r>
        <r>
          <rPr>
            <sz val="9"/>
            <color indexed="81"/>
            <rFont val="Tahoma"/>
            <family val="2"/>
          </rPr>
          <t xml:space="preserve">
Used for TEG Calculation
</t>
        </r>
      </text>
    </comment>
    <comment ref="AL1200" authorId="6" shapeId="0" xr:uid="{00000000-0006-0000-0500-00005F010000}">
      <text>
        <r>
          <rPr>
            <b/>
            <sz val="9"/>
            <color indexed="81"/>
            <rFont val="Tahoma"/>
            <family val="2"/>
          </rPr>
          <t xml:space="preserve">Leal, Ruben:
</t>
        </r>
        <r>
          <rPr>
            <sz val="9"/>
            <color indexed="81"/>
            <rFont val="Tahoma"/>
            <family val="2"/>
          </rPr>
          <t>Initially per the first draft of the LBB Crosswalk,</t>
        </r>
        <r>
          <rPr>
            <b/>
            <sz val="9"/>
            <color indexed="81"/>
            <rFont val="Tahoma"/>
            <family val="2"/>
          </rPr>
          <t xml:space="preserve"> a</t>
        </r>
        <r>
          <rPr>
            <sz val="9"/>
            <color indexed="81"/>
            <rFont val="Tahoma"/>
            <family val="2"/>
          </rPr>
          <t>dded $850,000 to B.1.18, because of passage of SB-239 and HB1 Conf Commt, Art. IX-94, Sec. 18.60 Mental Health Professionals. LBB Crosswalk reflected the 850K in the B Goal not in D;  However, we rec'd revised LBB Crosswalk from CPA, and LBB changed and placed Mental Health LRP in the D Goal. In the Fiscal Size-Up, we believe that this pgm will be a strategy. Made it, D.1.12....</t>
        </r>
      </text>
    </comment>
    <comment ref="AI1201" authorId="0" shapeId="0" xr:uid="{00000000-0006-0000-0500-000060010000}">
      <text>
        <r>
          <rPr>
            <b/>
            <sz val="9"/>
            <color indexed="81"/>
            <rFont val="Tahoma"/>
            <family val="2"/>
          </rPr>
          <t>..:</t>
        </r>
        <r>
          <rPr>
            <sz val="9"/>
            <color indexed="81"/>
            <rFont val="Tahoma"/>
            <family val="2"/>
          </rPr>
          <t xml:space="preserve">
Includes HB 1025
</t>
        </r>
      </text>
    </comment>
    <comment ref="AM1220" authorId="0" shapeId="0" xr:uid="{00000000-0006-0000-0500-000061010000}">
      <text>
        <r>
          <rPr>
            <b/>
            <sz val="9"/>
            <color indexed="81"/>
            <rFont val="Tahoma"/>
            <family val="2"/>
          </rPr>
          <t>..:</t>
        </r>
        <r>
          <rPr>
            <sz val="9"/>
            <color indexed="81"/>
            <rFont val="Tahoma"/>
            <family val="2"/>
          </rPr>
          <t xml:space="preserve">
Sec III special prov. Section 64, HB 10
</t>
        </r>
      </text>
    </comment>
    <comment ref="AF1228" authorId="0" shapeId="0" xr:uid="{00000000-0006-0000-0500-000062010000}">
      <text>
        <r>
          <rPr>
            <b/>
            <sz val="9"/>
            <color indexed="81"/>
            <rFont val="Tahoma"/>
            <family val="2"/>
          </rPr>
          <t>..:</t>
        </r>
        <r>
          <rPr>
            <sz val="9"/>
            <color indexed="81"/>
            <rFont val="Tahoma"/>
            <family val="2"/>
          </rPr>
          <t xml:space="preserve">
Less $80,000,000 in ARRA included in GR</t>
        </r>
      </text>
    </comment>
    <comment ref="AI1228" authorId="0" shapeId="0" xr:uid="{00000000-0006-0000-0500-000063010000}">
      <text>
        <r>
          <rPr>
            <b/>
            <sz val="9"/>
            <color indexed="81"/>
            <rFont val="Tahoma"/>
            <family val="2"/>
          </rPr>
          <t>..:</t>
        </r>
        <r>
          <rPr>
            <sz val="9"/>
            <color indexed="81"/>
            <rFont val="Tahoma"/>
            <family val="2"/>
          </rPr>
          <t xml:space="preserve">
Includes HB 1025
</t>
        </r>
      </text>
    </comment>
    <comment ref="E1229" authorId="0" shapeId="0" xr:uid="{00000000-0006-0000-0500-000064010000}">
      <text>
        <r>
          <rPr>
            <b/>
            <sz val="9"/>
            <color indexed="81"/>
            <rFont val="Tahoma"/>
            <family val="2"/>
          </rPr>
          <t>..:</t>
        </r>
        <r>
          <rPr>
            <sz val="9"/>
            <color indexed="81"/>
            <rFont val="Tahoma"/>
            <family val="2"/>
          </rPr>
          <t xml:space="preserve">
Control check total for SREB survey.</t>
        </r>
      </text>
    </comment>
    <comment ref="E1230" authorId="0" shapeId="0" xr:uid="{00000000-0006-0000-0500-000065010000}">
      <text>
        <r>
          <rPr>
            <b/>
            <sz val="9"/>
            <color indexed="81"/>
            <rFont val="Tahoma"/>
            <family val="2"/>
          </rPr>
          <t>..:</t>
        </r>
        <r>
          <rPr>
            <sz val="9"/>
            <color indexed="81"/>
            <rFont val="Tahoma"/>
            <family val="2"/>
          </rPr>
          <t xml:space="preserve">
Control check total for SREB survey.</t>
        </r>
      </text>
    </comment>
    <comment ref="E1231" authorId="0" shapeId="0" xr:uid="{00000000-0006-0000-0500-000066010000}">
      <text>
        <r>
          <rPr>
            <b/>
            <sz val="9"/>
            <color indexed="81"/>
            <rFont val="Tahoma"/>
            <family val="2"/>
          </rPr>
          <t>..:</t>
        </r>
        <r>
          <rPr>
            <sz val="9"/>
            <color indexed="81"/>
            <rFont val="Tahoma"/>
            <family val="2"/>
          </rPr>
          <t xml:space="preserve">
Control check total for SREB survey.</t>
        </r>
      </text>
    </comment>
    <comment ref="C1233" authorId="0" shapeId="0" xr:uid="{00000000-0006-0000-0500-000067010000}">
      <text>
        <r>
          <rPr>
            <b/>
            <sz val="9"/>
            <color indexed="81"/>
            <rFont val="Tahoma"/>
            <family val="2"/>
          </rPr>
          <t>..:</t>
        </r>
        <r>
          <rPr>
            <sz val="9"/>
            <color indexed="81"/>
            <rFont val="Tahoma"/>
            <family val="2"/>
          </rPr>
          <t xml:space="preserve">
Source:  CB Bill Pattern.</t>
        </r>
      </text>
    </comment>
    <comment ref="AF1279" authorId="1" shapeId="0" xr:uid="{00000000-0006-0000-0500-000068010000}">
      <text>
        <r>
          <rPr>
            <b/>
            <sz val="9"/>
            <color indexed="81"/>
            <rFont val="Tahoma"/>
            <family val="2"/>
          </rPr>
          <t>Paul  :</t>
        </r>
        <r>
          <rPr>
            <sz val="9"/>
            <color indexed="81"/>
            <rFont val="Tahoma"/>
            <family val="2"/>
          </rPr>
          <t xml:space="preserve">
Includes TAMUCT Budget Reduction
</t>
        </r>
      </text>
    </comment>
    <comment ref="AF1280" authorId="1" shapeId="0" xr:uid="{00000000-0006-0000-0500-000069010000}">
      <text>
        <r>
          <rPr>
            <b/>
            <sz val="9"/>
            <color indexed="81"/>
            <rFont val="Tahoma"/>
            <family val="2"/>
          </rPr>
          <t>Paul  :</t>
        </r>
        <r>
          <rPr>
            <sz val="9"/>
            <color indexed="81"/>
            <rFont val="Tahoma"/>
            <family val="2"/>
          </rPr>
          <t xml:space="preserve">
Budget reduction included in Tarleton</t>
        </r>
      </text>
    </comment>
    <comment ref="AF1282" authorId="1" shapeId="0" xr:uid="{00000000-0006-0000-0500-00006A010000}">
      <text>
        <r>
          <rPr>
            <b/>
            <sz val="9"/>
            <color indexed="81"/>
            <rFont val="Tahoma"/>
            <family val="2"/>
          </rPr>
          <t>Paul  :</t>
        </r>
        <r>
          <rPr>
            <sz val="9"/>
            <color indexed="81"/>
            <rFont val="Tahoma"/>
            <family val="2"/>
          </rPr>
          <t xml:space="preserve">
Includes TAMUSA Budget Reduction</t>
        </r>
      </text>
    </comment>
    <comment ref="AF1283" authorId="1" shapeId="0" xr:uid="{00000000-0006-0000-0500-00006B010000}">
      <text>
        <r>
          <rPr>
            <b/>
            <sz val="9"/>
            <color indexed="81"/>
            <rFont val="Tahoma"/>
            <family val="2"/>
          </rPr>
          <t>Paul  :</t>
        </r>
        <r>
          <rPr>
            <sz val="9"/>
            <color indexed="81"/>
            <rFont val="Tahoma"/>
            <family val="2"/>
          </rPr>
          <t xml:space="preserve">
Budget Reduction included in TAMUK</t>
        </r>
      </text>
    </comment>
    <comment ref="AD1323" authorId="0" shapeId="0" xr:uid="{00000000-0006-0000-0500-00006C010000}">
      <text>
        <r>
          <rPr>
            <b/>
            <sz val="9"/>
            <color indexed="81"/>
            <rFont val="Tahoma"/>
            <family val="2"/>
          </rPr>
          <t>..:</t>
        </r>
        <r>
          <rPr>
            <sz val="9"/>
            <color indexed="81"/>
            <rFont val="Tahoma"/>
            <family val="2"/>
          </rPr>
          <t xml:space="preserve">
BAT Degrees - Inst. Amounts Allocated on the basis for formula funding for 3 CC inst.</t>
        </r>
      </text>
    </comment>
    <comment ref="AE1323" authorId="0" shapeId="0" xr:uid="{00000000-0006-0000-0500-00006D010000}">
      <text>
        <r>
          <rPr>
            <b/>
            <sz val="9"/>
            <color indexed="81"/>
            <rFont val="Tahoma"/>
            <family val="2"/>
          </rPr>
          <t>..:</t>
        </r>
        <r>
          <rPr>
            <sz val="9"/>
            <color indexed="81"/>
            <rFont val="Tahoma"/>
            <family val="2"/>
          </rPr>
          <t xml:space="preserve">
BAT Degrees - Inst. Amounts Allocated on the basis for formula funding for 3 CC inst.</t>
        </r>
      </text>
    </comment>
    <comment ref="AD1392" authorId="0" shapeId="0" xr:uid="{00000000-0006-0000-0500-00006E010000}">
      <text>
        <r>
          <rPr>
            <b/>
            <sz val="9"/>
            <color indexed="81"/>
            <rFont val="Tahoma"/>
            <family val="2"/>
          </rPr>
          <t>..:</t>
        </r>
        <r>
          <rPr>
            <sz val="9"/>
            <color indexed="81"/>
            <rFont val="Tahoma"/>
            <family val="2"/>
          </rPr>
          <t xml:space="preserve">
Section 54 - Article Special Provisions Appropriations 238-239</t>
        </r>
      </text>
    </comment>
    <comment ref="AE1392" authorId="0" shapeId="0" xr:uid="{00000000-0006-0000-0500-00006F010000}">
      <text>
        <r>
          <rPr>
            <b/>
            <sz val="9"/>
            <color indexed="81"/>
            <rFont val="Tahoma"/>
            <family val="2"/>
          </rPr>
          <t>..:</t>
        </r>
        <r>
          <rPr>
            <sz val="9"/>
            <color indexed="81"/>
            <rFont val="Tahoma"/>
            <family val="2"/>
          </rPr>
          <t xml:space="preserve">
Section 54 - Article Special Provisions Appropriations 238-239</t>
        </r>
      </text>
    </comment>
    <comment ref="AF1436" authorId="1" shapeId="0" xr:uid="{00000000-0006-0000-0500-000070010000}">
      <text>
        <r>
          <rPr>
            <b/>
            <sz val="9"/>
            <color indexed="81"/>
            <rFont val="Tahoma"/>
            <family val="2"/>
          </rPr>
          <t>Paul  :</t>
        </r>
        <r>
          <rPr>
            <sz val="9"/>
            <color indexed="81"/>
            <rFont val="Tahoma"/>
            <family val="2"/>
          </rPr>
          <t xml:space="preserve">
Includes TAMUCT Budget Reduction
</t>
        </r>
      </text>
    </comment>
    <comment ref="AF1437" authorId="1" shapeId="0" xr:uid="{00000000-0006-0000-0500-000071010000}">
      <text>
        <r>
          <rPr>
            <b/>
            <sz val="9"/>
            <color indexed="81"/>
            <rFont val="Tahoma"/>
            <family val="2"/>
          </rPr>
          <t>Paul  :</t>
        </r>
        <r>
          <rPr>
            <sz val="9"/>
            <color indexed="81"/>
            <rFont val="Tahoma"/>
            <family val="2"/>
          </rPr>
          <t xml:space="preserve">
Budget reduction included in Tarleton</t>
        </r>
      </text>
    </comment>
    <comment ref="AF1439" authorId="1" shapeId="0" xr:uid="{00000000-0006-0000-0500-000072010000}">
      <text>
        <r>
          <rPr>
            <b/>
            <sz val="9"/>
            <color indexed="81"/>
            <rFont val="Tahoma"/>
            <family val="2"/>
          </rPr>
          <t>Paul  :</t>
        </r>
        <r>
          <rPr>
            <sz val="9"/>
            <color indexed="81"/>
            <rFont val="Tahoma"/>
            <family val="2"/>
          </rPr>
          <t xml:space="preserve">
Includes TAMUSA Budget Reduction</t>
        </r>
      </text>
    </comment>
    <comment ref="AF1440" authorId="1" shapeId="0" xr:uid="{00000000-0006-0000-0500-000073010000}">
      <text>
        <r>
          <rPr>
            <b/>
            <sz val="9"/>
            <color indexed="81"/>
            <rFont val="Tahoma"/>
            <family val="2"/>
          </rPr>
          <t>Paul  :</t>
        </r>
        <r>
          <rPr>
            <sz val="9"/>
            <color indexed="81"/>
            <rFont val="Tahoma"/>
            <family val="2"/>
          </rPr>
          <t xml:space="preserve">
Budget Reduction included in TAMUK</t>
        </r>
      </text>
    </comment>
    <comment ref="AD1480" authorId="0" shapeId="0" xr:uid="{00000000-0006-0000-0500-000074010000}">
      <text>
        <r>
          <rPr>
            <b/>
            <sz val="9"/>
            <color indexed="81"/>
            <rFont val="Tahoma"/>
            <family val="2"/>
          </rPr>
          <t>..:</t>
        </r>
        <r>
          <rPr>
            <sz val="9"/>
            <color indexed="81"/>
            <rFont val="Tahoma"/>
            <family val="2"/>
          </rPr>
          <t xml:space="preserve">
BAT Degrees - Inst. Amounts Allocated on the basis for formula funding for 3 CC inst.</t>
        </r>
      </text>
    </comment>
    <comment ref="AE1480" authorId="0" shapeId="0" xr:uid="{00000000-0006-0000-0500-000075010000}">
      <text>
        <r>
          <rPr>
            <b/>
            <sz val="9"/>
            <color indexed="81"/>
            <rFont val="Tahoma"/>
            <family val="2"/>
          </rPr>
          <t>..:</t>
        </r>
        <r>
          <rPr>
            <sz val="9"/>
            <color indexed="81"/>
            <rFont val="Tahoma"/>
            <family val="2"/>
          </rPr>
          <t xml:space="preserve">
BAT Degrees - Inst. Amounts Allocated on the basis for formula funding for 3 CC inst.</t>
        </r>
      </text>
    </comment>
    <comment ref="E1549" authorId="0" shapeId="0" xr:uid="{00000000-0006-0000-0500-000076010000}">
      <text>
        <r>
          <rPr>
            <b/>
            <sz val="9"/>
            <color indexed="81"/>
            <rFont val="Tahoma"/>
            <family val="2"/>
          </rPr>
          <t>..:</t>
        </r>
        <r>
          <rPr>
            <sz val="9"/>
            <color indexed="81"/>
            <rFont val="Tahoma"/>
            <family val="2"/>
          </rPr>
          <t xml:space="preserve">
Note:  Items colored in yellow are research related - Used for SHEEO survey. Do Not Remove the color.</t>
        </r>
      </text>
    </comment>
    <comment ref="AL1560" authorId="4" shapeId="0" xr:uid="{00000000-0006-0000-0500-000077010000}">
      <text>
        <r>
          <rPr>
            <b/>
            <sz val="9"/>
            <color indexed="81"/>
            <rFont val="Tahoma"/>
            <family val="2"/>
          </rPr>
          <t>':</t>
        </r>
        <r>
          <rPr>
            <sz val="9"/>
            <color indexed="81"/>
            <rFont val="Tahoma"/>
            <family val="2"/>
          </rPr>
          <t xml:space="preserve">
includes $10M from Art IX, Sec. 18.21.
</t>
        </r>
      </text>
    </comment>
    <comment ref="AM1560" authorId="4" shapeId="0" xr:uid="{00000000-0006-0000-0500-000078010000}">
      <text>
        <r>
          <rPr>
            <b/>
            <sz val="9"/>
            <color indexed="81"/>
            <rFont val="Tahoma"/>
            <family val="2"/>
          </rPr>
          <t>':</t>
        </r>
        <r>
          <rPr>
            <sz val="9"/>
            <color indexed="81"/>
            <rFont val="Tahoma"/>
            <family val="2"/>
          </rPr>
          <t xml:space="preserve">
includes $10M from Art IX, Sec. 18.21.
</t>
        </r>
      </text>
    </comment>
    <comment ref="AL1569" authorId="4" shapeId="0" xr:uid="{00000000-0006-0000-0500-000079010000}">
      <text>
        <r>
          <rPr>
            <b/>
            <sz val="9"/>
            <color indexed="81"/>
            <rFont val="Tahoma"/>
            <family val="2"/>
          </rPr>
          <t>':</t>
        </r>
        <r>
          <rPr>
            <sz val="9"/>
            <color indexed="81"/>
            <rFont val="Tahoma"/>
            <family val="2"/>
          </rPr>
          <t xml:space="preserve">
Funds were vetoed.</t>
        </r>
      </text>
    </comment>
    <comment ref="AM1569" authorId="4" shapeId="0" xr:uid="{00000000-0006-0000-0500-00007A010000}">
      <text>
        <r>
          <rPr>
            <b/>
            <sz val="9"/>
            <color indexed="81"/>
            <rFont val="Tahoma"/>
            <family val="2"/>
          </rPr>
          <t>':</t>
        </r>
        <r>
          <rPr>
            <sz val="9"/>
            <color indexed="81"/>
            <rFont val="Tahoma"/>
            <family val="2"/>
          </rPr>
          <t xml:space="preserve">
Funds were vetoed.</t>
        </r>
      </text>
    </comment>
    <comment ref="AL1666" authorId="4" shapeId="0" xr:uid="{00000000-0006-0000-0500-00007B010000}">
      <text>
        <r>
          <rPr>
            <b/>
            <sz val="9"/>
            <color indexed="81"/>
            <rFont val="Tahoma"/>
            <family val="2"/>
          </rPr>
          <t>':</t>
        </r>
        <r>
          <rPr>
            <sz val="9"/>
            <color indexed="81"/>
            <rFont val="Tahoma"/>
            <family val="2"/>
          </rPr>
          <t xml:space="preserve">
Funds vere Vetoed.
</t>
        </r>
      </text>
    </comment>
    <comment ref="AM1666" authorId="4" shapeId="0" xr:uid="{00000000-0006-0000-0500-00007C010000}">
      <text>
        <r>
          <rPr>
            <b/>
            <sz val="9"/>
            <color indexed="81"/>
            <rFont val="Tahoma"/>
            <family val="2"/>
          </rPr>
          <t>':</t>
        </r>
        <r>
          <rPr>
            <sz val="9"/>
            <color indexed="81"/>
            <rFont val="Tahoma"/>
            <family val="2"/>
          </rPr>
          <t xml:space="preserve">
Funds vere Vetoed.
</t>
        </r>
      </text>
    </comment>
    <comment ref="E1676" authorId="0" shapeId="0" xr:uid="{00000000-0006-0000-0500-00007D010000}">
      <text>
        <r>
          <rPr>
            <b/>
            <sz val="9"/>
            <color indexed="81"/>
            <rFont val="Tahoma"/>
            <family val="2"/>
          </rPr>
          <t>..:</t>
        </r>
        <r>
          <rPr>
            <sz val="9"/>
            <color indexed="81"/>
            <rFont val="Tahoma"/>
            <family val="2"/>
          </rPr>
          <t xml:space="preserve">
Note: Marine and Maritime Instructional Enhancement as well as Ship and Marine Terminal Operations were moved to bill pattern funding for FY 2008-09.</t>
        </r>
      </text>
    </comment>
    <comment ref="E1680" authorId="0" shapeId="0" xr:uid="{00000000-0006-0000-0500-00007E010000}">
      <text>
        <r>
          <rPr>
            <b/>
            <sz val="9"/>
            <color indexed="81"/>
            <rFont val="Tahoma"/>
            <family val="2"/>
          </rPr>
          <t>..:</t>
        </r>
        <r>
          <rPr>
            <sz val="9"/>
            <color indexed="81"/>
            <rFont val="Tahoma"/>
            <family val="2"/>
          </rPr>
          <t xml:space="preserve">
Note: Marine and Maritime Instructional Enhancement as well as Ship and Marine Terminal Operations were moved to bill pattern funding for FY 2008-09.</t>
        </r>
      </text>
    </comment>
    <comment ref="E1681" authorId="0" shapeId="0" xr:uid="{00000000-0006-0000-0500-00007F010000}">
      <text>
        <r>
          <rPr>
            <b/>
            <sz val="9"/>
            <color indexed="81"/>
            <rFont val="Tahoma"/>
            <family val="2"/>
          </rPr>
          <t>..:</t>
        </r>
        <r>
          <rPr>
            <sz val="9"/>
            <color indexed="81"/>
            <rFont val="Tahoma"/>
            <family val="2"/>
          </rPr>
          <t xml:space="preserve">
Note: Marine and Maritime Instructional Enhancement as well as Ship and Marine Terminal Operations were moved to bill pattern funding for FY 2008-09.</t>
        </r>
      </text>
    </comment>
    <comment ref="AL1701" authorId="4" shapeId="0" xr:uid="{00000000-0006-0000-0500-000080010000}">
      <text>
        <r>
          <rPr>
            <b/>
            <sz val="9"/>
            <color indexed="81"/>
            <rFont val="Tahoma"/>
            <family val="2"/>
          </rPr>
          <t>':</t>
        </r>
        <r>
          <rPr>
            <sz val="9"/>
            <color indexed="81"/>
            <rFont val="Tahoma"/>
            <family val="2"/>
          </rPr>
          <t xml:space="preserve">
Funds vere Vetoed.
</t>
        </r>
      </text>
    </comment>
    <comment ref="AM1701" authorId="4" shapeId="0" xr:uid="{00000000-0006-0000-0500-000081010000}">
      <text>
        <r>
          <rPr>
            <b/>
            <sz val="9"/>
            <color indexed="81"/>
            <rFont val="Tahoma"/>
            <family val="2"/>
          </rPr>
          <t>':</t>
        </r>
        <r>
          <rPr>
            <sz val="9"/>
            <color indexed="81"/>
            <rFont val="Tahoma"/>
            <family val="2"/>
          </rPr>
          <t xml:space="preserve">
Funds vere Vetoed.
</t>
        </r>
      </text>
    </comment>
    <comment ref="AL1828" authorId="4" shapeId="0" xr:uid="{00000000-0006-0000-0500-000082010000}">
      <text>
        <r>
          <rPr>
            <b/>
            <sz val="9"/>
            <color indexed="81"/>
            <rFont val="Tahoma"/>
            <family val="2"/>
          </rPr>
          <t>':</t>
        </r>
        <r>
          <rPr>
            <sz val="9"/>
            <color indexed="81"/>
            <rFont val="Tahoma"/>
            <family val="2"/>
          </rPr>
          <t xml:space="preserve">
Funds were vetoed.</t>
        </r>
      </text>
    </comment>
    <comment ref="AM1828" authorId="4" shapeId="0" xr:uid="{00000000-0006-0000-0500-000083010000}">
      <text>
        <r>
          <rPr>
            <b/>
            <sz val="9"/>
            <color indexed="81"/>
            <rFont val="Tahoma"/>
            <family val="2"/>
          </rPr>
          <t>':</t>
        </r>
        <r>
          <rPr>
            <sz val="9"/>
            <color indexed="81"/>
            <rFont val="Tahoma"/>
            <family val="2"/>
          </rPr>
          <t xml:space="preserve">
Funds were vetoed.</t>
        </r>
      </text>
    </comment>
    <comment ref="AL1955" authorId="4" shapeId="0" xr:uid="{00000000-0006-0000-0500-000084010000}">
      <text>
        <r>
          <rPr>
            <b/>
            <sz val="9"/>
            <color indexed="81"/>
            <rFont val="Tahoma"/>
            <family val="2"/>
          </rPr>
          <t>':</t>
        </r>
        <r>
          <rPr>
            <sz val="9"/>
            <color indexed="81"/>
            <rFont val="Tahoma"/>
            <family val="2"/>
          </rPr>
          <t xml:space="preserve">
Should be $1,467,443 because $53,438 was transferred to the Commission on State Emergency Communications.</t>
        </r>
      </text>
    </comment>
    <comment ref="AM1955" authorId="4" shapeId="0" xr:uid="{00000000-0006-0000-0500-000085010000}">
      <text>
        <r>
          <rPr>
            <b/>
            <sz val="9"/>
            <color indexed="81"/>
            <rFont val="Tahoma"/>
            <family val="2"/>
          </rPr>
          <t>':</t>
        </r>
        <r>
          <rPr>
            <sz val="9"/>
            <color indexed="81"/>
            <rFont val="Tahoma"/>
            <family val="2"/>
          </rPr>
          <t xml:space="preserve">
Should be $1,467,443 because $53,438 was transferred to the Commission on State Emergency Communications.</t>
        </r>
      </text>
    </comment>
    <comment ref="AB2038" authorId="0" shapeId="0" xr:uid="{00000000-0006-0000-0500-000086010000}">
      <text>
        <r>
          <rPr>
            <b/>
            <sz val="9"/>
            <color indexed="81"/>
            <rFont val="Tahoma"/>
            <family val="2"/>
          </rPr>
          <t>..:</t>
        </r>
        <r>
          <rPr>
            <sz val="9"/>
            <color indexed="81"/>
            <rFont val="Tahoma"/>
            <family val="2"/>
          </rPr>
          <t xml:space="preserve">
Surgical Residency &amp; Cardiology Residency - both Midland</t>
        </r>
      </text>
    </comment>
    <comment ref="AC2038" authorId="0" shapeId="0" xr:uid="{00000000-0006-0000-0500-000087010000}">
      <text>
        <r>
          <rPr>
            <b/>
            <sz val="9"/>
            <color indexed="81"/>
            <rFont val="Tahoma"/>
            <family val="2"/>
          </rPr>
          <t>..:</t>
        </r>
        <r>
          <rPr>
            <sz val="9"/>
            <color indexed="81"/>
            <rFont val="Tahoma"/>
            <family val="2"/>
          </rPr>
          <t xml:space="preserve">
Surgical Residency &amp; Cardiology Residency - both Midland</t>
        </r>
      </text>
    </comment>
    <comment ref="AD2038" authorId="0" shapeId="0" xr:uid="{00000000-0006-0000-0500-000088010000}">
      <text>
        <r>
          <rPr>
            <b/>
            <sz val="9"/>
            <color indexed="81"/>
            <rFont val="Tahoma"/>
            <family val="2"/>
          </rPr>
          <t>..:</t>
        </r>
        <r>
          <rPr>
            <sz val="9"/>
            <color indexed="81"/>
            <rFont val="Tahoma"/>
            <family val="2"/>
          </rPr>
          <t xml:space="preserve">
Surgical Residency &amp; Cardiology Residency - both Midland</t>
        </r>
      </text>
    </comment>
    <comment ref="AE2038" authorId="0" shapeId="0" xr:uid="{00000000-0006-0000-0500-000089010000}">
      <text>
        <r>
          <rPr>
            <b/>
            <sz val="9"/>
            <color indexed="81"/>
            <rFont val="Tahoma"/>
            <family val="2"/>
          </rPr>
          <t>..:</t>
        </r>
        <r>
          <rPr>
            <sz val="9"/>
            <color indexed="81"/>
            <rFont val="Tahoma"/>
            <family val="2"/>
          </rPr>
          <t xml:space="preserve">
Surgical Residency &amp; Cardiology Residency - both Midland</t>
        </r>
      </text>
    </comment>
    <comment ref="E2118" authorId="0" shapeId="0" xr:uid="{00000000-0006-0000-0500-00008A010000}">
      <text>
        <r>
          <rPr>
            <b/>
            <sz val="9"/>
            <color indexed="81"/>
            <rFont val="Tahoma"/>
            <family val="2"/>
          </rPr>
          <t>..:</t>
        </r>
        <r>
          <rPr>
            <sz val="9"/>
            <color indexed="81"/>
            <rFont val="Tahoma"/>
            <family val="2"/>
          </rPr>
          <t xml:space="preserve">
This total is used for the Almanac - Output to 0 - Univ - Almanac Pie - FY 20XX.
</t>
        </r>
      </text>
    </comment>
    <comment ref="E2119" authorId="0" shapeId="0" xr:uid="{00000000-0006-0000-0500-00008B010000}">
      <text>
        <r>
          <rPr>
            <b/>
            <sz val="9"/>
            <color indexed="81"/>
            <rFont val="Tahoma"/>
            <family val="2"/>
          </rPr>
          <t>..:</t>
        </r>
        <r>
          <rPr>
            <sz val="9"/>
            <color indexed="81"/>
            <rFont val="Tahoma"/>
            <family val="2"/>
          </rPr>
          <t xml:space="preserve">
Used for TEG Calculation.
</t>
        </r>
      </text>
    </comment>
    <comment ref="E2120" authorId="0" shapeId="0" xr:uid="{00000000-0006-0000-0500-00008C010000}">
      <text>
        <r>
          <rPr>
            <b/>
            <sz val="9"/>
            <color indexed="81"/>
            <rFont val="Tahoma"/>
            <family val="2"/>
          </rPr>
          <t>..:</t>
        </r>
        <r>
          <rPr>
            <sz val="9"/>
            <color indexed="81"/>
            <rFont val="Tahoma"/>
            <family val="2"/>
          </rPr>
          <t xml:space="preserve">
This total is used for the CACG grant funding schedule.</t>
        </r>
      </text>
    </comment>
    <comment ref="E2122" authorId="0" shapeId="0" xr:uid="{00000000-0006-0000-0500-00008D010000}">
      <text>
        <r>
          <rPr>
            <b/>
            <sz val="9"/>
            <color indexed="81"/>
            <rFont val="Tahoma"/>
            <family val="2"/>
          </rPr>
          <t>..:</t>
        </r>
        <r>
          <rPr>
            <sz val="9"/>
            <color indexed="81"/>
            <rFont val="Tahoma"/>
            <family val="2"/>
          </rPr>
          <t xml:space="preserve">
This total is used for 0 - HRI - Pie - FY 20XX.
</t>
        </r>
      </text>
    </comment>
    <comment ref="E2124" authorId="0" shapeId="0" xr:uid="{00000000-0006-0000-0500-00008E010000}">
      <text>
        <r>
          <rPr>
            <b/>
            <sz val="9"/>
            <color indexed="81"/>
            <rFont val="Tahoma"/>
            <family val="2"/>
          </rPr>
          <t>..:</t>
        </r>
        <r>
          <rPr>
            <sz val="9"/>
            <color indexed="81"/>
            <rFont val="Tahoma"/>
            <family val="2"/>
          </rPr>
          <t xml:space="preserve">
This total is used for the CACG grant funding schedule.</t>
        </r>
      </text>
    </comment>
    <comment ref="E2125" authorId="0" shapeId="0" xr:uid="{00000000-0006-0000-0500-00008F010000}">
      <text>
        <r>
          <rPr>
            <b/>
            <sz val="9"/>
            <color indexed="81"/>
            <rFont val="Tahoma"/>
            <family val="2"/>
          </rPr>
          <t>..:</t>
        </r>
        <r>
          <rPr>
            <sz val="9"/>
            <color indexed="81"/>
            <rFont val="Tahoma"/>
            <family val="2"/>
          </rPr>
          <t xml:space="preserve">
This total is used for the Almanac - Output to 0 - CC - Almanac Pie - FY 20XX.
</t>
        </r>
      </text>
    </comment>
    <comment ref="E2126" authorId="0" shapeId="0" xr:uid="{00000000-0006-0000-0500-000090010000}">
      <text>
        <r>
          <rPr>
            <b/>
            <sz val="9"/>
            <color indexed="81"/>
            <rFont val="Tahoma"/>
            <family val="2"/>
          </rPr>
          <t>..:</t>
        </r>
        <r>
          <rPr>
            <sz val="9"/>
            <color indexed="81"/>
            <rFont val="Tahoma"/>
            <family val="2"/>
          </rPr>
          <t xml:space="preserve">
This total is used for the Almanac - Output to 0 - CC - Almanac Pie - FY 20XX.
</t>
        </r>
      </text>
    </comment>
    <comment ref="E2127" authorId="0" shapeId="0" xr:uid="{00000000-0006-0000-0500-000091010000}">
      <text>
        <r>
          <rPr>
            <b/>
            <sz val="9"/>
            <color indexed="81"/>
            <rFont val="Tahoma"/>
            <family val="2"/>
          </rPr>
          <t>..:</t>
        </r>
        <r>
          <rPr>
            <sz val="9"/>
            <color indexed="81"/>
            <rFont val="Tahoma"/>
            <family val="2"/>
          </rPr>
          <t xml:space="preserve">
This total is used for the Almanac - Output to 0 - CC - Almanac Pie - FY 20XX.
</t>
        </r>
      </text>
    </comment>
    <comment ref="E2128" authorId="0" shapeId="0" xr:uid="{00000000-0006-0000-0500-000092010000}">
      <text>
        <r>
          <rPr>
            <b/>
            <sz val="9"/>
            <color indexed="81"/>
            <rFont val="Tahoma"/>
            <family val="2"/>
          </rPr>
          <t>..:</t>
        </r>
        <r>
          <rPr>
            <sz val="9"/>
            <color indexed="81"/>
            <rFont val="Tahoma"/>
            <family val="2"/>
          </rPr>
          <t xml:space="preserve">
This total is used for the Almanac - Output to 0 - CC - Almanac Pie - FY 20XX.
</t>
        </r>
      </text>
    </comment>
    <comment ref="C2206" authorId="4" shapeId="0" xr:uid="{00000000-0006-0000-0500-000093010000}">
      <text>
        <r>
          <rPr>
            <b/>
            <sz val="9"/>
            <color indexed="81"/>
            <rFont val="Tahoma"/>
            <family val="2"/>
          </rPr>
          <t>':</t>
        </r>
        <r>
          <rPr>
            <sz val="9"/>
            <color indexed="81"/>
            <rFont val="Tahoma"/>
            <family val="2"/>
          </rPr>
          <t xml:space="preserve">
This funding is handled by the Comptroller's office.  Reinold provides the numbers.</t>
        </r>
      </text>
    </comment>
    <comment ref="AH2215" authorId="0" shapeId="0" xr:uid="{00000000-0006-0000-0500-000094010000}">
      <text>
        <r>
          <rPr>
            <b/>
            <sz val="9"/>
            <color indexed="81"/>
            <rFont val="Tahoma"/>
            <family val="2"/>
          </rPr>
          <t>..:</t>
        </r>
        <r>
          <rPr>
            <sz val="9"/>
            <color indexed="81"/>
            <rFont val="Tahoma"/>
            <family val="2"/>
          </rPr>
          <t xml:space="preserve">
Rounded Up to balance to $17,812,500.</t>
        </r>
      </text>
    </comment>
    <comment ref="AM2221" authorId="0" shapeId="0" xr:uid="{00000000-0006-0000-0500-000095010000}">
      <text>
        <r>
          <rPr>
            <b/>
            <sz val="9"/>
            <color indexed="81"/>
            <rFont val="Tahoma"/>
            <family val="2"/>
          </rPr>
          <t>..:</t>
        </r>
        <r>
          <rPr>
            <sz val="9"/>
            <color indexed="81"/>
            <rFont val="Tahoma"/>
            <family val="2"/>
          </rPr>
          <t xml:space="preserve">
Includes HB100 distribution.</t>
        </r>
      </text>
    </comment>
    <comment ref="AG2233" authorId="1" shapeId="0" xr:uid="{00000000-0006-0000-0500-000096010000}">
      <text>
        <r>
          <rPr>
            <b/>
            <sz val="9"/>
            <color indexed="81"/>
            <rFont val="Tahoma"/>
            <family val="2"/>
          </rPr>
          <t>Paul  :</t>
        </r>
        <r>
          <rPr>
            <sz val="9"/>
            <color indexed="81"/>
            <rFont val="Tahoma"/>
            <family val="2"/>
          </rPr>
          <t xml:space="preserve">
Prorated TRB to TAMUCT and TAMUSA for reporting consistency</t>
        </r>
      </text>
    </comment>
    <comment ref="E2246" authorId="0" shapeId="0" xr:uid="{00000000-0006-0000-0500-000097010000}">
      <text>
        <r>
          <rPr>
            <b/>
            <sz val="9"/>
            <color indexed="81"/>
            <rFont val="Tahoma"/>
            <family val="2"/>
          </rPr>
          <t>..:</t>
        </r>
        <r>
          <rPr>
            <sz val="9"/>
            <color indexed="81"/>
            <rFont val="Tahoma"/>
            <family val="2"/>
          </rPr>
          <t xml:space="preserve">
Move Debt Service from System to Individual UH inst. each year.</t>
        </r>
      </text>
    </comment>
    <comment ref="AF2252" authorId="1" shapeId="0" xr:uid="{00000000-0006-0000-0500-000098010000}">
      <text>
        <r>
          <rPr>
            <b/>
            <sz val="9"/>
            <color indexed="81"/>
            <rFont val="Tahoma"/>
            <family val="2"/>
          </rPr>
          <t>Paul  :</t>
        </r>
        <r>
          <rPr>
            <sz val="9"/>
            <color indexed="81"/>
            <rFont val="Tahoma"/>
            <family val="2"/>
          </rPr>
          <t xml:space="preserve">
Moved TRB to UNTD for consistency in reporting</t>
        </r>
      </text>
    </comment>
    <comment ref="AG2252" authorId="1" shapeId="0" xr:uid="{00000000-0006-0000-0500-000099010000}">
      <text>
        <r>
          <rPr>
            <b/>
            <sz val="9"/>
            <color indexed="81"/>
            <rFont val="Tahoma"/>
            <family val="2"/>
          </rPr>
          <t>Paul  :</t>
        </r>
        <r>
          <rPr>
            <sz val="9"/>
            <color indexed="81"/>
            <rFont val="Tahoma"/>
            <family val="2"/>
          </rPr>
          <t xml:space="preserve">
Moved TRB to UNTD for consistency in reporting</t>
        </r>
      </text>
    </comment>
    <comment ref="AH2277" authorId="0" shapeId="0" xr:uid="{00000000-0006-0000-0500-00009A010000}">
      <text>
        <r>
          <rPr>
            <b/>
            <sz val="9"/>
            <color indexed="81"/>
            <rFont val="Tahoma"/>
            <family val="2"/>
          </rPr>
          <t>..:</t>
        </r>
        <r>
          <rPr>
            <sz val="9"/>
            <color indexed="81"/>
            <rFont val="Tahoma"/>
            <family val="2"/>
          </rPr>
          <t xml:space="preserve">
Includes $3,880,795 in debt service for Round rock Campus.</t>
        </r>
      </text>
    </comment>
    <comment ref="AI2277" authorId="0" shapeId="0" xr:uid="{00000000-0006-0000-0500-00009B010000}">
      <text>
        <r>
          <rPr>
            <b/>
            <sz val="9"/>
            <color indexed="81"/>
            <rFont val="Tahoma"/>
            <family val="2"/>
          </rPr>
          <t>..:</t>
        </r>
        <r>
          <rPr>
            <sz val="9"/>
            <color indexed="81"/>
            <rFont val="Tahoma"/>
            <family val="2"/>
          </rPr>
          <t xml:space="preserve">
Includes $3,880,795 in debt service for Round rock Campus.</t>
        </r>
      </text>
    </comment>
    <comment ref="AJ2277" authorId="0" shapeId="0" xr:uid="{00000000-0006-0000-0500-00009C010000}">
      <text>
        <r>
          <rPr>
            <b/>
            <sz val="9"/>
            <color indexed="81"/>
            <rFont val="Tahoma"/>
            <family val="2"/>
          </rPr>
          <t>..:</t>
        </r>
        <r>
          <rPr>
            <sz val="9"/>
            <color indexed="81"/>
            <rFont val="Tahoma"/>
            <family val="2"/>
          </rPr>
          <t xml:space="preserve">
Includes debt service for Round rock Campus.</t>
        </r>
      </text>
    </comment>
    <comment ref="AK2277" authorId="0" shapeId="0" xr:uid="{00000000-0006-0000-0500-00009D010000}">
      <text>
        <r>
          <rPr>
            <b/>
            <sz val="9"/>
            <color indexed="81"/>
            <rFont val="Tahoma"/>
            <family val="2"/>
          </rPr>
          <t>..:</t>
        </r>
        <r>
          <rPr>
            <sz val="9"/>
            <color indexed="81"/>
            <rFont val="Tahoma"/>
            <family val="2"/>
          </rPr>
          <t xml:space="preserve">
Includes debt service for Round rock Campus.</t>
        </r>
      </text>
    </comment>
    <comment ref="AL2277" authorId="0" shapeId="0" xr:uid="{00000000-0006-0000-0500-00009E010000}">
      <text>
        <r>
          <rPr>
            <b/>
            <sz val="9"/>
            <color indexed="81"/>
            <rFont val="Tahoma"/>
            <family val="2"/>
          </rPr>
          <t>..:</t>
        </r>
        <r>
          <rPr>
            <sz val="9"/>
            <color indexed="81"/>
            <rFont val="Tahoma"/>
            <family val="2"/>
          </rPr>
          <t xml:space="preserve">
Includes debt service for Round rock Campus.</t>
        </r>
      </text>
    </comment>
    <comment ref="AM2277" authorId="0" shapeId="0" xr:uid="{FE6E7C09-B24F-4B55-9996-78B27C193D89}">
      <text>
        <r>
          <rPr>
            <b/>
            <sz val="9"/>
            <color indexed="81"/>
            <rFont val="Tahoma"/>
            <family val="2"/>
          </rPr>
          <t>..:</t>
        </r>
        <r>
          <rPr>
            <sz val="9"/>
            <color indexed="81"/>
            <rFont val="Tahoma"/>
            <family val="2"/>
          </rPr>
          <t xml:space="preserve">
Includes debt service for Round rock Campus.</t>
        </r>
      </text>
    </comment>
    <comment ref="AN2277" authorId="0" shapeId="0" xr:uid="{00000000-0006-0000-0500-0000A0010000}">
      <text>
        <r>
          <rPr>
            <b/>
            <sz val="9"/>
            <color indexed="81"/>
            <rFont val="Tahoma"/>
            <family val="2"/>
          </rPr>
          <t>..:</t>
        </r>
        <r>
          <rPr>
            <sz val="9"/>
            <color indexed="81"/>
            <rFont val="Tahoma"/>
            <family val="2"/>
          </rPr>
          <t xml:space="preserve">
Includes debt service for Round rock Campus.</t>
        </r>
      </text>
    </comment>
    <comment ref="AO2277" authorId="0" shapeId="0" xr:uid="{00000000-0006-0000-0500-0000A1010000}">
      <text>
        <r>
          <rPr>
            <b/>
            <sz val="9"/>
            <color indexed="81"/>
            <rFont val="Tahoma"/>
            <family val="2"/>
          </rPr>
          <t>..:</t>
        </r>
        <r>
          <rPr>
            <sz val="9"/>
            <color indexed="81"/>
            <rFont val="Tahoma"/>
            <family val="2"/>
          </rPr>
          <t xml:space="preserve">
Includes debt service for Round rock Campus.</t>
        </r>
      </text>
    </comment>
    <comment ref="AP2277" authorId="0" shapeId="0" xr:uid="{00000000-0006-0000-0500-0000A2010000}">
      <text>
        <r>
          <rPr>
            <b/>
            <sz val="9"/>
            <color indexed="81"/>
            <rFont val="Tahoma"/>
            <family val="2"/>
          </rPr>
          <t>..:</t>
        </r>
        <r>
          <rPr>
            <sz val="9"/>
            <color indexed="81"/>
            <rFont val="Tahoma"/>
            <family val="2"/>
          </rPr>
          <t xml:space="preserve">
Includes debt service for Round rock Campus.</t>
        </r>
      </text>
    </comment>
    <comment ref="AQ2277" authorId="0" shapeId="0" xr:uid="{00000000-0006-0000-0500-0000A3010000}">
      <text>
        <r>
          <rPr>
            <b/>
            <sz val="9"/>
            <color indexed="81"/>
            <rFont val="Tahoma"/>
            <family val="2"/>
          </rPr>
          <t>..:</t>
        </r>
        <r>
          <rPr>
            <sz val="9"/>
            <color indexed="81"/>
            <rFont val="Tahoma"/>
            <family val="2"/>
          </rPr>
          <t xml:space="preserve">
Includes debt service for Round rock Campus.</t>
        </r>
      </text>
    </comment>
    <comment ref="AP2279" authorId="4" shapeId="0" xr:uid="{00000000-0006-0000-0500-0000A4010000}">
      <text>
        <r>
          <rPr>
            <b/>
            <sz val="9"/>
            <color indexed="81"/>
            <rFont val="Tahoma"/>
            <family val="2"/>
          </rPr>
          <t>':</t>
        </r>
        <r>
          <rPr>
            <sz val="9"/>
            <color indexed="81"/>
            <rFont val="Tahoma"/>
            <family val="2"/>
          </rPr>
          <t xml:space="preserve">
PA Debt Service added.</t>
        </r>
      </text>
    </comment>
    <comment ref="AQ2279" authorId="4" shapeId="0" xr:uid="{00000000-0006-0000-0500-0000A5010000}">
      <text>
        <r>
          <rPr>
            <b/>
            <sz val="9"/>
            <color indexed="81"/>
            <rFont val="Tahoma"/>
            <family val="2"/>
          </rPr>
          <t>':</t>
        </r>
        <r>
          <rPr>
            <sz val="9"/>
            <color indexed="81"/>
            <rFont val="Tahoma"/>
            <family val="2"/>
          </rPr>
          <t xml:space="preserve">
PA Debt Service added.</t>
        </r>
      </text>
    </comment>
    <comment ref="AJ2296" authorId="0" shapeId="0" xr:uid="{00000000-0006-0000-0500-0000A6010000}">
      <text>
        <r>
          <rPr>
            <b/>
            <sz val="9"/>
            <color indexed="81"/>
            <rFont val="Tahoma"/>
            <family val="2"/>
          </rPr>
          <t>..:</t>
        </r>
        <r>
          <rPr>
            <sz val="9"/>
            <color indexed="81"/>
            <rFont val="Tahoma"/>
            <family val="2"/>
          </rPr>
          <t xml:space="preserve">
Art. IX-45 &amp; 46</t>
        </r>
      </text>
    </comment>
    <comment ref="AK2296" authorId="0" shapeId="0" xr:uid="{00000000-0006-0000-0500-0000A7010000}">
      <text>
        <r>
          <rPr>
            <b/>
            <sz val="9"/>
            <color indexed="81"/>
            <rFont val="Tahoma"/>
            <family val="2"/>
          </rPr>
          <t>..:</t>
        </r>
        <r>
          <rPr>
            <sz val="9"/>
            <color indexed="81"/>
            <rFont val="Tahoma"/>
            <family val="2"/>
          </rPr>
          <t xml:space="preserve">
Art. IX-45 &amp; 46</t>
        </r>
      </text>
    </comment>
    <comment ref="R2338" authorId="7" shapeId="0" xr:uid="{00000000-0006-0000-0500-0000A8010000}">
      <text>
        <r>
          <rPr>
            <b/>
            <sz val="8"/>
            <color indexed="81"/>
            <rFont val="Tahoma"/>
            <family val="2"/>
          </rPr>
          <t>THECB:</t>
        </r>
        <r>
          <rPr>
            <sz val="8"/>
            <color indexed="81"/>
            <rFont val="Tahoma"/>
            <family val="2"/>
          </rPr>
          <t xml:space="preserve">
added 2 to offset rounding inaccuracies and get correct total allocated
</t>
        </r>
      </text>
    </comment>
    <comment ref="S2338" authorId="7" shapeId="0" xr:uid="{00000000-0006-0000-0500-0000A9010000}">
      <text>
        <r>
          <rPr>
            <b/>
            <sz val="8"/>
            <color indexed="81"/>
            <rFont val="Tahoma"/>
            <family val="2"/>
          </rPr>
          <t>THECB:</t>
        </r>
        <r>
          <rPr>
            <sz val="8"/>
            <color indexed="81"/>
            <rFont val="Tahoma"/>
            <family val="2"/>
          </rPr>
          <t xml:space="preserve">
added 2 to offset rounding inaccuracies and get correct total allocated
</t>
        </r>
      </text>
    </comment>
    <comment ref="T2338" authorId="7" shapeId="0" xr:uid="{00000000-0006-0000-0500-0000AA010000}">
      <text>
        <r>
          <rPr>
            <b/>
            <sz val="8"/>
            <color indexed="81"/>
            <rFont val="Tahoma"/>
            <family val="2"/>
          </rPr>
          <t>THECB:</t>
        </r>
        <r>
          <rPr>
            <sz val="8"/>
            <color indexed="81"/>
            <rFont val="Tahoma"/>
            <family val="2"/>
          </rPr>
          <t xml:space="preserve">
added 2 to offset rounding inaccuracies and get correct total allocated
</t>
        </r>
      </text>
    </comment>
    <comment ref="U2338" authorId="7" shapeId="0" xr:uid="{00000000-0006-0000-0500-0000AB010000}">
      <text>
        <r>
          <rPr>
            <b/>
            <sz val="8"/>
            <color indexed="81"/>
            <rFont val="Tahoma"/>
            <family val="2"/>
          </rPr>
          <t>THECB:</t>
        </r>
        <r>
          <rPr>
            <sz val="8"/>
            <color indexed="81"/>
            <rFont val="Tahoma"/>
            <family val="2"/>
          </rPr>
          <t xml:space="preserve">
added 2 to offset rounding inaccuracies and get correct total allocated
</t>
        </r>
      </text>
    </comment>
    <comment ref="V2338" authorId="7" shapeId="0" xr:uid="{00000000-0006-0000-0500-0000AC010000}">
      <text>
        <r>
          <rPr>
            <b/>
            <sz val="8"/>
            <color indexed="81"/>
            <rFont val="Tahoma"/>
            <family val="2"/>
          </rPr>
          <t>THECB:</t>
        </r>
        <r>
          <rPr>
            <sz val="8"/>
            <color indexed="81"/>
            <rFont val="Tahoma"/>
            <family val="2"/>
          </rPr>
          <t xml:space="preserve">
added 2 to offset rounding inaccuracies and get correct total allocated
</t>
        </r>
      </text>
    </comment>
    <comment ref="AB2352" authorId="2" shapeId="0" xr:uid="{00000000-0006-0000-0500-0000AD010000}">
      <text>
        <r>
          <rPr>
            <b/>
            <sz val="8"/>
            <color indexed="81"/>
            <rFont val="Tahoma"/>
            <family val="2"/>
          </rPr>
          <t>.:</t>
        </r>
        <r>
          <rPr>
            <sz val="8"/>
            <color indexed="81"/>
            <rFont val="Tahoma"/>
            <family val="2"/>
          </rPr>
          <t xml:space="preserve">
LIT Split from HEAF Work papers - Not provided in statute.
</t>
        </r>
      </text>
    </comment>
    <comment ref="AC2352" authorId="2" shapeId="0" xr:uid="{00000000-0006-0000-0500-0000AE010000}">
      <text>
        <r>
          <rPr>
            <b/>
            <sz val="8"/>
            <color indexed="81"/>
            <rFont val="Tahoma"/>
            <family val="2"/>
          </rPr>
          <t>.:</t>
        </r>
        <r>
          <rPr>
            <sz val="8"/>
            <color indexed="81"/>
            <rFont val="Tahoma"/>
            <family val="2"/>
          </rPr>
          <t xml:space="preserve">
LIT Split from HEAF Work papers - Not provided in statute.
</t>
        </r>
      </text>
    </comment>
    <comment ref="AD2352" authorId="2" shapeId="0" xr:uid="{00000000-0006-0000-0500-0000AF010000}">
      <text>
        <r>
          <rPr>
            <b/>
            <sz val="8"/>
            <color indexed="81"/>
            <rFont val="Tahoma"/>
            <family val="2"/>
          </rPr>
          <t>.:</t>
        </r>
        <r>
          <rPr>
            <sz val="8"/>
            <color indexed="81"/>
            <rFont val="Tahoma"/>
            <family val="2"/>
          </rPr>
          <t xml:space="preserve">
LIT Split from HEAF Work papers - Not provided in statute.
</t>
        </r>
      </text>
    </comment>
    <comment ref="E2363" authorId="0" shapeId="0" xr:uid="{00000000-0006-0000-0500-0000B0010000}">
      <text>
        <r>
          <rPr>
            <b/>
            <sz val="9"/>
            <color indexed="81"/>
            <rFont val="Tahoma"/>
            <family val="2"/>
          </rPr>
          <t>..:</t>
        </r>
        <r>
          <rPr>
            <sz val="9"/>
            <color indexed="81"/>
            <rFont val="Tahoma"/>
            <family val="2"/>
          </rPr>
          <t xml:space="preserve">
Used for TEG Calculation.
</t>
        </r>
      </text>
    </comment>
    <comment ref="E2364" authorId="0" shapeId="0" xr:uid="{00000000-0006-0000-0500-0000B1010000}">
      <text>
        <r>
          <rPr>
            <b/>
            <sz val="9"/>
            <color indexed="81"/>
            <rFont val="Tahoma"/>
            <family val="2"/>
          </rPr>
          <t>..:</t>
        </r>
        <r>
          <rPr>
            <sz val="9"/>
            <color indexed="81"/>
            <rFont val="Tahoma"/>
            <family val="2"/>
          </rPr>
          <t xml:space="preserve">
Used for TEG Calculation.
</t>
        </r>
      </text>
    </comment>
    <comment ref="E2366" authorId="0" shapeId="0" xr:uid="{00000000-0006-0000-0500-0000B2010000}">
      <text>
        <r>
          <rPr>
            <b/>
            <sz val="9"/>
            <color indexed="81"/>
            <rFont val="Tahoma"/>
            <family val="2"/>
          </rPr>
          <t>..:</t>
        </r>
        <r>
          <rPr>
            <sz val="9"/>
            <color indexed="81"/>
            <rFont val="Tahoma"/>
            <family val="2"/>
          </rPr>
          <t xml:space="preserve">
Used for TEG Calculation.
</t>
        </r>
      </text>
    </comment>
    <comment ref="E2368" authorId="0" shapeId="0" xr:uid="{00000000-0006-0000-0500-0000B3010000}">
      <text>
        <r>
          <rPr>
            <b/>
            <sz val="9"/>
            <color indexed="81"/>
            <rFont val="Tahoma"/>
            <family val="2"/>
          </rPr>
          <t>..:</t>
        </r>
        <r>
          <rPr>
            <sz val="9"/>
            <color indexed="81"/>
            <rFont val="Tahoma"/>
            <family val="2"/>
          </rPr>
          <t xml:space="preserve">
Used in SREB survey - Last Yr. 2012.
</t>
        </r>
      </text>
    </comment>
    <comment ref="AI2368" authorId="0" shapeId="0" xr:uid="{00000000-0006-0000-0500-0000B4010000}">
      <text>
        <r>
          <rPr>
            <b/>
            <sz val="9"/>
            <color indexed="81"/>
            <rFont val="Tahoma"/>
            <family val="2"/>
          </rPr>
          <t>..:</t>
        </r>
        <r>
          <rPr>
            <sz val="9"/>
            <color indexed="81"/>
            <rFont val="Tahoma"/>
            <family val="2"/>
          </rPr>
          <t xml:space="preserve">
Due to Unavailability of data, no amount can be allocated to operations.  Approved by G. Johnstone 4-22-2013.</t>
        </r>
      </text>
    </comment>
    <comment ref="AI2374" authorId="0" shapeId="0" xr:uid="{00000000-0006-0000-0500-0000B5010000}">
      <text>
        <r>
          <rPr>
            <b/>
            <sz val="9"/>
            <color indexed="81"/>
            <rFont val="Tahoma"/>
            <family val="2"/>
          </rPr>
          <t>..:</t>
        </r>
        <r>
          <rPr>
            <sz val="9"/>
            <color indexed="81"/>
            <rFont val="Tahoma"/>
            <family val="2"/>
          </rPr>
          <t xml:space="preserve">
Updated from AUF Report 2013.</t>
        </r>
      </text>
    </comment>
    <comment ref="AJ2374" authorId="0" shapeId="0" xr:uid="{00000000-0006-0000-0500-0000B6010000}">
      <text>
        <r>
          <rPr>
            <b/>
            <sz val="9"/>
            <color indexed="81"/>
            <rFont val="Tahoma"/>
            <family val="2"/>
          </rPr>
          <t>..:</t>
        </r>
        <r>
          <rPr>
            <sz val="9"/>
            <color indexed="81"/>
            <rFont val="Tahoma"/>
            <family val="2"/>
          </rPr>
          <t xml:space="preserve">
Updated from AUF Report 2014.</t>
        </r>
      </text>
    </comment>
    <comment ref="AK2374" authorId="0" shapeId="0" xr:uid="{00000000-0006-0000-0500-0000B7010000}">
      <text>
        <r>
          <rPr>
            <b/>
            <sz val="9"/>
            <color indexed="81"/>
            <rFont val="Tahoma"/>
            <family val="2"/>
          </rPr>
          <t>..:</t>
        </r>
        <r>
          <rPr>
            <sz val="9"/>
            <color indexed="81"/>
            <rFont val="Tahoma"/>
            <family val="2"/>
          </rPr>
          <t xml:space="preserve">
Updated from AUF Report 2015.</t>
        </r>
      </text>
    </comment>
    <comment ref="AL2374" authorId="0" shapeId="0" xr:uid="{00000000-0006-0000-0500-0000B8010000}">
      <text>
        <r>
          <rPr>
            <b/>
            <sz val="9"/>
            <color indexed="81"/>
            <rFont val="Tahoma"/>
            <family val="2"/>
          </rPr>
          <t>..:</t>
        </r>
        <r>
          <rPr>
            <sz val="9"/>
            <color indexed="81"/>
            <rFont val="Tahoma"/>
            <family val="2"/>
          </rPr>
          <t xml:space="preserve">
Updated from AUF Report 2016.</t>
        </r>
      </text>
    </comment>
    <comment ref="AM2374" authorId="0" shapeId="0" xr:uid="{00000000-0006-0000-0500-0000B9010000}">
      <text>
        <r>
          <rPr>
            <b/>
            <sz val="9"/>
            <color indexed="81"/>
            <rFont val="Tahoma"/>
            <family val="2"/>
          </rPr>
          <t>..:</t>
        </r>
        <r>
          <rPr>
            <sz val="9"/>
            <color indexed="81"/>
            <rFont val="Tahoma"/>
            <family val="2"/>
          </rPr>
          <t xml:space="preserve">
Updated from AUF Report 2017.</t>
        </r>
      </text>
    </comment>
    <comment ref="C2415" authorId="0" shapeId="0" xr:uid="{00000000-0006-0000-0500-0000BA010000}">
      <text>
        <r>
          <rPr>
            <b/>
            <sz val="9"/>
            <color indexed="81"/>
            <rFont val="Tahoma"/>
            <family val="2"/>
          </rPr>
          <t>..:</t>
        </r>
        <r>
          <rPr>
            <sz val="9"/>
            <color indexed="81"/>
            <rFont val="Tahoma"/>
            <family val="2"/>
          </rPr>
          <t xml:space="preserve">
Note:  A&amp;M and PV amounts come in through S&amp;U.  No need to duplicate here.</t>
        </r>
      </text>
    </comment>
    <comment ref="AP2415" authorId="2" shapeId="0" xr:uid="{00000000-0006-0000-0500-0000BB010000}">
      <text>
        <r>
          <rPr>
            <b/>
            <sz val="9"/>
            <color indexed="81"/>
            <rFont val="Tahoma"/>
            <family val="2"/>
          </rPr>
          <t>.:</t>
        </r>
        <r>
          <rPr>
            <sz val="9"/>
            <color indexed="81"/>
            <rFont val="Tahoma"/>
            <family val="2"/>
          </rPr>
          <t xml:space="preserve">
Estimated.</t>
        </r>
      </text>
    </comment>
    <comment ref="C2417" authorId="0" shapeId="0" xr:uid="{00000000-0006-0000-0500-0000BC010000}">
      <text>
        <r>
          <rPr>
            <b/>
            <sz val="9"/>
            <color indexed="81"/>
            <rFont val="Tahoma"/>
            <family val="2"/>
          </rPr>
          <t>..:</t>
        </r>
        <r>
          <rPr>
            <sz val="9"/>
            <color indexed="81"/>
            <rFont val="Tahoma"/>
            <family val="2"/>
          </rPr>
          <t xml:space="preserve">
Maintenance Ad Valorem Tax &amp; Debt Service Ad Valorem </t>
        </r>
      </text>
    </comment>
    <comment ref="AG2417" authorId="0" shapeId="0" xr:uid="{00000000-0006-0000-0500-0000BD010000}">
      <text>
        <r>
          <rPr>
            <b/>
            <sz val="9"/>
            <color indexed="81"/>
            <rFont val="Tahoma"/>
            <family val="2"/>
          </rPr>
          <t>..:</t>
        </r>
        <r>
          <rPr>
            <sz val="9"/>
            <color indexed="81"/>
            <rFont val="Tahoma"/>
            <family val="2"/>
          </rPr>
          <t xml:space="preserve">
Data From CARAT system - FY 2011 - Tax Information Report - Total Taxes Collected.</t>
        </r>
      </text>
    </comment>
    <comment ref="AH2417" authorId="0" shapeId="0" xr:uid="{00000000-0006-0000-0500-0000BE010000}">
      <text>
        <r>
          <rPr>
            <b/>
            <sz val="9"/>
            <color indexed="81"/>
            <rFont val="Tahoma"/>
            <family val="2"/>
          </rPr>
          <t>..:</t>
        </r>
        <r>
          <rPr>
            <sz val="9"/>
            <color indexed="81"/>
            <rFont val="Tahoma"/>
            <family val="2"/>
          </rPr>
          <t xml:space="preserve">
Data From CARAT system - FY 2012 - Tax Information Report - Total Taxes Collected.</t>
        </r>
      </text>
    </comment>
    <comment ref="AI2417" authorId="0" shapeId="0" xr:uid="{00000000-0006-0000-0500-0000BF010000}">
      <text>
        <r>
          <rPr>
            <b/>
            <sz val="9"/>
            <color indexed="81"/>
            <rFont val="Tahoma"/>
            <family val="2"/>
          </rPr>
          <t>..:</t>
        </r>
        <r>
          <rPr>
            <sz val="9"/>
            <color indexed="81"/>
            <rFont val="Tahoma"/>
            <family val="2"/>
          </rPr>
          <t xml:space="preserve">
Data From CARAT system - FY 2013 - Tax Information Report - Total Taxes Collected.</t>
        </r>
      </text>
    </comment>
    <comment ref="AJ2417" authorId="0" shapeId="0" xr:uid="{00000000-0006-0000-0500-0000C0010000}">
      <text>
        <r>
          <rPr>
            <b/>
            <sz val="9"/>
            <color indexed="81"/>
            <rFont val="Tahoma"/>
            <family val="2"/>
          </rPr>
          <t>..:</t>
        </r>
        <r>
          <rPr>
            <sz val="9"/>
            <color indexed="81"/>
            <rFont val="Tahoma"/>
            <family val="2"/>
          </rPr>
          <t xml:space="preserve">
Data From CARAT system - FY 2014 - Tax Information Report - Total Taxes Collected.</t>
        </r>
      </text>
    </comment>
    <comment ref="AK2417" authorId="0" shapeId="0" xr:uid="{00000000-0006-0000-0500-0000C1010000}">
      <text>
        <r>
          <rPr>
            <b/>
            <sz val="9"/>
            <color indexed="81"/>
            <rFont val="Tahoma"/>
            <family val="2"/>
          </rPr>
          <t>..:</t>
        </r>
        <r>
          <rPr>
            <sz val="9"/>
            <color indexed="81"/>
            <rFont val="Tahoma"/>
            <family val="2"/>
          </rPr>
          <t xml:space="preserve">
Data From CARAT system - FY 2015 - Tax Information Report - Total Taxes Collected.</t>
        </r>
      </text>
    </comment>
    <comment ref="C2469" authorId="0" shapeId="0" xr:uid="{00000000-0006-0000-0500-0000C2010000}">
      <text>
        <r>
          <rPr>
            <b/>
            <sz val="9"/>
            <color indexed="81"/>
            <rFont val="Tahoma"/>
            <family val="2"/>
          </rPr>
          <t>..:</t>
        </r>
        <r>
          <rPr>
            <sz val="9"/>
            <color indexed="81"/>
            <rFont val="Tahoma"/>
            <family val="2"/>
          </rPr>
          <t xml:space="preserve">
Source: CC S&amp;U SREB tab.</t>
        </r>
      </text>
    </comment>
    <comment ref="Y2469" authorId="0" shapeId="0" xr:uid="{00000000-0006-0000-0500-0000C3010000}">
      <text>
        <r>
          <rPr>
            <b/>
            <sz val="9"/>
            <color indexed="81"/>
            <rFont val="Tahoma"/>
            <family val="2"/>
          </rPr>
          <t>..:</t>
        </r>
        <r>
          <rPr>
            <sz val="9"/>
            <color indexed="81"/>
            <rFont val="Tahoma"/>
            <family val="2"/>
          </rPr>
          <t xml:space="preserve">
S&amp;U Data is not available for Community Colleges prior to 2003.</t>
        </r>
      </text>
    </comment>
    <comment ref="AB2525" authorId="0" shapeId="0" xr:uid="{00000000-0006-0000-0500-0000C4010000}">
      <text>
        <r>
          <rPr>
            <b/>
            <sz val="9"/>
            <color indexed="81"/>
            <rFont val="Tahoma"/>
            <family val="2"/>
          </rPr>
          <t>..:</t>
        </r>
        <r>
          <rPr>
            <sz val="9"/>
            <color indexed="81"/>
            <rFont val="Tahoma"/>
            <family val="2"/>
          </rPr>
          <t xml:space="preserve">
FY 2006 is the first year for TSTA/Lamars/LIT S&amp;U data.</t>
        </r>
      </text>
    </comment>
    <comment ref="Y2540" authorId="0" shapeId="0" xr:uid="{00000000-0006-0000-0500-0000C5010000}">
      <text>
        <r>
          <rPr>
            <b/>
            <sz val="9"/>
            <color indexed="81"/>
            <rFont val="Tahoma"/>
            <family val="2"/>
          </rPr>
          <t>..:</t>
        </r>
        <r>
          <rPr>
            <sz val="9"/>
            <color indexed="81"/>
            <rFont val="Tahoma"/>
            <family val="2"/>
          </rPr>
          <t xml:space="preserve">
S&amp;U Data for Academic Institutions started in FY 2003.</t>
        </r>
      </text>
    </comment>
    <comment ref="E2584" authorId="2" shapeId="0" xr:uid="{00000000-0006-0000-0500-0000C6010000}">
      <text>
        <r>
          <rPr>
            <b/>
            <sz val="9"/>
            <color indexed="81"/>
            <rFont val="Tahoma"/>
            <family val="2"/>
          </rPr>
          <t>.:</t>
        </r>
        <r>
          <rPr>
            <sz val="9"/>
            <color indexed="81"/>
            <rFont val="Tahoma"/>
            <family val="2"/>
          </rPr>
          <t xml:space="preserve">
Source:  S&amp;U Submission 130 - S&amp;U FY xx FGD tab.</t>
        </r>
      </text>
    </comment>
    <comment ref="AA2585" authorId="0" shapeId="0" xr:uid="{00000000-0006-0000-0500-0000C7010000}">
      <text>
        <r>
          <rPr>
            <b/>
            <sz val="9"/>
            <color indexed="81"/>
            <rFont val="Tahoma"/>
            <family val="2"/>
          </rPr>
          <t>..:</t>
        </r>
        <r>
          <rPr>
            <sz val="9"/>
            <color indexed="81"/>
            <rFont val="Tahoma"/>
            <family val="2"/>
          </rPr>
          <t xml:space="preserve">
S&amp;U data for HRIs started in FY 2005.</t>
        </r>
      </text>
    </comment>
    <comment ref="C2645" authorId="0" shapeId="0" xr:uid="{00000000-0006-0000-0500-0000C8010000}">
      <text>
        <r>
          <rPr>
            <b/>
            <sz val="9"/>
            <color indexed="81"/>
            <rFont val="Tahoma"/>
            <family val="2"/>
          </rPr>
          <t>..:</t>
        </r>
        <r>
          <rPr>
            <sz val="9"/>
            <color indexed="81"/>
            <rFont val="Tahoma"/>
            <family val="2"/>
          </rPr>
          <t xml:space="preserve">
State-Funded Hours are not available prior to FY 2001.
</t>
        </r>
      </text>
    </comment>
    <comment ref="E2660" authorId="0" shapeId="0" xr:uid="{00000000-0006-0000-0500-0000C9010000}">
      <text>
        <r>
          <rPr>
            <b/>
            <sz val="9"/>
            <color indexed="81"/>
            <rFont val="Tahoma"/>
            <family val="2"/>
          </rPr>
          <t>..:</t>
        </r>
        <r>
          <rPr>
            <sz val="9"/>
            <color indexed="81"/>
            <rFont val="Tahoma"/>
            <family val="2"/>
          </rPr>
          <t xml:space="preserve">
Source:  HRI - State Funded FTSE - History -x.xlsx</t>
        </r>
      </text>
    </comment>
    <comment ref="C2661" authorId="0" shapeId="0" xr:uid="{00000000-0006-0000-0500-0000CA010000}">
      <text>
        <r>
          <rPr>
            <b/>
            <sz val="9"/>
            <color indexed="81"/>
            <rFont val="Tahoma"/>
            <family val="2"/>
          </rPr>
          <t>..:</t>
        </r>
        <r>
          <rPr>
            <sz val="9"/>
            <color indexed="81"/>
            <rFont val="Tahoma"/>
            <family val="2"/>
          </rPr>
          <t xml:space="preserve">
Data prior to FY 1994 is not available.</t>
        </r>
      </text>
    </comment>
    <comment ref="C2669" authorId="0" shapeId="0" xr:uid="{00000000-0006-0000-0500-0000CB010000}">
      <text>
        <r>
          <rPr>
            <b/>
            <sz val="9"/>
            <color indexed="81"/>
            <rFont val="Tahoma"/>
            <family val="2"/>
          </rPr>
          <t>..:</t>
        </r>
        <r>
          <rPr>
            <sz val="9"/>
            <color indexed="81"/>
            <rFont val="Tahoma"/>
            <family val="2"/>
          </rPr>
          <t xml:space="preserve">
Data prior to FY 1994 is not available.</t>
        </r>
      </text>
    </comment>
    <comment ref="C2674" authorId="0" shapeId="0" xr:uid="{00000000-0006-0000-0500-0000CC010000}">
      <text>
        <r>
          <rPr>
            <b/>
            <sz val="9"/>
            <color indexed="81"/>
            <rFont val="Tahoma"/>
            <family val="2"/>
          </rPr>
          <t>..:</t>
        </r>
        <r>
          <rPr>
            <sz val="9"/>
            <color indexed="81"/>
            <rFont val="Tahoma"/>
            <family val="2"/>
          </rPr>
          <t xml:space="preserve">
Data prior to FY 1994 is not available.</t>
        </r>
      </text>
    </comment>
    <comment ref="C2767" authorId="0" shapeId="0" xr:uid="{00000000-0006-0000-0500-0000CD010000}">
      <text>
        <r>
          <rPr>
            <b/>
            <sz val="9"/>
            <color indexed="81"/>
            <rFont val="Tahoma"/>
            <family val="2"/>
          </rPr>
          <t>..:</t>
        </r>
        <r>
          <rPr>
            <sz val="9"/>
            <color indexed="81"/>
            <rFont val="Tahoma"/>
            <family val="2"/>
          </rPr>
          <t xml:space="preserve">
Total Hours are not available prior to FY 1991.
</t>
        </r>
      </text>
    </comment>
    <comment ref="E2781" authorId="0" shapeId="0" xr:uid="{00000000-0006-0000-0500-0000CE010000}">
      <text>
        <r>
          <rPr>
            <b/>
            <sz val="9"/>
            <color indexed="81"/>
            <rFont val="Tahoma"/>
            <family val="2"/>
          </rPr>
          <t>..:</t>
        </r>
        <r>
          <rPr>
            <sz val="9"/>
            <color indexed="81"/>
            <rFont val="Tahoma"/>
            <family val="2"/>
          </rPr>
          <t xml:space="preserve">
Source:  FTSE Tab in HRI S&amp;U.  Lower table.</t>
        </r>
      </text>
    </comment>
    <comment ref="W2781" authorId="0" shapeId="0" xr:uid="{00000000-0006-0000-0500-0000CF010000}">
      <text>
        <r>
          <rPr>
            <b/>
            <sz val="9"/>
            <color indexed="81"/>
            <rFont val="Tahoma"/>
            <family val="2"/>
          </rPr>
          <t>..:</t>
        </r>
        <r>
          <rPr>
            <sz val="9"/>
            <color indexed="81"/>
            <rFont val="Tahoma"/>
            <family val="2"/>
          </rPr>
          <t xml:space="preserve">
Data not available for HRIs prior to 2001.</t>
        </r>
      </text>
    </comment>
    <comment ref="E2782" authorId="0" shapeId="0" xr:uid="{00000000-0006-0000-0500-0000D0010000}">
      <text>
        <r>
          <rPr>
            <b/>
            <sz val="9"/>
            <color indexed="81"/>
            <rFont val="Tahoma"/>
            <family val="2"/>
          </rPr>
          <t>..:</t>
        </r>
        <r>
          <rPr>
            <sz val="9"/>
            <color indexed="81"/>
            <rFont val="Tahoma"/>
            <family val="2"/>
          </rPr>
          <t xml:space="preserve">
Source: CBM 001 RPA Code 41 - See Victor.
Note:  These students are not included in the TA&amp;M state-funded FTSE number.</t>
        </r>
      </text>
    </comment>
    <comment ref="C2783" authorId="0" shapeId="0" xr:uid="{00000000-0006-0000-0500-0000D1010000}">
      <text>
        <r>
          <rPr>
            <b/>
            <sz val="9"/>
            <color indexed="81"/>
            <rFont val="Tahoma"/>
            <family val="2"/>
          </rPr>
          <t>..:</t>
        </r>
        <r>
          <rPr>
            <sz val="9"/>
            <color indexed="81"/>
            <rFont val="Tahoma"/>
            <family val="2"/>
          </rPr>
          <t xml:space="preserve">
Total Hours are not available prior to FY 1994.
</t>
        </r>
      </text>
    </comment>
    <comment ref="C2796" authorId="0" shapeId="0" xr:uid="{00000000-0006-0000-0500-0000D2010000}">
      <text>
        <r>
          <rPr>
            <b/>
            <sz val="9"/>
            <color indexed="81"/>
            <rFont val="Tahoma"/>
            <family val="2"/>
          </rPr>
          <t>..:</t>
        </r>
        <r>
          <rPr>
            <sz val="9"/>
            <color indexed="81"/>
            <rFont val="Tahoma"/>
            <family val="2"/>
          </rPr>
          <t xml:space="preserve">
Data prior to FY 1994 is not available.</t>
        </r>
      </text>
    </comment>
    <comment ref="C2848" authorId="0" shapeId="0" xr:uid="{00000000-0006-0000-0500-0000D3010000}">
      <text>
        <r>
          <rPr>
            <b/>
            <sz val="9"/>
            <color indexed="81"/>
            <rFont val="Tahoma"/>
            <family val="2"/>
          </rPr>
          <t>..:</t>
        </r>
        <r>
          <rPr>
            <sz val="9"/>
            <color indexed="81"/>
            <rFont val="Tahoma"/>
            <family val="2"/>
          </rPr>
          <t xml:space="preserve">
Data is not available prior to FY 2000.</t>
        </r>
      </text>
    </comment>
    <comment ref="C2889" authorId="0" shapeId="0" xr:uid="{00000000-0006-0000-0500-0000D4010000}">
      <text>
        <r>
          <rPr>
            <b/>
            <sz val="9"/>
            <color indexed="81"/>
            <rFont val="Tahoma"/>
            <family val="2"/>
          </rPr>
          <t>..:</t>
        </r>
        <r>
          <rPr>
            <sz val="9"/>
            <color indexed="81"/>
            <rFont val="Tahoma"/>
            <family val="2"/>
          </rPr>
          <t xml:space="preserve">
Data is not available prior to FY 2001
.
</t>
        </r>
      </text>
    </comment>
    <comment ref="C2903" authorId="0" shapeId="0" xr:uid="{00000000-0006-0000-0500-0000D5010000}">
      <text>
        <r>
          <rPr>
            <b/>
            <sz val="9"/>
            <color indexed="81"/>
            <rFont val="Tahoma"/>
            <family val="2"/>
          </rPr>
          <t>..:</t>
        </r>
        <r>
          <rPr>
            <sz val="9"/>
            <color indexed="81"/>
            <rFont val="Tahoma"/>
            <family val="2"/>
          </rPr>
          <t xml:space="preserve">
Data is not available prior to FY 2001
.
</t>
        </r>
      </text>
    </comment>
    <comment ref="C2911" authorId="0" shapeId="0" xr:uid="{00000000-0006-0000-0500-0000D6010000}">
      <text>
        <r>
          <rPr>
            <b/>
            <sz val="9"/>
            <color indexed="81"/>
            <rFont val="Tahoma"/>
            <family val="2"/>
          </rPr>
          <t>..:</t>
        </r>
        <r>
          <rPr>
            <sz val="9"/>
            <color indexed="81"/>
            <rFont val="Tahoma"/>
            <family val="2"/>
          </rPr>
          <t xml:space="preserve">
Data is not available prior to FY 2001
.
</t>
        </r>
      </text>
    </comment>
    <comment ref="C2916" authorId="0" shapeId="0" xr:uid="{00000000-0006-0000-0500-0000D7010000}">
      <text>
        <r>
          <rPr>
            <b/>
            <sz val="9"/>
            <color indexed="81"/>
            <rFont val="Tahoma"/>
            <family val="2"/>
          </rPr>
          <t>..:</t>
        </r>
        <r>
          <rPr>
            <sz val="9"/>
            <color indexed="81"/>
            <rFont val="Tahoma"/>
            <family val="2"/>
          </rPr>
          <t xml:space="preserve">
Data prior to FY 1989 is not available.</t>
        </r>
      </text>
    </comment>
    <comment ref="C2957" authorId="0" shapeId="0" xr:uid="{00000000-0006-0000-0500-0000D8010000}">
      <text>
        <r>
          <rPr>
            <b/>
            <sz val="9"/>
            <color indexed="81"/>
            <rFont val="Tahoma"/>
            <family val="2"/>
          </rPr>
          <t>..:</t>
        </r>
        <r>
          <rPr>
            <sz val="9"/>
            <color indexed="81"/>
            <rFont val="Tahoma"/>
            <family val="2"/>
          </rPr>
          <t xml:space="preserve">
Data prior to FY 1989 is not available.</t>
        </r>
      </text>
    </comment>
    <comment ref="C2971" authorId="0" shapeId="0" xr:uid="{00000000-0006-0000-0500-0000D9010000}">
      <text>
        <r>
          <rPr>
            <b/>
            <sz val="9"/>
            <color indexed="81"/>
            <rFont val="Tahoma"/>
            <family val="2"/>
          </rPr>
          <t>..:</t>
        </r>
        <r>
          <rPr>
            <sz val="9"/>
            <color indexed="81"/>
            <rFont val="Tahoma"/>
            <family val="2"/>
          </rPr>
          <t xml:space="preserve">
Data not available prior to FY 1988.
</t>
        </r>
      </text>
    </comment>
    <comment ref="C2979" authorId="0" shapeId="0" xr:uid="{00000000-0006-0000-0500-0000DA010000}">
      <text>
        <r>
          <rPr>
            <b/>
            <sz val="9"/>
            <color indexed="81"/>
            <rFont val="Tahoma"/>
            <family val="2"/>
          </rPr>
          <t>..:</t>
        </r>
        <r>
          <rPr>
            <sz val="9"/>
            <color indexed="81"/>
            <rFont val="Tahoma"/>
            <family val="2"/>
          </rPr>
          <t xml:space="preserve">
Data not available prior to FY 1988.
</t>
        </r>
      </text>
    </comment>
    <comment ref="C2984" authorId="0" shapeId="0" xr:uid="{00000000-0006-0000-0500-0000DB010000}">
      <text>
        <r>
          <rPr>
            <b/>
            <sz val="9"/>
            <color indexed="81"/>
            <rFont val="Tahoma"/>
            <family val="2"/>
          </rPr>
          <t>..:</t>
        </r>
        <r>
          <rPr>
            <sz val="9"/>
            <color indexed="81"/>
            <rFont val="Tahoma"/>
            <family val="2"/>
          </rPr>
          <t xml:space="preserve">
Data not available prior to FY 1988.
</t>
        </r>
      </text>
    </comment>
    <comment ref="C3036" authorId="0" shapeId="0" xr:uid="{00000000-0006-0000-0500-0000DC010000}">
      <text>
        <r>
          <rPr>
            <b/>
            <sz val="9"/>
            <color indexed="81"/>
            <rFont val="Tahoma"/>
            <family val="2"/>
          </rPr>
          <t>..:</t>
        </r>
        <r>
          <rPr>
            <sz val="9"/>
            <color indexed="81"/>
            <rFont val="Tahoma"/>
            <family val="2"/>
          </rPr>
          <t xml:space="preserve">
Source:  S&amp;U - See SREB Input Tab</t>
        </r>
      </text>
    </comment>
    <comment ref="AM3036" authorId="2" shapeId="0" xr:uid="{00000000-0006-0000-0500-0000DD010000}">
      <text>
        <r>
          <rPr>
            <b/>
            <sz val="9"/>
            <color indexed="81"/>
            <rFont val="Tahoma"/>
            <family val="2"/>
          </rPr>
          <t>.:</t>
        </r>
        <r>
          <rPr>
            <sz val="9"/>
            <color indexed="81"/>
            <rFont val="Tahoma"/>
            <family val="2"/>
          </rPr>
          <t xml:space="preserve">
Source: S&amp;U SREB tab lower section.</t>
        </r>
      </text>
    </comment>
    <comment ref="AN3036" authorId="2" shapeId="0" xr:uid="{00000000-0006-0000-0500-0000DE010000}">
      <text>
        <r>
          <rPr>
            <b/>
            <sz val="9"/>
            <color indexed="81"/>
            <rFont val="Tahoma"/>
            <family val="2"/>
          </rPr>
          <t>.:</t>
        </r>
        <r>
          <rPr>
            <sz val="9"/>
            <color indexed="81"/>
            <rFont val="Tahoma"/>
            <family val="2"/>
          </rPr>
          <t xml:space="preserve">
Source: S&amp;U SREB tab lower section.</t>
        </r>
      </text>
    </comment>
    <comment ref="AO3036" authorId="2" shapeId="0" xr:uid="{00000000-0006-0000-0500-0000DF010000}">
      <text>
        <r>
          <rPr>
            <b/>
            <sz val="9"/>
            <color indexed="81"/>
            <rFont val="Tahoma"/>
            <family val="2"/>
          </rPr>
          <t>.:</t>
        </r>
        <r>
          <rPr>
            <sz val="9"/>
            <color indexed="81"/>
            <rFont val="Tahoma"/>
            <family val="2"/>
          </rPr>
          <t xml:space="preserve">
Source: S&amp;U SREB tab lower section.</t>
        </r>
      </text>
    </comment>
    <comment ref="C3038" authorId="0" shapeId="0" xr:uid="{00000000-0006-0000-0500-0000E0010000}">
      <text>
        <r>
          <rPr>
            <b/>
            <sz val="9"/>
            <color indexed="81"/>
            <rFont val="Tahoma"/>
            <family val="2"/>
          </rPr>
          <t>..:</t>
        </r>
        <r>
          <rPr>
            <sz val="9"/>
            <color indexed="81"/>
            <rFont val="Tahoma"/>
            <family val="2"/>
          </rPr>
          <t xml:space="preserve">
Source:  Sources &amp; Uses
</t>
        </r>
      </text>
    </comment>
    <comment ref="C3042" authorId="0" shapeId="0" xr:uid="{00000000-0006-0000-0500-0000E1010000}">
      <text>
        <r>
          <rPr>
            <b/>
            <sz val="9"/>
            <color indexed="81"/>
            <rFont val="Tahoma"/>
            <family val="2"/>
          </rPr>
          <t>..:</t>
        </r>
        <r>
          <rPr>
            <sz val="9"/>
            <color indexed="81"/>
            <rFont val="Tahoma"/>
            <family val="2"/>
          </rPr>
          <t xml:space="preserve">
Source:  Sources &amp; Uses
</t>
        </r>
      </text>
    </comment>
    <comment ref="C3046" authorId="0" shapeId="0" xr:uid="{00000000-0006-0000-0500-0000E2010000}">
      <text>
        <r>
          <rPr>
            <b/>
            <sz val="9"/>
            <color indexed="81"/>
            <rFont val="Tahoma"/>
            <family val="2"/>
          </rPr>
          <t>..:</t>
        </r>
        <r>
          <rPr>
            <sz val="9"/>
            <color indexed="81"/>
            <rFont val="Tahoma"/>
            <family val="2"/>
          </rPr>
          <t xml:space="preserve">
Source:  Sources &amp; Uses
</t>
        </r>
      </text>
    </comment>
    <comment ref="C3050" authorId="0" shapeId="0" xr:uid="{00000000-0006-0000-0500-0000E3010000}">
      <text>
        <r>
          <rPr>
            <b/>
            <sz val="9"/>
            <color indexed="81"/>
            <rFont val="Tahoma"/>
            <family val="2"/>
          </rPr>
          <t>..:</t>
        </r>
        <r>
          <rPr>
            <sz val="9"/>
            <color indexed="81"/>
            <rFont val="Tahoma"/>
            <family val="2"/>
          </rPr>
          <t xml:space="preserve">
Source:  Sources &amp; Uses
</t>
        </r>
      </text>
    </comment>
    <comment ref="C3055" authorId="0" shapeId="0" xr:uid="{00000000-0006-0000-0500-0000E4010000}">
      <text>
        <r>
          <rPr>
            <b/>
            <sz val="9"/>
            <color indexed="81"/>
            <rFont val="Tahoma"/>
            <family val="2"/>
          </rPr>
          <t>..:</t>
        </r>
        <r>
          <rPr>
            <sz val="9"/>
            <color indexed="81"/>
            <rFont val="Tahoma"/>
            <family val="2"/>
          </rPr>
          <t xml:space="preserve">
Source:  Sources &amp; Uses
</t>
        </r>
      </text>
    </comment>
    <comment ref="C3059" authorId="0" shapeId="0" xr:uid="{00000000-0006-0000-0500-0000E5010000}">
      <text>
        <r>
          <rPr>
            <b/>
            <sz val="9"/>
            <color indexed="81"/>
            <rFont val="Tahoma"/>
            <family val="2"/>
          </rPr>
          <t>..:</t>
        </r>
        <r>
          <rPr>
            <sz val="9"/>
            <color indexed="81"/>
            <rFont val="Tahoma"/>
            <family val="2"/>
          </rPr>
          <t xml:space="preserve">
Source:  Sources &amp; Uses
</t>
        </r>
      </text>
    </comment>
    <comment ref="C3063" authorId="0" shapeId="0" xr:uid="{00000000-0006-0000-0500-0000E6010000}">
      <text>
        <r>
          <rPr>
            <b/>
            <sz val="9"/>
            <color indexed="81"/>
            <rFont val="Tahoma"/>
            <family val="2"/>
          </rPr>
          <t>..:</t>
        </r>
        <r>
          <rPr>
            <sz val="9"/>
            <color indexed="81"/>
            <rFont val="Tahoma"/>
            <family val="2"/>
          </rPr>
          <t xml:space="preserve">
Source:  Sources &amp; Uses
</t>
        </r>
      </text>
    </comment>
    <comment ref="C3067" authorId="0" shapeId="0" xr:uid="{00000000-0006-0000-0500-0000E7010000}">
      <text>
        <r>
          <rPr>
            <b/>
            <sz val="9"/>
            <color indexed="81"/>
            <rFont val="Tahoma"/>
            <family val="2"/>
          </rPr>
          <t>..:</t>
        </r>
        <r>
          <rPr>
            <sz val="9"/>
            <color indexed="81"/>
            <rFont val="Tahoma"/>
            <family val="2"/>
          </rPr>
          <t xml:space="preserve">
Source:  Sources &amp; Uses
</t>
        </r>
      </text>
    </comment>
    <comment ref="C3072" authorId="0" shapeId="0" xr:uid="{00000000-0006-0000-0500-0000E8010000}">
      <text>
        <r>
          <rPr>
            <b/>
            <sz val="9"/>
            <color indexed="81"/>
            <rFont val="Tahoma"/>
            <family val="2"/>
          </rPr>
          <t>..:</t>
        </r>
        <r>
          <rPr>
            <sz val="9"/>
            <color indexed="81"/>
            <rFont val="Tahoma"/>
            <family val="2"/>
          </rPr>
          <t xml:space="preserve">
Source: HRI MOF-Sum if file.  Below GR column.</t>
        </r>
      </text>
    </comment>
    <comment ref="E3079" authorId="1" shapeId="0" xr:uid="{00000000-0006-0000-0500-0000E9010000}">
      <text>
        <r>
          <rPr>
            <b/>
            <sz val="9"/>
            <color indexed="81"/>
            <rFont val="Tahoma"/>
            <family val="2"/>
          </rPr>
          <t>Paul  :</t>
        </r>
        <r>
          <rPr>
            <sz val="9"/>
            <color indexed="81"/>
            <rFont val="Tahoma"/>
            <family val="2"/>
          </rPr>
          <t xml:space="preserve">
Debt service included in SREB calculations but not appropriated as a TRB
</t>
        </r>
      </text>
    </comment>
    <comment ref="E3080" authorId="0" shapeId="0" xr:uid="{00000000-0006-0000-0500-0000EA010000}">
      <text>
        <r>
          <rPr>
            <b/>
            <sz val="9"/>
            <color indexed="81"/>
            <rFont val="Tahoma"/>
            <family val="2"/>
          </rPr>
          <t>..:</t>
        </r>
        <r>
          <rPr>
            <sz val="9"/>
            <color indexed="81"/>
            <rFont val="Tahoma"/>
            <family val="2"/>
          </rPr>
          <t xml:space="preserve">
Source Program Director</t>
        </r>
      </text>
    </comment>
    <comment ref="AH3080" authorId="1" shapeId="0" xr:uid="{00000000-0006-0000-0500-0000EB010000}">
      <text>
        <r>
          <rPr>
            <b/>
            <sz val="9"/>
            <color indexed="81"/>
            <rFont val="Tahoma"/>
            <family val="2"/>
          </rPr>
          <t>Paul  :</t>
        </r>
        <r>
          <rPr>
            <sz val="9"/>
            <color indexed="81"/>
            <rFont val="Tahoma"/>
            <family val="2"/>
          </rPr>
          <t xml:space="preserve">
I&amp;O and Infrastructure formula reduced by the ratio of TAMU GR to TAMU total formula appropriation less BAT</t>
        </r>
      </text>
    </comment>
    <comment ref="AI3080" authorId="1" shapeId="0" xr:uid="{00000000-0006-0000-0500-0000EC010000}">
      <text>
        <r>
          <rPr>
            <b/>
            <sz val="9"/>
            <color indexed="81"/>
            <rFont val="Tahoma"/>
            <family val="2"/>
          </rPr>
          <t>Paul  :</t>
        </r>
        <r>
          <rPr>
            <sz val="9"/>
            <color indexed="81"/>
            <rFont val="Tahoma"/>
            <family val="2"/>
          </rPr>
          <t xml:space="preserve">
I&amp;O and Infrastructure formula reduced by the ratio of TAMU GR to TAMU total formula appropriation less BAT</t>
        </r>
      </text>
    </comment>
    <comment ref="AJ3080" authorId="1" shapeId="0" xr:uid="{00000000-0006-0000-0500-0000ED010000}">
      <text>
        <r>
          <rPr>
            <b/>
            <sz val="9"/>
            <color indexed="81"/>
            <rFont val="Tahoma"/>
            <family val="2"/>
          </rPr>
          <t>Paul  :</t>
        </r>
        <r>
          <rPr>
            <sz val="9"/>
            <color indexed="81"/>
            <rFont val="Tahoma"/>
            <family val="2"/>
          </rPr>
          <t xml:space="preserve">
I&amp;O and Infrastructure formula reduced by the ratio of TAMU GR to TAMU total formula appropriation less BAT
</t>
        </r>
      </text>
    </comment>
    <comment ref="AK3080" authorId="1" shapeId="0" xr:uid="{00000000-0006-0000-0500-0000EE010000}">
      <text>
        <r>
          <rPr>
            <b/>
            <sz val="9"/>
            <color indexed="81"/>
            <rFont val="Tahoma"/>
            <family val="2"/>
          </rPr>
          <t>Paul  :</t>
        </r>
        <r>
          <rPr>
            <sz val="9"/>
            <color indexed="81"/>
            <rFont val="Tahoma"/>
            <family val="2"/>
          </rPr>
          <t xml:space="preserve">
I&amp;O and Infrastructure formula reduced by the ratio of TAMU GR to TAMU total formula appropriation less BAT
</t>
        </r>
      </text>
    </comment>
    <comment ref="AL3080" authorId="1" shapeId="0" xr:uid="{00000000-0006-0000-0500-0000EF010000}">
      <text>
        <r>
          <rPr>
            <b/>
            <sz val="9"/>
            <color indexed="81"/>
            <rFont val="Tahoma"/>
            <family val="2"/>
          </rPr>
          <t>Paul  :</t>
        </r>
        <r>
          <rPr>
            <sz val="9"/>
            <color indexed="81"/>
            <rFont val="Tahoma"/>
            <family val="2"/>
          </rPr>
          <t xml:space="preserve">
I&amp;O and Infrastructure formula reduced by the ratio of TAMU GR to TAMU total formula appropriation less BAT
</t>
        </r>
      </text>
    </comment>
    <comment ref="AM3080" authorId="1" shapeId="0" xr:uid="{00000000-0006-0000-0500-0000F0010000}">
      <text>
        <r>
          <rPr>
            <b/>
            <sz val="9"/>
            <color indexed="81"/>
            <rFont val="Tahoma"/>
            <family val="2"/>
          </rPr>
          <t>Paul  :</t>
        </r>
        <r>
          <rPr>
            <sz val="9"/>
            <color indexed="81"/>
            <rFont val="Tahoma"/>
            <family val="2"/>
          </rPr>
          <t xml:space="preserve">
I&amp;O and Infrastructure formula reduced by the ratio of TAMU GR to TAMU total formula appropriation less BAT
</t>
        </r>
      </text>
    </comment>
    <comment ref="AN3080" authorId="2" shapeId="0" xr:uid="{00000000-0006-0000-0500-0000F1010000}">
      <text>
        <r>
          <rPr>
            <b/>
            <sz val="9"/>
            <color indexed="81"/>
            <rFont val="Tahoma"/>
            <family val="2"/>
          </rPr>
          <t>.:</t>
        </r>
        <r>
          <rPr>
            <sz val="9"/>
            <color indexed="81"/>
            <rFont val="Tahoma"/>
            <family val="2"/>
          </rPr>
          <t xml:space="preserve">
From Jennifer G.</t>
        </r>
      </text>
    </comment>
    <comment ref="AO3080" authorId="2" shapeId="0" xr:uid="{00000000-0006-0000-0500-0000F2010000}">
      <text>
        <r>
          <rPr>
            <b/>
            <sz val="9"/>
            <color indexed="81"/>
            <rFont val="Tahoma"/>
            <family val="2"/>
          </rPr>
          <t>.:</t>
        </r>
        <r>
          <rPr>
            <sz val="9"/>
            <color indexed="81"/>
            <rFont val="Tahoma"/>
            <family val="2"/>
          </rPr>
          <t xml:space="preserve">
From Jennifer G.</t>
        </r>
      </text>
    </comment>
    <comment ref="AP3080" authorId="2" shapeId="0" xr:uid="{00000000-0006-0000-0500-0000F3010000}">
      <text>
        <r>
          <rPr>
            <b/>
            <sz val="9"/>
            <color indexed="81"/>
            <rFont val="Tahoma"/>
            <family val="2"/>
          </rPr>
          <t>.:</t>
        </r>
        <r>
          <rPr>
            <sz val="9"/>
            <color indexed="81"/>
            <rFont val="Tahoma"/>
            <family val="2"/>
          </rPr>
          <t xml:space="preserve">
From Jennifer G.</t>
        </r>
      </text>
    </comment>
    <comment ref="AQ3080" authorId="2" shapeId="0" xr:uid="{00000000-0006-0000-0500-0000F4010000}">
      <text>
        <r>
          <rPr>
            <b/>
            <sz val="9"/>
            <color indexed="81"/>
            <rFont val="Tahoma"/>
            <family val="2"/>
          </rPr>
          <t>.:</t>
        </r>
        <r>
          <rPr>
            <sz val="9"/>
            <color indexed="81"/>
            <rFont val="Tahoma"/>
            <family val="2"/>
          </rPr>
          <t xml:space="preserve">
From Jennifer G.</t>
        </r>
      </text>
    </comment>
    <comment ref="C3081" authorId="0" shapeId="0" xr:uid="{00000000-0006-0000-0500-0000F5010000}">
      <text>
        <r>
          <rPr>
            <b/>
            <sz val="9"/>
            <color indexed="81"/>
            <rFont val="Tahoma"/>
            <family val="2"/>
          </rPr>
          <t>..:</t>
        </r>
        <r>
          <rPr>
            <sz val="9"/>
            <color indexed="81"/>
            <rFont val="Tahoma"/>
            <family val="2"/>
          </rPr>
          <t xml:space="preserve">
Source:  College for all Texans/Students/College Costs/All Institutions/ Resident at bottom of page. Tuition &amp; Fees.
Ken Pond - calculates.</t>
        </r>
      </text>
    </comment>
    <comment ref="AL3081" authorId="0" shapeId="0" xr:uid="{00000000-0006-0000-0500-0000F6010000}">
      <text>
        <r>
          <rPr>
            <b/>
            <sz val="9"/>
            <color indexed="81"/>
            <rFont val="Tahoma"/>
            <family val="2"/>
          </rPr>
          <t>..:</t>
        </r>
        <r>
          <rPr>
            <sz val="9"/>
            <color indexed="81"/>
            <rFont val="Tahoma"/>
            <family val="2"/>
          </rPr>
          <t xml:space="preserve">
Web Site lists as 2015-16.</t>
        </r>
      </text>
    </comment>
    <comment ref="AM3081" authorId="2" shapeId="0" xr:uid="{00000000-0006-0000-0500-0000F7010000}">
      <text>
        <r>
          <rPr>
            <b/>
            <sz val="9"/>
            <color indexed="81"/>
            <rFont val="Tahoma"/>
            <family val="2"/>
          </rPr>
          <t>.:</t>
        </r>
        <r>
          <rPr>
            <sz val="9"/>
            <color indexed="81"/>
            <rFont val="Tahoma"/>
            <family val="2"/>
          </rPr>
          <t xml:space="preserve">
Web site lists 2017-2018.</t>
        </r>
      </text>
    </comment>
    <comment ref="AN3081" authorId="2" shapeId="0" xr:uid="{00000000-0006-0000-0500-0000F8010000}">
      <text>
        <r>
          <rPr>
            <b/>
            <sz val="9"/>
            <color indexed="81"/>
            <rFont val="Tahoma"/>
            <family val="2"/>
          </rPr>
          <t>.:</t>
        </r>
        <r>
          <rPr>
            <sz val="9"/>
            <color indexed="81"/>
            <rFont val="Tahoma"/>
            <family val="2"/>
          </rPr>
          <t xml:space="preserve">
Web site lists 2017-2018.</t>
        </r>
      </text>
    </comment>
    <comment ref="AO3081" authorId="2" shapeId="0" xr:uid="{00000000-0006-0000-0500-0000F9010000}">
      <text>
        <r>
          <rPr>
            <b/>
            <sz val="9"/>
            <color indexed="81"/>
            <rFont val="Tahoma"/>
            <family val="2"/>
          </rPr>
          <t>.:</t>
        </r>
        <r>
          <rPr>
            <sz val="9"/>
            <color indexed="81"/>
            <rFont val="Tahoma"/>
            <family val="2"/>
          </rPr>
          <t xml:space="preserve">
Web site shows 2018-2019.
</t>
        </r>
      </text>
    </comment>
    <comment ref="AP3081" authorId="2" shapeId="0" xr:uid="{00000000-0006-0000-0500-0000FA010000}">
      <text>
        <r>
          <rPr>
            <b/>
            <sz val="9"/>
            <color indexed="81"/>
            <rFont val="Tahoma"/>
            <family val="2"/>
          </rPr>
          <t>.:</t>
        </r>
        <r>
          <rPr>
            <sz val="9"/>
            <color indexed="81"/>
            <rFont val="Tahoma"/>
            <family val="2"/>
          </rPr>
          <t xml:space="preserve">
Web site shows 2018-2019.
</t>
        </r>
      </text>
    </comment>
    <comment ref="AQ3081" authorId="2" shapeId="0" xr:uid="{00000000-0006-0000-0500-0000FB010000}">
      <text>
        <r>
          <rPr>
            <b/>
            <sz val="9"/>
            <color indexed="81"/>
            <rFont val="Tahoma"/>
            <family val="2"/>
          </rPr>
          <t>.:</t>
        </r>
        <r>
          <rPr>
            <sz val="9"/>
            <color indexed="81"/>
            <rFont val="Tahoma"/>
            <family val="2"/>
          </rPr>
          <t xml:space="preserve">
Web site shows 2018-2019.
</t>
        </r>
      </text>
    </comment>
    <comment ref="C3082" authorId="0" shapeId="0" xr:uid="{00000000-0006-0000-0500-0000FC010000}">
      <text>
        <r>
          <rPr>
            <b/>
            <sz val="9"/>
            <color indexed="81"/>
            <rFont val="Tahoma"/>
            <family val="2"/>
          </rPr>
          <t>..:</t>
        </r>
        <r>
          <rPr>
            <sz val="9"/>
            <color indexed="81"/>
            <rFont val="Tahoma"/>
            <family val="2"/>
          </rPr>
          <t xml:space="preserve">
Source:  College for all Texans/Students/College Costs/All Institutions/ Resident at bottom of page. Total Costs.
Ken Pond calculates.</t>
        </r>
      </text>
    </comment>
    <comment ref="AL3082" authorId="0" shapeId="0" xr:uid="{00000000-0006-0000-0500-0000FD010000}">
      <text>
        <r>
          <rPr>
            <b/>
            <sz val="9"/>
            <color indexed="81"/>
            <rFont val="Tahoma"/>
            <family val="2"/>
          </rPr>
          <t>..:</t>
        </r>
        <r>
          <rPr>
            <sz val="9"/>
            <color indexed="81"/>
            <rFont val="Tahoma"/>
            <family val="2"/>
          </rPr>
          <t xml:space="preserve">
Web Site lists as 2015-16.</t>
        </r>
      </text>
    </comment>
    <comment ref="AM3082" authorId="2" shapeId="0" xr:uid="{00000000-0006-0000-0500-0000FE010000}">
      <text>
        <r>
          <rPr>
            <b/>
            <sz val="9"/>
            <color indexed="81"/>
            <rFont val="Tahoma"/>
            <family val="2"/>
          </rPr>
          <t>.:</t>
        </r>
        <r>
          <rPr>
            <sz val="9"/>
            <color indexed="81"/>
            <rFont val="Tahoma"/>
            <family val="2"/>
          </rPr>
          <t xml:space="preserve">
Web site lists 2017-2018.</t>
        </r>
      </text>
    </comment>
    <comment ref="AN3082" authorId="2" shapeId="0" xr:uid="{00000000-0006-0000-0500-0000FF010000}">
      <text>
        <r>
          <rPr>
            <b/>
            <sz val="9"/>
            <color indexed="81"/>
            <rFont val="Tahoma"/>
            <family val="2"/>
          </rPr>
          <t>.:</t>
        </r>
        <r>
          <rPr>
            <sz val="9"/>
            <color indexed="81"/>
            <rFont val="Tahoma"/>
            <family val="2"/>
          </rPr>
          <t xml:space="preserve">
Web site lists 2017-2018.</t>
        </r>
      </text>
    </comment>
    <comment ref="AO3082" authorId="2" shapeId="0" xr:uid="{00000000-0006-0000-0500-000000020000}">
      <text>
        <r>
          <rPr>
            <b/>
            <sz val="9"/>
            <color indexed="81"/>
            <rFont val="Tahoma"/>
            <family val="2"/>
          </rPr>
          <t>.:</t>
        </r>
        <r>
          <rPr>
            <sz val="9"/>
            <color indexed="81"/>
            <rFont val="Tahoma"/>
            <family val="2"/>
          </rPr>
          <t xml:space="preserve">
Web site shows 2018-2019.
</t>
        </r>
      </text>
    </comment>
    <comment ref="AP3082" authorId="2" shapeId="0" xr:uid="{00000000-0006-0000-0500-000001020000}">
      <text>
        <r>
          <rPr>
            <b/>
            <sz val="9"/>
            <color indexed="81"/>
            <rFont val="Tahoma"/>
            <family val="2"/>
          </rPr>
          <t>.:</t>
        </r>
        <r>
          <rPr>
            <sz val="9"/>
            <color indexed="81"/>
            <rFont val="Tahoma"/>
            <family val="2"/>
          </rPr>
          <t xml:space="preserve">
Web site shows 2018-2019.
</t>
        </r>
      </text>
    </comment>
    <comment ref="AQ3082" authorId="2" shapeId="0" xr:uid="{00000000-0006-0000-0500-000002020000}">
      <text>
        <r>
          <rPr>
            <b/>
            <sz val="9"/>
            <color indexed="81"/>
            <rFont val="Tahoma"/>
            <family val="2"/>
          </rPr>
          <t>.:</t>
        </r>
        <r>
          <rPr>
            <sz val="9"/>
            <color indexed="81"/>
            <rFont val="Tahoma"/>
            <family val="2"/>
          </rPr>
          <t xml:space="preserve">
Web site shows 2018-2019.
</t>
        </r>
      </text>
    </comment>
    <comment ref="E3090" authorId="0" shapeId="0" xr:uid="{00000000-0006-0000-0500-000003020000}">
      <text>
        <r>
          <rPr>
            <b/>
            <sz val="9"/>
            <color indexed="81"/>
            <rFont val="Tahoma"/>
            <family val="2"/>
          </rPr>
          <t>..:</t>
        </r>
        <r>
          <rPr>
            <sz val="9"/>
            <color indexed="81"/>
            <rFont val="Tahoma"/>
            <family val="2"/>
          </rPr>
          <t xml:space="preserve">
Source Bill Pattern for CB</t>
        </r>
      </text>
    </comment>
    <comment ref="AH3090" authorId="0" shapeId="0" xr:uid="{00000000-0006-0000-0500-000004020000}">
      <text>
        <r>
          <rPr>
            <b/>
            <sz val="9"/>
            <color indexed="81"/>
            <rFont val="Tahoma"/>
            <family val="2"/>
          </rPr>
          <t>..:</t>
        </r>
        <r>
          <rPr>
            <sz val="9"/>
            <color indexed="81"/>
            <rFont val="Tahoma"/>
            <family val="2"/>
          </rPr>
          <t xml:space="preserve">
Includes BRP.</t>
        </r>
      </text>
    </comment>
    <comment ref="AI3090" authorId="0" shapeId="0" xr:uid="{00000000-0006-0000-0500-000005020000}">
      <text>
        <r>
          <rPr>
            <b/>
            <sz val="9"/>
            <color indexed="81"/>
            <rFont val="Tahoma"/>
            <family val="2"/>
          </rPr>
          <t>..:</t>
        </r>
        <r>
          <rPr>
            <sz val="9"/>
            <color indexed="81"/>
            <rFont val="Tahoma"/>
            <family val="2"/>
          </rPr>
          <t xml:space="preserve">
Includes BRP.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jmarks</author>
    <author>.</author>
  </authors>
  <commentList>
    <comment ref="M6" authorId="0" shapeId="0" xr:uid="{00000000-0006-0000-0700-000001000000}">
      <text>
        <r>
          <rPr>
            <b/>
            <sz val="9"/>
            <color indexed="81"/>
            <rFont val="Tahoma"/>
            <family val="2"/>
          </rPr>
          <t>..:</t>
        </r>
        <r>
          <rPr>
            <sz val="9"/>
            <color indexed="81"/>
            <rFont val="Tahoma"/>
            <family val="2"/>
          </rPr>
          <t xml:space="preserve">
% of HEAF that is spent on operations</t>
        </r>
      </text>
    </comment>
    <comment ref="C8" authorId="0" shapeId="0" xr:uid="{00000000-0006-0000-0700-000002000000}">
      <text>
        <r>
          <rPr>
            <b/>
            <sz val="9"/>
            <color indexed="81"/>
            <rFont val="Tahoma"/>
            <family val="2"/>
          </rPr>
          <t>..:</t>
        </r>
        <r>
          <rPr>
            <sz val="9"/>
            <color indexed="81"/>
            <rFont val="Tahoma"/>
            <family val="2"/>
          </rPr>
          <t xml:space="preserve">
Refer to Unit ID Mapping SREV vs. IPEDS workbook in Salary Folder.</t>
        </r>
      </text>
    </comment>
    <comment ref="F8" authorId="0" shapeId="0" xr:uid="{00000000-0006-0000-0700-000003000000}">
      <text>
        <r>
          <rPr>
            <b/>
            <sz val="9"/>
            <color indexed="81"/>
            <rFont val="Tahoma"/>
            <family val="2"/>
          </rPr>
          <t>..:</t>
        </r>
        <r>
          <rPr>
            <sz val="9"/>
            <color indexed="81"/>
            <rFont val="Tahoma"/>
            <family val="2"/>
          </rPr>
          <t xml:space="preserve">
Copy &amp; Paste from S &amp; U.</t>
        </r>
      </text>
    </comment>
    <comment ref="D10" authorId="0" shapeId="0" xr:uid="{00000000-0006-0000-0700-000004000000}">
      <text>
        <r>
          <rPr>
            <b/>
            <sz val="9"/>
            <color indexed="81"/>
            <rFont val="Tahoma"/>
            <family val="2"/>
          </rPr>
          <t>..:</t>
        </r>
        <r>
          <rPr>
            <sz val="9"/>
            <color indexed="81"/>
            <rFont val="Tahoma"/>
            <family val="2"/>
          </rPr>
          <t xml:space="preserve">
Vet Med separated.</t>
        </r>
      </text>
    </comment>
    <comment ref="H16" authorId="0" shapeId="0" xr:uid="{00000000-0006-0000-0700-000005000000}">
      <text>
        <r>
          <rPr>
            <b/>
            <sz val="9"/>
            <color indexed="81"/>
            <rFont val="Tahoma"/>
            <family val="2"/>
          </rPr>
          <t>..:</t>
        </r>
        <r>
          <rPr>
            <sz val="9"/>
            <color indexed="81"/>
            <rFont val="Tahoma"/>
            <family val="2"/>
          </rPr>
          <t xml:space="preserve">
Not funded by GR - Funded by State Highway Fund # 6 Prior to 2014.  2014 is GR.</t>
        </r>
      </text>
    </comment>
    <comment ref="P22" authorId="0" shapeId="0" xr:uid="{00000000-0006-0000-0700-000006000000}">
      <text>
        <r>
          <rPr>
            <b/>
            <sz val="9"/>
            <color indexed="81"/>
            <rFont val="Tahoma"/>
            <family val="2"/>
          </rPr>
          <t>..:</t>
        </r>
        <r>
          <rPr>
            <sz val="9"/>
            <color indexed="81"/>
            <rFont val="Tahoma"/>
            <family val="2"/>
          </rPr>
          <t xml:space="preserve">
TRIP</t>
        </r>
      </text>
    </comment>
    <comment ref="B52" authorId="1" shapeId="0" xr:uid="{00000000-0006-0000-0700-000007000000}">
      <text>
        <r>
          <rPr>
            <b/>
            <sz val="10"/>
            <color indexed="81"/>
            <rFont val="Tahoma"/>
            <family val="2"/>
          </rPr>
          <t>jmarks:</t>
        </r>
        <r>
          <rPr>
            <sz val="10"/>
            <color indexed="81"/>
            <rFont val="Tahoma"/>
            <family val="2"/>
          </rPr>
          <t xml:space="preserve">
New fall 2009.</t>
        </r>
      </text>
    </comment>
    <comment ref="B56" authorId="1" shapeId="0" xr:uid="{00000000-0006-0000-0700-000008000000}">
      <text>
        <r>
          <rPr>
            <b/>
            <sz val="10"/>
            <color indexed="81"/>
            <rFont val="Tahoma"/>
            <family val="2"/>
          </rPr>
          <t>jmarks:</t>
        </r>
        <r>
          <rPr>
            <sz val="10"/>
            <color indexed="81"/>
            <rFont val="Tahoma"/>
            <family val="2"/>
          </rPr>
          <t xml:space="preserve">
New fall 2009.</t>
        </r>
      </text>
    </comment>
    <comment ref="B65" authorId="1" shapeId="0" xr:uid="{00000000-0006-0000-0700-000009000000}">
      <text>
        <r>
          <rPr>
            <b/>
            <sz val="8"/>
            <color indexed="81"/>
            <rFont val="Tahoma"/>
            <family val="2"/>
          </rPr>
          <t>jmarks:</t>
        </r>
        <r>
          <rPr>
            <sz val="8"/>
            <color indexed="81"/>
            <rFont val="Tahoma"/>
            <family val="2"/>
          </rPr>
          <t xml:space="preserve">
Reported the same way as SCH data (by campus) preferred.</t>
        </r>
      </text>
    </comment>
    <comment ref="B69" authorId="1" shapeId="0" xr:uid="{00000000-0006-0000-0700-00000A000000}">
      <text>
        <r>
          <rPr>
            <b/>
            <sz val="8"/>
            <color indexed="81"/>
            <rFont val="Tahoma"/>
            <family val="2"/>
          </rPr>
          <t>jmarks:</t>
        </r>
        <r>
          <rPr>
            <sz val="8"/>
            <color indexed="81"/>
            <rFont val="Tahoma"/>
            <family val="2"/>
          </rPr>
          <t xml:space="preserve">
Reported the same way as SCH data (by campus) preferred.</t>
        </r>
      </text>
    </comment>
    <comment ref="B79" authorId="1" shapeId="0" xr:uid="{00000000-0006-0000-0700-00000B000000}">
      <text>
        <r>
          <rPr>
            <b/>
            <sz val="8"/>
            <color indexed="81"/>
            <rFont val="Tahoma"/>
            <family val="2"/>
          </rPr>
          <t>jmarks:</t>
        </r>
        <r>
          <rPr>
            <sz val="8"/>
            <color indexed="81"/>
            <rFont val="Tahoma"/>
            <family val="2"/>
          </rPr>
          <t xml:space="preserve">
Reported the same way as SCH data (by campus) preferred.</t>
        </r>
      </text>
    </comment>
    <comment ref="B80" authorId="1" shapeId="0" xr:uid="{00000000-0006-0000-0700-00000C000000}">
      <text>
        <r>
          <rPr>
            <b/>
            <sz val="8"/>
            <color indexed="81"/>
            <rFont val="Tahoma"/>
            <family val="2"/>
          </rPr>
          <t>jmarks:</t>
        </r>
        <r>
          <rPr>
            <sz val="8"/>
            <color indexed="81"/>
            <rFont val="Tahoma"/>
            <family val="2"/>
          </rPr>
          <t xml:space="preserve">
Reported the same way as SCH data (by campus) preferred.</t>
        </r>
      </text>
    </comment>
    <comment ref="B81" authorId="1" shapeId="0" xr:uid="{00000000-0006-0000-0700-00000D000000}">
      <text>
        <r>
          <rPr>
            <b/>
            <sz val="8"/>
            <color indexed="81"/>
            <rFont val="Tahoma"/>
            <family val="2"/>
          </rPr>
          <t>jmarks:</t>
        </r>
        <r>
          <rPr>
            <sz val="8"/>
            <color indexed="81"/>
            <rFont val="Tahoma"/>
            <family val="2"/>
          </rPr>
          <t xml:space="preserve">
Reported the same way as SCH data (by campus) preferred.</t>
        </r>
      </text>
    </comment>
    <comment ref="B82" authorId="1" shapeId="0" xr:uid="{00000000-0006-0000-0700-00000E000000}">
      <text>
        <r>
          <rPr>
            <b/>
            <sz val="8"/>
            <color indexed="81"/>
            <rFont val="Tahoma"/>
            <family val="2"/>
          </rPr>
          <t>jmarks:</t>
        </r>
        <r>
          <rPr>
            <sz val="8"/>
            <color indexed="81"/>
            <rFont val="Tahoma"/>
            <family val="2"/>
          </rPr>
          <t xml:space="preserve">
Reported the same way as SCH data (by campus) preferred.</t>
        </r>
      </text>
    </comment>
    <comment ref="B83" authorId="1" shapeId="0" xr:uid="{00000000-0006-0000-0700-00000F000000}">
      <text>
        <r>
          <rPr>
            <b/>
            <sz val="8"/>
            <color indexed="81"/>
            <rFont val="Tahoma"/>
            <family val="2"/>
          </rPr>
          <t>jmarks:</t>
        </r>
        <r>
          <rPr>
            <sz val="8"/>
            <color indexed="81"/>
            <rFont val="Tahoma"/>
            <family val="2"/>
          </rPr>
          <t xml:space="preserve">
Reported the same way as SCH data (by campus) preferred.</t>
        </r>
      </text>
    </comment>
    <comment ref="B86" authorId="1" shapeId="0" xr:uid="{00000000-0006-0000-0700-000010000000}">
      <text>
        <r>
          <rPr>
            <b/>
            <sz val="8"/>
            <color indexed="81"/>
            <rFont val="Tahoma"/>
            <family val="2"/>
          </rPr>
          <t>jmarks:</t>
        </r>
        <r>
          <rPr>
            <sz val="8"/>
            <color indexed="81"/>
            <rFont val="Tahoma"/>
            <family val="2"/>
          </rPr>
          <t xml:space="preserve">
Reported the same way as SCH data (by campus) preferred.</t>
        </r>
      </text>
    </comment>
    <comment ref="B129" authorId="1" shapeId="0" xr:uid="{00000000-0006-0000-0700-000011000000}">
      <text>
        <r>
          <rPr>
            <b/>
            <sz val="8"/>
            <color indexed="81"/>
            <rFont val="Tahoma"/>
            <family val="2"/>
          </rPr>
          <t>jmarks:</t>
        </r>
        <r>
          <rPr>
            <sz val="8"/>
            <color indexed="81"/>
            <rFont val="Tahoma"/>
            <family val="2"/>
          </rPr>
          <t xml:space="preserve">
Reported the same way as SCH data (by campus) preferred.</t>
        </r>
      </text>
    </comment>
    <comment ref="B130" authorId="1" shapeId="0" xr:uid="{00000000-0006-0000-0700-000012000000}">
      <text>
        <r>
          <rPr>
            <b/>
            <sz val="8"/>
            <color indexed="81"/>
            <rFont val="Tahoma"/>
            <family val="2"/>
          </rPr>
          <t>jmarks:</t>
        </r>
        <r>
          <rPr>
            <sz val="8"/>
            <color indexed="81"/>
            <rFont val="Tahoma"/>
            <family val="2"/>
          </rPr>
          <t xml:space="preserve">
Reported the same way as SCH data (by campus) preferred.</t>
        </r>
      </text>
    </comment>
    <comment ref="B143" authorId="1" shapeId="0" xr:uid="{00000000-0006-0000-0700-000013000000}">
      <text>
        <r>
          <rPr>
            <b/>
            <sz val="10"/>
            <color indexed="81"/>
            <rFont val="Tahoma"/>
            <family val="2"/>
          </rPr>
          <t>jmarks:</t>
        </r>
        <r>
          <rPr>
            <sz val="10"/>
            <color indexed="81"/>
            <rFont val="Tahoma"/>
            <family val="2"/>
          </rPr>
          <t xml:space="preserve">
New fall 2009.</t>
        </r>
      </text>
    </comment>
    <comment ref="S153" authorId="2" shapeId="0" xr:uid="{00000000-0006-0000-0700-000014000000}">
      <text>
        <r>
          <rPr>
            <b/>
            <sz val="9"/>
            <color indexed="81"/>
            <rFont val="Tahoma"/>
            <family val="2"/>
          </rPr>
          <t>.:</t>
        </r>
        <r>
          <rPr>
            <sz val="9"/>
            <color indexed="81"/>
            <rFont val="Tahoma"/>
            <family val="2"/>
          </rPr>
          <t xml:space="preserve">
Formulas are not compatible prior to 2020.</t>
        </r>
      </text>
    </comment>
    <comment ref="T153" authorId="2" shapeId="0" xr:uid="{00000000-0006-0000-0700-000015000000}">
      <text>
        <r>
          <rPr>
            <b/>
            <sz val="9"/>
            <color indexed="81"/>
            <rFont val="Tahoma"/>
            <family val="2"/>
          </rPr>
          <t>.:</t>
        </r>
        <r>
          <rPr>
            <sz val="9"/>
            <color indexed="81"/>
            <rFont val="Tahoma"/>
            <family val="2"/>
          </rPr>
          <t xml:space="preserve">
Formulas are not compatible prior to 2020.</t>
        </r>
      </text>
    </comment>
    <comment ref="B156" authorId="1" shapeId="0" xr:uid="{00000000-0006-0000-0700-000016000000}">
      <text>
        <r>
          <rPr>
            <b/>
            <sz val="8"/>
            <color indexed="81"/>
            <rFont val="Tahoma"/>
            <family val="2"/>
          </rPr>
          <t>jmarks:</t>
        </r>
        <r>
          <rPr>
            <sz val="8"/>
            <color indexed="81"/>
            <rFont val="Tahoma"/>
            <family val="2"/>
          </rPr>
          <t xml:space="preserve">
in HECB ?  Yes.</t>
        </r>
      </text>
    </comment>
    <comment ref="D158" authorId="0" shapeId="0" xr:uid="{00000000-0006-0000-0700-000017000000}">
      <text>
        <r>
          <rPr>
            <b/>
            <sz val="9"/>
            <color indexed="81"/>
            <rFont val="Tahoma"/>
            <family val="2"/>
          </rPr>
          <t>..:</t>
        </r>
        <r>
          <rPr>
            <sz val="9"/>
            <color indexed="81"/>
            <rFont val="Tahoma"/>
            <family val="2"/>
          </rPr>
          <t xml:space="preserve">
Watch for location change in CB Bill Pattern - adjust formulas accordingly - maintain backward compatibility.</t>
        </r>
      </text>
    </comment>
    <comment ref="D163" authorId="0" shapeId="0" xr:uid="{00000000-0006-0000-0700-000018000000}">
      <text>
        <r>
          <rPr>
            <b/>
            <sz val="9"/>
            <color indexed="81"/>
            <rFont val="Tahoma"/>
            <family val="2"/>
          </rPr>
          <t>..:</t>
        </r>
        <r>
          <rPr>
            <sz val="9"/>
            <color indexed="81"/>
            <rFont val="Tahoma"/>
            <family val="2"/>
          </rPr>
          <t xml:space="preserve">
This amount is shown in the Total Column, in order to not complicate GR Balancing.  It is a subset of Texas Student Aid.</t>
        </r>
      </text>
    </comment>
    <comment ref="S163" authorId="0" shapeId="0" xr:uid="{00000000-0006-0000-0700-000019000000}">
      <text>
        <r>
          <rPr>
            <b/>
            <sz val="9"/>
            <color indexed="81"/>
            <rFont val="Tahoma"/>
            <family val="2"/>
          </rPr>
          <t>..:</t>
        </r>
        <r>
          <rPr>
            <sz val="9"/>
            <color indexed="81"/>
            <rFont val="Tahoma"/>
            <family val="2"/>
          </rPr>
          <t xml:space="preserve">
These are the only two financial aid programs that are non-need based per Jame Caldwell.  6-24-2013</t>
        </r>
      </text>
    </comment>
    <comment ref="P172" authorId="0" shapeId="0" xr:uid="{00000000-0006-0000-0700-00001A000000}">
      <text>
        <r>
          <rPr>
            <b/>
            <sz val="9"/>
            <color indexed="81"/>
            <rFont val="Tahoma"/>
            <family val="2"/>
          </rPr>
          <t>..:</t>
        </r>
        <r>
          <rPr>
            <sz val="9"/>
            <color indexed="81"/>
            <rFont val="Tahoma"/>
            <family val="2"/>
          </rPr>
          <t xml:space="preserve">
TRIP Funding</t>
        </r>
      </text>
    </comment>
    <comment ref="D196" authorId="0" shapeId="0" xr:uid="{00000000-0006-0000-0700-00001B000000}">
      <text>
        <r>
          <rPr>
            <b/>
            <sz val="9"/>
            <color indexed="81"/>
            <rFont val="Tahoma"/>
            <family val="2"/>
          </rPr>
          <t>..:</t>
        </r>
        <r>
          <rPr>
            <sz val="9"/>
            <color indexed="81"/>
            <rFont val="Tahoma"/>
            <family val="2"/>
          </rPr>
          <t xml:space="preserve">
Watch for location change in CB Bill Pattern - adjust formulas accordingly - maintain backward compatibility.</t>
        </r>
      </text>
    </comment>
    <comment ref="R235" authorId="2" shapeId="0" xr:uid="{00000000-0006-0000-0700-00001C000000}">
      <text>
        <r>
          <rPr>
            <b/>
            <sz val="9"/>
            <color indexed="81"/>
            <rFont val="Tahoma"/>
            <family val="2"/>
          </rPr>
          <t>.:</t>
        </r>
        <r>
          <rPr>
            <sz val="9"/>
            <color indexed="81"/>
            <rFont val="Tahoma"/>
            <family val="2"/>
          </rPr>
          <t xml:space="preserve">
Starting with Fall 2017 report the year was adjusted to one year back.</t>
        </r>
      </text>
    </comment>
    <comment ref="F238" authorId="0" shapeId="0" xr:uid="{00000000-0006-0000-0700-00001D000000}">
      <text>
        <r>
          <rPr>
            <b/>
            <sz val="9"/>
            <color indexed="81"/>
            <rFont val="Tahoma"/>
            <family val="2"/>
          </rPr>
          <t>..:</t>
        </r>
        <r>
          <rPr>
            <sz val="9"/>
            <color indexed="81"/>
            <rFont val="Tahoma"/>
            <family val="2"/>
          </rPr>
          <t xml:space="preserve">
Includes System as well ar UT Austin.</t>
        </r>
      </text>
    </comment>
    <comment ref="R242" authorId="2" shapeId="0" xr:uid="{00000000-0006-0000-0700-00001E000000}">
      <text>
        <r>
          <rPr>
            <b/>
            <sz val="9"/>
            <color indexed="81"/>
            <rFont val="Tahoma"/>
            <family val="2"/>
          </rPr>
          <t>.:</t>
        </r>
        <r>
          <rPr>
            <sz val="9"/>
            <color indexed="81"/>
            <rFont val="Tahoma"/>
            <family val="2"/>
          </rPr>
          <t xml:space="preserve">
Starting with Fall 2017 report the year was adjusted to one year back.</t>
        </r>
      </text>
    </comment>
    <comment ref="B335" authorId="1" shapeId="0" xr:uid="{00000000-0006-0000-0700-00001F000000}">
      <text>
        <r>
          <rPr>
            <b/>
            <sz val="8"/>
            <color indexed="81"/>
            <rFont val="Tahoma"/>
            <family val="2"/>
          </rPr>
          <t>jmarks:</t>
        </r>
        <r>
          <rPr>
            <sz val="8"/>
            <color indexed="81"/>
            <rFont val="Tahoma"/>
            <family val="2"/>
          </rPr>
          <t xml:space="preserve">
Reported the same way as SCH data (by campus) preferred.</t>
        </r>
      </text>
    </comment>
    <comment ref="B339" authorId="1" shapeId="0" xr:uid="{00000000-0006-0000-0700-000020000000}">
      <text>
        <r>
          <rPr>
            <b/>
            <sz val="8"/>
            <color indexed="81"/>
            <rFont val="Tahoma"/>
            <family val="2"/>
          </rPr>
          <t>jmarks:</t>
        </r>
        <r>
          <rPr>
            <sz val="8"/>
            <color indexed="81"/>
            <rFont val="Tahoma"/>
            <family val="2"/>
          </rPr>
          <t xml:space="preserve">
Reported the same way as SCH data (by campus) preferred.</t>
        </r>
      </text>
    </comment>
    <comment ref="B349" authorId="1" shapeId="0" xr:uid="{00000000-0006-0000-0700-000021000000}">
      <text>
        <r>
          <rPr>
            <b/>
            <sz val="8"/>
            <color indexed="81"/>
            <rFont val="Tahoma"/>
            <family val="2"/>
          </rPr>
          <t>jmarks:</t>
        </r>
        <r>
          <rPr>
            <sz val="8"/>
            <color indexed="81"/>
            <rFont val="Tahoma"/>
            <family val="2"/>
          </rPr>
          <t xml:space="preserve">
Reported the same way as SCH data (by campus) preferred.</t>
        </r>
      </text>
    </comment>
    <comment ref="B350" authorId="1" shapeId="0" xr:uid="{00000000-0006-0000-0700-000022000000}">
      <text>
        <r>
          <rPr>
            <b/>
            <sz val="8"/>
            <color indexed="81"/>
            <rFont val="Tahoma"/>
            <family val="2"/>
          </rPr>
          <t>jmarks:</t>
        </r>
        <r>
          <rPr>
            <sz val="8"/>
            <color indexed="81"/>
            <rFont val="Tahoma"/>
            <family val="2"/>
          </rPr>
          <t xml:space="preserve">
Reported the same way as SCH data (by campus) preferred.</t>
        </r>
      </text>
    </comment>
    <comment ref="B351" authorId="1" shapeId="0" xr:uid="{00000000-0006-0000-0700-000023000000}">
      <text>
        <r>
          <rPr>
            <b/>
            <sz val="8"/>
            <color indexed="81"/>
            <rFont val="Tahoma"/>
            <family val="2"/>
          </rPr>
          <t>jmarks:</t>
        </r>
        <r>
          <rPr>
            <sz val="8"/>
            <color indexed="81"/>
            <rFont val="Tahoma"/>
            <family val="2"/>
          </rPr>
          <t xml:space="preserve">
Reported the same way as SCH data (by campus) preferred.</t>
        </r>
      </text>
    </comment>
    <comment ref="B352" authorId="1" shapeId="0" xr:uid="{00000000-0006-0000-0700-000024000000}">
      <text>
        <r>
          <rPr>
            <b/>
            <sz val="8"/>
            <color indexed="81"/>
            <rFont val="Tahoma"/>
            <family val="2"/>
          </rPr>
          <t>jmarks:</t>
        </r>
        <r>
          <rPr>
            <sz val="8"/>
            <color indexed="81"/>
            <rFont val="Tahoma"/>
            <family val="2"/>
          </rPr>
          <t xml:space="preserve">
Reported the same way as SCH data (by campus) preferred.</t>
        </r>
      </text>
    </comment>
    <comment ref="B353" authorId="1" shapeId="0" xr:uid="{00000000-0006-0000-0700-000025000000}">
      <text>
        <r>
          <rPr>
            <b/>
            <sz val="8"/>
            <color indexed="81"/>
            <rFont val="Tahoma"/>
            <family val="2"/>
          </rPr>
          <t>jmarks:</t>
        </r>
        <r>
          <rPr>
            <sz val="8"/>
            <color indexed="81"/>
            <rFont val="Tahoma"/>
            <family val="2"/>
          </rPr>
          <t xml:space="preserve">
Reported the same way as SCH data (by campus) preferred.</t>
        </r>
      </text>
    </comment>
    <comment ref="B356" authorId="1" shapeId="0" xr:uid="{00000000-0006-0000-0700-000026000000}">
      <text>
        <r>
          <rPr>
            <b/>
            <sz val="8"/>
            <color indexed="81"/>
            <rFont val="Tahoma"/>
            <family val="2"/>
          </rPr>
          <t>jmarks:</t>
        </r>
        <r>
          <rPr>
            <sz val="8"/>
            <color indexed="81"/>
            <rFont val="Tahoma"/>
            <family val="2"/>
          </rPr>
          <t xml:space="preserve">
Reported the same way as SCH data (by campus) preferred.</t>
        </r>
      </text>
    </comment>
    <comment ref="B399" authorId="1" shapeId="0" xr:uid="{00000000-0006-0000-0700-000027000000}">
      <text>
        <r>
          <rPr>
            <b/>
            <sz val="8"/>
            <color indexed="81"/>
            <rFont val="Tahoma"/>
            <family val="2"/>
          </rPr>
          <t>jmarks:</t>
        </r>
        <r>
          <rPr>
            <sz val="8"/>
            <color indexed="81"/>
            <rFont val="Tahoma"/>
            <family val="2"/>
          </rPr>
          <t xml:space="preserve">
Reported the same way as SCH data (by campus) preferred.</t>
        </r>
      </text>
    </comment>
    <comment ref="B400" authorId="1" shapeId="0" xr:uid="{00000000-0006-0000-0700-000028000000}">
      <text>
        <r>
          <rPr>
            <b/>
            <sz val="8"/>
            <color indexed="81"/>
            <rFont val="Tahoma"/>
            <family val="2"/>
          </rPr>
          <t>jmarks:</t>
        </r>
        <r>
          <rPr>
            <sz val="8"/>
            <color indexed="81"/>
            <rFont val="Tahoma"/>
            <family val="2"/>
          </rPr>
          <t xml:space="preserve">
Reported the same way as SCH data (by campus) preferred.</t>
        </r>
      </text>
    </comment>
    <comment ref="R402" authorId="0" shapeId="0" xr:uid="{00000000-0006-0000-0700-000029000000}">
      <text>
        <r>
          <rPr>
            <b/>
            <sz val="9"/>
            <color indexed="81"/>
            <rFont val="Tahoma"/>
            <family val="2"/>
          </rPr>
          <t>..:</t>
        </r>
        <r>
          <rPr>
            <sz val="9"/>
            <color indexed="81"/>
            <rFont val="Tahoma"/>
            <family val="2"/>
          </rPr>
          <t xml:space="preserve">
Note:  Due to timing of survey and the current AFR schedule of CCs, this amount will always be one year behind.</t>
        </r>
      </text>
    </comment>
    <comment ref="E465" authorId="0" shapeId="0" xr:uid="{00000000-0006-0000-0700-00002A000000}">
      <text>
        <r>
          <rPr>
            <b/>
            <sz val="9"/>
            <color indexed="81"/>
            <rFont val="Tahoma"/>
            <family val="2"/>
          </rPr>
          <t>..:</t>
        </r>
        <r>
          <rPr>
            <sz val="9"/>
            <color indexed="81"/>
            <rFont val="Tahoma"/>
            <family val="2"/>
          </rPr>
          <t xml:space="preserve">
This field controls the year for  tuition look-ups this section.</t>
        </r>
      </text>
    </comment>
    <comment ref="F477" authorId="0" shapeId="0" xr:uid="{00000000-0006-0000-0700-00002B000000}">
      <text>
        <r>
          <rPr>
            <b/>
            <sz val="9"/>
            <color indexed="81"/>
            <rFont val="Tahoma"/>
            <family val="2"/>
          </rPr>
          <t>..:</t>
        </r>
        <r>
          <rPr>
            <sz val="9"/>
            <color indexed="81"/>
            <rFont val="Tahoma"/>
            <family val="2"/>
          </rPr>
          <t xml:space="preserve">
This field controls the year for  tuition look-ups this section.</t>
        </r>
      </text>
    </comment>
    <comment ref="B492" authorId="0" shapeId="0" xr:uid="{00000000-0006-0000-0700-00002C000000}">
      <text>
        <r>
          <rPr>
            <b/>
            <sz val="9"/>
            <color indexed="81"/>
            <rFont val="Tahoma"/>
            <family val="2"/>
          </rPr>
          <t>..:</t>
        </r>
        <r>
          <rPr>
            <sz val="9"/>
            <color indexed="81"/>
            <rFont val="Tahoma"/>
            <family val="2"/>
          </rPr>
          <t xml:space="preserve">
Source:  College for all Texans/Students/College Costs/All Institutions/ Resident at bottom of page. Tuition &amp; Fees.</t>
        </r>
      </text>
    </comment>
    <comment ref="B493" authorId="0" shapeId="0" xr:uid="{00000000-0006-0000-0700-00002D000000}">
      <text>
        <r>
          <rPr>
            <b/>
            <sz val="9"/>
            <color indexed="81"/>
            <rFont val="Tahoma"/>
            <family val="2"/>
          </rPr>
          <t>..:</t>
        </r>
        <r>
          <rPr>
            <sz val="9"/>
            <color indexed="81"/>
            <rFont val="Tahoma"/>
            <family val="2"/>
          </rPr>
          <t xml:space="preserve">
Source:  College for all Texans/Students/College Costs/All Institutions/ Resident at bottom of page. Total Costs.</t>
        </r>
      </text>
    </comment>
    <comment ref="O534" authorId="0" shapeId="0" xr:uid="{00000000-0006-0000-0700-00002E000000}">
      <text>
        <r>
          <rPr>
            <b/>
            <sz val="9"/>
            <color indexed="81"/>
            <rFont val="Tahoma"/>
            <family val="2"/>
          </rPr>
          <t>..:</t>
        </r>
        <r>
          <rPr>
            <sz val="9"/>
            <color indexed="81"/>
            <rFont val="Tahoma"/>
            <family val="2"/>
          </rPr>
          <t xml:space="preserve">
Template is formatted to display only the current submission year data.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I26" authorId="0" shapeId="0" xr:uid="{00000000-0006-0000-0900-000001000000}">
      <text>
        <r>
          <rPr>
            <b/>
            <sz val="9"/>
            <color indexed="81"/>
            <rFont val="Tahoma"/>
            <family val="2"/>
          </rPr>
          <t>':</t>
        </r>
        <r>
          <rPr>
            <sz val="9"/>
            <color indexed="81"/>
            <rFont val="Tahoma"/>
            <family val="2"/>
          </rPr>
          <t xml:space="preserve">
Excludes Medical School amounts.</t>
        </r>
      </text>
    </comment>
    <comment ref="J26" authorId="0" shapeId="0" xr:uid="{00000000-0006-0000-0900-000002000000}">
      <text>
        <r>
          <rPr>
            <b/>
            <sz val="9"/>
            <color indexed="81"/>
            <rFont val="Tahoma"/>
            <family val="2"/>
          </rPr>
          <t>':</t>
        </r>
        <r>
          <rPr>
            <sz val="9"/>
            <color indexed="81"/>
            <rFont val="Tahoma"/>
            <family val="2"/>
          </rPr>
          <t xml:space="preserve">
Excludes Medical School amounts.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L25" authorId="0" shapeId="0" xr:uid="{00000000-0006-0000-0A00-000001000000}">
      <text>
        <r>
          <rPr>
            <b/>
            <sz val="9"/>
            <color indexed="81"/>
            <rFont val="Tahoma"/>
            <family val="2"/>
          </rPr>
          <t>..:</t>
        </r>
        <r>
          <rPr>
            <sz val="9"/>
            <color indexed="81"/>
            <rFont val="Tahoma"/>
            <family val="2"/>
          </rPr>
          <t xml:space="preserve">
Source Bill Pattern for CB</t>
        </r>
      </text>
    </comment>
    <comment ref="H133" authorId="0" shapeId="0" xr:uid="{00000000-0006-0000-0A00-000002000000}">
      <text>
        <r>
          <rPr>
            <b/>
            <sz val="9"/>
            <color indexed="81"/>
            <rFont val="Tahoma"/>
            <family val="2"/>
          </rPr>
          <t>..:</t>
        </r>
        <r>
          <rPr>
            <sz val="9"/>
            <color indexed="81"/>
            <rFont val="Tahoma"/>
            <family val="2"/>
          </rPr>
          <t xml:space="preserve">
Used for TEG Calculation
</t>
        </r>
      </text>
    </comment>
    <comment ref="H139" authorId="0" shapeId="0" xr:uid="{00000000-0006-0000-0A00-000003000000}">
      <text>
        <r>
          <rPr>
            <b/>
            <sz val="9"/>
            <color indexed="81"/>
            <rFont val="Tahoma"/>
            <family val="2"/>
          </rPr>
          <t>..:</t>
        </r>
        <r>
          <rPr>
            <sz val="9"/>
            <color indexed="81"/>
            <rFont val="Tahoma"/>
            <family val="2"/>
          </rPr>
          <t xml:space="preserve">
Used for TEG Calculation
</t>
        </r>
      </text>
    </comment>
    <comment ref="H170" authorId="0" shapeId="0" xr:uid="{00000000-0006-0000-0A00-000004000000}">
      <text>
        <r>
          <rPr>
            <b/>
            <sz val="9"/>
            <color indexed="81"/>
            <rFont val="Tahoma"/>
            <family val="2"/>
          </rPr>
          <t>..:</t>
        </r>
        <r>
          <rPr>
            <sz val="9"/>
            <color indexed="81"/>
            <rFont val="Tahoma"/>
            <family val="2"/>
          </rPr>
          <t xml:space="preserve">
Used for TEG Calculation
</t>
        </r>
      </text>
    </comment>
  </commentList>
</comments>
</file>

<file path=xl/sharedStrings.xml><?xml version="1.0" encoding="utf-8"?>
<sst xmlns="http://schemas.openxmlformats.org/spreadsheetml/2006/main" count="11287" uniqueCount="2237">
  <si>
    <t>Item (Enter Whole Dollars Only)</t>
  </si>
  <si>
    <t>Recapitulation-All Articles (All Funds)</t>
  </si>
  <si>
    <t>All Funds</t>
  </si>
  <si>
    <t>General Government</t>
  </si>
  <si>
    <t>Health and Human Services</t>
  </si>
  <si>
    <t>Agencies of Education</t>
  </si>
  <si>
    <t>The Judiciary</t>
  </si>
  <si>
    <t>Public Safety and Criminal Justice</t>
  </si>
  <si>
    <t>Natural Resources</t>
  </si>
  <si>
    <t>Business and Economic Development</t>
  </si>
  <si>
    <t>Regulatory</t>
  </si>
  <si>
    <t>General Provisions</t>
  </si>
  <si>
    <t>The Legislature</t>
  </si>
  <si>
    <t>American Recovery and Reinvestment Act</t>
  </si>
  <si>
    <t>Total All Articles</t>
  </si>
  <si>
    <t>Recapitulation-All Articles (General Revenue)</t>
  </si>
  <si>
    <t>GR</t>
  </si>
  <si>
    <t>Total General Revenue</t>
  </si>
  <si>
    <t>Recapitulation-Article III Agencies of Education (All Funds)</t>
  </si>
  <si>
    <t>Texas Education Agency</t>
  </si>
  <si>
    <t>State Board For Educator Certification</t>
  </si>
  <si>
    <t>School for the Blind and Visually Impaired</t>
  </si>
  <si>
    <t>School for the Deaf</t>
  </si>
  <si>
    <t>Telecommunications Infrastructure Board</t>
  </si>
  <si>
    <t>Teacher Retirement System</t>
  </si>
  <si>
    <t>Optional Retirement Program</t>
  </si>
  <si>
    <t>Higher Education Employees Group Insurance Contributions</t>
  </si>
  <si>
    <t>Higher Education Coordinating Board</t>
  </si>
  <si>
    <t>Higher Education Fund</t>
  </si>
  <si>
    <t>Available University Fund</t>
  </si>
  <si>
    <t>National Research University Fund</t>
  </si>
  <si>
    <t>UT-Arlington</t>
  </si>
  <si>
    <t>UT-Austin</t>
  </si>
  <si>
    <t>UT-Dallas</t>
  </si>
  <si>
    <t>UT-El Paso</t>
  </si>
  <si>
    <t>UT-Pan American</t>
  </si>
  <si>
    <t>UT-Brownsville</t>
  </si>
  <si>
    <t>UT-Permian Basin</t>
  </si>
  <si>
    <t>UT-San Antonio</t>
  </si>
  <si>
    <t>UT-Tyler</t>
  </si>
  <si>
    <t>TAMU-System Administration</t>
  </si>
  <si>
    <t>TAMU</t>
  </si>
  <si>
    <t>West Texas</t>
  </si>
  <si>
    <t>TAMU-Commerce</t>
  </si>
  <si>
    <t>TAMU-Texarkana</t>
  </si>
  <si>
    <t>UH-System Administration</t>
  </si>
  <si>
    <t>UH</t>
  </si>
  <si>
    <t>UH-Clear Lake</t>
  </si>
  <si>
    <t>UH-Downtown</t>
  </si>
  <si>
    <t>UH-Victoria</t>
  </si>
  <si>
    <t>Midwestern</t>
  </si>
  <si>
    <t>North Texas-System Administration</t>
  </si>
  <si>
    <t>North Texas</t>
  </si>
  <si>
    <t>North Texas-Dallas</t>
  </si>
  <si>
    <t>SFA</t>
  </si>
  <si>
    <t>Texas Southern</t>
  </si>
  <si>
    <t>Texas Tech-System Administration</t>
  </si>
  <si>
    <t>Texas Tech</t>
  </si>
  <si>
    <t>Angelo</t>
  </si>
  <si>
    <t>Texas Woman's</t>
  </si>
  <si>
    <t>Texas State-System Administration</t>
  </si>
  <si>
    <t>Lamar</t>
  </si>
  <si>
    <t>Lamar-Orange</t>
  </si>
  <si>
    <t>Lamar-Port Arthur</t>
  </si>
  <si>
    <t>Sam Houston</t>
  </si>
  <si>
    <t>Texas State-San Marcos</t>
  </si>
  <si>
    <t>Sul Ross</t>
  </si>
  <si>
    <t>Sul Ross-Rio Grande</t>
  </si>
  <si>
    <t>UT-SMC-Dallas</t>
  </si>
  <si>
    <t>UT-MB-Galveston</t>
  </si>
  <si>
    <t>UT-HSC-Houston</t>
  </si>
  <si>
    <t>UT-HSC-San Antonio</t>
  </si>
  <si>
    <t>UT-MD Anderson</t>
  </si>
  <si>
    <t>UT-HSC-Tyler</t>
  </si>
  <si>
    <t>TAMU-SHSC</t>
  </si>
  <si>
    <t>North Texas HSC-Fort Worth</t>
  </si>
  <si>
    <t>Texas Tech-UHSC</t>
  </si>
  <si>
    <t>Public Community Colleges</t>
  </si>
  <si>
    <t>TSTC-System Administration</t>
  </si>
  <si>
    <t>TSTC-Harlingen</t>
  </si>
  <si>
    <t>TSTC-West Texas</t>
  </si>
  <si>
    <t>TSTC-Marshall</t>
  </si>
  <si>
    <t>TSTC-Waco</t>
  </si>
  <si>
    <t>TAMU-AgriLife Research</t>
  </si>
  <si>
    <t>TAMU-AgriLife Extension</t>
  </si>
  <si>
    <t>TAMU-Engineering Experiment</t>
  </si>
  <si>
    <t>TAMU-Transportation Institute</t>
  </si>
  <si>
    <t>TAMU-Engineering Extension</t>
  </si>
  <si>
    <t>TAMU-Forest Service</t>
  </si>
  <si>
    <t>TAMU-Veterinary Medical Diagnostic Laboratory</t>
  </si>
  <si>
    <t>Subtotal, Agencies of Education</t>
  </si>
  <si>
    <t>Retirement and Group Insurance</t>
  </si>
  <si>
    <t>Social Security and Benefit Replacement Pay</t>
  </si>
  <si>
    <t>Subtotal, Employee Benefits</t>
  </si>
  <si>
    <t>Bond Debt Service Payments</t>
  </si>
  <si>
    <t>Lease Payments</t>
  </si>
  <si>
    <t>Subtotal, Debt Service</t>
  </si>
  <si>
    <t>Less Interagency Contracts</t>
  </si>
  <si>
    <t>Total, Article III-Agencies of Education</t>
  </si>
  <si>
    <t>Recapitulation-Article III Agencies of Education (General Revenue)</t>
  </si>
  <si>
    <t>Public Community Colleges - Article III - Detail List (All Funds)</t>
  </si>
  <si>
    <t>Alamo Community College</t>
  </si>
  <si>
    <t>Alvin Community College</t>
  </si>
  <si>
    <t>Amarillo College</t>
  </si>
  <si>
    <t>Angelina College</t>
  </si>
  <si>
    <t>Austin Community College</t>
  </si>
  <si>
    <t>Blinn College</t>
  </si>
  <si>
    <t>Brazosport College</t>
  </si>
  <si>
    <t>Central Texas College</t>
  </si>
  <si>
    <t>Cisco Junior College</t>
  </si>
  <si>
    <t>Clarendon College</t>
  </si>
  <si>
    <t>Coastal Bend Community College</t>
  </si>
  <si>
    <t>College of the Mainland</t>
  </si>
  <si>
    <t>Collin County Community College</t>
  </si>
  <si>
    <t>Del Mar College</t>
  </si>
  <si>
    <t>El Paso CC</t>
  </si>
  <si>
    <t>Frank Phillips College</t>
  </si>
  <si>
    <t>Galveston College</t>
  </si>
  <si>
    <t>Grayson County College</t>
  </si>
  <si>
    <t>Hill College</t>
  </si>
  <si>
    <t>Houston Community College</t>
  </si>
  <si>
    <t>Howard County Junior College</t>
  </si>
  <si>
    <t>Kilgore College</t>
  </si>
  <si>
    <t>Laredo Community College</t>
  </si>
  <si>
    <t xml:space="preserve">Lee College </t>
  </si>
  <si>
    <t>Lonestar College</t>
  </si>
  <si>
    <t>McLennan Community College</t>
  </si>
  <si>
    <t>Midland College</t>
  </si>
  <si>
    <t>Navarro College</t>
  </si>
  <si>
    <t xml:space="preserve">North Central </t>
  </si>
  <si>
    <t>Northeast</t>
  </si>
  <si>
    <t>Odessa College</t>
  </si>
  <si>
    <t>Panola College</t>
  </si>
  <si>
    <t>Paris Junior College</t>
  </si>
  <si>
    <t>Ranger College</t>
  </si>
  <si>
    <t>San Jacinto College</t>
  </si>
  <si>
    <t>South Plains College</t>
  </si>
  <si>
    <t>South Texas College</t>
  </si>
  <si>
    <t>Southwest Texas Junior College</t>
  </si>
  <si>
    <t>Tarrant County Junior College</t>
  </si>
  <si>
    <t>Temple Junior College</t>
  </si>
  <si>
    <t>Texarkana College</t>
  </si>
  <si>
    <t>Texas Southmost College</t>
  </si>
  <si>
    <t>Trinity Valley Community College</t>
  </si>
  <si>
    <t>Tyler Junior College</t>
  </si>
  <si>
    <t>Vernon Regional Junior College</t>
  </si>
  <si>
    <t>Victoria College</t>
  </si>
  <si>
    <t>Weatherford College</t>
  </si>
  <si>
    <t>Western Texas College</t>
  </si>
  <si>
    <t>Wharton County Junior College</t>
  </si>
  <si>
    <t>Total, Public Community Junior Colleges</t>
  </si>
  <si>
    <t>Public Community Colleges - Article III - Detail List (General Revenue)</t>
  </si>
  <si>
    <t>Grand Total, Public Community Junior Colleges</t>
  </si>
  <si>
    <t>III-35 - III-37</t>
  </si>
  <si>
    <t>GAA Page III-35</t>
  </si>
  <si>
    <t>Skip Contributions</t>
  </si>
  <si>
    <t>Opt-Out Contributions</t>
  </si>
  <si>
    <t>Total Group Insurance Contributions</t>
  </si>
  <si>
    <t>Individual Bill Pattern - Employee Benefits Section</t>
  </si>
  <si>
    <t>GAA Individual Bill Pattern</t>
  </si>
  <si>
    <t>Texas Higher Education Coordinating Board</t>
  </si>
  <si>
    <t>Total - Higher Education Employees Benefits - Retirement</t>
  </si>
  <si>
    <t>N/A</t>
  </si>
  <si>
    <t>North Central Texas</t>
  </si>
  <si>
    <t>Trinity Valley</t>
  </si>
  <si>
    <t>Request from LBB after Each Session</t>
  </si>
  <si>
    <t>Alvin College</t>
  </si>
  <si>
    <t>Coastal Bend College</t>
  </si>
  <si>
    <t>Collin County CC</t>
  </si>
  <si>
    <t>Dallas County College</t>
  </si>
  <si>
    <t>El Paso Community College</t>
  </si>
  <si>
    <t>Houston College</t>
  </si>
  <si>
    <t>Howard (Incl. SWCID)</t>
  </si>
  <si>
    <t>Laredo College</t>
  </si>
  <si>
    <t>Lee College</t>
  </si>
  <si>
    <t>Lone Star College</t>
  </si>
  <si>
    <t>McLennan  College</t>
  </si>
  <si>
    <t>Northeast Texas CC</t>
  </si>
  <si>
    <t>Southwest Texas</t>
  </si>
  <si>
    <t>Tarrant County</t>
  </si>
  <si>
    <t>Vernon College</t>
  </si>
  <si>
    <t>Wharton College</t>
  </si>
  <si>
    <t>Texas Higher Education Coordinating Board (All Funds)</t>
  </si>
  <si>
    <t>Close the Gaps in Higher Education</t>
  </si>
  <si>
    <t>Close Gaps in Participation/Success</t>
  </si>
  <si>
    <t>Close the Gaps Loan Program</t>
  </si>
  <si>
    <t>Close the Gaps-College Readiness</t>
  </si>
  <si>
    <t>Closing the Gaps in Excellence</t>
  </si>
  <si>
    <t>Closing the Gaps in Research</t>
  </si>
  <si>
    <t>Closing the Gaps-Planning/Information</t>
  </si>
  <si>
    <t>Higher Education Policy Institute</t>
  </si>
  <si>
    <t>Total Close the Gaps in Higher Education</t>
  </si>
  <si>
    <t>Close the Gaps-Affordability</t>
  </si>
  <si>
    <t>License Plate Scholarships</t>
  </si>
  <si>
    <t>Fifth-Year Accounting Students</t>
  </si>
  <si>
    <t>Early High School Graduation</t>
  </si>
  <si>
    <t>TANF Scholarship Program</t>
  </si>
  <si>
    <t>Educational Aide Program</t>
  </si>
  <si>
    <t>Teach for Texas Loan Repayment</t>
  </si>
  <si>
    <t>Border Faculty Loan Repayment Program</t>
  </si>
  <si>
    <t xml:space="preserve">OAG Lawyers Loan Repayment </t>
  </si>
  <si>
    <t>Student Financial Aid Programs</t>
  </si>
  <si>
    <t>College Work Study</t>
  </si>
  <si>
    <t>TX Educational Opportunity</t>
  </si>
  <si>
    <t>Tuition Equalization Grants</t>
  </si>
  <si>
    <t>Texas Grants</t>
  </si>
  <si>
    <t>B-on-Time</t>
  </si>
  <si>
    <t>Doctoral Incentive Program</t>
  </si>
  <si>
    <t>Engineering Recruitment Program</t>
  </si>
  <si>
    <t>Higher Education Performance Incentive</t>
  </si>
  <si>
    <t xml:space="preserve">Top 10 Percent Scholarship </t>
  </si>
  <si>
    <t>Texas Armed Services Scholarship Program</t>
  </si>
  <si>
    <t>Tuition Reimbursement</t>
  </si>
  <si>
    <t>Texas Career Opportunity Grants/Program</t>
  </si>
  <si>
    <t>T-Stem Challenge Program</t>
  </si>
  <si>
    <t>Total-Close the Gaps-Affordability</t>
  </si>
  <si>
    <t>Close the Gaps-Research</t>
  </si>
  <si>
    <t>N Hackerman Advanced Research Program</t>
  </si>
  <si>
    <t>Water Aquifer Research</t>
  </si>
  <si>
    <t>Total-Close the Gaps-Research</t>
  </si>
  <si>
    <t>Close the Gaps-Health Programs</t>
  </si>
  <si>
    <t>Baylor College of Medicine</t>
  </si>
  <si>
    <t>Baylor College of Medicine GME</t>
  </si>
  <si>
    <t>Family Practice Residency</t>
  </si>
  <si>
    <t>Preceptorship Program</t>
  </si>
  <si>
    <t>Primary Care Residency Program</t>
  </si>
  <si>
    <t>Graduate Medical Education</t>
  </si>
  <si>
    <t>Joint Admission Medical Program</t>
  </si>
  <si>
    <t>Physician Education Loan Repayment Program</t>
  </si>
  <si>
    <t>Professional Nursing Aid</t>
  </si>
  <si>
    <t>Vocational Nursing Aid</t>
  </si>
  <si>
    <t>Prof Nursing Shortage Reduction Program</t>
  </si>
  <si>
    <t>Alzheimer's Disease Centers</t>
  </si>
  <si>
    <t>Hospital-Based Nursing Education</t>
  </si>
  <si>
    <t>Physician &amp; Nurse Trauma Care</t>
  </si>
  <si>
    <t>UNT HSC College of Pharmacy</t>
  </si>
  <si>
    <t xml:space="preserve">   Total-Close the Gaps-Health Programs</t>
  </si>
  <si>
    <t xml:space="preserve">   Total-Baylor College of Medicine</t>
  </si>
  <si>
    <t>Close the Gaps-Quality/Participation</t>
  </si>
  <si>
    <t>Developmental Education Program</t>
  </si>
  <si>
    <t>Teacher Education</t>
  </si>
  <si>
    <t>Two Year Enrollment Growth</t>
  </si>
  <si>
    <t>New Community College Campuses</t>
  </si>
  <si>
    <t>General Academic Enrollment Growth</t>
  </si>
  <si>
    <t>African American Museum Internship</t>
  </si>
  <si>
    <t>Adult Basic Education  Community College Grants</t>
  </si>
  <si>
    <t>Alternative Teaching Certificate Program-CCs</t>
  </si>
  <si>
    <t>Baccalaureate Degree Study</t>
  </si>
  <si>
    <t>UT-Brownsville, Texas Southmost College Transition Funding</t>
  </si>
  <si>
    <t>Total-Close the Gaps-Quality / Participation</t>
  </si>
  <si>
    <t>Close the Gaps-Federal Grant Programs</t>
  </si>
  <si>
    <t>Career and Technical Education Programs</t>
  </si>
  <si>
    <t>Teacher Quality Grants Programs</t>
  </si>
  <si>
    <t>College Access Challenge Grants</t>
  </si>
  <si>
    <t>Other Federal Grants Programs</t>
  </si>
  <si>
    <t>Total-Federal Grant Programs</t>
  </si>
  <si>
    <t>Close the Gaps-Tobacco Funds</t>
  </si>
  <si>
    <t>Earnings-Minority Health Tobacco Earnings (Fund 825)</t>
  </si>
  <si>
    <t>Earnings-Nursing / Allied Health (Fund 824)</t>
  </si>
  <si>
    <t>Total-Tobacco Funds</t>
  </si>
  <si>
    <t>Indirect Administration</t>
  </si>
  <si>
    <t>Central Administration</t>
  </si>
  <si>
    <t>Information Resources</t>
  </si>
  <si>
    <t>Other Support Services</t>
  </si>
  <si>
    <t>Total-Indirect Administration</t>
  </si>
  <si>
    <t>Total All Funds</t>
  </si>
  <si>
    <t>Texas Higher Education Coordinating Board (General Revenues)</t>
  </si>
  <si>
    <t>Student Grants and Special Prgs</t>
  </si>
  <si>
    <t>Advanced Research Program</t>
  </si>
  <si>
    <t>Dental Education Loan Program</t>
  </si>
  <si>
    <t>THECB  Closing the Gaps in Education</t>
  </si>
  <si>
    <t>THECB  Closing the Gaps in Affordability</t>
  </si>
  <si>
    <t>THECB  Closing the Gaps - Research</t>
  </si>
  <si>
    <t>THECB  Closing the Gaps - Health Programs</t>
  </si>
  <si>
    <t>THECB  Baylor College of Medicine</t>
  </si>
  <si>
    <t>THECB  Closing the Gaps - Quality/Participation</t>
  </si>
  <si>
    <t>THECB  Federal Grant Programs</t>
  </si>
  <si>
    <t>THECB  Tobacco Funds</t>
  </si>
  <si>
    <t>THECB  Indirect Administration</t>
  </si>
  <si>
    <t>THECB  Riders and Contingencies</t>
  </si>
  <si>
    <t>Total</t>
  </si>
  <si>
    <t>Special Item Appropriations</t>
  </si>
  <si>
    <t>UT-Arlington:  Science Education Center</t>
  </si>
  <si>
    <t>UT-Arlington:  Automation and Robotics Research Institute</t>
  </si>
  <si>
    <t>UT-Arlington:  Rural Hospital Outreach Program</t>
  </si>
  <si>
    <t>UT-Arlington:  Institute of Urban Studies</t>
  </si>
  <si>
    <t>UT-Arlington:  Mexican American Studies</t>
  </si>
  <si>
    <t>UT-Arlington:  UT Arlington Regional Nursing ED CT</t>
  </si>
  <si>
    <t>UT-Arlington:  Institutional Enhancement</t>
  </si>
  <si>
    <t>UT-Arlington:  Africa International Exchange</t>
  </si>
  <si>
    <t>UT-Arlington:  Competitive Knowledge Fund</t>
  </si>
  <si>
    <t>UT-Arlington:  Total</t>
  </si>
  <si>
    <t>UT-Austin:  Readiness</t>
  </si>
  <si>
    <t>UT-Austin:  Marine Science Institute - Port Aransas</t>
  </si>
  <si>
    <t>UT-Austin:  Texas Natural Science Center</t>
  </si>
  <si>
    <t>UT-Austin:  Institute for Geophysics</t>
  </si>
  <si>
    <t>UT-Austin:  Bureau of Economic Geology</t>
  </si>
  <si>
    <t>UT-Austin:  Bureau of Business Research</t>
  </si>
  <si>
    <t>UT-Austin:  McDonald Observatory</t>
  </si>
  <si>
    <t>UT-Austin:  Center for Advanced Studies in Astronomy</t>
  </si>
  <si>
    <t>UT-Austin:  Bureau of Economic Geology: Project STARR</t>
  </si>
  <si>
    <t>UT-Austin:  Identity Theft and Security</t>
  </si>
  <si>
    <t>UT-Austin:  Texas Memorial Museum</t>
  </si>
  <si>
    <t>UT-Austin:  Public Policy Institute</t>
  </si>
  <si>
    <t>UT-Austin:  Public Policy Dispute Resolution Center</t>
  </si>
  <si>
    <t>UT-Austin:  Garner Museum</t>
  </si>
  <si>
    <t>UT-Austin:  Institutional Enhancement</t>
  </si>
  <si>
    <t>UT-Austin:  Competitive Knowledge Fund</t>
  </si>
  <si>
    <t>UT-Austin:  ARRA - Law School Clinical Program</t>
  </si>
  <si>
    <t>UT-Austin: Total</t>
  </si>
  <si>
    <t>UT-Dallas:  Center for Applied Biology</t>
  </si>
  <si>
    <t>UT-Dallas:  Nanotechnology</t>
  </si>
  <si>
    <t>UT-Dallas:  Middle School Brain Years</t>
  </si>
  <si>
    <t>UT-Dallas:  Intensive Summer Academic Bridge Program</t>
  </si>
  <si>
    <t>UT-Dallas:  Institutional Enhancement - Replaced by CKF</t>
  </si>
  <si>
    <t>UT-Dallas:  Science, Engineering and Math</t>
  </si>
  <si>
    <t>UT-Dallas:  Competitive Knowledge Fund</t>
  </si>
  <si>
    <t>UT-Dallas:  ARRA - Center for Values in Medicine</t>
  </si>
  <si>
    <t>UT-Dallas:  ARRA - Academic Bridge</t>
  </si>
  <si>
    <t>UT-Dallas: Total</t>
  </si>
  <si>
    <t>UT-El Paso:  Inter-American and Border Studies Institute</t>
  </si>
  <si>
    <t>UT-El Paso:  Center for Environmental Resource Management</t>
  </si>
  <si>
    <t>UT-El Paso:  Center for Law and Border Studies</t>
  </si>
  <si>
    <t>UT-El Paso:  El Paso Centennial Museum</t>
  </si>
  <si>
    <t>UT-El Paso:  Rural Nursing Health Care Services</t>
  </si>
  <si>
    <t>UT-El Paso:  Institute for Manufacturing and Materials Management</t>
  </si>
  <si>
    <t>UT-El Paso:  Texas Centers for Economic and Enterprise Development</t>
  </si>
  <si>
    <t>UT-El Paso:  Collaborative for Academic Excellence</t>
  </si>
  <si>
    <t>UT-El Paso:  Border Community Health Education Institute</t>
  </si>
  <si>
    <t>UT-El Paso:  Border Health Research</t>
  </si>
  <si>
    <t>UT-El Paso:  United States - Mexico Immigration Center</t>
  </si>
  <si>
    <t>UT-El Paso:  Institutional Enhancement</t>
  </si>
  <si>
    <t>UT-El Paso:  Competitive Knowledge Fund</t>
  </si>
  <si>
    <t>UT-Pan American:  Professional Development/Distance Learning</t>
  </si>
  <si>
    <t>UT-Pan American:  Cooperative Pharmacy Doctorate</t>
  </si>
  <si>
    <t>UT-Pan American:  Starr County Upper Level Center</t>
  </si>
  <si>
    <t>UT-Pan American:  McAllen Teaching Site</t>
  </si>
  <si>
    <t>UT-Pan American:  Center for Entrepreneurship and Economic Development</t>
  </si>
  <si>
    <t>UT-Pan American:  Center for Manufacturing</t>
  </si>
  <si>
    <t>UT-Pan American:  UT System K-12 Collaboration</t>
  </si>
  <si>
    <t>UT-Pan American:  Trade and Technology/Telecommunication</t>
  </si>
  <si>
    <t>UT-Pan American:  Diabetes Registry</t>
  </si>
  <si>
    <t>UT-Pan American:  Texas/Mexico Border Health</t>
  </si>
  <si>
    <t>UT-Pan American:  McAllen Advanced Manufacturing Research and Education Park</t>
  </si>
  <si>
    <t>UT-Pan American:  Institutional Enhancement</t>
  </si>
  <si>
    <t>UT-Pan American:  Successful Transition to College</t>
  </si>
  <si>
    <t>UT-Pan American:  Research Development Fund</t>
  </si>
  <si>
    <t>UT-Brownsville:  Texas Center for Border Economic Development</t>
  </si>
  <si>
    <t>UT-Brownsville:  K-16 Collaboration in the UTB Service Area</t>
  </si>
  <si>
    <t>UT-Brownsville:  Institutional Enhancement</t>
  </si>
  <si>
    <t>UT-Brownsville:  Research Development Fund</t>
  </si>
  <si>
    <t>UT-Permian Basin:  Performing Arts Center</t>
  </si>
  <si>
    <t>UT-Permian Basin:  Instruction Enhancement</t>
  </si>
  <si>
    <t>UT-Permian Basin:  College of Engineering</t>
  </si>
  <si>
    <t>UT-Permian Basin:  College of Nursing</t>
  </si>
  <si>
    <t>UT-Permian Basin:  Center for Energy</t>
  </si>
  <si>
    <t>UT-Permian Basin:  Small Business Development Center</t>
  </si>
  <si>
    <t>UT-Permian Basin:  Institutional Enhancement</t>
  </si>
  <si>
    <t>UT-Permian Basin:  Research Development Fund</t>
  </si>
  <si>
    <t>UT-Permian Basin: Total</t>
  </si>
  <si>
    <t>UT-San Antonio:  Texas Pre-Engineering Program</t>
  </si>
  <si>
    <t>UT-San Antonio:  Water Research Center</t>
  </si>
  <si>
    <t>UT-San Antonio:  Life Sciences</t>
  </si>
  <si>
    <t>UT-San Antonio:  Small Business Development Center</t>
  </si>
  <si>
    <t>UT-San Antonio:  Institute of Texan Cultures</t>
  </si>
  <si>
    <t>UT-San Antonio:  South-West Texas Border Network SBDC</t>
  </si>
  <si>
    <t>UT-San Antonio:  Institutional Enhancement</t>
  </si>
  <si>
    <t>UT-San Antonio:  Downtown Campus Phase II</t>
  </si>
  <si>
    <t>UT-San Antonio:  Texas State Data Center</t>
  </si>
  <si>
    <t>UT-San Antonio:  Competitive Knowledge Fund</t>
  </si>
  <si>
    <t>UT-San Antonio:  ARRA - P-16 Council</t>
  </si>
  <si>
    <t>UT-Tyler:  Four-Year Start-Up Operations</t>
  </si>
  <si>
    <t>UT-Tyler:  Longview Campus</t>
  </si>
  <si>
    <t>UT-Tyler:  Institutional Enhancement</t>
  </si>
  <si>
    <t>UT-Tyler:  Research Development Fund</t>
  </si>
  <si>
    <t>UT-Tyler: Total</t>
  </si>
  <si>
    <t>TAMU:  Cyclotron Institute</t>
  </si>
  <si>
    <t>TAMU:  Sea Grant Program</t>
  </si>
  <si>
    <t>TAMU:  Energy Resources Program</t>
  </si>
  <si>
    <t>TAMU:  Public Policy Resource Laboratory</t>
  </si>
  <si>
    <t>TAMU:  Real Estate Research Center</t>
  </si>
  <si>
    <t>TAMU:  School of Architecture</t>
  </si>
  <si>
    <t>TAMU:  Competitive Knowledge Fund</t>
  </si>
  <si>
    <t>TAMU: Total</t>
  </si>
  <si>
    <t>TAMU-Galveston:  Coastal Zone Laboratory</t>
  </si>
  <si>
    <t>TAMU-Galveston:  Texas Institute of Oceanography</t>
  </si>
  <si>
    <t>TAMU-Galveston:  Institutional Enhancement</t>
  </si>
  <si>
    <t>TAMU-Galveston:  Research Development Fund</t>
  </si>
  <si>
    <t>TAMU-Galveston: Total</t>
  </si>
  <si>
    <t>Prairie View:  Student Nurse Stipends</t>
  </si>
  <si>
    <t>Prairie View:  Honors Program</t>
  </si>
  <si>
    <t>Prairie View:  Cooperative Agriculture Research Center</t>
  </si>
  <si>
    <t>Prairie View:  Agriculture Match</t>
  </si>
  <si>
    <t>Prairie View:  Extension and Public Service</t>
  </si>
  <si>
    <t>Prairie View:  Juvenile Crime Prevention Center</t>
  </si>
  <si>
    <t>Prairie View:  Community Development</t>
  </si>
  <si>
    <t>Prairie View:  Institutional Enhancement</t>
  </si>
  <si>
    <t>Prairie View:  University Realignment</t>
  </si>
  <si>
    <t>Prairie View:  Academic Development Initiative</t>
  </si>
  <si>
    <t>Prairie View: Total</t>
  </si>
  <si>
    <t>Tarleton:  Central Texas Univ. System Center</t>
  </si>
  <si>
    <t>Tarleton:  Tarleton Outreach</t>
  </si>
  <si>
    <t>Tarleton:  Multi-Institution Teaching Center</t>
  </si>
  <si>
    <t>Tarleton:  Institute for Applied Environmental Research</t>
  </si>
  <si>
    <t>Tarleton:  Tarleton Agricultural Center</t>
  </si>
  <si>
    <t>Tarleton:  Small Business Development Center</t>
  </si>
  <si>
    <t>Tarleton:  Institutional Enhancement</t>
  </si>
  <si>
    <t>Tarleton:  Research Development Fund</t>
  </si>
  <si>
    <t>Tarleton: Total</t>
  </si>
  <si>
    <t>TAMU-Central Texas:  Transitional Funding</t>
  </si>
  <si>
    <t>TAMU-Central Texas:  Institutional Enhancement</t>
  </si>
  <si>
    <t>TAMU-Central Texas: Total</t>
  </si>
  <si>
    <t>TAMU-Corpus Christi:  Engineering Program</t>
  </si>
  <si>
    <t>TAMU-Corpus Christi:  School Nursing Program for the Early Childhood Development Center</t>
  </si>
  <si>
    <t>TAMU-Corpus Christi:  Environmental Learning Center</t>
  </si>
  <si>
    <t>TAMU-Corpus Christi:  Center for Coastal Studies</t>
  </si>
  <si>
    <t>TAMU-Corpus Christi:  Gulf of Mexico Environmental Research Laboratory</t>
  </si>
  <si>
    <t>TAMU-Corpus Christi:  Water Resources Center</t>
  </si>
  <si>
    <t>TAMU-Corpus Christi:  Art Museum</t>
  </si>
  <si>
    <t>TAMU-Corpus Christi:  Coastal Bend Economic Development and Business Innovation Center</t>
  </si>
  <si>
    <t>TAMU-Corpus Christi:  Institutional Enhancement</t>
  </si>
  <si>
    <t>TAMU-Kingsville:  Ph.D. in Engineering</t>
  </si>
  <si>
    <t>TAMU-Kingsville:  TAMU Kingsville System Center - San Antonio</t>
  </si>
  <si>
    <t>TAMU-Kingsville:  Veterinary Technology Program</t>
  </si>
  <si>
    <t>TAMU-Kingsville:  Citrus Center</t>
  </si>
  <si>
    <t>TAMU-Kingsville:  Wildlife Research Institute</t>
  </si>
  <si>
    <t>TAMU-Kingsville:  Institute for Ranch Management</t>
  </si>
  <si>
    <t>TAMU-Kingsville:  John E. Connor Museum</t>
  </si>
  <si>
    <t>TAMU-Kingsville:  South Texas Archives</t>
  </si>
  <si>
    <t>TAMU-Kingsville:  Institutional Enhancement</t>
  </si>
  <si>
    <t>TAMU-Kingsville:  Research Development Fund</t>
  </si>
  <si>
    <t>TAMU-San Antonio:  Institutional Enhancement</t>
  </si>
  <si>
    <t>TAM-International:  Ph.D. Program in Business</t>
  </si>
  <si>
    <t>TAM-International:  Academic and Student Support</t>
  </si>
  <si>
    <t>TAM-International:  Institute for International Trade</t>
  </si>
  <si>
    <t>TAM-International:  Small Business Development Center</t>
  </si>
  <si>
    <t>TAM-International:  Institutional Enhancement</t>
  </si>
  <si>
    <t>TAM-International:  Faculty Enhancement</t>
  </si>
  <si>
    <t>TAM-International:  Outreach and Enrollment</t>
  </si>
  <si>
    <t>TAM-International:  Research Development Fund</t>
  </si>
  <si>
    <t>West Texas:  Wind Energy Research</t>
  </si>
  <si>
    <t>West Texas:  Agriculture Industry Support and Development</t>
  </si>
  <si>
    <t>West Texas:  Integrated Pest Management</t>
  </si>
  <si>
    <t>West Texas:  Panhandle-Plains Historical Museum</t>
  </si>
  <si>
    <t>West Texas:  Rural Agri-Business Incubator and Accelerator</t>
  </si>
  <si>
    <t>West Texas:  Small Business Development Center</t>
  </si>
  <si>
    <t>West Texas:  Institutional Enhancement</t>
  </si>
  <si>
    <t>West Texas:  Research Development Fund</t>
  </si>
  <si>
    <t>TAMU-Commerce:  Educational Outreach Mesquite/Metroplex/Northeast Texas</t>
  </si>
  <si>
    <t>TAMU-Commerce:  Institutional Enhancement</t>
  </si>
  <si>
    <t>TAMU-Commerce:  Research Development Fund</t>
  </si>
  <si>
    <t>TAMU-Commerce:  ARRA - A&amp;M Commerce</t>
  </si>
  <si>
    <t>TAMU-Commerce: Total</t>
  </si>
  <si>
    <t>TAMU-Texarkana:  Northeast Texas Education Partnership</t>
  </si>
  <si>
    <t>TAMU-Texarkana:  Lower Division Transition Funding</t>
  </si>
  <si>
    <t>TAMU-Texarkana:  Institutional Enhancement</t>
  </si>
  <si>
    <t>TAMU-Texarkana:  Downward Expansion</t>
  </si>
  <si>
    <t>TAMU-Texarkana:  Research Development Fund</t>
  </si>
  <si>
    <t>TAMU-Texarkana: Total</t>
  </si>
  <si>
    <t>UH:  Complex Systems Research Cluster</t>
  </si>
  <si>
    <t>UH:  College of Pharmacy</t>
  </si>
  <si>
    <t>UH:  Energy Research Cluster</t>
  </si>
  <si>
    <t>UH:  Learning and Computation Center</t>
  </si>
  <si>
    <t>UH:  Houston Partnership for Space Exploration</t>
  </si>
  <si>
    <t>UH:  Center for Commercial Development of Space</t>
  </si>
  <si>
    <t>UH:  Superconductivity Center</t>
  </si>
  <si>
    <t>UH:  Wind Energy</t>
  </si>
  <si>
    <t>UH:  William P. Hobby School of Public Affairs</t>
  </si>
  <si>
    <t>UH:  University of Houston Small Business Development Center</t>
  </si>
  <si>
    <t>UH:  Health Sciences Research Cluster</t>
  </si>
  <si>
    <t>UH:  Education and Community Advancement</t>
  </si>
  <si>
    <t>UH:  Health Law and Policy Institute</t>
  </si>
  <si>
    <t>UH:  Center for Public Policy</t>
  </si>
  <si>
    <t>UH:  Partnerships to Support Public Schools</t>
  </si>
  <si>
    <t>UH:  Institutional Enhancement</t>
  </si>
  <si>
    <t>UH:  Competitive Knowledge Fund</t>
  </si>
  <si>
    <t>UH: Total</t>
  </si>
  <si>
    <t>UH-Clear Lake:  High Technologies Laboratory</t>
  </si>
  <si>
    <t>UH-Clear Lake:  Houston Partnership for Environmental Studies</t>
  </si>
  <si>
    <t>UH-Clear Lake:  Institutional Enhancement</t>
  </si>
  <si>
    <t>UH-Clear Lake:  Research Development Fund</t>
  </si>
  <si>
    <t>UH-Clear Lake: Total</t>
  </si>
  <si>
    <t>UH-Downtown:  Community Development Project</t>
  </si>
  <si>
    <t>UH-Downtown:  Institutional Enhancement</t>
  </si>
  <si>
    <t>UH-Downtown:  Research Development Fund</t>
  </si>
  <si>
    <t>UH-Downtown: Total</t>
  </si>
  <si>
    <t>UH-Victoria:  Masters Nursing</t>
  </si>
  <si>
    <t>UH-Victoria:  Downward Expansion</t>
  </si>
  <si>
    <t>UH-Victoria:  Center for Regional Outreach</t>
  </si>
  <si>
    <t>UH-Victoria:  Small Business Development Center</t>
  </si>
  <si>
    <t>UH-Victoria:  Institutional Enhancement</t>
  </si>
  <si>
    <t>UH-Victoria:  Research Development Fund</t>
  </si>
  <si>
    <t>UH-Victoria: Total</t>
  </si>
  <si>
    <t>Midwestern:  Small Business Development Center</t>
  </si>
  <si>
    <t>Midwestern:  Institutional Enhancement</t>
  </si>
  <si>
    <t>Midwestern:  Research Development Fund</t>
  </si>
  <si>
    <t>Midwestern: Total</t>
  </si>
  <si>
    <t>North Texas:  Texas Academy of Math and Science</t>
  </si>
  <si>
    <t>North Texas:  Institute of Applied Sciences</t>
  </si>
  <si>
    <t>North Texas:  Center for Studies in Emergency Management</t>
  </si>
  <si>
    <t>North Texas:  Educational Center for Volunteerism</t>
  </si>
  <si>
    <t>North Texas:  Institutional Enhancement</t>
  </si>
  <si>
    <t>North Texas:  ARRA - State Historical Association</t>
  </si>
  <si>
    <t>North Texas: Total</t>
  </si>
  <si>
    <t>North Texas-Dallas:  Transitional Funding</t>
  </si>
  <si>
    <t>North Texas-Dallas:  Institutional Enhancement</t>
  </si>
  <si>
    <t>North Texas-Dallas:  Research Development Fund</t>
  </si>
  <si>
    <t>North Texas-Dallas: Total</t>
  </si>
  <si>
    <t>SFA:  Rural Nursing Initiative</t>
  </si>
  <si>
    <t>SFA:  Center for Applied Studies in Forestry</t>
  </si>
  <si>
    <t>SFA:  Stone Fort Museum and Research Center of East Texas</t>
  </si>
  <si>
    <t>SFA:  Soil Plant and Water Analysis Laboratory</t>
  </si>
  <si>
    <t>SFA:  Applied Poultry Studies and Research</t>
  </si>
  <si>
    <t>SFA:  Institutional Enhancement</t>
  </si>
  <si>
    <t>SFA:  Research Development Fund</t>
  </si>
  <si>
    <t>Texas Southern:  Thurgood Marshall School of Law</t>
  </si>
  <si>
    <t>Texas Southern:  Accreditation Continuation - Business</t>
  </si>
  <si>
    <t>Texas Southern:  Accreditation Continuation - Pharmacy</t>
  </si>
  <si>
    <t>Texas Southern:  Accreditation Continuation - Education</t>
  </si>
  <si>
    <t>Texas Southern:  Mickey Leland Center on World Hunger and Peace</t>
  </si>
  <si>
    <t>Texas Southern:  Urban Redevelopment and Renewal</t>
  </si>
  <si>
    <t>Texas Southern:  Texas Summer Academy</t>
  </si>
  <si>
    <t>Texas Southern:  Institutional Enhancement</t>
  </si>
  <si>
    <t>Texas Southern:  Integrated Plan to Improve MIS and Fiscal Operations</t>
  </si>
  <si>
    <t>Texas Southern:  Academic Development initiative</t>
  </si>
  <si>
    <t>Texas Southern:  Research Development Fund</t>
  </si>
  <si>
    <t>Texas Southern: Total</t>
  </si>
  <si>
    <t>Texas Tech:  Library Archival Support</t>
  </si>
  <si>
    <t>Texas Tech:  Research to Enhance Ag Production and Add Value to Ag Products in Texas</t>
  </si>
  <si>
    <t>Texas Tech:  Research in Energy Production and Environmental Protection in Texas</t>
  </si>
  <si>
    <t>Texas Tech:  Research in Emerging Technologies and Economic Development in Texas</t>
  </si>
  <si>
    <t>Texas Tech:  Junction Annex Operation</t>
  </si>
  <si>
    <t>Texas Tech:  Hill Country Educational Network</t>
  </si>
  <si>
    <t>Texas Tech:  Small Business Development Center</t>
  </si>
  <si>
    <t>Texas Tech:  Museums and Historical, Cultural and Educational Centers</t>
  </si>
  <si>
    <t>Texas Tech:  Center for Financial Responsibility</t>
  </si>
  <si>
    <t>Texas Tech:  Institutional Enhancement</t>
  </si>
  <si>
    <t>Texas Tech:  Competitive Knowledge Fund</t>
  </si>
  <si>
    <t>Texas Tech: Total</t>
  </si>
  <si>
    <t>Texas Woman's:  Texas Medical Center Library Assessment</t>
  </si>
  <si>
    <t>Texas Woman's:  Online Nursing Education</t>
  </si>
  <si>
    <t>Texas Woman's:  Human Nutrition Research Development Program</t>
  </si>
  <si>
    <t>Texas Woman's:  Center for Research on Women's Health</t>
  </si>
  <si>
    <t>Texas Woman's:  Institutional Enhancement</t>
  </si>
  <si>
    <t>Texas Woman's:  Research Development Fund</t>
  </si>
  <si>
    <t>Texas Woman's: Total</t>
  </si>
  <si>
    <t>Lamar:  Texas Academy of Leadership in the Humanities</t>
  </si>
  <si>
    <t>Lamar:  Gulf Coast Hazardous Substance Research Center</t>
  </si>
  <si>
    <t>Lamar:  Air Quality Initiative: Texas Hazardous Waste Research Center</t>
  </si>
  <si>
    <t>Lamar:  Spindletop Museum Educational Activities</t>
  </si>
  <si>
    <t>Lamar:  Small Business Development Center</t>
  </si>
  <si>
    <t>Lamar:  Public Service/Community Outreach Expansion</t>
  </si>
  <si>
    <t>Lamar:  Spindletop Center for Excellence in Teaching Technology</t>
  </si>
  <si>
    <t>Lamar:  Institutional Enhancement</t>
  </si>
  <si>
    <t>Lamar:  Research Development Fund</t>
  </si>
  <si>
    <t>Sam Houston:  Academic Enrichment Center/Advisement Center</t>
  </si>
  <si>
    <t>Sam Houston:  Sam Houston Museum</t>
  </si>
  <si>
    <t>Sam Houston:  Center for Business and Economic Development</t>
  </si>
  <si>
    <t>Sam Houston:  Bill Blackwood Law Enforcement Management Institute of Texas Estimated</t>
  </si>
  <si>
    <t>Sam Houston:  Criminal Justice Correctional Management Institute of Texas</t>
  </si>
  <si>
    <t>Sam Houston:  Crime Victims' Institute</t>
  </si>
  <si>
    <t>Sam Houston:  Forensic Science Commission</t>
  </si>
  <si>
    <t>Sam Houston:  Institutional Enhancement</t>
  </si>
  <si>
    <t>Sam Houston:  Institute of Environmental Studies</t>
  </si>
  <si>
    <t>Sam Houston:  Research Development Fund</t>
  </si>
  <si>
    <t>Sam Houston: Total</t>
  </si>
  <si>
    <t>Sul Ross:  Chihuahuan Desert Research</t>
  </si>
  <si>
    <t>Sul Ross:  Center for Big Bend Studies</t>
  </si>
  <si>
    <t>Sul Ross:  Sul Ross State University Museum</t>
  </si>
  <si>
    <t>Sul Ross:  Big Bend Region Minority and Small Business Development Center</t>
  </si>
  <si>
    <t>Sul Ross:  Criminal Justice Academy</t>
  </si>
  <si>
    <t>Sul Ross:  Archives of Big Bend</t>
  </si>
  <si>
    <t>Sul Ross:  Rural Hispanic Leadership</t>
  </si>
  <si>
    <t>Sul Ross:  Museum of the Big Bend</t>
  </si>
  <si>
    <t>Sul Ross:  Institutional Enhancement</t>
  </si>
  <si>
    <t>Sul Ross:  Institutional Operations</t>
  </si>
  <si>
    <t>Sul Ross:  Research Development Fund</t>
  </si>
  <si>
    <t>Sul Ross-Rio Grande:  Small Business Development Center</t>
  </si>
  <si>
    <t>Sul Ross-Rio Grande:  Dolph Briscoe Institute for Local Government</t>
  </si>
  <si>
    <t>Sul Ross-Rio Grande:  Institutional Enhancement</t>
  </si>
  <si>
    <t>TAMU-System Administration:  Scholarships</t>
  </si>
  <si>
    <t>TAMU-System Administration:  Task Force on Eco Growth &amp; Endangered Species</t>
  </si>
  <si>
    <t>TAMU-System Administration: Total</t>
  </si>
  <si>
    <t>UH-System Administration:  High School Cooperative Education Program with NASA and Tech Outreach Program</t>
  </si>
  <si>
    <t>UH-System Administration: Total</t>
  </si>
  <si>
    <t>North Texas-System Administration:  UNT System Center at Dallas</t>
  </si>
  <si>
    <t>North Texas-System Administration:  Federation of North Texas Universities</t>
  </si>
  <si>
    <t>North Texas-System Administration:  Universities Center at Dallas</t>
  </si>
  <si>
    <t>North Texas-System Administration:  Law School</t>
  </si>
  <si>
    <t>North Texas-System Administration: Total</t>
  </si>
  <si>
    <t>UT-SMC-Dallas:  Primary Care Residency Training Program</t>
  </si>
  <si>
    <t>UT-SMC-Dallas:  Institute for Nobel/National Academy Biomedical Research</t>
  </si>
  <si>
    <t>UT-SMC-Dallas:  Institute for Innovations in Medical Technology</t>
  </si>
  <si>
    <t>UT-SMC-Dallas:  Metroplex Comprehensive Medical Imaging Center</t>
  </si>
  <si>
    <t>UT-SMC-Dallas:  Center for Obesity, Diabetes and Metabolism</t>
  </si>
  <si>
    <t>UT-SMC-Dallas:  Regional Burn Care Center</t>
  </si>
  <si>
    <t>UT-SMC-Dallas:  Texas Institute for Brain Injury and Repair</t>
  </si>
  <si>
    <t>UT-SMC-Dallas:  Program for Science Teacher Access to Resources (STARS)</t>
  </si>
  <si>
    <t>UT-SMC-Dallas:  Institutional Enhancement</t>
  </si>
  <si>
    <t>UT-SMC-Dallas:  Institutional Operations</t>
  </si>
  <si>
    <t>UT-SMC-Dallas:  ARRA - Institute for Genetic Molecular Disease</t>
  </si>
  <si>
    <t>UT-MB-Galveston:  Chronic Home Dialysis Center</t>
  </si>
  <si>
    <t>UT-MB-Galveston:  Primary Care Physician Services</t>
  </si>
  <si>
    <t>UT-MB-Galveston:  East Texas Health Education Centers</t>
  </si>
  <si>
    <t>UT-MB-Galveston:  Support for Indigent Care</t>
  </si>
  <si>
    <t>UT-MB-Galveston:  Institutional Enhancement</t>
  </si>
  <si>
    <t>UT-MB-Galveston:  Institutional Operations</t>
  </si>
  <si>
    <t>UT-MB-Galveston: Total</t>
  </si>
  <si>
    <t>UT-HSC-Houston:  Improving Public Health in Texas Communities</t>
  </si>
  <si>
    <t>UT-HSC-Houston:  Regional Academic Health Center - Public Health</t>
  </si>
  <si>
    <t>UT-HSC-Houston:  Heart Disease and Stroke Research</t>
  </si>
  <si>
    <t>UT-HSC-Houston:  Biotechnology Program</t>
  </si>
  <si>
    <t>UT-HSC-Houston:  World's Greatest Scientist</t>
  </si>
  <si>
    <t>UT-HSC-Houston:  Heart Inst - Adult Stem Cell Program</t>
  </si>
  <si>
    <t>UT-HSC-Houston:  Psychiatric Sciences</t>
  </si>
  <si>
    <t>UT-HSC-Houston:  Harris County Hospital District</t>
  </si>
  <si>
    <t>UT-HSC-Houston:  Service Delivery in the Valley/Border Region</t>
  </si>
  <si>
    <t>UT-HSC-Houston:  Trauma Care</t>
  </si>
  <si>
    <t>UT-HSC-Houston:  Institutional Enhancement</t>
  </si>
  <si>
    <t>UT-HSC-Houston:  Institutional Operations</t>
  </si>
  <si>
    <t>UT-HSC-Houston: Total</t>
  </si>
  <si>
    <t>UT-HSC-San Antonio:  Regional Academic Health Center</t>
  </si>
  <si>
    <t>UT-HSC-San Antonio:  Regional Campus - Laredo</t>
  </si>
  <si>
    <t>UT-HSC-San Antonio:  Institutional Support for South Texas Programs</t>
  </si>
  <si>
    <t>UT-HSC-San Antonio:  Family Practice Residency Training Program</t>
  </si>
  <si>
    <t>UT-HSC-San Antonio:  Podiatry Residency Training Program</t>
  </si>
  <si>
    <t>UT-HSC-San Antonio:  Mycobacterial-Mycology Research Lab</t>
  </si>
  <si>
    <t>UT-HSC-San Antonio:  Barshop Institute for Longevity and Aging
Studies-Alzheimer's Research.</t>
  </si>
  <si>
    <t>UT-HSC-San Antonio:  Institutional Enhancement</t>
  </si>
  <si>
    <t>UT-HSC-San Antonio:  Institutional Operations</t>
  </si>
  <si>
    <t>UT-HSC-San Antonio:  ARRA - SALSI</t>
  </si>
  <si>
    <t>UT-MD Anderson:  Research Support</t>
  </si>
  <si>
    <t>UT-MD Anderson:  Breast Cancer Research Program</t>
  </si>
  <si>
    <t>UT-MD Anderson:  Institutional Enhancement</t>
  </si>
  <si>
    <t>UT-MD Anderson:  Institutional Operations</t>
  </si>
  <si>
    <t>UT-MD Anderson: Total</t>
  </si>
  <si>
    <t>UT-HSC-Tyler:  Northeast Texas Initiative</t>
  </si>
  <si>
    <t>UT-HSC-Tyler:  Family Practice Residency Program</t>
  </si>
  <si>
    <t>UT-HSC-Tyler:  Support for Indigent Care</t>
  </si>
  <si>
    <t>UT-HSC-Tyler:  Institutional Enhancement</t>
  </si>
  <si>
    <t>UT-HSC-Tyler:  Institutional Operations</t>
  </si>
  <si>
    <t>UT-HSC-Tyler: Total</t>
  </si>
  <si>
    <t>TAMU-SHSC:  Coastal Bend Health Education Center</t>
  </si>
  <si>
    <t>TAMU-SHSC:  South Texas Health Center</t>
  </si>
  <si>
    <t>TAMU-SHSC:  Irma Rangel College of Pharmacy</t>
  </si>
  <si>
    <t>TAMU-SHSC:  College Station, Temple, and Round Rock - Medical</t>
  </si>
  <si>
    <t>TAMU-SHSC:  Institutional Enhancement</t>
  </si>
  <si>
    <t>TAMU-SHSC:  ARRA - Biosecurity and Import Safety</t>
  </si>
  <si>
    <t>TAMU-SHSC:  Institutional Operations</t>
  </si>
  <si>
    <t>TAMU-SHSC: Total</t>
  </si>
  <si>
    <t>North Texas-HSC-Fort Worth:  Alzheimer's Diagnostic and Treatment Center</t>
  </si>
  <si>
    <t>North Texas-HSC-Fort Worth:  DNA Laboratory</t>
  </si>
  <si>
    <t>North Texas-HSC-Fort Worth:  Economic Development and Technology Commercialization</t>
  </si>
  <si>
    <t>North Texas-HSC-Fort Worth:  Institutional Enhancement</t>
  </si>
  <si>
    <t>North Texas-HSC-Fort Worth:  Institutional Operations</t>
  </si>
  <si>
    <t>North Texas-HSC-Fort Worth: Total</t>
  </si>
  <si>
    <t>Texas Tech-UHSC:  South Texas Border Region Health Professional Education</t>
  </si>
  <si>
    <t>Texas Tech-UHSC:  Border Health Care Support - Academic Expansion</t>
  </si>
  <si>
    <t>Texas Tech-UHSC:  Academic Operations Support - Border Region Development</t>
  </si>
  <si>
    <t>Texas Tech-UHSC:  Integrated Health Network</t>
  </si>
  <si>
    <t>Texas Tech-UHSC:  Medical Education - Odessa</t>
  </si>
  <si>
    <t>Texas Tech-UHSC:  Paul L. Foster School of Medicine</t>
  </si>
  <si>
    <t>Texas Tech-UHSC:  Physician Assistant Program</t>
  </si>
  <si>
    <t>Texas Tech-UHSC:  Family and Community Medicine Residency Training Program</t>
  </si>
  <si>
    <t>Texas Tech-UHSC:  Border Health Care - Resident Support</t>
  </si>
  <si>
    <t>Texas Tech-UHSC:  Midland Medical Residency</t>
  </si>
  <si>
    <t>Texas Tech-UHSC:  Diabetes Research Center</t>
  </si>
  <si>
    <t>Texas Tech-UHSC:  Cancer Research</t>
  </si>
  <si>
    <t>Texas Tech-UHSC:  Rural Health Care</t>
  </si>
  <si>
    <t>Texas Tech-UHSC:  West Texas Area Health Education Center (AHEC)</t>
  </si>
  <si>
    <t>Texas Tech-UHSC:  Institutional Enhancement</t>
  </si>
  <si>
    <t>Texas Tech-UHSC:  Institutional Operations</t>
  </si>
  <si>
    <t>Texas Tech-UHSC: Total</t>
  </si>
  <si>
    <t>Austin: Total</t>
  </si>
  <si>
    <t>Blinn:  Star of the Republic Museum</t>
  </si>
  <si>
    <t>Blinn: Total</t>
  </si>
  <si>
    <t>Brazosport: Four-Year Degree Program</t>
  </si>
  <si>
    <t>Brazosport: Total</t>
  </si>
  <si>
    <t>Dallas CCCD:  Small Business Development Center</t>
  </si>
  <si>
    <t>Dallas CCCD:  Starlink</t>
  </si>
  <si>
    <t>Dallas CCCD: Total</t>
  </si>
  <si>
    <t>Grayson:  T.V. Munson Viticulture and Enology Center</t>
  </si>
  <si>
    <t>Grayson: Total</t>
  </si>
  <si>
    <t>Hill:  Heritage Museum and Genealogy Center</t>
  </si>
  <si>
    <t>Hill: Total</t>
  </si>
  <si>
    <t>Howard:  Southwest Collegiate Institute for the Deaf</t>
  </si>
  <si>
    <t>Howard: Total</t>
  </si>
  <si>
    <t>Laredo:  Regional Import/Export Training Center</t>
  </si>
  <si>
    <t>Laredo: Total</t>
  </si>
  <si>
    <t>Midland:  American Airpower Heritage Museum</t>
  </si>
  <si>
    <t>Midland: Total</t>
  </si>
  <si>
    <t>TSTC-Harlingen:  Institutional Enhancement</t>
  </si>
  <si>
    <t>TSTC-Harlingen: Total</t>
  </si>
  <si>
    <t>TSTC-West Texas:  Institutional Enhancement</t>
  </si>
  <si>
    <t>TSTC-West Texas: Total</t>
  </si>
  <si>
    <t>TSTC-Marshall:  Institutional Enhancement</t>
  </si>
  <si>
    <t>TSTC-Marshall: Total</t>
  </si>
  <si>
    <t>TSTC-Waco:  Institutional Enhancement</t>
  </si>
  <si>
    <t>TSTC-Waco:  Institutional Operations</t>
  </si>
  <si>
    <t>TSTC-Waco: Total</t>
  </si>
  <si>
    <t>Lamar-IOT:  Workforce Literacy</t>
  </si>
  <si>
    <t>Lamar-IOT:  Workforce Training and Education Expansion</t>
  </si>
  <si>
    <t>Lamar-IOT:  Institutional Enhancement</t>
  </si>
  <si>
    <t>Lamar-IOT:  Institutional Operations</t>
  </si>
  <si>
    <t>Lamar-IOT: Total</t>
  </si>
  <si>
    <t>Lamar-Orange:  Institutional Enhancement</t>
  </si>
  <si>
    <t>Lamar-Orange: Total</t>
  </si>
  <si>
    <t>Lamar-Port Arthur:  Small Business Development Center</t>
  </si>
  <si>
    <t>Lamar-Port Arthur:  Institutional Enhancement</t>
  </si>
  <si>
    <t>Lamar-Port Arthur:  ARRA - Centennial Scholarships</t>
  </si>
  <si>
    <t>Lamar-Port Arthur: Total</t>
  </si>
  <si>
    <t>Tuition Revenue Bond Debt Service Appropriations</t>
  </si>
  <si>
    <t>Total TRB Debt Service</t>
  </si>
  <si>
    <t>Tobacco Settlement Earnings - State Appropriations</t>
  </si>
  <si>
    <t>PHF 810</t>
  </si>
  <si>
    <t>Other</t>
  </si>
  <si>
    <t>Total - Tobacco Settlement Earnings - State Appropriations</t>
  </si>
  <si>
    <t>Higher Education Fund (HEF)</t>
  </si>
  <si>
    <t>UT - Pan American</t>
  </si>
  <si>
    <t>UT - Brownsville</t>
  </si>
  <si>
    <t>TAMU - Corpus Christi</t>
  </si>
  <si>
    <t>TAMU - Kingsville</t>
  </si>
  <si>
    <t>TAMU - International</t>
  </si>
  <si>
    <t>West Texas A &amp; M University</t>
  </si>
  <si>
    <t>TAMU - Commerce</t>
  </si>
  <si>
    <t>TAMU - Texarkana</t>
  </si>
  <si>
    <t>University of Houston</t>
  </si>
  <si>
    <t>UH - Clear Lake</t>
  </si>
  <si>
    <t>UH - Downtown</t>
  </si>
  <si>
    <t>UH - Victoria</t>
  </si>
  <si>
    <t>Midwestern State University</t>
  </si>
  <si>
    <t>University of North Texas</t>
  </si>
  <si>
    <t>Stephen F. Austin St. University</t>
  </si>
  <si>
    <t>Texas Southern University</t>
  </si>
  <si>
    <t>TSU (DSP Allowance)</t>
  </si>
  <si>
    <t>Texas Tech University</t>
  </si>
  <si>
    <t>Angelo St. University</t>
  </si>
  <si>
    <t>Texas Woman's University</t>
  </si>
  <si>
    <t>Lamar University</t>
  </si>
  <si>
    <t>Lamar Institute of Technology</t>
  </si>
  <si>
    <t>Lamar - Orange</t>
  </si>
  <si>
    <t>Lamar - Port Arthur</t>
  </si>
  <si>
    <t>Sam Houston St. University</t>
  </si>
  <si>
    <t>Sul Ross St. University</t>
  </si>
  <si>
    <t>Sul Ross St. Univ. - Rio Grande</t>
  </si>
  <si>
    <t>Texas Tech Health Sciences Ctr</t>
  </si>
  <si>
    <t>Total - Higher Education Fund (HEF)</t>
  </si>
  <si>
    <t>Available University Fund - Received (Sources &amp; Uses)</t>
  </si>
  <si>
    <t>Fnd 011</t>
  </si>
  <si>
    <t>The University of Texas at Austin</t>
  </si>
  <si>
    <t>Prairie View A&amp;M University</t>
  </si>
  <si>
    <t>Texas A&amp;M University</t>
  </si>
  <si>
    <t>Total - Available University Fund - Received (Sources &amp; Uses)</t>
  </si>
  <si>
    <t>Texas Research Incentive Program (TRIP)</t>
  </si>
  <si>
    <t>The University of Texas at Arlington</t>
  </si>
  <si>
    <t>The University of Texas at Dallas</t>
  </si>
  <si>
    <t>The University of Texas at El Paso</t>
  </si>
  <si>
    <t>The University of Texas at San Antonio</t>
  </si>
  <si>
    <t>Total - Texas Research Incentive Program (TRIP)</t>
  </si>
  <si>
    <t>M Tax &amp; DS</t>
  </si>
  <si>
    <t>T &amp; F</t>
  </si>
  <si>
    <t>TAMU-SHSC Debt Service Round Rock</t>
  </si>
  <si>
    <t>% of HEAF that is Spent on Operations</t>
  </si>
  <si>
    <t>Biennium</t>
  </si>
  <si>
    <t>General Revenue</t>
  </si>
  <si>
    <t>Table 1 - State Appropriations</t>
  </si>
  <si>
    <t>Article</t>
  </si>
  <si>
    <t>Difference</t>
  </si>
  <si>
    <t>Percent Change</t>
  </si>
  <si>
    <t>Percent of Total</t>
  </si>
  <si>
    <t>Percent GR</t>
  </si>
  <si>
    <t>Table 2 - Education Appropriations (Article III)</t>
  </si>
  <si>
    <t>Agency</t>
  </si>
  <si>
    <t>State Board for Educator Certification</t>
  </si>
  <si>
    <t>Texas State School for the Blind and Visually Impaired</t>
  </si>
  <si>
    <t>Texas State School for the Deaf</t>
  </si>
  <si>
    <t>Public Education</t>
  </si>
  <si>
    <t>Tele-Communications Infrastructure Board</t>
  </si>
  <si>
    <t>Teacher's Retirement System</t>
  </si>
  <si>
    <t>Employee Benefits</t>
  </si>
  <si>
    <t>Debt Service and Lease Payments</t>
  </si>
  <si>
    <t>Benefits</t>
  </si>
  <si>
    <t>Higher Education</t>
  </si>
  <si>
    <t>Total Education (Article III)</t>
  </si>
  <si>
    <t>General Academic Institutions</t>
  </si>
  <si>
    <t>System Trusteed Funds</t>
  </si>
  <si>
    <t>Health-Related Institutions</t>
  </si>
  <si>
    <t>TAMU Agencies</t>
  </si>
  <si>
    <t>Technical Colleges</t>
  </si>
  <si>
    <t>State Colleges</t>
  </si>
  <si>
    <t>Closing the Gaps in Education</t>
  </si>
  <si>
    <t>Closing the Gaps in Affordability</t>
  </si>
  <si>
    <t>Closing the Gaps - Research</t>
  </si>
  <si>
    <t>Closing the Gaps - Health Programs</t>
  </si>
  <si>
    <t>Closing the Gaps - Quality/ Participation</t>
  </si>
  <si>
    <t>Federal Grant Programs</t>
  </si>
  <si>
    <t>Tobacco Funds</t>
  </si>
  <si>
    <t>Riders and Contingencies</t>
  </si>
  <si>
    <t>State Kids Insurance Program (SKIP) Contributions</t>
  </si>
  <si>
    <t>Employees Group Insurance Opt-Out Contributions</t>
  </si>
  <si>
    <t>National Research University Fund Earnings</t>
  </si>
  <si>
    <t>Non-System</t>
  </si>
  <si>
    <t>Research and Emerging Research</t>
  </si>
  <si>
    <t>All Other General Academics</t>
  </si>
  <si>
    <t>South Texas Border Institutions</t>
  </si>
  <si>
    <t>Total General Academic Institutions</t>
  </si>
  <si>
    <t>Total Health-Related Institutions</t>
  </si>
  <si>
    <t>Total Technical Colleges</t>
  </si>
  <si>
    <t>Total State Colleges</t>
  </si>
  <si>
    <t>Table 8 - Special Item Appropriations - Institutional Enhancement by Sector</t>
  </si>
  <si>
    <t>Table 9 - Tuition Revenue Bond Appropriations</t>
  </si>
  <si>
    <t>Table 10 - Tobacco Settlement Earnings - State Appropriations</t>
  </si>
  <si>
    <t>UT-System Lower Rio Grande Valley Regional Academic Health Center</t>
  </si>
  <si>
    <t>Permanent Fund for Minority Health, Research, and Education</t>
  </si>
  <si>
    <t>Permanent Fund for Higher Education Nursing, Allied Health, and Other Health-Related Programs</t>
  </si>
  <si>
    <t>Texas Higher Education Coordinating Board Trusteed Funds</t>
  </si>
  <si>
    <t>Reconciliation Items</t>
  </si>
  <si>
    <t>Subtotal</t>
  </si>
  <si>
    <t>Output Data to SREB Survey</t>
  </si>
  <si>
    <t>HEAF %</t>
  </si>
  <si>
    <t>Year Used</t>
  </si>
  <si>
    <t>Institution</t>
  </si>
  <si>
    <t>IPEDS #</t>
  </si>
  <si>
    <t>+</t>
  </si>
  <si>
    <t>-</t>
  </si>
  <si>
    <t>ID #</t>
  </si>
  <si>
    <t>GR Appropriations</t>
  </si>
  <si>
    <t xml:space="preserve">AUF
</t>
  </si>
  <si>
    <t>All Other Sectors Retirement</t>
  </si>
  <si>
    <t>All Other Sectors Group Insurance</t>
  </si>
  <si>
    <t>All Other Sectors Social Security</t>
  </si>
  <si>
    <t>Tobacco Funds (Not GR)</t>
  </si>
  <si>
    <t>HEAF Included (No Longer Included starting in 2012)</t>
  </si>
  <si>
    <t>TRB Debt Service</t>
  </si>
  <si>
    <t>To: A:State General Purpose</t>
  </si>
  <si>
    <t>To: A: State Educational Special Purpose</t>
  </si>
  <si>
    <t>U</t>
  </si>
  <si>
    <t xml:space="preserve">Texas A&amp;M University </t>
  </si>
  <si>
    <t>Health professions education</t>
  </si>
  <si>
    <t>Veterinary Medicine School</t>
  </si>
  <si>
    <t>T</t>
  </si>
  <si>
    <t>Texas AgriLife Research</t>
  </si>
  <si>
    <t>Texas AgriLife Extension Service</t>
  </si>
  <si>
    <t>Texas Engineering Experiment Station</t>
  </si>
  <si>
    <t>Texas Transportation Institute</t>
  </si>
  <si>
    <t>Texas Engineering Extension Service</t>
  </si>
  <si>
    <t>Texas Forest Service</t>
  </si>
  <si>
    <t>Texas Vet Med Diagnostic Lab</t>
  </si>
  <si>
    <t>Community or public service units</t>
  </si>
  <si>
    <t xml:space="preserve">Texas Tech University </t>
  </si>
  <si>
    <t>University of Texas at Arlington</t>
  </si>
  <si>
    <t>University of Texas at Austin</t>
  </si>
  <si>
    <t>University of Texas at Dallas</t>
  </si>
  <si>
    <t>University of Texas at El Paso</t>
  </si>
  <si>
    <t>University of Texas at San Antonio</t>
  </si>
  <si>
    <t>Angelo State University</t>
  </si>
  <si>
    <t xml:space="preserve">Midwestern State University  </t>
  </si>
  <si>
    <t xml:space="preserve">Sam Houston State University </t>
  </si>
  <si>
    <t>Stephen F. Austin State University</t>
  </si>
  <si>
    <t xml:space="preserve">Sul Ross State University </t>
  </si>
  <si>
    <t xml:space="preserve">Tarleton State University  </t>
  </si>
  <si>
    <t>Texas A&amp;M International University</t>
  </si>
  <si>
    <t>Texas A&amp;M University-Commerce</t>
  </si>
  <si>
    <t xml:space="preserve">Texas A&amp;M University-Corpus Christi </t>
  </si>
  <si>
    <t>Texas A&amp;M University-Kingsville</t>
  </si>
  <si>
    <t xml:space="preserve">Texas Southern University </t>
  </si>
  <si>
    <t xml:space="preserve">University of Houston-Clear Lake </t>
  </si>
  <si>
    <t>University of Texas at Brownsville</t>
  </si>
  <si>
    <t>University of Texas at Tyler</t>
  </si>
  <si>
    <t>University of Texas of the Permian Basin</t>
  </si>
  <si>
    <t>University of Texas-Pan American</t>
  </si>
  <si>
    <t>West Texas A&amp;M University</t>
  </si>
  <si>
    <t>Texas A&amp;M -Texarkana</t>
  </si>
  <si>
    <t>University of Houston-Victoria</t>
  </si>
  <si>
    <t>Sul Ross State University-Rio Grande College</t>
  </si>
  <si>
    <t>University of Houston-Downtown</t>
  </si>
  <si>
    <t>Texas A&amp;M University at Galveston</t>
  </si>
  <si>
    <t>C</t>
  </si>
  <si>
    <t xml:space="preserve">Brazosport College </t>
  </si>
  <si>
    <t xml:space="preserve">Midland College </t>
  </si>
  <si>
    <t xml:space="preserve">Amarillo College </t>
  </si>
  <si>
    <t xml:space="preserve">Austin Community College </t>
  </si>
  <si>
    <t xml:space="preserve">Blinn College </t>
  </si>
  <si>
    <t>Brookhaven College  (DCCCD)</t>
  </si>
  <si>
    <t xml:space="preserve">Central Texas College </t>
  </si>
  <si>
    <t>Collin County Community College District</t>
  </si>
  <si>
    <t xml:space="preserve">Del Mar College </t>
  </si>
  <si>
    <t>Eastfield College  (DCCCD)</t>
  </si>
  <si>
    <t>El Centro College  (DCCCD)</t>
  </si>
  <si>
    <t>El Paso County Community College District</t>
  </si>
  <si>
    <t xml:space="preserve">Kilgore College </t>
  </si>
  <si>
    <t xml:space="preserve">Laredo Community College </t>
  </si>
  <si>
    <t>Lone Star College System District</t>
  </si>
  <si>
    <t xml:space="preserve">McLennan Community College </t>
  </si>
  <si>
    <t xml:space="preserve">Navarro College </t>
  </si>
  <si>
    <t>North Central Texas Community College</t>
  </si>
  <si>
    <t>North Lake College  (DCCCD)</t>
  </si>
  <si>
    <t>Northwest Vista College (ACCD)</t>
  </si>
  <si>
    <t>Palo Alto College  (ACCD)</t>
  </si>
  <si>
    <t>Richland College  (DCCCD)</t>
  </si>
  <si>
    <t>San Antonio College (ACCD)</t>
  </si>
  <si>
    <t>San Jacinto College (SJCDS)</t>
  </si>
  <si>
    <t xml:space="preserve">South Plains College </t>
  </si>
  <si>
    <t>St. Philip's College  (ACCD)</t>
  </si>
  <si>
    <t>Tarrant County College (TCJCD)</t>
  </si>
  <si>
    <t xml:space="preserve">Texas Southmost College </t>
  </si>
  <si>
    <t>L</t>
  </si>
  <si>
    <t>Texas State Technical College-Waco</t>
  </si>
  <si>
    <t xml:space="preserve">Tyler Junior College </t>
  </si>
  <si>
    <t xml:space="preserve">Alvin Community College </t>
  </si>
  <si>
    <t xml:space="preserve">Angelina College </t>
  </si>
  <si>
    <t>Cedar Valley College  (DCCCD)</t>
  </si>
  <si>
    <t xml:space="preserve">Cisco Junior College </t>
  </si>
  <si>
    <t xml:space="preserve">Grayson County College </t>
  </si>
  <si>
    <t>Howard College (HCJCD)</t>
  </si>
  <si>
    <t>Mountain View College  (DCCCD)</t>
  </si>
  <si>
    <t xml:space="preserve">Northeast Texas Community College </t>
  </si>
  <si>
    <t xml:space="preserve">Odessa College </t>
  </si>
  <si>
    <t xml:space="preserve">Southwest Texas Junior College </t>
  </si>
  <si>
    <t xml:space="preserve">Temple College </t>
  </si>
  <si>
    <t xml:space="preserve">Texarkana College </t>
  </si>
  <si>
    <t xml:space="preserve">Texas State Technical College-Harlingen </t>
  </si>
  <si>
    <t xml:space="preserve">Vernon College </t>
  </si>
  <si>
    <t xml:space="preserve">Victoria College </t>
  </si>
  <si>
    <t xml:space="preserve">Weatherford College </t>
  </si>
  <si>
    <t xml:space="preserve">Wharton County Junior College </t>
  </si>
  <si>
    <t xml:space="preserve">Clarendon College </t>
  </si>
  <si>
    <t xml:space="preserve">Frank Phillips College </t>
  </si>
  <si>
    <t xml:space="preserve">Galveston College </t>
  </si>
  <si>
    <t>Lamar State College-Orange</t>
  </si>
  <si>
    <t>Lamar State College-Port Arthur</t>
  </si>
  <si>
    <t>Northeast Lakeview College (ACCD)</t>
  </si>
  <si>
    <t>???</t>
  </si>
  <si>
    <t xml:space="preserve">Ranger College </t>
  </si>
  <si>
    <t>Southwest Collegiate Institute for the Deaf (HCJCD)</t>
  </si>
  <si>
    <t>Texas State Technical College-Marshall</t>
  </si>
  <si>
    <t>Texas State Technical College-West Texas</t>
  </si>
  <si>
    <t xml:space="preserve">Western Texas College </t>
  </si>
  <si>
    <t>Alamo Community College District (ACCD)</t>
  </si>
  <si>
    <t>Dallas County Community College District (DCCD)</t>
  </si>
  <si>
    <t>H</t>
  </si>
  <si>
    <t>Texas A&amp;M Health Science Center</t>
  </si>
  <si>
    <t>Texas Tech University Health Sciences Center</t>
  </si>
  <si>
    <t>University of Texas Health Science Center at Houston</t>
  </si>
  <si>
    <t>University of Texas Health Science Center at San Antonio</t>
  </si>
  <si>
    <t>University of Texas M.D. Anderson Cancer Center</t>
  </si>
  <si>
    <t>University of Texas Medical Branch at Galveston</t>
  </si>
  <si>
    <t>University of Texas Health Center at Tyler</t>
  </si>
  <si>
    <t>Statewide Special-Purpose Units</t>
  </si>
  <si>
    <t>CB</t>
  </si>
  <si>
    <t xml:space="preserve">Family practice residency </t>
  </si>
  <si>
    <t>O</t>
  </si>
  <si>
    <t>Other Health Related- Tobacco Settle-Minority Health Res. &amp; Ed.</t>
  </si>
  <si>
    <t>Other Health Related- Tobacco Settle-Nursing, Allied Health, etc.</t>
  </si>
  <si>
    <t>Nursing Shortage Reduction Program</t>
  </si>
  <si>
    <t>Educational special purpose funds — all other</t>
  </si>
  <si>
    <t>African American Museum</t>
  </si>
  <si>
    <t>Statewide System Operations</t>
  </si>
  <si>
    <t>S</t>
  </si>
  <si>
    <t>Two-year system(s), if any</t>
  </si>
  <si>
    <t>x</t>
  </si>
  <si>
    <t>Texas State Technical College System Office</t>
  </si>
  <si>
    <t>Adm. of Statewide Student Aid Progs. (including centralized guaranteed student loans)</t>
  </si>
  <si>
    <t>State Support to Private Colleges Other Than Student Aid</t>
  </si>
  <si>
    <t>B</t>
  </si>
  <si>
    <t>Statewide Student Financial Aid Programs Administered Off Campus</t>
  </si>
  <si>
    <t>Available to public &amp; private sector students</t>
  </si>
  <si>
    <t>TX Student Aid</t>
  </si>
  <si>
    <t>Z</t>
  </si>
  <si>
    <t>Non need-based</t>
  </si>
  <si>
    <t>Formula in Total</t>
  </si>
  <si>
    <t>Teach for TX Loan Repayment</t>
  </si>
  <si>
    <t>Universities</t>
  </si>
  <si>
    <t>Community Colleges</t>
  </si>
  <si>
    <t>LIT/Lamars/TSTCs</t>
  </si>
  <si>
    <t>University Systems</t>
  </si>
  <si>
    <t>X</t>
  </si>
  <si>
    <t>TSTC System</t>
  </si>
  <si>
    <t>Total CB</t>
  </si>
  <si>
    <t xml:space="preserve">Coordinating Board </t>
  </si>
  <si>
    <t>Texas Student Aid - Non Need Based</t>
  </si>
  <si>
    <t>TA&amp;M Agencies</t>
  </si>
  <si>
    <t>Tobacco Settlement Funds (Not GR)</t>
  </si>
  <si>
    <t>Totals</t>
  </si>
  <si>
    <t>Instructions:</t>
  </si>
  <si>
    <t>2. Enter the year in Cell C2 for the Survey year that you need.</t>
  </si>
  <si>
    <t>3. To change institution order use Row Cut and Paste in order to preserve formulas.</t>
  </si>
  <si>
    <t>4. This output schedule is dependent on all data being entered into the Data tab.</t>
  </si>
  <si>
    <t>5. Copy and Paste Values from Columns O, P, Q, R, S, &amp; T to tab 6, Funding, in the survey.</t>
  </si>
  <si>
    <t>6. Verify that totals between the Survey and this tab agree.</t>
  </si>
  <si>
    <t>LIT/Lamars/TSTCs &amp;TSTC System</t>
  </si>
  <si>
    <t>General Government (Article 1)</t>
  </si>
  <si>
    <t>Health and Human Services (Article 2)</t>
  </si>
  <si>
    <t>Agencies of Education (Article 3)</t>
  </si>
  <si>
    <t>The Judiciary (Article 4)</t>
  </si>
  <si>
    <t>Public Safety and Criminal Justice (Article 5)</t>
  </si>
  <si>
    <t>Natural Resources (Article 6)</t>
  </si>
  <si>
    <t>Business and Economic Development Article 7)</t>
  </si>
  <si>
    <t>Regulatory (Article 8)</t>
  </si>
  <si>
    <t>The Legislature (Article 10)</t>
  </si>
  <si>
    <t>Hazelwood Exemption</t>
  </si>
  <si>
    <t>BCM - Undergraduate Medical Education</t>
  </si>
  <si>
    <t>BCM - Graduate Medical Education</t>
  </si>
  <si>
    <t>UTB TSC Transitional Funding</t>
  </si>
  <si>
    <t>Total GR</t>
  </si>
  <si>
    <t>Contingency - GME Rider 54</t>
  </si>
  <si>
    <t>BCM Tobacco Earnings from Permanent Endowment Fund</t>
  </si>
  <si>
    <t>BCM Tobacco Earnings from Permanent Health Fund</t>
  </si>
  <si>
    <t>Expand Columns for SHEEO Survey Data</t>
  </si>
  <si>
    <t>Totals Col at Left</t>
  </si>
  <si>
    <t>HEF (50% Assumptions)</t>
  </si>
  <si>
    <t>Coordinating Board + BCM</t>
  </si>
  <si>
    <t>Colleges and Universities System Admin.</t>
  </si>
  <si>
    <t>HB 1025</t>
  </si>
  <si>
    <t>CB Difference - Jim did not include HB 1025</t>
  </si>
  <si>
    <t>Jim did not include HB 1025</t>
  </si>
  <si>
    <t>3.6 Million in Benefits</t>
  </si>
  <si>
    <t>The Overview uses updated benefits nos from Jim's.</t>
  </si>
  <si>
    <t>Not Incl. Here</t>
  </si>
  <si>
    <t>Income &amp; PUF Distributions Divisible with Texas A&amp;M University</t>
  </si>
  <si>
    <t xml:space="preserve">  Investment Income &amp; Distributions</t>
  </si>
  <si>
    <t xml:space="preserve">  Surface &amp; Other Income</t>
  </si>
  <si>
    <t xml:space="preserve">    Net Divisible Income &amp; Distributions</t>
  </si>
  <si>
    <t>Less: A&amp;M Share (1/3)</t>
  </si>
  <si>
    <t>AUF Interest Income</t>
  </si>
  <si>
    <t xml:space="preserve">    Income &amp; Distributions Available to U.T.</t>
  </si>
  <si>
    <t>Transfers/Expenditures</t>
  </si>
  <si>
    <t>Debt Service on PUF Bonds</t>
  </si>
  <si>
    <t>U.T. System Administration:</t>
  </si>
  <si>
    <t xml:space="preserve">  Administration</t>
  </si>
  <si>
    <t xml:space="preserve">  Distance Education</t>
  </si>
  <si>
    <t xml:space="preserve">  Regents' Outstanding Teachers Awards</t>
  </si>
  <si>
    <t xml:space="preserve">  External Audit</t>
  </si>
  <si>
    <t>U.T. Austin:</t>
  </si>
  <si>
    <t xml:space="preserve">  Excellence</t>
  </si>
  <si>
    <t xml:space="preserve">  Medical School</t>
  </si>
  <si>
    <t xml:space="preserve">    Total Transfers/Expenditures</t>
  </si>
  <si>
    <t>Net Surplus/(Deficit)</t>
  </si>
  <si>
    <t>Net Assets - Beginning of Year</t>
  </si>
  <si>
    <t>Net Assets - End of Year</t>
  </si>
  <si>
    <t xml:space="preserve">  Return of Project Funds to AUF</t>
  </si>
  <si>
    <t xml:space="preserve">  Transformational Programs in Undergraduate Education</t>
  </si>
  <si>
    <t xml:space="preserve">  Faculty Recruitment</t>
  </si>
  <si>
    <t xml:space="preserve">  Center for Technology Commercialization</t>
  </si>
  <si>
    <t xml:space="preserve">  Capital Projects</t>
  </si>
  <si>
    <t xml:space="preserve">  Capital Expenditures</t>
  </si>
  <si>
    <t>Not Shown</t>
  </si>
  <si>
    <t xml:space="preserve">  Building Revenue Bond Reimbursement</t>
  </si>
  <si>
    <t xml:space="preserve">  National Center for Educational Accountability</t>
  </si>
  <si>
    <t>AUF Surface and Other Income</t>
  </si>
  <si>
    <t>AUF - UT Total Transfers/Exp Less Debt Service</t>
  </si>
  <si>
    <t>AUF - A&amp;M + PV A&amp;M</t>
  </si>
  <si>
    <t>AUF - A&amp;M System</t>
  </si>
  <si>
    <t>Recapitulation-Article III Agencies of Education (General Revenue - Dedicated)</t>
  </si>
  <si>
    <t>GR - D</t>
  </si>
  <si>
    <t>Data Year Used</t>
  </si>
  <si>
    <t>State appropriated funds derived from federal sources.</t>
  </si>
  <si>
    <t>Texas Higher Education Coordinating Board (Federal Funds)</t>
  </si>
  <si>
    <t>FF</t>
  </si>
  <si>
    <t>Federal Funds</t>
  </si>
  <si>
    <t xml:space="preserve"> Local 
(Ad Valorem Tax &amp; Maint. Debt Service)</t>
  </si>
  <si>
    <r>
      <rPr>
        <b/>
        <sz val="12"/>
        <rFont val="Arial"/>
        <family val="2"/>
      </rPr>
      <t>Appropriated sums for research centers, laboratories, and institutes, and appropriated sums separately budgeted by institutions for organized research.</t>
    </r>
    <r>
      <rPr>
        <sz val="12"/>
        <rFont val="Arial"/>
        <family val="2"/>
      </rPr>
      <t xml:space="preserve"> Generally, these are ongoing programs. Include all health and science research.</t>
    </r>
  </si>
  <si>
    <t>Appropriated sums for agricultural experiment stations and cooperative extension services.</t>
  </si>
  <si>
    <r>
      <rPr>
        <b/>
        <sz val="12"/>
        <rFont val="Arial"/>
        <family val="2"/>
      </rPr>
      <t>Appropriated sums for teaching or affiliated hospital operations and public service patient care.</t>
    </r>
    <r>
      <rPr>
        <sz val="12"/>
        <rFont val="Arial"/>
        <family val="2"/>
      </rPr>
      <t xml:space="preserve"> Include all medical, dental, veterinary, optometry, pharmacy, mental heath, nursing, and other health science institutes, clinics, laboratories, dispensaries, etc. primarily serving the public.</t>
    </r>
  </si>
  <si>
    <r>
      <t xml:space="preserve"> </t>
    </r>
    <r>
      <rPr>
        <b/>
        <sz val="12"/>
        <rFont val="Arial"/>
        <family val="2"/>
      </rPr>
      <t>Appropriated sums for the direct operation and administrative support of the four major types of medical schools (medicine, dentistry, veterinary medicine, and osteopathic medicine) and centers corresponding to the medical enrollments.</t>
    </r>
  </si>
  <si>
    <r>
      <rPr>
        <b/>
        <sz val="12"/>
        <rFont val="Arial"/>
        <family val="2"/>
      </rPr>
      <t>Tuition and Fees waived or discounted by public institutions.</t>
    </r>
    <r>
      <rPr>
        <sz val="12"/>
        <rFont val="Arial"/>
        <family val="2"/>
      </rPr>
      <t xml:space="preserve"> If you enter “0,” please provide additional information in the comments box explaining why it is “0” for your state. (Will be subtracted.)</t>
    </r>
  </si>
  <si>
    <r>
      <rPr>
        <b/>
        <sz val="12"/>
        <rFont val="Arial"/>
        <family val="2"/>
      </rPr>
      <t>State appropriated student aid for tuition and mandatory fees for public institutions.</t>
    </r>
    <r>
      <rPr>
        <sz val="12"/>
        <rFont val="Arial"/>
        <family val="2"/>
      </rPr>
      <t xml:space="preserve"> (Will be subtracted.)</t>
    </r>
  </si>
  <si>
    <r>
      <rPr>
        <b/>
        <sz val="12"/>
        <rFont val="Arial"/>
        <family val="2"/>
      </rPr>
      <t>Tuition and Mandatory Fees paid by public medical students.</t>
    </r>
    <r>
      <rPr>
        <sz val="12"/>
        <rFont val="Arial"/>
        <family val="2"/>
      </rPr>
      <t xml:space="preserve"> (Will be subtracted.)</t>
    </r>
  </si>
  <si>
    <t xml:space="preserve"> FTE calculated from course work creditable toward an associate, bachelor, or higher degree (including all health science and medical school enrollments) plus from course work in a vocational or technical program that is normally terminal and results in a certificate or some other formal recognition.</t>
  </si>
  <si>
    <r>
      <rPr>
        <b/>
        <sz val="12"/>
        <rFont val="Arial"/>
        <family val="2"/>
      </rPr>
      <t xml:space="preserve"> Enrollment in schools of medicine, dentistry, veterinary medicine, and osteopathic medicine. </t>
    </r>
    <r>
      <rPr>
        <sz val="12"/>
        <rFont val="Arial"/>
        <family val="2"/>
      </rPr>
      <t>This will be subtracted.</t>
    </r>
  </si>
  <si>
    <r>
      <t xml:space="preserve">Local Appropriations: </t>
    </r>
    <r>
      <rPr>
        <sz val="12"/>
        <rFont val="Arial"/>
        <family val="2"/>
      </rPr>
      <t>From local government taxes to institutions for operating expenses.</t>
    </r>
  </si>
  <si>
    <t>Tuition charges collected by the institutions and remitted to the state as an offset to the state appropriations.</t>
  </si>
  <si>
    <t>Texas Agrilife Research</t>
  </si>
  <si>
    <t>Texas Agrilife Extension Service</t>
  </si>
  <si>
    <t>General Academic Institutions- Research Special Items</t>
  </si>
  <si>
    <t>CB - Advanced Research Program (UB in alternate years - report as 0)</t>
  </si>
  <si>
    <t>TAMU Engineering Experiment Station</t>
  </si>
  <si>
    <t>TAMU Texas Transportation Inst.</t>
  </si>
  <si>
    <t>TAMU Engineering Extension Service</t>
  </si>
  <si>
    <t>TAMU Texas Forest Svc.</t>
  </si>
  <si>
    <t>TAMU Texas Vet. Med. Diagnostic Lab</t>
  </si>
  <si>
    <t>TAMU College of Veterinary Medicine</t>
  </si>
  <si>
    <t>TAMU-Corpus Christi:  Research Development Fund</t>
  </si>
  <si>
    <t>Texas State:  Improvement of Geography Education</t>
  </si>
  <si>
    <t>Texas State:  Round Rock Higher Education Center</t>
  </si>
  <si>
    <t>Texas State:  School Safety Center</t>
  </si>
  <si>
    <t>Texas State:  Edwards Aquifer Research and Data Center</t>
  </si>
  <si>
    <t>Texas State:  Texas Long-Term Care Institute</t>
  </si>
  <si>
    <t>Texas State:  Semiconductor Initiative</t>
  </si>
  <si>
    <t>Texas State:  Small Business Development Center</t>
  </si>
  <si>
    <t>Texas State:  Institutional Enhancement</t>
  </si>
  <si>
    <t>Texas State:  ARRA - River Systems Monitoring</t>
  </si>
  <si>
    <t>Texas State: Total</t>
  </si>
  <si>
    <t>Special Items Related to Research</t>
  </si>
  <si>
    <t>Texas State University</t>
  </si>
  <si>
    <t>3.4 diff in benefits + HB 1025</t>
  </si>
  <si>
    <t>Vet Med (Not included in Col. D)</t>
  </si>
  <si>
    <t>HEF(HEAF)
(Not Used for SREB)
Ed. 62.021</t>
  </si>
  <si>
    <t>Health-Related Institutions - MOF - GR Allocations for SHEEO Survey</t>
  </si>
  <si>
    <t>A - Research</t>
  </si>
  <si>
    <t>B - Teaching or hospital operations</t>
  </si>
  <si>
    <t>C - Direct Operations &amp; Admins Support</t>
  </si>
  <si>
    <t>A</t>
  </si>
  <si>
    <t>Health-Related Institutions - Funding Related to Research (GR)</t>
  </si>
  <si>
    <t>Health-Related Institutions - Funding Related to Education &amp; Hospital Operations (GR)</t>
  </si>
  <si>
    <t>Note:  These links should be reviewed at the beginning of every new biennia, in order to link any new research items.</t>
  </si>
  <si>
    <t>2 Year</t>
  </si>
  <si>
    <t>4 Year</t>
  </si>
  <si>
    <t>TSTA/Lamar State/LIT</t>
  </si>
  <si>
    <t>Academic Institutions</t>
  </si>
  <si>
    <t>Four Year</t>
  </si>
  <si>
    <t>FTSE</t>
  </si>
  <si>
    <t>Health-Related institutions</t>
  </si>
  <si>
    <t xml:space="preserve">TSTS/Lamar/LIT </t>
  </si>
  <si>
    <t>Health-Related institutions - Medical Education</t>
  </si>
  <si>
    <t>Page 6</t>
  </si>
  <si>
    <t>FTE Net of Medical Students, 2 year sector</t>
  </si>
  <si>
    <t>FTE Net of Medical Students, 4 year sector</t>
  </si>
  <si>
    <t>FTE Net of Medical Students, uncategorizable</t>
  </si>
  <si>
    <t>FTE Net of Medical Students, Total</t>
  </si>
  <si>
    <t>Difference between row 60 and 42</t>
  </si>
  <si>
    <t>State Support for All Higher Education, 2 year sector</t>
  </si>
  <si>
    <t>State Support for All Higher Education, 4 year sector</t>
  </si>
  <si>
    <t>State Support for All Higher Education, uncategorizable</t>
  </si>
  <si>
    <t>State Support for All Higher Education, Total</t>
  </si>
  <si>
    <t>Difference between row 48 and row 15</t>
  </si>
  <si>
    <t>Net Tuition, 2 year sector</t>
  </si>
  <si>
    <t>Net Tuition, 4 year sector</t>
  </si>
  <si>
    <t>Net Tuition, uncategorizable</t>
  </si>
  <si>
    <t>Net Tuition, Total</t>
  </si>
  <si>
    <t>Difference between row 54 and 38</t>
  </si>
  <si>
    <t>Percentage Related to Medical Education</t>
  </si>
  <si>
    <t>College Costs - All Inst. - Resident T&amp;F</t>
  </si>
  <si>
    <t>College Costs - All Inst. - Resident Total Costs</t>
  </si>
  <si>
    <t>Percent of Costs related to Tuition &amp; Fees</t>
  </si>
  <si>
    <t>Total Financial Aid Funding - CB</t>
  </si>
  <si>
    <t>See Lower Section for Output Data to SHEF Survey</t>
  </si>
  <si>
    <t xml:space="preserve">SHEEO/SHEF </t>
  </si>
  <si>
    <t>Academic Institutions - Total Tuition &amp; Fee Disc. &amp; Allow</t>
  </si>
  <si>
    <t>Community Colleges - Total Tuition &amp; Fee Disc. &amp; Allow</t>
  </si>
  <si>
    <t>TSTCs/Lamars/LIT - Total Tuition &amp; Fee Disc. &amp; Allow</t>
  </si>
  <si>
    <t xml:space="preserve">  Totals</t>
  </si>
  <si>
    <t>Allocation between 2-year and 4-year</t>
  </si>
  <si>
    <t>Page 1</t>
  </si>
  <si>
    <t>Education Stabilization Funds used to restore the level of state support for public higher education</t>
  </si>
  <si>
    <t>Appropriations from state government taxes to institutions for operations and other higher education activities. See instructions for what should and should not be included in this figure.</t>
  </si>
  <si>
    <t xml:space="preserve">Funding under state auspices for appropriated non-tax state support set aside by the state for higher education. These may include, but are not limited to, monies from lotteries (including lottery scholarships), tobacco settlement, or casinos, or other gaming. </t>
  </si>
  <si>
    <t xml:space="preserve">Funding under state auspices for non-appropriated state support. These may include, but are not limited to, monies from receipt of lease income, cattle-grazing rights fees, and oil/mineral extraction fees on land set aside by the state for higher education. </t>
  </si>
  <si>
    <t>Interest or earning received from state funded endowments set aside and pledged to public sector institutions.</t>
  </si>
  <si>
    <t xml:space="preserve"> Portions of multi-year appropriations from previous years. .</t>
  </si>
  <si>
    <t>Any other state funds not included above.</t>
  </si>
  <si>
    <t xml:space="preserve">Appropriations you expect will have to be returned to the state. </t>
  </si>
  <si>
    <t>Portions of multi-year appropriations in the current year which are to be spread over other years.</t>
  </si>
  <si>
    <t>State Support for All Higher Education (sum of rows 7-12 minus rows 13 and 14)</t>
  </si>
  <si>
    <t>Page 2</t>
  </si>
  <si>
    <t xml:space="preserve">State funding for students in non-credit continuing or adult education courses and non-credit extension courses which are not part of a regular program leading to a degree or certificate. </t>
  </si>
  <si>
    <t>Sums to independent institutions for operating expenses.</t>
  </si>
  <si>
    <t xml:space="preserve">Allocation of appropriations for student financial aid grants awarded to students attending state independent institutions. Include dollars intended solely for students attending independent institutions and the independent sector’s portion of state aid programs. Estimate if needed. </t>
  </si>
  <si>
    <t xml:space="preserve">Allocation of appropriations for student financial aid grants awarded to students attending out-of-state institutions (estimate if needed). </t>
  </si>
  <si>
    <t>State Support for Public Higher Education (State Support for All Higher Education minus rows 17-20)</t>
  </si>
  <si>
    <t>State appropriated funds derived from federal sources. Please do NOT include funds derived from ARRA.</t>
  </si>
  <si>
    <t>Sums to independent institutions for capital outlay (new construction and debt service/retirement).</t>
  </si>
  <si>
    <t>Page 3</t>
  </si>
  <si>
    <t>Local Appropriations: From local government taxes to institutions for operating expenses.</t>
  </si>
  <si>
    <t>Appropriated sums for research centers, laboratories, and institutes, and appropriated sums separately budgeted by institutions for organized research. Generally, these are ongoing programs. Include all health and science research.</t>
  </si>
  <si>
    <t>Appropriated sums for teaching or affiliated hospital operations and public service patient care. Include all medical, dental, veterinary, optometry, pharmacy, mental heath, nursing, and other health science institutes, clinics, laboratories, dispensaries, etc. primarily serving the public.</t>
  </si>
  <si>
    <t xml:space="preserve"> Appropriated sums for the direct operation and administrative support of the four major types of medical schools (medicine, dentistry, veterinary medicine, and osteopathic medicine) and centers corresponding to the medical enrollments.</t>
  </si>
  <si>
    <t>Appropriations for Research, Agricultural, and Medical purposes (RAM) (sum of rows 28-31)</t>
  </si>
  <si>
    <t>Gross Tuition plus Mandatory “Education and General” Fees* (public institutions).</t>
  </si>
  <si>
    <t>Tuition and Fees waived or discounted by public institutions. If you enter “0,” please provide additional information in the comments box explaining why it is “0” for your state. (Will be subtracted.)</t>
  </si>
  <si>
    <t>State appropriated student aid for tuition and mandatory fees for public institutions. (Will be subtracted.)</t>
  </si>
  <si>
    <t>Tuition and Mandatory Fees paid by public medical students. (Will be subtracted.)</t>
  </si>
  <si>
    <t>Public institution tuition and fees used for capital debt service/retirement and capital improvement other than that paid by user students for auxiliary enterprise debt service. Will NOT be subtracted here.</t>
  </si>
  <si>
    <t>Page 4</t>
  </si>
  <si>
    <t xml:space="preserve"> Enrollment in schools of medicine, dentistry, veterinary medicine, and osteopathic medicine. This will be subtracted.</t>
  </si>
  <si>
    <t>This year, we're asking agencies to report three data elements by sector. This is done on Page 6 of the SSDB data collection tool. We only need FY 2009 forward. The green rows should be zero</t>
  </si>
  <si>
    <t>SHEF Survey Output Template</t>
  </si>
  <si>
    <t>FTE Net of Medical Students (Row 40 minus row 41)</t>
  </si>
  <si>
    <t>Cells not normally used</t>
  </si>
  <si>
    <t>Data for Current Year's Survey
Cells to copy and paste values into Survey</t>
  </si>
  <si>
    <t>CB Data Year Used for Survey</t>
  </si>
  <si>
    <r>
      <t xml:space="preserve">Interest or earning received from state funded endowments set aside and pledged to public sector institutions. </t>
    </r>
    <r>
      <rPr>
        <sz val="12"/>
        <rFont val="Tahoma"/>
        <family val="2"/>
      </rPr>
      <t>These funds should not be included in Data Element #1.</t>
    </r>
  </si>
  <si>
    <r>
      <rPr>
        <b/>
        <sz val="12"/>
        <rFont val="Tahoma"/>
        <family val="2"/>
      </rPr>
      <t xml:space="preserve">Funding under state auspices for non-appropriated state support. </t>
    </r>
    <r>
      <rPr>
        <sz val="12"/>
        <rFont val="Tahoma"/>
        <family val="2"/>
      </rPr>
      <t>These may include, but are not limited to, monies from receipt of lease income, cattle-grazing rights fees, and oil/mineral extraction fees on land set aside by the state for higher education. These funds should not be included in Data Element #1.</t>
    </r>
  </si>
  <si>
    <r>
      <rPr>
        <b/>
        <sz val="12"/>
        <rFont val="Tahoma"/>
        <family val="2"/>
      </rPr>
      <t>Funding under state auspices for appropriated non-tax state support set aside by the state for higher education.</t>
    </r>
    <r>
      <rPr>
        <sz val="12"/>
        <rFont val="Tahoma"/>
        <family val="2"/>
      </rPr>
      <t xml:space="preserve"> These may include, but are not limited to, monies from lotteries (including lottery scholarships), tobacco settlement, or casinos, or other gaming. These funds should not be included in Data Element #1.</t>
    </r>
  </si>
  <si>
    <t>GR Appropriations - 4 Year
Appropriations from state government taxes to institutions for operations and other higher education activities. See instructions for what should and should not be included in this figure.</t>
  </si>
  <si>
    <t>GR Appropriations - 2 Year
Appropriations from state government taxes to institutions for operations and other higher education activities. See instructions for what should and should not be included in this figure.</t>
  </si>
  <si>
    <t>Survey Data for submission Fall</t>
  </si>
  <si>
    <t xml:space="preserve">CB - TEG Funding
Allocation of appropriations for student financial aid grants awarded to students attending state independent institutions. Include dollars intended </t>
  </si>
  <si>
    <t>Latest Avail. Year</t>
  </si>
  <si>
    <t>SHEF Survey Years for Above Submission</t>
  </si>
  <si>
    <t>FY</t>
  </si>
  <si>
    <t xml:space="preserve">FTE Net of Medical Students </t>
  </si>
  <si>
    <t>To Page 2 - Row 22</t>
  </si>
  <si>
    <t>To Page 3 - Row 29</t>
  </si>
  <si>
    <t>To Page 3 - Row 31</t>
  </si>
  <si>
    <t>Enter Year of Survey Submission</t>
  </si>
  <si>
    <t>CC Employee Benefits
GHI &amp; Retirement</t>
  </si>
  <si>
    <t>Higher Educ. Emp. Benefits - Social Security</t>
  </si>
  <si>
    <t>Higher Education Employees Benefits -  Group Insurance - Community Colleges</t>
  </si>
  <si>
    <t>CD</t>
  </si>
  <si>
    <t>AT</t>
  </si>
  <si>
    <t>CC</t>
  </si>
  <si>
    <t>Austin CC:  Virtual College of Texas</t>
  </si>
  <si>
    <t>LIT</t>
  </si>
  <si>
    <t>GAA Page III-260</t>
  </si>
  <si>
    <t>GAA Page III-265</t>
  </si>
  <si>
    <t>GAA Page viii</t>
  </si>
  <si>
    <t>GAA Page x</t>
  </si>
  <si>
    <t>GAA Page III-261</t>
  </si>
  <si>
    <t>Tarleton State University</t>
  </si>
  <si>
    <t>Texas A&amp;M University - Central Texas</t>
  </si>
  <si>
    <t>Texas A&amp;M University - Corpus Christi</t>
  </si>
  <si>
    <t>Texas A&amp;M University - Kingsville</t>
  </si>
  <si>
    <t>Texas A&amp;M University - San Antonio</t>
  </si>
  <si>
    <t>GAA Page III-196</t>
  </si>
  <si>
    <t>Primary Care Innovation Grant Pgm</t>
  </si>
  <si>
    <t>Texas Teacher Residency Program</t>
  </si>
  <si>
    <t>GAA Page III 43</t>
  </si>
  <si>
    <t>Academic Institutions Total Group Ins.</t>
  </si>
  <si>
    <t>HR</t>
  </si>
  <si>
    <t>TSTC - System Administration</t>
  </si>
  <si>
    <t>TSTC - System Administration: N TX and E Williamson Co. Ctrs</t>
  </si>
  <si>
    <t>Art. IX</t>
  </si>
  <si>
    <t xml:space="preserve">  Net Total All Funds All Articles</t>
  </si>
  <si>
    <t>Total Reductions</t>
  </si>
  <si>
    <t>Article III - Total Reductions</t>
  </si>
  <si>
    <t xml:space="preserve">   Interagency Contracts</t>
  </si>
  <si>
    <t>Recapitulation - All Articles, Total (Plus Agencies of Education Interagency Contracts)  Data - 15; 28</t>
  </si>
  <si>
    <t>Recapitulation - All Articles, Agencies of Education     Data - 6; 19</t>
  </si>
  <si>
    <t>Total - Higher Education</t>
  </si>
  <si>
    <t xml:space="preserve">Texas State University </t>
  </si>
  <si>
    <t>Texas Higher Education Coordinating Board - Not in Total</t>
  </si>
  <si>
    <t>Footnotes</t>
  </si>
  <si>
    <t>Appropriation Act - Editor's Notes</t>
  </si>
  <si>
    <t>2010 - 2011</t>
  </si>
  <si>
    <t>House Bill No. 4586 (Eighty-first Legislature, Regular Session), and other miscellaneous bills, including those of the First Called Session.  Conforming changes to agency riders and informational items have also been made.</t>
  </si>
  <si>
    <t>Complete copies of legislation affecting Senate Bill No. 1 can be found at www.capitol.state.tx.us.</t>
  </si>
  <si>
    <t>Senate Bill No. 1 Conference Committee Report (Eighty-first Legislature, Regular Session) appropriation figure have been adjusted in this publication to incorporate certain Article IX (General Provisions) appropriations into relevant agency bill patterns, as well as Governor's vetoes,</t>
  </si>
  <si>
    <t>2008 - 2009</t>
  </si>
  <si>
    <t>2006 - 2007</t>
  </si>
  <si>
    <t>2004 - 2005</t>
  </si>
  <si>
    <t>2002 - 2003</t>
  </si>
  <si>
    <t>2000 - 2001</t>
  </si>
  <si>
    <t>2012 - 2013</t>
  </si>
  <si>
    <t>2014 - 2015</t>
  </si>
  <si>
    <t>House Bill No. 4 (Eighty-second Legislature, Regular Sessions) Senate Bill No. 2 (Eighty second Legislature, First Called Session), and other miscellaneous bills.</t>
  </si>
  <si>
    <t>House Bill No. 1 Conference Committee Report (Eighty-second Legislature, Regular Session) appropriations amounts are adjusted to incorporate certain Article IX (General Provisions) appropriations into relevant agency bill patters, as well as Governor's Vetoes,</t>
  </si>
  <si>
    <t>Complete copies of legislation affecting House Bill No. 1 can be found at www.capitol.state.tx.us.</t>
  </si>
  <si>
    <t>Senate Bill No. 1 Conference Committee Report (Eighty-third Legislature, Regular Session) appropriation figure have been adjusted in this publication to incorporate certain Article IX (General Provisions) appropriations into relevant agency bill patterns, as well as Governor's vetoes,</t>
  </si>
  <si>
    <t>House Bill No. 1025 (Eighty-third Legislature, Regular Session), House Bill No. 7 (Eighty-third Legislature, Regular Session), and other miscellaneous bills, including Senate Joint Resolution No. 1 of the Third Called Session.</t>
  </si>
  <si>
    <t>Overview Adjustments 
(If Any) Listed on Rows Below</t>
  </si>
  <si>
    <t>ARRA funding (Federal Funds) reported as General Revenue has been removed to reflect the actual amount of General Revenue that institutions/agencies received.</t>
  </si>
  <si>
    <r>
      <t xml:space="preserve">Table 6 - Appropriations for South Texas Border General Academic Institutions </t>
    </r>
    <r>
      <rPr>
        <sz val="10"/>
        <color theme="1"/>
        <rFont val="Tahoma"/>
        <family val="2"/>
      </rPr>
      <t>(Includes Higher Education Employees Group Insurance Contributions )</t>
    </r>
  </si>
  <si>
    <r>
      <t xml:space="preserve">Table 5 - Appropriations for Research and Emerging Research General Academic Institutions </t>
    </r>
    <r>
      <rPr>
        <sz val="10"/>
        <color theme="1"/>
        <rFont val="Tahoma"/>
        <family val="2"/>
      </rPr>
      <t>(Includes Higher Education Employees Group Insurance Contributions )</t>
    </r>
  </si>
  <si>
    <t>AR</t>
  </si>
  <si>
    <t>Academic Institutions - Research Related Items</t>
  </si>
  <si>
    <t>Check Totals</t>
  </si>
  <si>
    <t>Also To CACG Input</t>
  </si>
  <si>
    <t>HRIR</t>
  </si>
  <si>
    <t>Health-Related Institutions - Research Related Items</t>
  </si>
  <si>
    <t>Appropriations Related</t>
  </si>
  <si>
    <t>General Provisions (Article 9)</t>
  </si>
  <si>
    <t>Dallas County Community College</t>
  </si>
  <si>
    <t>Health-Related Institutions Total Group Ins.</t>
  </si>
  <si>
    <t>Workforce, Academic Affairs, and Research</t>
  </si>
  <si>
    <t>Moved to Sep Strat</t>
  </si>
  <si>
    <t>UT-Permian Basin:  John Ben Sheppard Leadership Institute</t>
  </si>
  <si>
    <t>Midwestern:  ARRA - Autism Support</t>
  </si>
  <si>
    <t xml:space="preserve">  Sandia Research Partnerships</t>
  </si>
  <si>
    <t>Outline of Workbook Organization</t>
  </si>
  <si>
    <t>Summary - Millions</t>
  </si>
  <si>
    <t>Summary - Dollars</t>
  </si>
  <si>
    <t>Data</t>
  </si>
  <si>
    <t>The Footnotes tab contains the data for the footnote reference links shown on the Summary - Millions tab and the Summary - Dollars tab.</t>
  </si>
  <si>
    <t xml:space="preserve">The Data tab holds the data used for this workbook.  </t>
  </si>
  <si>
    <t>Appropriation data is available starting with the FY 2010-11 biennium.</t>
  </si>
  <si>
    <t xml:space="preserve"> </t>
  </si>
  <si>
    <t>Table 1 - State Appropriations - B. History - 39</t>
  </si>
  <si>
    <t>Biennium Total</t>
  </si>
  <si>
    <t>Table 1 - State Appropriations - Summary D. - 39</t>
  </si>
  <si>
    <t>Table 2 - Education Appropriations (Article III) - B. History - 75</t>
  </si>
  <si>
    <t>Table 2 - Education Appropriations (Article III) - Summaries D. - 75</t>
  </si>
  <si>
    <t>Table 6 - Approp. For S. TX Border G. Acad. Inst. - Summary D. - 347</t>
  </si>
  <si>
    <t>Table 6 - Approp. For S. TX Border G. Acad. Inst. - B. History - 347</t>
  </si>
  <si>
    <t>Health-Related Institutions (Incl BCM)</t>
  </si>
  <si>
    <t>Earnings-BCM Perm Endow Fnd. (Fund 823)</t>
  </si>
  <si>
    <t xml:space="preserve">Earnings: BCM Perm Health Fnd </t>
  </si>
  <si>
    <t>Baylor College of Medicine (Incl w/ HRIs)</t>
  </si>
  <si>
    <t>Biennia History -Compares Biennia History tab to Summary - Dollars tab for balancing.</t>
  </si>
  <si>
    <t>Summary Millions to Summary Dollars Comparison</t>
  </si>
  <si>
    <t>Table 1 - State Appropriations - Summary M. - 39</t>
  </si>
  <si>
    <t>Table 2 - Education Appropriations (Article III) - Summary M. - 75</t>
  </si>
  <si>
    <t>Health-Related Institutions (Incl. BCM)</t>
  </si>
  <si>
    <t>Note: If data does not appear for some sections, it is either unavailable or not loaded into this workbook at this time.</t>
  </si>
  <si>
    <t>Please Review the information on this tab, BEFORE using this workbook.</t>
  </si>
  <si>
    <t>Workbook Tabs</t>
  </si>
  <si>
    <t>Organization and Content Summary</t>
  </si>
  <si>
    <t>Overview of State Appropriations</t>
  </si>
  <si>
    <t>For more information contact:</t>
  </si>
  <si>
    <t>P.O. Box 12788</t>
  </si>
  <si>
    <t>Austin, TX 78711</t>
  </si>
  <si>
    <t>Statewide Appropriations</t>
  </si>
  <si>
    <t>Higher Education Approp.</t>
  </si>
  <si>
    <t>South Texas/Border</t>
  </si>
  <si>
    <t>Tuition Revenue Bonds</t>
  </si>
  <si>
    <t>Table 1</t>
  </si>
  <si>
    <t>Table 2</t>
  </si>
  <si>
    <t>Table 3</t>
  </si>
  <si>
    <t>Table 4</t>
  </si>
  <si>
    <t>Academic System Approp.</t>
  </si>
  <si>
    <t>Table 5</t>
  </si>
  <si>
    <t>Table 6</t>
  </si>
  <si>
    <t>Table 7</t>
  </si>
  <si>
    <t>Table 8</t>
  </si>
  <si>
    <t>Table 9</t>
  </si>
  <si>
    <t>Tobacco Settlement</t>
  </si>
  <si>
    <t>Table 10</t>
  </si>
  <si>
    <t>Index to Tables &amp; Charts</t>
  </si>
  <si>
    <t>Return</t>
  </si>
  <si>
    <t>General Appropriations Act Overview (in dollars)</t>
  </si>
  <si>
    <t>General Appropriations Act Overview (in millions)</t>
  </si>
  <si>
    <t>Biennia History</t>
  </si>
  <si>
    <t>Links</t>
  </si>
  <si>
    <t>Brief Description of Tables</t>
  </si>
  <si>
    <t>Index</t>
  </si>
  <si>
    <r>
      <t>Table 3 - Higher Education State Appropriations by Sector</t>
    </r>
    <r>
      <rPr>
        <sz val="10"/>
        <color theme="1"/>
        <rFont val="Tahoma"/>
        <family val="2"/>
      </rPr>
      <t xml:space="preserve"> (Includes Higher Education Employees Group Insurance Contributions)</t>
    </r>
  </si>
  <si>
    <t>Research</t>
  </si>
  <si>
    <t>Research/Emerging</t>
  </si>
  <si>
    <r>
      <t xml:space="preserve">Statewide Appropriations cover all areas of Texas Government.  Appropriations are classified into generally ten separate Articles, with each Article representing a specific area of Texas Government.  </t>
    </r>
    <r>
      <rPr>
        <b/>
        <sz val="11"/>
        <color theme="1"/>
        <rFont val="Tahoma"/>
        <family val="2"/>
      </rPr>
      <t>Table 1</t>
    </r>
    <r>
      <rPr>
        <sz val="11"/>
        <color theme="1"/>
        <rFont val="Tahoma"/>
        <family val="2"/>
      </rPr>
      <t xml:space="preserve"> provides a summary of total appropriations by article.</t>
    </r>
  </si>
  <si>
    <r>
      <t xml:space="preserve">Agencies of Education that include primarily Public Education and Higher Education is a separate Article.  </t>
    </r>
    <r>
      <rPr>
        <b/>
        <sz val="11"/>
        <color theme="1"/>
        <rFont val="Tahoma"/>
        <family val="2"/>
      </rPr>
      <t>Table 2</t>
    </r>
    <r>
      <rPr>
        <sz val="11"/>
        <color theme="1"/>
        <rFont val="Tahoma"/>
        <family val="2"/>
      </rPr>
      <t xml:space="preserve"> provides a high level breakout of the appropriations in Article III, education appropriations.</t>
    </r>
  </si>
  <si>
    <t>Select the dropdown menu in the cell below to choose a biennium.</t>
  </si>
  <si>
    <r>
      <t xml:space="preserve">Texas higher education is composed of general academic institutions, community colleges, technical colleges, Lamar state colleges, health-related institutions, service agencies, and related organizations that receive separate appropriations. </t>
    </r>
    <r>
      <rPr>
        <b/>
        <sz val="11"/>
        <color theme="1"/>
        <rFont val="Tahoma"/>
        <family val="2"/>
      </rPr>
      <t xml:space="preserve"> Table 3</t>
    </r>
    <r>
      <rPr>
        <sz val="11"/>
        <color theme="1"/>
        <rFont val="Tahoma"/>
        <family val="2"/>
      </rPr>
      <t xml:space="preserve"> provides the major sectors of funding for Higher Education.  Expansion of the row groupings will provide institution level data.</t>
    </r>
  </si>
  <si>
    <r>
      <t xml:space="preserve">Institutions are classified between Doctoral/Research (Extensive) universities and all other universities according to the Carnegie classification.  </t>
    </r>
    <r>
      <rPr>
        <b/>
        <sz val="11"/>
        <color theme="1"/>
        <rFont val="Tahoma"/>
        <family val="2"/>
      </rPr>
      <t>Table 5</t>
    </r>
    <r>
      <rPr>
        <sz val="11"/>
        <color theme="1"/>
        <rFont val="Tahoma"/>
        <family val="2"/>
      </rPr>
      <t xml:space="preserve"> compares the Research and Emerging Research total to all other academic institutions  By expanding the rows, detail amounts for institutions comprising the Research and Emerging Research total can be viewed.</t>
    </r>
  </si>
  <si>
    <r>
      <t xml:space="preserve">Appropriations for the South Texas/Border universities are compared to other universities in the state. </t>
    </r>
    <r>
      <rPr>
        <b/>
        <sz val="11"/>
        <color theme="1"/>
        <rFont val="Tahoma"/>
        <family val="2"/>
      </rPr>
      <t>Table 6</t>
    </r>
    <r>
      <rPr>
        <sz val="11"/>
        <color theme="1"/>
        <rFont val="Tahoma"/>
        <family val="2"/>
      </rPr>
      <t xml:space="preserve"> compares the South Texas Border Institutions to all other general academic institutions.  By expanding the rows, detail amounts for institutions comprising the South Texas Border Institutions can be viewed.</t>
    </r>
  </si>
  <si>
    <t>Institutional Enhancement</t>
  </si>
  <si>
    <r>
      <t xml:space="preserve">The 76th Texas Legislature created a special item-related strategy entitled “Institutional Enhancement.” This new strategy consolidated certain continuing special item appropriations requested by institutions. These include academic, research and general institutional support, student services, libraries, capital items, program development items, and scholarships. </t>
    </r>
    <r>
      <rPr>
        <b/>
        <sz val="11"/>
        <color theme="1"/>
        <rFont val="Tahoma"/>
        <family val="2"/>
      </rPr>
      <t xml:space="preserve"> Table 8</t>
    </r>
    <r>
      <rPr>
        <sz val="11"/>
        <color theme="1"/>
        <rFont val="Tahoma"/>
        <family val="2"/>
      </rPr>
      <t xml:space="preserve"> provides sector level totals for Institutional Enhancement.  Expansion of the rows shows individual institution amounts.</t>
    </r>
  </si>
  <si>
    <r>
      <t>Tuition revenue bonds (TRB) are used to fund new construction and rehabilitation of existing buildings. Individual institutions pledge tuition revenue for bond repayment. Historically, however, the Legislature has appropriated General Revenue to institutions for this repayment. Although not classified as a special item in the General Appropriations Act, this debt may only be issued by universities, health-related institutions, technical colleges, and the Lamar state colleges after they obtain legislative authority.</t>
    </r>
    <r>
      <rPr>
        <b/>
        <sz val="11"/>
        <color theme="1"/>
        <rFont val="Tahoma"/>
        <family val="2"/>
      </rPr>
      <t xml:space="preserve"> Table 9</t>
    </r>
    <r>
      <rPr>
        <sz val="11"/>
        <color theme="1"/>
        <rFont val="Tahoma"/>
        <family val="2"/>
      </rPr>
      <t xml:space="preserve"> provides sector level totals for Tuition Revenue Bonds.  Expansion of the rows shows individual institution amounts.</t>
    </r>
  </si>
  <si>
    <t>General Appropriations Act Overview - Biennia History</t>
  </si>
  <si>
    <r>
      <t xml:space="preserve">House Bill 1945, Seventy-sixth Legislature, 1999, established the Permanent Health Fund for health-related institutions of Higher Education; the Permanent Fund for Minority Health Research and Education; the Permanent Fund for Higher Education Nursing, Allied Health, and Other Health Related Programs; and 13 permanent endowments for individual institutions of higher education. Receipts collected pursuant to the Comprehensive Tobacco Settlement Agreement and Release and earnings on permanent endowments created during the previous biennium were appropriated in Article III of the General Appropriations Act for direct expenditure at health-related institutions of higher education and for permanent endowments.  </t>
    </r>
    <r>
      <rPr>
        <b/>
        <sz val="11"/>
        <color theme="1"/>
        <rFont val="Tahoma"/>
        <family val="2"/>
      </rPr>
      <t>Table 10</t>
    </r>
    <r>
      <rPr>
        <sz val="11"/>
        <color theme="1"/>
        <rFont val="Tahoma"/>
        <family val="2"/>
      </rPr>
      <t xml:space="preserve"> provides sector level totals for Tobacco Receipts.  Expansion of the rows shows individual institution amounts.</t>
    </r>
  </si>
  <si>
    <t>Change Log for Overview of Formula Funding</t>
  </si>
  <si>
    <t>Date</t>
  </si>
  <si>
    <t>Version No.</t>
  </si>
  <si>
    <t>Tab</t>
  </si>
  <si>
    <t>Features</t>
  </si>
  <si>
    <t>April, 2013</t>
  </si>
  <si>
    <t xml:space="preserve"> 1-27</t>
  </si>
  <si>
    <t>All</t>
  </si>
  <si>
    <t>Spreadsheet development prior to public release.</t>
  </si>
  <si>
    <t>June, 2014</t>
  </si>
  <si>
    <t>HEF Total for Academic Institutions</t>
  </si>
  <si>
    <t>HEF Total for Health-Related Institutions</t>
  </si>
  <si>
    <t>HEF Total for Lamars/TSTCs</t>
  </si>
  <si>
    <t>L-T</t>
  </si>
  <si>
    <t>Academic Institutions Institutional Enhancement</t>
  </si>
  <si>
    <t>AIE</t>
  </si>
  <si>
    <t>FICE</t>
  </si>
  <si>
    <t>The University of Texas - Pan American</t>
  </si>
  <si>
    <t>The University of Texas at Brownsville</t>
  </si>
  <si>
    <t>The University of Texas of the Permian Basin</t>
  </si>
  <si>
    <t>The University of Texas at Tyler</t>
  </si>
  <si>
    <t>Prairie View A &amp; M University</t>
  </si>
  <si>
    <t>Texas A&amp;M University - Commerce</t>
  </si>
  <si>
    <t>Texas A&amp;M University -Texarkana</t>
  </si>
  <si>
    <t>University of Houston - Clear Lake</t>
  </si>
  <si>
    <t>University of Houston - Downtown</t>
  </si>
  <si>
    <t>University of Houston - Victoria</t>
  </si>
  <si>
    <t xml:space="preserve">Lamar University </t>
  </si>
  <si>
    <t>Sam Houston State University</t>
  </si>
  <si>
    <t>SUL ROSS RIO GRANDE COLLEGE</t>
  </si>
  <si>
    <t>Sul Ross State University</t>
  </si>
  <si>
    <t>University of North Texas at Dallas</t>
  </si>
  <si>
    <t>The University of Texas Southwestern Medical Center at Dallas</t>
  </si>
  <si>
    <t>The University of Texas Medical Branch at Galveston</t>
  </si>
  <si>
    <t>The University of Texas Health Science Center at Houston</t>
  </si>
  <si>
    <t>The University of Texas Health Science Center at San Antonio</t>
  </si>
  <si>
    <t>The University of Texas M.D. Anderson Cancer Center</t>
  </si>
  <si>
    <t>The University of Texas Health Center at Tyler</t>
  </si>
  <si>
    <t>Texas A&amp;M University System Health Science Center</t>
  </si>
  <si>
    <t xml:space="preserve">University of North Texas Health Science Center at Fort Worth    </t>
  </si>
  <si>
    <t>Texas State Tech. College - Harlingen</t>
  </si>
  <si>
    <t>Texas State Tech. College - Marshall</t>
  </si>
  <si>
    <t>Texas State Tech. College - Waco</t>
  </si>
  <si>
    <t>Lamar State College - Orange</t>
  </si>
  <si>
    <t>Lamar State College - Port Arthur</t>
  </si>
  <si>
    <t>SFFTSE</t>
  </si>
  <si>
    <t>Total Annual State-Funded  FTSE Health-Related Institutions</t>
  </si>
  <si>
    <t>Total Annual State-Funded FTSE Academic Institutions</t>
  </si>
  <si>
    <t>Total Annual State-Funded FTSE State Colleges</t>
  </si>
  <si>
    <t>Total Annual State-Funded FTSE Technical Colleges</t>
  </si>
  <si>
    <t>Total Annual Total FTSE Academic Institutions</t>
  </si>
  <si>
    <t>Total Annual Total FTSE Health-Related Institutions</t>
  </si>
  <si>
    <t>Total Annual Total FTSE State Colleges</t>
  </si>
  <si>
    <t>Total Annual Total FTSE Technical Colleges</t>
  </si>
  <si>
    <t>TFTSE</t>
  </si>
  <si>
    <t>FTEF</t>
  </si>
  <si>
    <t>Total Degrees - Academic Institutions</t>
  </si>
  <si>
    <t>Total Degrees - Health-Related Institutions</t>
  </si>
  <si>
    <t>Total Degrees - State Colleges</t>
  </si>
  <si>
    <t>Total FTE Teaching Faculty - Academic Institutions</t>
  </si>
  <si>
    <t>Total Annual FTE Teaching Faculty Health-Related Institutions</t>
  </si>
  <si>
    <t>Total Annual FTE Teaching Faculty State Colleges</t>
  </si>
  <si>
    <t>Total Annual FTE Teaching Faculty Technical Colleges</t>
  </si>
  <si>
    <t>S&amp;U</t>
  </si>
  <si>
    <t>Texas Tech University Health Sciences Center - El Paso</t>
  </si>
  <si>
    <t>Cisco College</t>
  </si>
  <si>
    <t>North Central Texas College</t>
  </si>
  <si>
    <t>Grayson College</t>
  </si>
  <si>
    <t>Alamo Community College District</t>
  </si>
  <si>
    <t>Tarrant County College District</t>
  </si>
  <si>
    <t>Temple College</t>
  </si>
  <si>
    <t>College of the Mainland Community College District</t>
  </si>
  <si>
    <t>Dallas County Community College District</t>
  </si>
  <si>
    <t>El Paso Community College District</t>
  </si>
  <si>
    <t>Northeast Texas Community College</t>
  </si>
  <si>
    <t>San Jacinto Community College</t>
  </si>
  <si>
    <t>Howard County Junior College District</t>
  </si>
  <si>
    <t>Total Annual State-Funded FTSE Community Colleges</t>
  </si>
  <si>
    <t>Annual Total FTSE Community Colleges</t>
  </si>
  <si>
    <t>Total Degrees - Technical Colleges</t>
  </si>
  <si>
    <t>Total Degrees - Community Colleges</t>
  </si>
  <si>
    <t>D</t>
  </si>
  <si>
    <t>Annual State-Funded FTSE for all sectors</t>
  </si>
  <si>
    <t>Annual Total FTSE for all sectors</t>
  </si>
  <si>
    <t>eb</t>
  </si>
  <si>
    <t>The following categories were added to the data tab:</t>
  </si>
  <si>
    <t>Texas A&amp;M University - Texarkana</t>
  </si>
  <si>
    <t>Stephen F. Austin University</t>
  </si>
  <si>
    <t>Sul Ross State University Rio Grande College</t>
  </si>
  <si>
    <t xml:space="preserve">University of Texas System Administration </t>
  </si>
  <si>
    <t>Texas A&amp;M University System Administrative and General Offices</t>
  </si>
  <si>
    <t>University of Houston System Administration</t>
  </si>
  <si>
    <t>University of North Texas System Administration</t>
  </si>
  <si>
    <t>Texas Tech University System Administration</t>
  </si>
  <si>
    <t>The Univ. of Texas Southwestern Medical Center at Dallas</t>
  </si>
  <si>
    <t>The Univ. of Texas Medical Branch at Galveston</t>
  </si>
  <si>
    <t>The Univ. of Texas Health Science Center at Houston</t>
  </si>
  <si>
    <t>The Univ. of Texas Health Science Center at San Antonio</t>
  </si>
  <si>
    <t>The Univ. of Texas M.D. Anderson Cancer Center</t>
  </si>
  <si>
    <t>The Univ. of Texas Health Center at Tyler</t>
  </si>
  <si>
    <t>Texas A&amp;M University Health Science Center</t>
  </si>
  <si>
    <t>University of North Texas Health Science Center</t>
  </si>
  <si>
    <t>Texas State Technical College System Administration</t>
  </si>
  <si>
    <t>Texas State Technical College - Harlingen</t>
  </si>
  <si>
    <t>Texas State Technical College - West Texas</t>
  </si>
  <si>
    <t>Texas State Technical College - Marshall</t>
  </si>
  <si>
    <t>Texas State Technical College - Waco</t>
  </si>
  <si>
    <t xml:space="preserve">Lamar University Institute of Technology </t>
  </si>
  <si>
    <t>Lamar University - Orange</t>
  </si>
  <si>
    <t>Lamar University - Port Arthur</t>
  </si>
  <si>
    <t>Article III - Total Reductions/Other Approp.</t>
  </si>
  <si>
    <t>Total Reductions/Other Approp.</t>
  </si>
  <si>
    <t>Budget Reductions/Other Approp. (Negative Nos.) (General Revenue)</t>
  </si>
  <si>
    <t>Budget Reductions/Other Approp. (Negative Nos.) (All Funds)</t>
  </si>
  <si>
    <t>University of North Texas - Dallas</t>
  </si>
  <si>
    <t>Higher Educ. Emp. Group Ins.  (General Revenue)</t>
  </si>
  <si>
    <t>Higher Educ. Emp. Group Ins. (All Funds)</t>
  </si>
  <si>
    <t>III-38-40</t>
  </si>
  <si>
    <t>Technology Workforce Development (AF Only)</t>
  </si>
  <si>
    <t>Student Financial Aid</t>
  </si>
  <si>
    <t>State Military Tuition Assistance</t>
  </si>
  <si>
    <t>Starlink</t>
  </si>
  <si>
    <t>Higher Educ. Emp. Group Ins. - Community Colleges</t>
  </si>
  <si>
    <t>Total, Article III-Agencies of Education (All Funds)</t>
  </si>
  <si>
    <t>Total, Article III-Agencies of Education (General Revenue)</t>
  </si>
  <si>
    <t>Summary Dollars</t>
  </si>
  <si>
    <t>Summary Millions</t>
  </si>
  <si>
    <t>Dental Education  Loan Program</t>
  </si>
  <si>
    <t>West Texas:  Kilgore Research Center</t>
  </si>
  <si>
    <t>HEF Total For Lamar Institute of Technology</t>
  </si>
  <si>
    <t xml:space="preserve">  System wide Initiatives</t>
  </si>
  <si>
    <t>Texas State Tech. College - West TX</t>
  </si>
  <si>
    <t>Budget Reductions (if any) are reflected in the amounts presented.</t>
  </si>
  <si>
    <t>Spell Check done on complete workbook.</t>
  </si>
  <si>
    <t>III-246-249</t>
  </si>
  <si>
    <t>UT-Austin:  Institute of Domestic Violence</t>
  </si>
  <si>
    <t>UT-Austin:  Latino WWII Oral History/VOCES Oral History Project</t>
  </si>
  <si>
    <t>TAMU: Institutional Enhancement</t>
  </si>
  <si>
    <t>TAMU: Summer School</t>
  </si>
  <si>
    <t>TAMU-Galveston: Marine and Maritime Instructional Enhancement</t>
  </si>
  <si>
    <t>TAMU-Galveston:  Ship Operation and Maintenance</t>
  </si>
  <si>
    <t>TAMU-Galveston:  Marine Terminal Operations</t>
  </si>
  <si>
    <t>TAMU-Galveston:  Dredging of Dock Area</t>
  </si>
  <si>
    <t>TAMU-Kingsville:  Pharmacy School Start Up</t>
  </si>
  <si>
    <t>West Texas A&amp;M: Total</t>
  </si>
  <si>
    <t>TAMU-Commerce:  BS Degree Program in Industrial Engineering</t>
  </si>
  <si>
    <t>TAMU-Texarkana:  Academic Programs - Nursing &amp; Biology</t>
  </si>
  <si>
    <t>Texas Tech:  Faculty Excellence</t>
  </si>
  <si>
    <t>Angelo State: Total</t>
  </si>
  <si>
    <t>Lamar University: Total</t>
  </si>
  <si>
    <t>Texas State:  Nursing Program Start-Up</t>
  </si>
  <si>
    <t>Texas State:  School District Training</t>
  </si>
  <si>
    <t>UT-SMC: Total</t>
  </si>
  <si>
    <t>UT-MB-Galveston:  Hyperbaric Treatment and research</t>
  </si>
  <si>
    <t>UT-HSC-San Antonio:  State Border Region Health Education</t>
  </si>
  <si>
    <t>Texas Tech-UHSC:  Medical Residency &amp; Physician Asst. Program</t>
  </si>
  <si>
    <t>LS</t>
  </si>
  <si>
    <t>TSTC</t>
  </si>
  <si>
    <t>Total HRI Institutions GR</t>
  </si>
  <si>
    <t>HRI</t>
  </si>
  <si>
    <t>Total Academic Institutions GR</t>
  </si>
  <si>
    <t>Not Used</t>
  </si>
  <si>
    <t>Texas Tech University Health Sciences Center El Paso</t>
  </si>
  <si>
    <t>Total Dollars</t>
  </si>
  <si>
    <t>Item counts</t>
  </si>
  <si>
    <t>To Survey Col H</t>
  </si>
  <si>
    <t>To Survey Col J</t>
  </si>
  <si>
    <t>To Survey Col L</t>
  </si>
  <si>
    <t>To Survey Col P</t>
  </si>
  <si>
    <t>To Survey Col V</t>
  </si>
  <si>
    <t>To Survey Col AD</t>
  </si>
  <si>
    <t>University of Texas Southwestern Medical Center</t>
  </si>
  <si>
    <t>To: B: System Operations</t>
  </si>
  <si>
    <t xml:space="preserve">To: C: Health Professions Education </t>
  </si>
  <si>
    <t>Lookup</t>
  </si>
  <si>
    <t>Column Letters may need to be updated each year.</t>
  </si>
  <si>
    <t>To Survey Col AG</t>
  </si>
  <si>
    <t>Copy by column and paste into survey form.</t>
  </si>
  <si>
    <t>To: A: Local
 (CCs Total Taxes Collected)</t>
  </si>
  <si>
    <t>susan.lounsbury@sreb.org</t>
  </si>
  <si>
    <t>28-2</t>
  </si>
  <si>
    <t>Changed T&amp;F data from Gross to Net in all sectors - for use in SREB survey.</t>
  </si>
  <si>
    <t>Total, Health-Related Institutions - Net Tuition &amp; Fees</t>
  </si>
  <si>
    <t>Total, Academic Institutions - Net Tuition &amp; Fees</t>
  </si>
  <si>
    <t>Total, TSTC/Lamars/LIT - Net Tuition &amp; Fees</t>
  </si>
  <si>
    <t>Total, Public Community Junior Colleges - Net Tuition &amp; Fees</t>
  </si>
  <si>
    <t>Sul Ross State University (Incl. Rio Grande College)</t>
  </si>
  <si>
    <t>Academic Institutions - Total Tuition &amp; Fee Disc. &amp; Allow excludes Aux.</t>
  </si>
  <si>
    <t xml:space="preserve">The University of Texas at Brownsville </t>
  </si>
  <si>
    <t>Texas A&amp;M Univ-Central Texas</t>
  </si>
  <si>
    <t>Texas A&amp;M Univ-San Antonio</t>
  </si>
  <si>
    <t>Univ. Of North Texas At Dallas</t>
  </si>
  <si>
    <t>Texas A&amp;M University - Vet Med Net Tuition &amp; Fees</t>
  </si>
  <si>
    <t>Texas State Tech. College-Harlingen</t>
  </si>
  <si>
    <t>Texas State Tech. College-Marshall</t>
  </si>
  <si>
    <t>Texas State Tech. College Waco</t>
  </si>
  <si>
    <t>HRI Institutions</t>
  </si>
  <si>
    <t>Totals by Sector:</t>
  </si>
  <si>
    <t>Control Totals from Data Tab Total Sections</t>
  </si>
  <si>
    <t>Total / Lookup</t>
  </si>
  <si>
    <t>Control Totals from Data Tab</t>
  </si>
  <si>
    <t>Total A&amp;M Agencies GR</t>
  </si>
  <si>
    <t>A&amp;MA</t>
  </si>
  <si>
    <t>LDS</t>
  </si>
  <si>
    <t>Total University Systems GR</t>
  </si>
  <si>
    <t>Total TSTC System Administration GR</t>
  </si>
  <si>
    <t>TA&amp;M Agencies Total Benefits - Retirement</t>
  </si>
  <si>
    <t>Academic Institutions Total  Benefits - Retirement</t>
  </si>
  <si>
    <t>Health-Related Institutions Total  Benefits - Retirement</t>
  </si>
  <si>
    <t>System - Academic Institutions Total Group Ins.</t>
  </si>
  <si>
    <t>TSTC System Total Group Ins.</t>
  </si>
  <si>
    <t>Texas A&amp;M Agencies Total Group Ins.</t>
  </si>
  <si>
    <t>Total - Higher Education Employees Benefits - Social Security</t>
  </si>
  <si>
    <t>Academic Institutions Total Social Security</t>
  </si>
  <si>
    <t>System - Academic Institutions Total Social Security</t>
  </si>
  <si>
    <t>Health-Related Institutions Total Social Security</t>
  </si>
  <si>
    <t>TSTC System Total Social Security</t>
  </si>
  <si>
    <t>Texas Tech University Health Sciences Center at El Paso</t>
  </si>
  <si>
    <t>University of Texas System Administration -Lower Rio Grande Valley Regional Academic Health Center</t>
  </si>
  <si>
    <t>Total Tobacco Academic Institutions GR</t>
  </si>
  <si>
    <t>Total Tobacco University Systems GR</t>
  </si>
  <si>
    <t>Total Tobacco HRI Institutions GR</t>
  </si>
  <si>
    <t>TBCM</t>
  </si>
  <si>
    <t>Total BCM Tobacco Earnings</t>
  </si>
  <si>
    <t>Total CB Tobacco Earnings</t>
  </si>
  <si>
    <t>TCB</t>
  </si>
  <si>
    <t xml:space="preserve">Texas St. University </t>
  </si>
  <si>
    <t>TSTC Institutions - System</t>
  </si>
  <si>
    <t>HEF Total For TSTC System</t>
  </si>
  <si>
    <t>Academic Institutions Total - Debt Service</t>
  </si>
  <si>
    <t>Health-Related Institutions Total - Debt Service</t>
  </si>
  <si>
    <t>TSTC System Total - Debt Service</t>
  </si>
  <si>
    <t>Student Aid Financial Based</t>
  </si>
  <si>
    <t>SAFB</t>
  </si>
  <si>
    <t>HP</t>
  </si>
  <si>
    <t>Health Professions</t>
  </si>
  <si>
    <t>To: A: Net Tuition &amp; Fees (Less Aux.)</t>
  </si>
  <si>
    <t>To: C: Health Professions Net Tuition &amp; Fee Revenue</t>
  </si>
  <si>
    <t>Net Tuition &amp; Fees Per S &amp; U - TSTC/Lamars/LIT</t>
  </si>
  <si>
    <t>Net Tuition &amp; Fees Per S &amp; U - Public Community Colleges</t>
  </si>
  <si>
    <t>Net Tuition &amp; Fees Per S &amp; U - Net of Aux. - Academic Institutions</t>
  </si>
  <si>
    <t>Net Tuition &amp; Fees Per S &amp; U - Net of Aux. - Health-Related Institutions</t>
  </si>
  <si>
    <t>Ad Valorem Tax &amp; Maint. Debt Service - Public Community Colleges</t>
  </si>
  <si>
    <t>The years automatically update based on C2 less two years.</t>
  </si>
  <si>
    <t>SHEF Contact - Chris Ott</t>
  </si>
  <si>
    <t>cott@sheeo.org</t>
  </si>
  <si>
    <t>1. Enter survey year in cell C2 at the top of the page.</t>
  </si>
  <si>
    <t>2. Review formula link and correct as necessary.  Use last year's copy as a guide, if necessary.</t>
  </si>
  <si>
    <t>Automatically adjusts based on $C$2 less one year.</t>
  </si>
  <si>
    <t>Automatically adjusts based on $Q$3 less one year.</t>
  </si>
  <si>
    <t>Year Automatically adjusts based on $C$2</t>
  </si>
  <si>
    <t>Health-Related Institutions - Total Net Tuition &amp; Fees</t>
  </si>
  <si>
    <t>Enrollment (State Funded FTSE)</t>
  </si>
  <si>
    <t xml:space="preserve">Community Colleges </t>
  </si>
  <si>
    <t>Total Net Tuition (For Column O, P Q R)</t>
  </si>
  <si>
    <t>Gross Tuition and Fees</t>
  </si>
  <si>
    <r>
      <rPr>
        <b/>
        <sz val="12"/>
        <rFont val="Arial"/>
        <family val="2"/>
      </rPr>
      <t>Gross Tuition plus Mandatory “Education and General” Fees</t>
    </r>
    <r>
      <rPr>
        <sz val="12"/>
        <rFont val="Arial"/>
        <family val="2"/>
      </rPr>
      <t>* (public institutions).</t>
    </r>
  </si>
  <si>
    <t>TSTCs/Lamars/LIT - Total Tuition &amp; Fee Disc. &amp; Allow excludes Aux.</t>
  </si>
  <si>
    <t>Community Colleges - Total Tuition &amp; Fee Disc. &amp; Allow excludes Aux.</t>
  </si>
  <si>
    <t>SHEF Survey Specific Items</t>
  </si>
  <si>
    <t>Health-Related Institutions - Total Tuition &amp; Fee Disc. &amp; Allow excludes Aux.</t>
  </si>
  <si>
    <t>Academic Institutions - Gross Tuition &amp; Fee excludes Aux.</t>
  </si>
  <si>
    <t>TSTCs/Lamars/LIT - Gross Tuition &amp; Fee excludes Aux.</t>
  </si>
  <si>
    <t>Community Colleges - Gross Tuition &amp; Fee excludes Aux.</t>
  </si>
  <si>
    <t>Health-Related Institutions - Gross Tuition &amp; Fee excludes Aux.</t>
  </si>
  <si>
    <t>Health-Related Institutions - Total Tuition &amp; Fee Disc. &amp; Allow</t>
  </si>
  <si>
    <t>Vet Med Appropriations included in TA&amp;M (For SREB Survey)</t>
  </si>
  <si>
    <t>Enrollment (Total Annual FTSE)</t>
  </si>
  <si>
    <t>All Four Yr. Inst.</t>
  </si>
  <si>
    <t>Also on Page 6</t>
  </si>
  <si>
    <t>Change C2 as needed for the correct SSDB survey year.</t>
  </si>
  <si>
    <t>Higher Education as a % of Total State Appropriations (General Revenue)</t>
  </si>
  <si>
    <t>Health-Related Institutions Instit. Enhancement</t>
  </si>
  <si>
    <t>HRIE</t>
  </si>
  <si>
    <t>Annual State-Funded FTSE FY - Academic Institutions</t>
  </si>
  <si>
    <t>Annual Total FTSE FY - Academic Institutions</t>
  </si>
  <si>
    <t>Annual FTE Teaching Faculty FY - Academic Institutions</t>
  </si>
  <si>
    <t>Total Degrees FY - Academic Institutions</t>
  </si>
  <si>
    <t>Annual State-Funded FTSE FY - Health-Related Institutions</t>
  </si>
  <si>
    <t>Annual Total FTSE FY - Health-Related Institutions</t>
  </si>
  <si>
    <t>Annual FTE Teaching Faculty FY - Health-Related Institutions</t>
  </si>
  <si>
    <t>Total Degrees FY - Health-Related Institutions</t>
  </si>
  <si>
    <t>Annual State Funded FTSE FY - State Colleges</t>
  </si>
  <si>
    <t>Annual State Funded FTSE FY  - Technical Colleges</t>
  </si>
  <si>
    <t>Annual Total FTSE FY - State Colleges</t>
  </si>
  <si>
    <t>Annual Total FTSE FY - Technical Colleges</t>
  </si>
  <si>
    <t>Annual FTE Teaching Faculty FY - State Colleges</t>
  </si>
  <si>
    <t>Annual FTE Teaching Faculty FY - Technical Colleges</t>
  </si>
  <si>
    <t>Total Degrees FY - State Colleges</t>
  </si>
  <si>
    <t>Total Degrees FY - Technical Colleges</t>
  </si>
  <si>
    <t>Annual State Funded FTSE FY - Community Colleges</t>
  </si>
  <si>
    <t>Annual Total FTSE FY - Community Colleges</t>
  </si>
  <si>
    <t>Total Degrees FY - Community Colleges</t>
  </si>
  <si>
    <t xml:space="preserve">  System wide Technology &amp; Telecommunications</t>
  </si>
  <si>
    <t xml:space="preserve">  Other U.T. Austin Support</t>
  </si>
  <si>
    <t xml:space="preserve">  Operating Budget - Tuition Offset</t>
  </si>
  <si>
    <t>Higher Educ. Emp. Benefits - Retirement -  Community Colleges (TRS Only)</t>
  </si>
  <si>
    <t>Higher Educ. Emp. Benefits - Retirement -  Community Colleges (ORP Only)</t>
  </si>
  <si>
    <t>Higher Education Employees Benefits -  Retirement - Community Colleges (ERS &amp; ORP)</t>
  </si>
  <si>
    <t>Higher Education Employees Benefits -  Retirement - Community Colleges (ORP Only)</t>
  </si>
  <si>
    <t>Higher Education Employees Benefits -  Retirement - Community Colleges (TRS Only)</t>
  </si>
  <si>
    <t>28-9</t>
  </si>
  <si>
    <t>Added Separate data for CC Retirement from TRS &amp; ORP</t>
  </si>
  <si>
    <t>Reconciliation</t>
  </si>
  <si>
    <t>Change top section to balance to Dollars tab instead of Millions tab to facilitate balancing.</t>
  </si>
  <si>
    <t>Missing Detail prior to 10.</t>
  </si>
  <si>
    <t>CC  S&amp;U</t>
  </si>
  <si>
    <t>Higher Education Employees Benefits -  Retirement - Community Colleges - Estimate Only</t>
  </si>
  <si>
    <t>Appropriation Act Reference</t>
  </si>
  <si>
    <t>III-201</t>
  </si>
  <si>
    <t>III-187</t>
  </si>
  <si>
    <t>III-199</t>
  </si>
  <si>
    <t>III-196</t>
  </si>
  <si>
    <t>Higher Educ. Emp. Benefits - Retirement -  Community Colleges (TRS &amp; ORP) (Only used by SREB-SHEEO tab)</t>
  </si>
  <si>
    <t>(Only used by SREB-SHEEO tab)</t>
  </si>
  <si>
    <t>Estimated based on 2010</t>
  </si>
  <si>
    <t>Systems -Academic Institutions Total  Benefits - Retirement</t>
  </si>
  <si>
    <t>III-41 - III-43</t>
  </si>
  <si>
    <t xml:space="preserve"> Prairie View A&amp;M University</t>
  </si>
  <si>
    <t>Table 1 - State Appropriations (All Articles)  Summary - 39</t>
  </si>
  <si>
    <t>FY 08-09 entered and balanced.</t>
  </si>
  <si>
    <t>Annual FTE Teaching Faculty FY</t>
  </si>
  <si>
    <t>Total Degrees FY for all sectors.</t>
  </si>
  <si>
    <t>House Bill No. 1 Conference Committee Report (Eightieth Legislature, Regular Session) appropriations amounts are adjusted to incorporate certain Article IX (General Provisions) appropriations into relevant agency bill patters, as well as Governor's Vetoes,</t>
  </si>
  <si>
    <t>House Bill No. 2 (Eightieth Legislature, Regular Sessions) House Bill No. 15 (Eightieth Legislature, Regular Session), and other miscellaneous bills.  Conforming changes to agency riders and informational items have also been made.</t>
  </si>
  <si>
    <t>UH:  Faculty Excellence</t>
  </si>
  <si>
    <t>Systems -Academic Institutions Total - Debt Service</t>
  </si>
  <si>
    <t>Permanent Fund Supporting Military and Veterans Exemptions</t>
  </si>
  <si>
    <t>The University of Texas Rio Grande Valley</t>
  </si>
  <si>
    <t>The Univ. of Texas Rio Grande Valley School of Medicine</t>
  </si>
  <si>
    <t>The University of Texas at Rio Grande Valley</t>
  </si>
  <si>
    <t xml:space="preserve">The Univ. of Texas Rio Grande Valley School of Medicine </t>
  </si>
  <si>
    <t>UT-Rio Grande V:  Professional Development/Distance Learning</t>
  </si>
  <si>
    <t>UT-Rio Grande V:  Cooperative Pharmacy Doctorate</t>
  </si>
  <si>
    <t>UT-Rio Grande V:  Starr County Upper Level Center</t>
  </si>
  <si>
    <t>UT-Rio Grande V:  McAllen Teaching Site</t>
  </si>
  <si>
    <t>UT-Rio Grande V:  Center for Entrepreneurship and Economic Development</t>
  </si>
  <si>
    <t>UT-Rio Grande V:  Center for Manufacturing</t>
  </si>
  <si>
    <t>UT-Rio Grande V:  UT System K-12 Collaboration</t>
  </si>
  <si>
    <t>UT-Rio Grande V:  Trade and Technology/Telecommunication</t>
  </si>
  <si>
    <t>UT-Rio Grande V:  Diabetes Registry</t>
  </si>
  <si>
    <t>UT-Rio Grande V:  Texas/Mexico Border Health</t>
  </si>
  <si>
    <t>UT-Rio Grande V:  McAllen Advanced Manufacturing Research and Education Park</t>
  </si>
  <si>
    <t>UT-Rio Grande V:  Institutional Enhancement</t>
  </si>
  <si>
    <t>UT-Rio Grande V:  Successful Transition to College</t>
  </si>
  <si>
    <t>UT-Rio Grande V:  Research Development Fund</t>
  </si>
  <si>
    <t>The Univ. of Texas Rio Grande School of Medicine</t>
  </si>
  <si>
    <t>UT - Rio Grande Valley</t>
  </si>
  <si>
    <t>The University of Texas Rio Grande School of Medicine</t>
  </si>
  <si>
    <t>The University of Texas Rio Grande Valley School of Medicine</t>
  </si>
  <si>
    <t>University of North Texas-Dallas</t>
  </si>
  <si>
    <t>Sul Ross Rio Grande College</t>
  </si>
  <si>
    <t xml:space="preserve">College Costs - All Inst. - Resident T&amp;F - Based upon Inst. Budget </t>
  </si>
  <si>
    <t>College Costs - All Inst. - Resident Total Costs - Based upon Inst. Budget</t>
  </si>
  <si>
    <t>Contingency Appropriations</t>
  </si>
  <si>
    <t xml:space="preserve">   UB</t>
  </si>
  <si>
    <t>Student Grants &amp; Special Programs</t>
  </si>
  <si>
    <t>Workforce, Academic Affairs and Research</t>
  </si>
  <si>
    <t>Advise Texas</t>
  </si>
  <si>
    <t>Dental Loan Repayment Program</t>
  </si>
  <si>
    <t>Other Loan Repayment Programs</t>
  </si>
  <si>
    <t>Autism Program</t>
  </si>
  <si>
    <t>Mental Health</t>
  </si>
  <si>
    <t>Accelerate TX CC Grants</t>
  </si>
  <si>
    <t>GME Expansion</t>
  </si>
  <si>
    <t>UT-Austin:  Texas Research University Fund</t>
  </si>
  <si>
    <t>UT-Dallas:  Core Research Support</t>
  </si>
  <si>
    <t>UT-El Paso:  Pharmacy Extension</t>
  </si>
  <si>
    <t>UT-El Paso: Core Research Support</t>
  </si>
  <si>
    <t>UT-Rio Grande V:  Comprehensive Research Fund</t>
  </si>
  <si>
    <t>UT-Rio Grande V:  School of Medicine</t>
  </si>
  <si>
    <t>UT-Rio Grande V:  Border Economic Development</t>
  </si>
  <si>
    <t>UT-Rio Grande V:  Academy of Mathematics and Science</t>
  </si>
  <si>
    <t>UT-Rio Grande V:  K-16 Collaboration</t>
  </si>
  <si>
    <t>UT-Permian Basin:  Rural Digital University</t>
  </si>
  <si>
    <t>UT-San Antonio:  Research Hold Harmless</t>
  </si>
  <si>
    <t>UT-San Antonio:  Core Research Support</t>
  </si>
  <si>
    <t>UT-Tyler:  Comprehensive Research Fund</t>
  </si>
  <si>
    <t>UT-Tyler:  Palestine Campus</t>
  </si>
  <si>
    <t>TAMU:  International Law Summer Course</t>
  </si>
  <si>
    <t>TAMU:  Texas Research University Fund</t>
  </si>
  <si>
    <t>Prairie View:  Comprehensive Research Fund</t>
  </si>
  <si>
    <t>Tarleton:  Center for Anti-Fraud</t>
  </si>
  <si>
    <t>Tarleton:  Comprehensive Research Fund</t>
  </si>
  <si>
    <t>TAMU-Central Texas:  E. Williamson Co HE Center</t>
  </si>
  <si>
    <t>TAMU-Corpus Christi:  Comprehensive Research Fund</t>
  </si>
  <si>
    <t>TAMU-Kingsville:  Comprehensive Research Fund</t>
  </si>
  <si>
    <t>TAMU-San Antonio:  Comprehensive Research Fund</t>
  </si>
  <si>
    <t>TAMU-San Antonio:  Downward Expansion</t>
  </si>
  <si>
    <t>TAM-International:  Comprehensive Research Fund</t>
  </si>
  <si>
    <t>West Texas:  Comprehensive Research Fund</t>
  </si>
  <si>
    <t>TAMU-Commerce:  Comprehensive Research Fund</t>
  </si>
  <si>
    <t>TAMU-Texarkana:  Comprehensive Research Fund</t>
  </si>
  <si>
    <t>West Texas:  Electrical engineering Program</t>
  </si>
  <si>
    <t>TAMU-Texarkana: Nursing Program</t>
  </si>
  <si>
    <t>TAMU-Texarkana: Student Success Program</t>
  </si>
  <si>
    <t>UH:  Core research Support</t>
  </si>
  <si>
    <t>UH-Clear Lake:  Downward Expansion</t>
  </si>
  <si>
    <t>UH-Clear Lake:  Center for Autism</t>
  </si>
  <si>
    <t>UH-Victoria:  Comprehensive Research Fund</t>
  </si>
  <si>
    <t>Midwestern:  Comprehensive Research Fund</t>
  </si>
  <si>
    <t>North Texas-Dallas:  Comprehensive Research Fund</t>
  </si>
  <si>
    <t>SFA:  Comprehensive Research Fund</t>
  </si>
  <si>
    <t>SFA:  Wet Center</t>
  </si>
  <si>
    <t>Texas Southern:  Comprehensive Research Fund</t>
  </si>
  <si>
    <t>Texas Tech:  Core Research Support</t>
  </si>
  <si>
    <t>Lamar:  Comprehensive Research Fund</t>
  </si>
  <si>
    <t>Lamar:  Center - Advances in Study Port Mgmt</t>
  </si>
  <si>
    <t>Lamar:  Center for Water and Air quality</t>
  </si>
  <si>
    <t>Texas Woman's:  Comprehensive Research Fund</t>
  </si>
  <si>
    <t>Texas Woman's:  Center for Women In Business</t>
  </si>
  <si>
    <t>Sam Houston:  Comprehensive Research Fund</t>
  </si>
  <si>
    <t>Sam Houston:  Allied Health Programs</t>
  </si>
  <si>
    <t>Sul Ross:  Comprehensive Research Fund</t>
  </si>
  <si>
    <t>UT-SMC-Dallas:  Center for Adv Radiation Therapy</t>
  </si>
  <si>
    <t>UT-SMC-Dallas: Center for Regenerative Science and Medicine</t>
  </si>
  <si>
    <t>UT-HSC-Houston:  Biomedical Informatics Expansion</t>
  </si>
  <si>
    <t>UT-HSC-San Antonio:  SA-Life Sciences Institute</t>
  </si>
  <si>
    <t>UT-HSC-Tyler:  Mental Health Training Programs</t>
  </si>
  <si>
    <t>TAMU-SHSC:  Forensic Nursing</t>
  </si>
  <si>
    <t>TAMU-SHSC:  Healthy South Texas 2025</t>
  </si>
  <si>
    <t>TAMU-SHSC:  Nursing Program Expansion</t>
  </si>
  <si>
    <t>North Texas-HSC-Fort Worth:  Institute for Patient Safety and Preventable Harm</t>
  </si>
  <si>
    <t>North Texas-HSC-Fort Worth:  Texas Missing Persons and Human Identification Program</t>
  </si>
  <si>
    <t>Texas Tech-UHSC: School of Public Health</t>
  </si>
  <si>
    <t>Texas Tech- UHSC at El Paso: Academic Support - Border Development</t>
  </si>
  <si>
    <t>Texas Tech- UHSC at El Paso: Paul L Foster School of Medicine</t>
  </si>
  <si>
    <t>Texas Tech- UHSC at El Paso: Border Health - Resident Support</t>
  </si>
  <si>
    <t>Texas Tech- UHSC at El Paso: Diabetes Research Center</t>
  </si>
  <si>
    <t>Texas Tech- UHSC at El Paso: South Texas Professional Education</t>
  </si>
  <si>
    <t>Alamo CC: Veteran's Assistance Centers</t>
  </si>
  <si>
    <t>Alamo CC: Total</t>
  </si>
  <si>
    <t>UB</t>
  </si>
  <si>
    <t>Midland:  Permian Basin Petroleum Museum</t>
  </si>
  <si>
    <t>TSTC - System Administration: Fort Bend County</t>
  </si>
  <si>
    <t>Lamar-IOT:  Associate Arts Degree</t>
  </si>
  <si>
    <t>Lamar-Port Arthur:  Vo-Tech and HVAC Program</t>
  </si>
  <si>
    <t>Per LBB Crosswalk</t>
  </si>
  <si>
    <t>University of Texas - Rio Grande Valley</t>
  </si>
  <si>
    <t>Texas Tech Health Sciences Ctr - El Paso</t>
  </si>
  <si>
    <t>S/B "0" for box</t>
  </si>
  <si>
    <t>CB - Medical Related (Update for New Rows as Needed.)</t>
  </si>
  <si>
    <t xml:space="preserve">       U.T. Share (2/3)</t>
  </si>
  <si>
    <t>UH-Downtown:  Comprehensive Research Fund</t>
  </si>
  <si>
    <t>Texas State:  Core Research Support</t>
  </si>
  <si>
    <t>Joint Admission Medical Program (every other year)</t>
  </si>
  <si>
    <t xml:space="preserve">  Unknown Difference</t>
  </si>
  <si>
    <t>GAA Page III-204</t>
  </si>
  <si>
    <t>Table 2 - Education Appropriations, Debt Service and Lease Payments     Summary 72</t>
  </si>
  <si>
    <t>Table 2 - Education Appropriations, Benefits    Summary 71</t>
  </si>
  <si>
    <t>Table 2 - Education Appropriations (Article III), Debt Svc. &amp; Lease Payments    Summary - 72</t>
  </si>
  <si>
    <t>Table 2 - Education Appropriations (Article III), Employee Benefits     Summary - 71</t>
  </si>
  <si>
    <t>Table 2 - Education Appropriations (Article III),Optional Retirement System     Summary - 70</t>
  </si>
  <si>
    <t>Table 2 - Education Appropriations (Article III), Teacher's Retirement System    Summary - 69</t>
  </si>
  <si>
    <t>Table 2 - Education Appropriations (Article III), Tele-Communications    Summary - 68</t>
  </si>
  <si>
    <t>Table 2 - Education Appropriations (Article III), Public Education    Summary - 67</t>
  </si>
  <si>
    <t>Table 2 - Education Appropriations (Article III)    Summary - 75</t>
  </si>
  <si>
    <t>GAA Page III-276</t>
  </si>
  <si>
    <t>GAA Page III-269</t>
  </si>
  <si>
    <t>GAA Page III-271</t>
  </si>
  <si>
    <t>GAA Page xi</t>
  </si>
  <si>
    <t>GAA Page ix</t>
  </si>
  <si>
    <t>GAA Page III-36</t>
  </si>
  <si>
    <t>Data Tab</t>
  </si>
  <si>
    <t>Summary - Dollars Tab</t>
  </si>
  <si>
    <t>Balancing</t>
  </si>
  <si>
    <t xml:space="preserve">UNT Health Science Ctr </t>
  </si>
  <si>
    <t>Table 7 - Special Item Appropriations - Summary D. - 451</t>
  </si>
  <si>
    <t>Table 7 - Special Item Appropriations - B. History - 451</t>
  </si>
  <si>
    <t>Check formula for row reference - it may need to be updated</t>
  </si>
  <si>
    <t>Table 4 - Appropriations for General Acad. Inst. By System - B. History 280</t>
  </si>
  <si>
    <t>Table 4 - Appropriations for General Acad. Inst. By System - Summary D 280</t>
  </si>
  <si>
    <t>Table 5 - Approp. For Res. &amp; Emerg. Res. G. Acad. Inst. - B. History - 316</t>
  </si>
  <si>
    <t>Table 5 - Approp. For Res. &amp; Emerg. Res. G. Acad. Inst. - Summary D. - 316</t>
  </si>
  <si>
    <t>Table 8 - Special Item Approp. Inst. Enhancement by Sector - B. History - 532</t>
  </si>
  <si>
    <t>Table 8 - Special Item Approp. Inst. Enhancement by Sector - Summary D. - 532</t>
  </si>
  <si>
    <t>Table 9 - Tuition revenue Bond Appropriations - B. History - 625</t>
  </si>
  <si>
    <t>table 9 - Tuition revenue Bond Appropriations - Summary D. - 625</t>
  </si>
  <si>
    <t>Table 10 - Tobacco Settlement Earnings - St Appropr. - B. History - 668</t>
  </si>
  <si>
    <t>Table 10 - Tobacco Settlement Earnings - St Appropr. - Summary D. - 668</t>
  </si>
  <si>
    <t>Table 4 - Appropriations for General Acad. Inst. By System - Summary M. 280</t>
  </si>
  <si>
    <t>Table 5 - Approp. For Res. &amp; Emerg. Res. G. Acad. Inst. - Summary M. - 316</t>
  </si>
  <si>
    <t>Table 6 - Approp. For S. TX Border G. Acad. Inst. - Summary M. - 353</t>
  </si>
  <si>
    <t>Table 6 - Approp. For S. TX Border G. Acad. Inst. - Summary D. - 353</t>
  </si>
  <si>
    <t>Table 7 - Special Item Appropriations - Summary M. - 451</t>
  </si>
  <si>
    <t>Table 8 - Special Item Approp. Inst. Enhancement by Sector - Summary M. - 532</t>
  </si>
  <si>
    <t>Table 9 - Tuition revenue Bond Appropriations - Summary M. - 625</t>
  </si>
  <si>
    <t>Table 10 - Tobacco Settlement Earnings - St Appropr. - Summary M. - 668</t>
  </si>
  <si>
    <t>2016 - 2017</t>
  </si>
  <si>
    <t>SHEF Table 4 Enrollment</t>
  </si>
  <si>
    <r>
      <t>Table 4 - Appropriations for General Academic Institutions by System</t>
    </r>
    <r>
      <rPr>
        <sz val="10"/>
        <color theme="1"/>
        <rFont val="Tahoma"/>
        <family val="2"/>
      </rPr>
      <t xml:space="preserve"> (Excludes TAMU Agencies, Health-Related Institutions, and Community, Technical, and States Colleges.)</t>
    </r>
  </si>
  <si>
    <t>University System Offices</t>
  </si>
  <si>
    <r>
      <t xml:space="preserve">General Academic Institutions are split into six Systems for administration plus non-system institutions.  </t>
    </r>
    <r>
      <rPr>
        <b/>
        <sz val="11"/>
        <color theme="1"/>
        <rFont val="Tahoma"/>
        <family val="2"/>
      </rPr>
      <t>Table 4</t>
    </r>
    <r>
      <rPr>
        <sz val="11"/>
        <color theme="1"/>
        <rFont val="Tahoma"/>
        <family val="2"/>
      </rPr>
      <t xml:space="preserve"> profiles Appropriations totals based upon system membership.  Table 4 provides system level totals.</t>
    </r>
  </si>
  <si>
    <t>House Bill No. 1 Conference Committee Report (Eighty-fourth Legislature, Regular Session) appropriation figures have been adjusted in this publication to incorporate certain appropriation adjustments, including article-specific special provisions, and Article IX of HB 1 (Conference Committee Report), 84th Legislature, Regular Session; HB 6 and HB 7, 84th Legislature, Regular Session; other legislation enacted by the 84th Legislature which affects appropriations; non-substantive technical corrections and/or reconciling adjustments; and the Governor's vetoes. Conforming changes to agency riders and information items have also been made.</t>
  </si>
  <si>
    <t>Strategic Planning and Funding</t>
  </si>
  <si>
    <t>31-P</t>
  </si>
  <si>
    <t>Data &amp; Reconciliations</t>
  </si>
  <si>
    <t>Updated for FY 16-17 - Added additional balancing tabs.</t>
  </si>
  <si>
    <t>UT AUF Fund Report (Source - Table 1 AFU Report)</t>
  </si>
  <si>
    <t>Total Annual HRI Medical Education FTSE (For SSDB Survey)</t>
  </si>
  <si>
    <t>Total Annual TA&amp;M Vet Med Headcount (For SSDB Survey)</t>
  </si>
  <si>
    <t>Academic Institutions ( Includes TA&amp;M Vet Med.)</t>
  </si>
  <si>
    <t>Fall 2016 Survey uses 2017 in C2.</t>
  </si>
  <si>
    <t>CC-S&amp;U SREB tab</t>
  </si>
  <si>
    <t>The Univ. of Texas at Austin Medical School</t>
  </si>
  <si>
    <t xml:space="preserve">The Univ. of Texas Southwestern Medical Center </t>
  </si>
  <si>
    <t xml:space="preserve">University of North Texas Health Science Center </t>
  </si>
  <si>
    <t xml:space="preserve">The University of Texas Southwestern Medical Center </t>
  </si>
  <si>
    <t>UT-RGV</t>
  </si>
  <si>
    <r>
      <rPr>
        <sz val="10"/>
        <rFont val="Times New Roman"/>
        <family val="1"/>
      </rPr>
      <t>Technical State Technical College - Ft. Bend</t>
    </r>
  </si>
  <si>
    <r>
      <rPr>
        <sz val="10"/>
        <rFont val="Times New Roman"/>
        <family val="1"/>
      </rPr>
      <t>Technical State Technical College - North Texas</t>
    </r>
  </si>
  <si>
    <t>GAA Page III-283</t>
  </si>
  <si>
    <r>
      <rPr>
        <sz val="10"/>
        <rFont val="Times New Roman"/>
        <family val="1"/>
      </rPr>
      <t>Support for Military and Veterans Exemptions</t>
    </r>
  </si>
  <si>
    <t>Technical State Technical College - Ft. Bend</t>
  </si>
  <si>
    <t>Technical State Technical College - North Texas</t>
  </si>
  <si>
    <t>GAA Page III-278</t>
  </si>
  <si>
    <t>GAA Page III-209</t>
  </si>
  <si>
    <t>GAA Page III-198</t>
  </si>
  <si>
    <t>GAA Page III-39</t>
  </si>
  <si>
    <t>Estimated</t>
  </si>
  <si>
    <t>Allocation based upon FY 2015</t>
  </si>
  <si>
    <t>Student Grants &amp; Special Programs  / Financial Aid Services</t>
  </si>
  <si>
    <t>Innovation and Policy Development</t>
  </si>
  <si>
    <t>Oversight for Profit Institutions</t>
  </si>
  <si>
    <t>Fields of Study</t>
  </si>
  <si>
    <t>TX Educational Opportunity Grants - State/Technical Colleges</t>
  </si>
  <si>
    <t>B-on-Time - Private</t>
  </si>
  <si>
    <t>Development Educational Program</t>
  </si>
  <si>
    <t>Total College Readiness and Success</t>
  </si>
  <si>
    <t>Mental Health Loan Repayment Program</t>
  </si>
  <si>
    <t>Math and Science Scholarships Loan Repayment Program</t>
  </si>
  <si>
    <t>Bilingual Education Program</t>
  </si>
  <si>
    <t>GAA Page III 45</t>
  </si>
  <si>
    <t>TX Educational Opportunity Grants - Community Colleges</t>
  </si>
  <si>
    <t>College Readiness and Success</t>
  </si>
  <si>
    <t>Industry Workforce</t>
  </si>
  <si>
    <t>Total Industry Workforce</t>
  </si>
  <si>
    <t>Nursing Faculty Loan Repayment</t>
  </si>
  <si>
    <t>TAMU-Corpus Christi:  Unmanned Aircraft Systems</t>
  </si>
  <si>
    <t>North Texas-Dallas:  Law School</t>
  </si>
  <si>
    <t>Texas Tech:  Veterinary Medicine</t>
  </si>
  <si>
    <t>Texas State:  Materials Application Research Center</t>
  </si>
  <si>
    <t>UT-MB-Galveston:  Bio-Containment Critical Care Unit</t>
  </si>
  <si>
    <t>UT-HSC-Houston:  Veterans PTSD Study</t>
  </si>
  <si>
    <t>TSTC-Ft. Bend: Startup Funding</t>
  </si>
  <si>
    <t>TSTC-FT. Bend: Total</t>
  </si>
  <si>
    <t>TSTC-North Texas: Startup Funding</t>
  </si>
  <si>
    <t>TSTC-North Texas: Total</t>
  </si>
  <si>
    <t xml:space="preserve"> -   </t>
  </si>
  <si>
    <t>item - Ordering based upon SREB survey</t>
  </si>
  <si>
    <t>To Page 1 - Row 10</t>
  </si>
  <si>
    <t>To Page 1 - Row11</t>
  </si>
  <si>
    <t>To Page 2 - Row 25</t>
  </si>
  <si>
    <t>To Page 2 - Row 26</t>
  </si>
  <si>
    <t>To Page 3 - Row 32</t>
  </si>
  <si>
    <t>To Page 3 - Row 33</t>
  </si>
  <si>
    <t>To Page 3 - Row 34</t>
  </si>
  <si>
    <t>Total
To Page 3 - Row 36</t>
  </si>
  <si>
    <t>Total
To Page 3 - Row 37</t>
  </si>
  <si>
    <t>Total
To Page 3 - Row 38</t>
  </si>
  <si>
    <t>Total
To Page 3 - Row 43</t>
  </si>
  <si>
    <t>2 Year
To Page 3 - Row 54</t>
  </si>
  <si>
    <t>Four Year
To Page 3 - Row 55</t>
  </si>
  <si>
    <t>To Page 6 - Row 60</t>
  </si>
  <si>
    <t>To Page 6 - Row 61</t>
  </si>
  <si>
    <t>Total
To Page 3 - Row 44</t>
  </si>
  <si>
    <t>Four Year
To Page 3 - Row 39</t>
  </si>
  <si>
    <t>To Page 1 - Row 12</t>
  </si>
  <si>
    <t>To: Page 1 - Row 13</t>
  </si>
  <si>
    <t>TSTC-Ft. Bend</t>
  </si>
  <si>
    <t>TSTC-N. Texas</t>
  </si>
  <si>
    <t>Texas State Technical College - Ft. Bend</t>
  </si>
  <si>
    <t>Texas State Technical College - N. Texas</t>
  </si>
  <si>
    <t>GAA Page III-40</t>
  </si>
  <si>
    <t>GAA Page III-280</t>
  </si>
  <si>
    <t>Lamar-Orange:  Institutional Support Allied Health Prog</t>
  </si>
  <si>
    <t>Lamar-Orange:  Research Maritime Technology Program</t>
  </si>
  <si>
    <t>Incorporates certain appropriation adjustments relating to agency riders, article-specific special provisions, and Article IX of SB 1 (Conference Committee Report), 85th Legislature, Regular Session; HB 2 and HB 3849, 85th Legislature, Regular Session; other legislation enacted by the 85th Legislature which affects appropriations; technical and/or reconciling adjustments; and the Governor's vetoes. For specific adjustments, see agency bill patterns.</t>
  </si>
  <si>
    <t xml:space="preserve">Senate Bill No. 1 Conference Committee Report (Eighty­ fifth Legislature, Regular Session) appropriation figures have been adjusted in this publication to incorporate certain Article IX (General Provisions) appropriations into relevant agency bill patterns; other legislation enacted by the 85th Legislature, including those of the First Called Session, which affect appropriations; non-substantive technical corrections and/or reconciling adjustments; and the Governor’s vetoes. Conforming changes to agency riders and informational items have also been made. </t>
  </si>
  <si>
    <t xml:space="preserve">  Enterprise Resource Planning System Development</t>
  </si>
  <si>
    <t>Budgeted</t>
  </si>
  <si>
    <t>Texas State Tech. College - North Texas</t>
  </si>
  <si>
    <t>Texas State Tech. College - Fort Bend</t>
  </si>
  <si>
    <t>Health-Related institutions - Medical Education &amp; Dental Education (State Funded)</t>
  </si>
  <si>
    <t>Texas State Technical College - North Texas</t>
  </si>
  <si>
    <t>Texas State Technical College - Fort Bend</t>
  </si>
  <si>
    <t>The University of Texas Southwestern Medical Center</t>
  </si>
  <si>
    <t>Summary Dollars Amounts - Table 3</t>
  </si>
  <si>
    <t>Support for Military &amp; Veterans Exempt.</t>
  </si>
  <si>
    <t>Not in Totals.</t>
  </si>
  <si>
    <t>TX Educational Opportunity-CC</t>
  </si>
  <si>
    <t>BCM Put w/ HRIs</t>
  </si>
  <si>
    <t>Northeast Texas initiative and Texas Community College Consortium</t>
  </si>
  <si>
    <t>Texas Tech- UHSC at El Paso: Institutional Enhancement</t>
  </si>
  <si>
    <t>Austin CC:  Tx Innovative Adult Career Education Grant Program</t>
  </si>
  <si>
    <t>Howard:  SWCID Dental Plant and HVAC Upgrades</t>
  </si>
  <si>
    <t xml:space="preserve">  Texas Nano electronics Initiative </t>
  </si>
  <si>
    <t>34-P</t>
  </si>
  <si>
    <t>Univ. of Texas at Austin Medical School</t>
  </si>
  <si>
    <t xml:space="preserve"> Univ. of Texas Rio Grande School of Medicine</t>
  </si>
  <si>
    <t xml:space="preserve">Higher Educ. Emp. Benefits - Retirement </t>
  </si>
  <si>
    <t>A&amp;M System AUF Report (Appendix J) Total transfers (Page 12)</t>
  </si>
  <si>
    <t>No entry</t>
  </si>
  <si>
    <t>TAMU-Corpus Christi:  Civil and Industrial Engineering</t>
  </si>
  <si>
    <t>TAMU-San Antonio:  Transitional Funding/Expansion Funding</t>
  </si>
  <si>
    <t>Sul Ross-Rio Grande:  Infrastructure Adjustment</t>
  </si>
  <si>
    <t>UT-RGV Sch of Med:  School of Medicine</t>
  </si>
  <si>
    <t>UT-RGV Sch of Med:  Cancer Immunology Center</t>
  </si>
  <si>
    <t>Texas Tech- UHSC at El Paso: School of Dental Medicine</t>
  </si>
  <si>
    <t>TAMU-Texarkana: Better East Texas Initiative</t>
  </si>
  <si>
    <t>UH:  College of Medicine</t>
  </si>
  <si>
    <t>UH:  Partnership for Multicultural Success</t>
  </si>
  <si>
    <t>UH-Downtown:  Wonderworks</t>
  </si>
  <si>
    <t>North Texas:  Center for Agile and Adaptive Additive Manufacturing</t>
  </si>
  <si>
    <t>North Texas-Dallas:  Student Mobility, Transfer and Success Initiative</t>
  </si>
  <si>
    <t>Angelo State:  School-Based Clinics</t>
  </si>
  <si>
    <t>Angelo State:  Center for Academic Excellence</t>
  </si>
  <si>
    <t>Angelo State:  College of Nursing and Allied Health-Center Rural Heath Wellness and Rehab</t>
  </si>
  <si>
    <t>Angelo State:  Small Business Development Center</t>
  </si>
  <si>
    <t>Angelo State:  Center for Fine Arts</t>
  </si>
  <si>
    <t>Angelo State:  Management, Instruction, and Research Center</t>
  </si>
  <si>
    <t>Angelo State:  West Texas Training Center</t>
  </si>
  <si>
    <t>Angelo State:  Institutional Enhancement</t>
  </si>
  <si>
    <t>Angelo State:  Freshman College</t>
  </si>
  <si>
    <t>Angelo State:  Research Development Fund</t>
  </si>
  <si>
    <t>Angelo State:  Comprehensive Research Fund</t>
  </si>
  <si>
    <t>Lamar:  The Center for Midstream Management and Science</t>
  </si>
  <si>
    <t>Houston CC: Total</t>
  </si>
  <si>
    <t>Houston CC: Regional Response Emergency Training Center</t>
  </si>
  <si>
    <t>TSTC-FT. Bend:  Institutional Enhancement</t>
  </si>
  <si>
    <t>TSTC-North Texas: Institutional Enhancement</t>
  </si>
  <si>
    <t>Lamar-IOT:  Professional Truck Driving Academy</t>
  </si>
  <si>
    <t>GAA Page III-46</t>
  </si>
  <si>
    <t>Compliance Monitoring</t>
  </si>
  <si>
    <t>Open Educational Resources</t>
  </si>
  <si>
    <t>Student Completion Models</t>
  </si>
  <si>
    <t>GRADTX</t>
  </si>
  <si>
    <t>Texas Regional Alignment</t>
  </si>
  <si>
    <t>Trauma Care Program</t>
  </si>
  <si>
    <t>Child Mental Health Care Consortium</t>
  </si>
  <si>
    <t>Peace Officer Loan Repayment Pgm</t>
  </si>
  <si>
    <t>TSIA Enhancement and Success</t>
  </si>
  <si>
    <t>GAA Page III 46</t>
  </si>
  <si>
    <t>Remove TRIP</t>
  </si>
  <si>
    <t>BCM Ck</t>
  </si>
  <si>
    <t>CB w/o BCM</t>
  </si>
  <si>
    <t>List of CB Col i/j</t>
  </si>
  <si>
    <t>Close the Gaps-Federal Grant Programs/Industry Workforce</t>
  </si>
  <si>
    <t>Total-Federal Grant Programs/Industry Workforce</t>
  </si>
  <si>
    <t>Federal Grant Programs/ Ind. Workforce</t>
  </si>
  <si>
    <t>Federal Grant Programs/Ind. Workforce</t>
  </si>
  <si>
    <t>2018 - 2019</t>
  </si>
  <si>
    <t>2020 - 2021</t>
  </si>
  <si>
    <t>GENTX and P-16 Prof Development</t>
  </si>
  <si>
    <t>Table 3 - State Appropriations by Sector - B. History - 249</t>
  </si>
  <si>
    <t>Table 3 - State Appropriations by Sector - Summary  D - 249</t>
  </si>
  <si>
    <t>Table 3 - State Appropriations by Sector - Summary M. - 249</t>
  </si>
  <si>
    <t>1. Verify that the institution order above is consistent with the order on the new year's survey, before copying data into the survey.  Minor order changes may occur with SREB ranking changes between years.</t>
  </si>
  <si>
    <t>SREB Contact - Susan Lansbury  404.879.5546</t>
  </si>
  <si>
    <t>4-Year Institutions</t>
  </si>
  <si>
    <t>2- Year Institutions</t>
  </si>
  <si>
    <t>Total Tuition &amp; Fee Discounts &amp; Allowances</t>
  </si>
  <si>
    <t>Government Services Funds used for public higher education excluding modernization, renovation, or repair.</t>
  </si>
  <si>
    <t>Government Service Funds used for modernization, renovation, or repair of higher education institutions (public and private).</t>
  </si>
  <si>
    <t>Net Public Tuition Revenue (row 33 minus rows 34, 35, 36 and 37)</t>
  </si>
  <si>
    <t>See Instructions on Row 181 before starting on the SREBas Survey.</t>
  </si>
  <si>
    <t>Texas State: Advanced Law Enforcement Rapid Response Training</t>
  </si>
  <si>
    <t>North Texas-HSC-Fort Worth:  Forensic Genetic Research and Education</t>
  </si>
  <si>
    <t>35-P</t>
  </si>
  <si>
    <t>Updated for FY 18-19.</t>
  </si>
  <si>
    <t>5/19-10/19</t>
  </si>
  <si>
    <t>Updated for FY 20-21.</t>
  </si>
  <si>
    <t>k</t>
  </si>
  <si>
    <t>University of Houston Medical School (M)</t>
  </si>
  <si>
    <t>Est. Based on 2019</t>
  </si>
  <si>
    <t>Angelina CC: Total</t>
  </si>
  <si>
    <t>Angelina:  Texas Community College Consortium</t>
  </si>
  <si>
    <t xml:space="preserve">  Direct Campus Support</t>
  </si>
  <si>
    <t>Recapitulation - Article III - Agencies of Education - Higher Education Employees Group Insurance Contributions - Community Colleges Total     Data - 487</t>
  </si>
  <si>
    <t>Higher Education Employees Group Insurance Contributions - Community Colleges Detail List    Data - 873</t>
  </si>
  <si>
    <t>Table 3 - State Appropriations by Sector - Public Community Colleges    Summary - 231</t>
  </si>
  <si>
    <t xml:space="preserve">  Less: Budget Reductions    Data - 1305 ; 1462</t>
  </si>
  <si>
    <t>Higher Education Employees Group Insurance Contributions - Community Colleges Detail List   Data - 873</t>
  </si>
  <si>
    <t>Recapitulation - Article III - Agencies of Education, Public Community Colleges     Data - 103 ; 202</t>
  </si>
  <si>
    <t>Public Community Colleges Detail    Data - 359 ; 411</t>
  </si>
  <si>
    <t>Recapitulation - Article III - Agencies of Education, Public Community Colleges    Data - 103 ; 202</t>
  </si>
  <si>
    <t>Recapitulation - Article III - Agencies of Education, Lease Payments     Data - 124 ; 222</t>
  </si>
  <si>
    <t>Recapitulation - Article III - Agencies of Education, Bond Debt Service Payments     Data - 123 ; 221</t>
  </si>
  <si>
    <t>Recapitulation - Article III - Agencies of Education, Social Security and Benefit Replacement Pay    Data - 121 ; 219</t>
  </si>
  <si>
    <t>Recapitulation - Article III - Agencies of Education, Retirement and Group Insurance    Data - 120 ; 218</t>
  </si>
  <si>
    <t xml:space="preserve">  Less: Article III Budget Reductions    Data - 1372 : 1529</t>
  </si>
  <si>
    <t>Recapitulation - Article III - Agencies of Education, Sub Total - Higher Education Coordinating Board    Data - 128; 225</t>
  </si>
  <si>
    <t>Table 2 - Higher Education     Summary - 253</t>
  </si>
  <si>
    <t>Higher Education Coordinating Board, Total     Data - 1091 ; 1210</t>
  </si>
  <si>
    <t>Recapitulation - Article III - Agencies of Education, Higher Education Coordinating Board    Data - 38 ; 138</t>
  </si>
  <si>
    <t>Higher Education Employees Group Insurance Contributions, Total    Summary - 490; 815</t>
  </si>
  <si>
    <t>Recapitulation - Article III - Agencies of Education - Higher Education Employees Group Insurance Contributions    Data - 37; 137</t>
  </si>
  <si>
    <t xml:space="preserve">  Less: Article III Budget Reductions   Data -  1372; 1529</t>
  </si>
  <si>
    <t>Recapitulation - Article III - Agencies of Education, Total (Plus Interagency Contracts)   Data - 128 ; 225</t>
  </si>
  <si>
    <t>Less: Budget Reductions Total   Data - 1371; 1528</t>
  </si>
  <si>
    <t>Texas Division of Emergency Management</t>
  </si>
  <si>
    <t>TAMU-Division of Emergency Management</t>
  </si>
  <si>
    <t>GAA Page III-43</t>
  </si>
  <si>
    <t>GAA Page III-281</t>
  </si>
  <si>
    <t>GAA Page III-288</t>
  </si>
  <si>
    <t>GAA Page III-212</t>
  </si>
  <si>
    <t>Physician Education Loan Repayment Program (No GR)</t>
  </si>
  <si>
    <t>TAMU - Texas Division of Emergency Management</t>
  </si>
  <si>
    <t>UT-Arlington:  Center for Entrepreneurship &amp; Economic Innovation</t>
  </si>
  <si>
    <t>UT-San Antonio:  Foster Care Pilot Program</t>
  </si>
  <si>
    <t>West Texas:  Advancing Food Animal Production</t>
  </si>
  <si>
    <t>UH:  Law School and Hobby building</t>
  </si>
  <si>
    <t>TAMU-Texas Division of Emergency Management</t>
  </si>
  <si>
    <t>Recapitulation - Article III - Agencies of Education, Total   Data - 129; 227</t>
  </si>
  <si>
    <t>House Bill No. 1 Conference Committee Report (Eighty-sixth Legislature, Regular Session) appropriation figures have been adjusted in this publication to incorporate certain Article IX (General Provisions) appropriations into relevant agency bill patterns; other legislation and resolutions enacted by the 86th Legislature which affect appropriations; non-substantive technical corrections and/or reconciling adjustments. Conforming changes to agency riders and informational items have also been made</t>
  </si>
  <si>
    <t xml:space="preserve">Incorporates certain appropriation adjustments relating to agency riders, article–specific special provisions, and Article IX of HB 1(Conference Committee Report), 86th Legislature Regular Session; HB 3317 and SB 500, 86th Legislature, Regular Session; other legislation enacted by the 86th Legislature which affects appropriations; and technical and/or reconciling adjustments. For specific adjustments, see agency bill patterns. </t>
  </si>
  <si>
    <t>36-P</t>
  </si>
  <si>
    <t>Misc. Clean-up</t>
  </si>
  <si>
    <t xml:space="preserve">The organization of the Summary - Millions tab and the Summary - Dollars tab is the same. The only difference is that the Summary - Millions tab is in millions of dollars and the Summary - Dollars tab is in dollars.
All Funds amounts are shown on the left side of the page, and General Revenue amounts are shown on the right side of the page.  Expand rows to see detail amounts.  Expand columns to see individual years.
The largest portion of the Legislature’s Higher Education appropriation is General Revenue - revenue raised from the state sales tax, franchise taxes, and numerous other sources. In addition, the Legislature appropriates to institutions revenue derived from tuition, and other education and general sources. The sum of the General Revenue Funds, Federal Funds, General Revenue-Dedicated Funds (predominantly local educational and general funds), and Other Funds (e.g., tobacco funds, constitutional funds, etc.) is called the All Funds appropriation.
Not all of the funds available to institutions of higher education are appropriated by the Legislature. Institutions also derive revenue from designated tuition (tuition set at each institution by its governing board). Some fees that do not flow through the appropriation process and revenue from auxiliary enterprises such as intercollegiate athletics, bookstores, dormitories, research grants, and other activities.
For public community and junior colleges, only state General Revenue is reflected in this report. These colleges have other sources of revenue, such as local property taxes, that are outside the appropriation process. Only appropriated funds are reflected in this report.
</t>
  </si>
  <si>
    <t>Net Tutition &amp; Fees - Residents</t>
  </si>
  <si>
    <t>Net Tutition &amp; Fees - Non-Resident</t>
  </si>
  <si>
    <t>Percentage Resident - Source IFRS</t>
  </si>
  <si>
    <t>Percentage Non-Resident - Source IFRS</t>
  </si>
  <si>
    <t>North Texas-HSC-Fort Worth:  Rape Kit Testing</t>
  </si>
  <si>
    <t>Gross T&amp;F</t>
  </si>
  <si>
    <t>Gross T &amp; F</t>
  </si>
  <si>
    <t>T &amp; F Disc. &amp; Allow.</t>
  </si>
  <si>
    <t>2 - Year</t>
  </si>
  <si>
    <t>4 - Year</t>
  </si>
  <si>
    <t>In-State</t>
  </si>
  <si>
    <t>Out-of state</t>
  </si>
  <si>
    <t>Percentage</t>
  </si>
  <si>
    <t xml:space="preserve">Note:  Tax Collections were updated from CARRAT. </t>
  </si>
  <si>
    <t>The years automatically update based on $E$544</t>
  </si>
  <si>
    <t>The years automatically update based on E544</t>
  </si>
  <si>
    <t>Note:  Don't get confused.  While you have to change C2 to get the right data and date for P615, P615 should be your reference point for looking at the SSDB summary and input sheets.</t>
  </si>
  <si>
    <t>Net Tuition Dollars</t>
  </si>
  <si>
    <t>Waivers &amp; Disc.</t>
  </si>
  <si>
    <t>State Aid</t>
  </si>
  <si>
    <t>Medical Students</t>
  </si>
  <si>
    <t>Net T&amp;F</t>
  </si>
  <si>
    <t>Tuition</t>
  </si>
  <si>
    <t>Fees</t>
  </si>
  <si>
    <t>Aux Fees</t>
  </si>
  <si>
    <t>Gross Tuition</t>
  </si>
  <si>
    <t>Gross Fees</t>
  </si>
  <si>
    <t>Gross Aux</t>
  </si>
  <si>
    <t>Fees (Excl. Aux.)</t>
  </si>
  <si>
    <t>Not Available Seperately</t>
  </si>
  <si>
    <t>Total Waivers &amp; Disc.</t>
  </si>
  <si>
    <t>D&amp;A - Tuition</t>
  </si>
  <si>
    <t>D&amp;A - Fees</t>
  </si>
  <si>
    <t>D&amp;A-Aux.</t>
  </si>
  <si>
    <t>Expand for Detail</t>
  </si>
  <si>
    <t>T&amp;F Pd by Medical Students</t>
  </si>
  <si>
    <t>Financial Aid</t>
  </si>
  <si>
    <t>Net Tuition</t>
  </si>
  <si>
    <t>Est. Based on TSTCS/Lamars</t>
  </si>
  <si>
    <t>Old Totals</t>
  </si>
  <si>
    <t>Net T&amp;F - 4-year</t>
  </si>
  <si>
    <t>Net T&amp;F - 2-Year</t>
  </si>
  <si>
    <t>LL</t>
  </si>
  <si>
    <t>TSTC Institutions Total  Benefits - Retirement</t>
  </si>
  <si>
    <t>LIT-Lamars Institutions Total  Benefits - Retirement</t>
  </si>
  <si>
    <t>TSTC Institutions Total Social Security</t>
  </si>
  <si>
    <t>LIT-Lamars Institutions Total Social Security</t>
  </si>
  <si>
    <t>Texas A&amp;M Agencies Social Security</t>
  </si>
  <si>
    <t>TSTC System - GR-D</t>
  </si>
  <si>
    <t>Academic Institutions - GR-D</t>
  </si>
  <si>
    <t>Systems -Academic Institutions - GR-D</t>
  </si>
  <si>
    <t>Health-Related Institutions - GR-D</t>
  </si>
  <si>
    <t>TSTC Institutions - GR-D</t>
  </si>
  <si>
    <t>LIT-Lamars Institutions - GR-D</t>
  </si>
  <si>
    <t>TA&amp;M Agencies - GR-D</t>
  </si>
  <si>
    <t>TSTC Institutions Total Group Ins.</t>
  </si>
  <si>
    <t>LIT-Lamars Institutions Total Group Ins.</t>
  </si>
  <si>
    <t>LLL</t>
  </si>
  <si>
    <t>TSTC Institutions Total - Debt Service</t>
  </si>
  <si>
    <t>LIT-Lamars Institutions Total - Debt Service</t>
  </si>
  <si>
    <t>2020-2021</t>
  </si>
  <si>
    <t>Total - License Plate Funds</t>
  </si>
  <si>
    <t>Academic Institutions Total License Plates</t>
  </si>
  <si>
    <t>System - Academic Institutions Total License Plates</t>
  </si>
  <si>
    <t>Health-Related Institutions Total License Plates</t>
  </si>
  <si>
    <t>TSTC Institutions Total License Plates</t>
  </si>
  <si>
    <t>LIT-Lamars Institutions Total License Plates</t>
  </si>
  <si>
    <t>TSTC System Total License Plates</t>
  </si>
  <si>
    <t>Texas A&amp;M Agencies License Plates</t>
  </si>
  <si>
    <t>License Plate Funds - CARES MOE</t>
  </si>
  <si>
    <t>CC Rider 11 - Allocated Based on 2019</t>
  </si>
  <si>
    <t>CC Rider 11 - Alloc. Based on 2019</t>
  </si>
  <si>
    <t>Estimated on 2020</t>
  </si>
  <si>
    <t>TSTC Institutions Total GR</t>
  </si>
  <si>
    <t>LIT-Lamars Institutions Total GR</t>
  </si>
  <si>
    <t>Describe any variances noted.</t>
  </si>
  <si>
    <t>Assignments</t>
  </si>
  <si>
    <t>FY 2017</t>
  </si>
  <si>
    <t>FY 2018</t>
  </si>
  <si>
    <t>FY 2019</t>
  </si>
  <si>
    <t>FY 2020</t>
  </si>
  <si>
    <t>FY 2021</t>
  </si>
  <si>
    <t>Verification of Overview itmes taken from the Approrpriation Act</t>
  </si>
  <si>
    <t>Enter your insitials and the date you verified that the amounts in the Overview agree with the Apporpriations Act.</t>
  </si>
  <si>
    <t>UT-Arlington:  Core Research Support</t>
  </si>
  <si>
    <t>H:\APP\PA\Resource\FinanceFiles\Overview\FY 2020 - 2021\CARES MOE</t>
  </si>
  <si>
    <t>Instructions:  For each of the rows, please verifiy that the amoounts shown in the Overview have been correctly copied from the appropriate Approriations Act fount at the link below.  Refer to the notes in the top row of each section for the location in the Appropriations Act.</t>
  </si>
  <si>
    <t>Total, Article III-Agencies of Education (General Revenue)- Verify Total</t>
  </si>
  <si>
    <t>Total, Article III-Agencies of Education - Verify Total</t>
  </si>
  <si>
    <t>Grand Total, Public Community Junior Colleges - Verify Total</t>
  </si>
  <si>
    <t>Total - Higher Education Employees Benefits - Retirement - Verify Total</t>
  </si>
  <si>
    <t>Data Tab Row Number</t>
  </si>
  <si>
    <t>Total Group Insurance Contributions - Verify Total</t>
  </si>
  <si>
    <t>Total - Higher Education Employees Benefits - Social Security - Verify Total</t>
  </si>
  <si>
    <t>Vierfy all line items with the Apporpriations Act</t>
  </si>
  <si>
    <t>Vierfy all line items with the AUF Reports</t>
  </si>
  <si>
    <t>See the AUF Reports in the AUF directory in the MOE directory.</t>
  </si>
  <si>
    <t>GAA Page III-65</t>
  </si>
  <si>
    <t>GAA Page III-60</t>
  </si>
  <si>
    <t>GAA Page III-59</t>
  </si>
  <si>
    <t>University of Houston Medical School</t>
  </si>
  <si>
    <t>David Y.</t>
  </si>
  <si>
    <t>Jennifer G.</t>
  </si>
  <si>
    <t xml:space="preserve">Emily </t>
  </si>
  <si>
    <t>Emily</t>
  </si>
  <si>
    <t>Jennifer</t>
  </si>
  <si>
    <t>Ed</t>
  </si>
  <si>
    <t>David Y</t>
  </si>
  <si>
    <t>Vierfy all line items with the Apporpriations Act and categorized research items are correct</t>
  </si>
  <si>
    <t>eb 7/6/20</t>
  </si>
  <si>
    <t>eb 7/8/20</t>
  </si>
  <si>
    <t>UT-SMC-Dallas:  Center for Research of Sickle Cell Disease</t>
  </si>
  <si>
    <t>Lamar-Port Arthur: Hold Harmless</t>
  </si>
  <si>
    <t>Brazosport: Catalyst Program</t>
  </si>
  <si>
    <t>Texas Tech: Texas Wine/Mktg Research</t>
  </si>
  <si>
    <t>Texas Tech:  Viticulture and Enology Program</t>
  </si>
  <si>
    <t>eb 7/9/20</t>
  </si>
  <si>
    <t>LIT-Lamars</t>
  </si>
  <si>
    <t>Division of Emergency Management</t>
  </si>
  <si>
    <t xml:space="preserve">University of Texas Rio Grande Valley </t>
  </si>
  <si>
    <t>LSR</t>
  </si>
  <si>
    <t>Non-Formula Appropriations</t>
  </si>
  <si>
    <r>
      <t>Texas Competitive Knowledge Fund</t>
    </r>
    <r>
      <rPr>
        <b/>
        <sz val="10"/>
        <rFont val="Tahoma"/>
        <family val="2"/>
      </rPr>
      <t xml:space="preserve"> (TCKF)</t>
    </r>
  </si>
  <si>
    <r>
      <rPr>
        <b/>
        <sz val="10"/>
        <rFont val="Tahoma"/>
        <family val="2"/>
      </rPr>
      <t>Texas Research University Fund (TRUF)</t>
    </r>
  </si>
  <si>
    <t>Total -  Texas Research University Fund (TRUF)</t>
  </si>
  <si>
    <t>Total - Texas Competitive Knowledge Fund (TCKF)</t>
  </si>
  <si>
    <t>National Research University Fund (NRUF)</t>
  </si>
  <si>
    <t>Total - National Research University Fund (NRUF)</t>
  </si>
  <si>
    <t>UT-Permian Basin:  Comprehensive Research Fund</t>
  </si>
  <si>
    <t>TAMU-Galveston:  Comprehensive Research Fund</t>
  </si>
  <si>
    <t>UH-Clear Lake:  Comprehensive Research Fund</t>
  </si>
  <si>
    <t>North Texas:  Core research Support</t>
  </si>
  <si>
    <t>Core Research Support Fund (CRSF)</t>
  </si>
  <si>
    <r>
      <t xml:space="preserve">Texas </t>
    </r>
    <r>
      <rPr>
        <b/>
        <sz val="10"/>
        <rFont val="Tahoma"/>
        <family val="2"/>
      </rPr>
      <t>Comprehensive Research Fund / Research Development Fund</t>
    </r>
  </si>
  <si>
    <t>Total - Core Research Support Fund (CRSF)</t>
  </si>
  <si>
    <t>Total - Texas Comprehensive Research Fund / Research Development Fund</t>
  </si>
  <si>
    <t>UT-Dallas:  National Research University Fund</t>
  </si>
  <si>
    <t>UH:  National Research University Fund</t>
  </si>
  <si>
    <t>Texas Tech:  National Research Fund</t>
  </si>
  <si>
    <t>Lamar State Total Research</t>
  </si>
  <si>
    <t>TRIP Program</t>
  </si>
  <si>
    <t>Non-Formula Items</t>
  </si>
  <si>
    <r>
      <t xml:space="preserve">In Texas, the appropriations for core educational functions are provided through formulas. Other appropriations for special needs or opportunities are generally referred to as “Non-Formula Items.” Additionally, the Legislature has made lump sum appropriations to certain sectors for use at their discretion. </t>
    </r>
    <r>
      <rPr>
        <b/>
        <sz val="11"/>
        <color theme="1"/>
        <rFont val="Tahoma"/>
        <family val="2"/>
      </rPr>
      <t xml:space="preserve"> Table 7</t>
    </r>
    <r>
      <rPr>
        <sz val="11"/>
        <color theme="1"/>
        <rFont val="Tahoma"/>
        <family val="2"/>
      </rPr>
      <t xml:space="preserve"> provides sector level totals for Non-Formula Items.  By expanding the rows, individual institution amounts are provided.</t>
    </r>
  </si>
  <si>
    <t>Table 7 - Non-Formula Item Appropriations by Sector</t>
  </si>
  <si>
    <t xml:space="preserve">Table 7 - Non-Formula Item Appropriations by Sector </t>
  </si>
  <si>
    <t>Table 8 - Non-Formula Appropriations - Institutional Enhancement by Sector</t>
  </si>
  <si>
    <t>Table 7 - Non-Formula Appropriations by Sector</t>
  </si>
  <si>
    <t>Table 8 - Non Formula Appropriations - Institutional Enhancement by Sector</t>
  </si>
  <si>
    <t>HRI Institutions- Research Special Items</t>
  </si>
  <si>
    <t>Lamar State- Research Special Items</t>
  </si>
  <si>
    <t>Academic Institutions Total Non-Formula Items</t>
  </si>
  <si>
    <t>System Trusteed Funds Total Non-Formula Items</t>
  </si>
  <si>
    <t>Health-Related Institutions Total Non-Formula Items</t>
  </si>
  <si>
    <t>Community Colleges Inst. Total Non-Formula Items</t>
  </si>
  <si>
    <t>TSTCs Total Non-Formula Items</t>
  </si>
  <si>
    <t>Lamar State Total Non-Formula Items</t>
  </si>
  <si>
    <t>UT-El Paso: Total - STBI (South Texas Border Initiative)</t>
  </si>
  <si>
    <t>UT-Rio Grande V: Total - STBI (South Texas Border Initiative)</t>
  </si>
  <si>
    <t>UT-Pan American: Total - STBI (South Texas Border Initiative)</t>
  </si>
  <si>
    <t>UT-Brownsville: Total - STBI (South Texas Border Initiative)</t>
  </si>
  <si>
    <t>UT-San Antonio: Total - STBI (South Texas Border Initiative)</t>
  </si>
  <si>
    <t>TAMU-Corpus Christi: Total - STBI (South Texas Border Initiative)</t>
  </si>
  <si>
    <t>TAMU-Kingsville: Total -  STBI (South Texas Border Initiative)</t>
  </si>
  <si>
    <t>TAMU-San Antonio: Total - STBI (South Texas Border Initiative)</t>
  </si>
  <si>
    <t>TAM-International: Total - STBI (South Texas Border Initiative)</t>
  </si>
  <si>
    <t>Sul Ross: Total - STBI (South Texas Border Initiative)</t>
  </si>
  <si>
    <t>Sul Ross-Rio Grande: Total - STBI (South Texas Border Initiative)</t>
  </si>
  <si>
    <t>UT-HSC-San Antonio: Total - STBI (South Texas Border Initiative)</t>
  </si>
  <si>
    <t>UT-RGV Sch of Med: Total - STBI (South Texas Border Initiative)</t>
  </si>
  <si>
    <t>Texas Tech- UHSC at El Paso: Total - STBI (South Texas Border Initiative)</t>
  </si>
  <si>
    <t>UT AUF Fund Report (Source - Table 1 AUF Report)</t>
  </si>
  <si>
    <t xml:space="preserve"> Version 37-7P</t>
  </si>
  <si>
    <t>Emily Cormier, Assistant Commissioner</t>
  </si>
  <si>
    <t>(512) 427-6548 FAX (512) 427-6147</t>
  </si>
  <si>
    <t>emily.cormier@highered.state.gov</t>
  </si>
  <si>
    <t>License Plate Funds</t>
  </si>
  <si>
    <t>Stephen F. Austin: Total</t>
  </si>
  <si>
    <t xml:space="preserve"> October 12, 2020</t>
  </si>
  <si>
    <t>Budget Reductions of 5% are not reflected in the amounts presented.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</si>
</sst>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_);\(#,##0.000\)"/>
    <numFmt numFmtId="167" formatCode="0_)"/>
    <numFmt numFmtId="168" formatCode="#,##0.00%_);\(#,##0.00%\)"/>
    <numFmt numFmtId="169" formatCode="000000"/>
    <numFmt numFmtId="170" formatCode="_(* #,##0.00_);_(* \(#,##0.00\);_(* &quot;-&quot;_);_(@_)"/>
    <numFmt numFmtId="171" formatCode="&quot;$&quot;#,##0\ ;\(&quot;$&quot;#,##0\)"/>
    <numFmt numFmtId="172" formatCode="_(* #,##0.00000000_);_(* \(#,##0.00000000\);_(* &quot;-&quot;??_);_(@_)"/>
  </numFmts>
  <fonts count="88">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0"/>
      <color theme="1"/>
      <name val="Tahoma"/>
      <family val="2"/>
    </font>
    <font>
      <sz val="10"/>
      <color rgb="FFFF0000"/>
      <name val="Tahoma"/>
      <family val="2"/>
    </font>
    <font>
      <b/>
      <sz val="10"/>
      <color theme="1"/>
      <name val="Tahoma"/>
      <family val="2"/>
    </font>
    <font>
      <sz val="10"/>
      <color theme="0"/>
      <name val="Tahoma"/>
      <family val="2"/>
    </font>
    <font>
      <sz val="12"/>
      <name val="Arial"/>
      <family val="2"/>
    </font>
    <font>
      <sz val="10"/>
      <name val="Tahoma"/>
      <family val="2"/>
    </font>
    <font>
      <sz val="10"/>
      <name val="Arial"/>
      <family val="2"/>
    </font>
    <font>
      <b/>
      <sz val="9"/>
      <color indexed="81"/>
      <name val="Tahoma"/>
      <family val="2"/>
    </font>
    <font>
      <sz val="9"/>
      <color indexed="81"/>
      <name val="Tahoma"/>
      <family val="2"/>
    </font>
    <font>
      <b/>
      <sz val="8"/>
      <color indexed="8"/>
      <name val="Tahoma"/>
      <family val="2"/>
    </font>
    <font>
      <sz val="8"/>
      <color indexed="8"/>
      <name val="Tahoma"/>
      <family val="2"/>
    </font>
    <font>
      <b/>
      <sz val="8"/>
      <color indexed="81"/>
      <name val="Tahoma"/>
      <family val="2"/>
    </font>
    <font>
      <sz val="8"/>
      <color indexed="81"/>
      <name val="Tahoma"/>
      <family val="2"/>
    </font>
    <font>
      <i/>
      <sz val="8"/>
      <color theme="1"/>
      <name val="Tahoma"/>
      <family val="2"/>
    </font>
    <font>
      <b/>
      <sz val="10"/>
      <name val="Tahoma"/>
      <family val="2"/>
    </font>
    <font>
      <b/>
      <sz val="11"/>
      <color theme="1"/>
      <name val="Calibri"/>
      <family val="2"/>
      <scheme val="minor"/>
    </font>
    <font>
      <sz val="12"/>
      <name val="AGaramond"/>
      <family val="3"/>
    </font>
    <font>
      <i/>
      <sz val="10"/>
      <name val="Arial"/>
      <family val="2"/>
    </font>
    <font>
      <b/>
      <sz val="10"/>
      <color theme="0"/>
      <name val="Arial"/>
      <family val="2"/>
    </font>
    <font>
      <sz val="10"/>
      <name val="Courier"/>
      <family val="3"/>
    </font>
    <font>
      <b/>
      <sz val="10"/>
      <name val="Arial"/>
      <family val="2"/>
    </font>
    <font>
      <u/>
      <sz val="10"/>
      <name val="Arial"/>
      <family val="2"/>
    </font>
    <font>
      <sz val="12"/>
      <name val="AGaramond"/>
      <family val="1"/>
    </font>
    <font>
      <sz val="8"/>
      <name val="Arial"/>
      <family val="2"/>
    </font>
    <font>
      <b/>
      <u/>
      <sz val="10"/>
      <name val="Arial"/>
      <family val="2"/>
    </font>
    <font>
      <b/>
      <i/>
      <sz val="10"/>
      <name val="Arial"/>
      <family val="2"/>
    </font>
    <font>
      <b/>
      <sz val="10"/>
      <color indexed="81"/>
      <name val="Tahoma"/>
      <family val="2"/>
    </font>
    <font>
      <sz val="10"/>
      <color indexed="81"/>
      <name val="Tahoma"/>
      <family val="2"/>
    </font>
    <font>
      <b/>
      <sz val="12"/>
      <name val="Arial"/>
      <family val="2"/>
    </font>
    <font>
      <sz val="10"/>
      <color indexed="8"/>
      <name val="Arial"/>
      <family val="2"/>
    </font>
    <font>
      <b/>
      <sz val="12"/>
      <name val="Tahoma"/>
      <family val="2"/>
    </font>
    <font>
      <sz val="12"/>
      <color theme="1"/>
      <name val="Arial"/>
      <family val="2"/>
    </font>
    <font>
      <b/>
      <sz val="11"/>
      <color theme="0"/>
      <name val="Arial"/>
      <family val="2"/>
    </font>
    <font>
      <sz val="10"/>
      <color theme="1"/>
      <name val="Arial"/>
      <family val="2"/>
    </font>
    <font>
      <sz val="11"/>
      <color theme="1"/>
      <name val="Arial"/>
      <family val="2"/>
    </font>
    <font>
      <b/>
      <sz val="11"/>
      <color theme="1"/>
      <name val="Arial"/>
      <family val="2"/>
    </font>
    <font>
      <sz val="12"/>
      <name val="Tahoma"/>
      <family val="2"/>
    </font>
    <font>
      <u/>
      <sz val="10"/>
      <color theme="10"/>
      <name val="Tahoma"/>
      <family val="2"/>
    </font>
    <font>
      <sz val="11"/>
      <color theme="1"/>
      <name val="Tahoma"/>
      <family val="2"/>
    </font>
    <font>
      <b/>
      <sz val="14"/>
      <color theme="1"/>
      <name val="Tahoma"/>
      <family val="2"/>
    </font>
    <font>
      <sz val="12"/>
      <color theme="1"/>
      <name val="Tahoma"/>
      <family val="2"/>
    </font>
    <font>
      <b/>
      <sz val="12"/>
      <color theme="1"/>
      <name val="Tahoma"/>
      <family val="2"/>
    </font>
    <font>
      <b/>
      <sz val="12"/>
      <color rgb="FFFF0000"/>
      <name val="Tahoma"/>
      <family val="2"/>
    </font>
    <font>
      <b/>
      <sz val="11"/>
      <color rgb="FF1F497D"/>
      <name val="Tahoma"/>
      <family val="2"/>
    </font>
    <font>
      <sz val="11"/>
      <color rgb="FF1F497D"/>
      <name val="Tahoma"/>
      <family val="2"/>
    </font>
    <font>
      <b/>
      <sz val="11"/>
      <color theme="1"/>
      <name val="Tahoma"/>
      <family val="2"/>
    </font>
    <font>
      <sz val="11"/>
      <color theme="1"/>
      <name val="Calibri"/>
      <family val="2"/>
    </font>
    <font>
      <b/>
      <sz val="10"/>
      <color theme="1"/>
      <name val="Arial"/>
      <family val="2"/>
    </font>
    <font>
      <b/>
      <sz val="14"/>
      <color theme="1"/>
      <name val="Arial"/>
      <family val="2"/>
    </font>
    <font>
      <sz val="10"/>
      <color rgb="FF000000"/>
      <name val="Times New Roman"/>
      <family val="1"/>
    </font>
    <font>
      <sz val="10"/>
      <name val="Times New Roman"/>
      <family val="1"/>
    </font>
    <font>
      <sz val="11"/>
      <color rgb="FF000000"/>
      <name val="Calibri"/>
      <family val="2"/>
    </font>
    <font>
      <sz val="10"/>
      <color indexed="24"/>
      <name val="Arial"/>
      <family val="2"/>
    </font>
    <font>
      <b/>
      <sz val="18"/>
      <color indexed="24"/>
      <name val="Arial"/>
      <family val="2"/>
    </font>
    <font>
      <b/>
      <sz val="12"/>
      <color indexed="2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u/>
      <sz val="10"/>
      <color indexed="12"/>
      <name val="Arial"/>
      <family val="2"/>
    </font>
    <font>
      <sz val="10"/>
      <name val="System"/>
      <family val="2"/>
    </font>
    <font>
      <sz val="10"/>
      <name val="MS Sans Serif"/>
      <family val="2"/>
    </font>
    <font>
      <u/>
      <sz val="10"/>
      <color theme="10"/>
      <name val="Arial"/>
      <family val="2"/>
    </font>
    <font>
      <b/>
      <sz val="14"/>
      <color rgb="FFFF0000"/>
      <name val="Tahoma"/>
      <family val="2"/>
    </font>
    <font>
      <b/>
      <sz val="10"/>
      <color theme="0"/>
      <name val="Tahoma"/>
      <family val="2"/>
    </font>
    <font>
      <b/>
      <sz val="11"/>
      <name val="Calibri  "/>
    </font>
    <font>
      <b/>
      <sz val="12"/>
      <color theme="1"/>
      <name val="Calibri"/>
      <family val="2"/>
      <scheme val="minor"/>
    </font>
  </fonts>
  <fills count="59">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1"/>
        <bgColor indexed="64"/>
      </patternFill>
    </fill>
    <fill>
      <patternFill patternType="solid">
        <fgColor indexed="13"/>
        <bgColor indexed="64"/>
      </patternFill>
    </fill>
    <fill>
      <patternFill patternType="solid">
        <fgColor indexed="42"/>
        <bgColor indexed="64"/>
      </patternFill>
    </fill>
    <fill>
      <patternFill patternType="solid">
        <fgColor theme="8" tint="0.79998168889431442"/>
        <bgColor indexed="64"/>
      </patternFill>
    </fill>
    <fill>
      <patternFill patternType="solid">
        <fgColor indexed="22"/>
        <bgColor indexed="64"/>
      </patternFill>
    </fill>
    <fill>
      <patternFill patternType="solid">
        <fgColor indexed="50"/>
        <bgColor indexed="64"/>
      </patternFill>
    </fill>
    <fill>
      <patternFill patternType="solid">
        <fgColor theme="2" tint="-9.9978637043366805E-2"/>
        <bgColor indexed="64"/>
      </patternFill>
    </fill>
    <fill>
      <patternFill patternType="solid">
        <fgColor indexed="49"/>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59999389629810485"/>
        <bgColor indexed="64"/>
      </patternFill>
    </fill>
    <fill>
      <patternFill patternType="darkUp">
        <fgColor auto="1"/>
      </patternFill>
    </fill>
    <fill>
      <patternFill patternType="darkUp">
        <fgColor auto="1"/>
        <bgColor theme="4" tint="0.59999389629810485"/>
      </patternFill>
    </fill>
    <fill>
      <patternFill patternType="darkUp">
        <fgColor auto="1"/>
        <bgColor theme="6" tint="0.39997558519241921"/>
      </patternFill>
    </fill>
    <fill>
      <patternFill patternType="solid">
        <fgColor theme="6" tint="0.79998168889431442"/>
        <bgColor indexed="64"/>
      </patternFill>
    </fill>
    <fill>
      <patternFill patternType="solid">
        <fgColor theme="9" tint="0.39997558519241921"/>
        <bgColor indexed="64"/>
      </patternFill>
    </fill>
    <fill>
      <patternFill patternType="solid">
        <fgColor indexed="9"/>
        <bgColor indexed="64"/>
      </patternFill>
    </fill>
    <fill>
      <patternFill patternType="solid">
        <fgColor theme="3" tint="0.59999389629810485"/>
        <bgColor indexed="64"/>
      </patternFill>
    </fill>
    <fill>
      <patternFill patternType="solid">
        <fgColor rgb="FFF4FAA4"/>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rgb="FF92D050"/>
        <bgColor indexed="64"/>
      </patternFill>
    </fill>
    <fill>
      <patternFill patternType="solid">
        <fgColor theme="2"/>
        <bgColor indexed="64"/>
      </patternFill>
    </fill>
    <fill>
      <patternFill patternType="solid">
        <fgColor theme="9" tint="0.7999816888943144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000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double">
        <color indexed="64"/>
      </bottom>
      <diagonal/>
    </border>
    <border>
      <left/>
      <right/>
      <top/>
      <bottom style="double">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style="medium">
        <color indexed="64"/>
      </top>
      <bottom/>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bottom/>
      <diagonal/>
    </border>
    <border>
      <left style="thick">
        <color indexed="64"/>
      </left>
      <right/>
      <top/>
      <bottom/>
      <diagonal/>
    </border>
    <border>
      <left style="thick">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right style="thin">
        <color indexed="64"/>
      </right>
      <top/>
      <bottom style="medium">
        <color indexed="64"/>
      </bottom>
      <diagonal/>
    </border>
  </borders>
  <cellStyleXfs count="174">
    <xf numFmtId="0" fontId="0" fillId="0" borderId="0"/>
    <xf numFmtId="43"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0" fontId="15" fillId="0" borderId="0"/>
    <xf numFmtId="0" fontId="17" fillId="0" borderId="0"/>
    <xf numFmtId="0" fontId="15" fillId="0" borderId="0"/>
    <xf numFmtId="43" fontId="27" fillId="0" borderId="0" applyFont="0" applyFill="0" applyBorder="0" applyAlignment="0" applyProtection="0"/>
    <xf numFmtId="0" fontId="17" fillId="0" borderId="0"/>
    <xf numFmtId="37" fontId="30" fillId="0" borderId="0"/>
    <xf numFmtId="43" fontId="17" fillId="0" borderId="0" applyFont="0" applyFill="0" applyBorder="0" applyAlignment="0" applyProtection="0"/>
    <xf numFmtId="37" fontId="30" fillId="0" borderId="0"/>
    <xf numFmtId="167" fontId="33" fillId="0" borderId="0"/>
    <xf numFmtId="3" fontId="34" fillId="0" borderId="0"/>
    <xf numFmtId="37" fontId="30" fillId="0" borderId="0"/>
    <xf numFmtId="0" fontId="40" fillId="0" borderId="0"/>
    <xf numFmtId="0" fontId="17" fillId="0" borderId="0"/>
    <xf numFmtId="0" fontId="48" fillId="0" borderId="0" applyNumberFormat="0" applyFill="0" applyBorder="0" applyAlignment="0" applyProtection="0"/>
    <xf numFmtId="0" fontId="17" fillId="0" borderId="0">
      <alignment horizontal="left" wrapText="1"/>
    </xf>
    <xf numFmtId="0" fontId="17" fillId="0" borderId="0">
      <alignment horizontal="left" wrapText="1"/>
    </xf>
    <xf numFmtId="43" fontId="42" fillId="0" borderId="0" applyFont="0" applyFill="0" applyBorder="0" applyAlignment="0" applyProtection="0"/>
    <xf numFmtId="0" fontId="42" fillId="0" borderId="0"/>
    <xf numFmtId="0" fontId="17"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0" fontId="17" fillId="0" borderId="0"/>
    <xf numFmtId="0" fontId="60"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0" fontId="8" fillId="0" borderId="0"/>
    <xf numFmtId="44"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0" fontId="7" fillId="0" borderId="0"/>
    <xf numFmtId="43" fontId="6" fillId="0" borderId="0" applyFont="0" applyFill="0" applyBorder="0" applyAlignment="0" applyProtection="0"/>
    <xf numFmtId="0" fontId="6" fillId="0" borderId="0"/>
    <xf numFmtId="0" fontId="62" fillId="0" borderId="0"/>
    <xf numFmtId="0" fontId="66" fillId="35" borderId="0" applyNumberFormat="0" applyBorder="0" applyAlignment="0" applyProtection="0"/>
    <xf numFmtId="0" fontId="66" fillId="36" borderId="0" applyNumberFormat="0" applyBorder="0" applyAlignment="0" applyProtection="0"/>
    <xf numFmtId="0" fontId="66" fillId="37" borderId="0" applyNumberFormat="0" applyBorder="0" applyAlignment="0" applyProtection="0"/>
    <xf numFmtId="0" fontId="66" fillId="38" borderId="0" applyNumberFormat="0" applyBorder="0" applyAlignment="0" applyProtection="0"/>
    <xf numFmtId="0" fontId="66" fillId="39" borderId="0" applyNumberFormat="0" applyBorder="0" applyAlignment="0" applyProtection="0"/>
    <xf numFmtId="0" fontId="66" fillId="40" borderId="0" applyNumberFormat="0" applyBorder="0" applyAlignment="0" applyProtection="0"/>
    <xf numFmtId="0" fontId="66" fillId="41" borderId="0" applyNumberFormat="0" applyBorder="0" applyAlignment="0" applyProtection="0"/>
    <xf numFmtId="0" fontId="66" fillId="42" borderId="0" applyNumberFormat="0" applyBorder="0" applyAlignment="0" applyProtection="0"/>
    <xf numFmtId="0" fontId="66" fillId="43" borderId="0" applyNumberFormat="0" applyBorder="0" applyAlignment="0" applyProtection="0"/>
    <xf numFmtId="0" fontId="66" fillId="38" borderId="0" applyNumberFormat="0" applyBorder="0" applyAlignment="0" applyProtection="0"/>
    <xf numFmtId="0" fontId="66" fillId="41" borderId="0" applyNumberFormat="0" applyBorder="0" applyAlignment="0" applyProtection="0"/>
    <xf numFmtId="0" fontId="66" fillId="44" borderId="0" applyNumberFormat="0" applyBorder="0" applyAlignment="0" applyProtection="0"/>
    <xf numFmtId="0" fontId="67" fillId="45" borderId="0" applyNumberFormat="0" applyBorder="0" applyAlignment="0" applyProtection="0"/>
    <xf numFmtId="0" fontId="67" fillId="42" borderId="0" applyNumberFormat="0" applyBorder="0" applyAlignment="0" applyProtection="0"/>
    <xf numFmtId="0" fontId="67" fillId="43" borderId="0" applyNumberFormat="0" applyBorder="0" applyAlignment="0" applyProtection="0"/>
    <xf numFmtId="0" fontId="67" fillId="46" borderId="0" applyNumberFormat="0" applyBorder="0" applyAlignment="0" applyProtection="0"/>
    <xf numFmtId="0" fontId="67" fillId="47"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0" borderId="0" applyNumberFormat="0" applyBorder="0" applyAlignment="0" applyProtection="0"/>
    <xf numFmtId="0" fontId="67" fillId="51" borderId="0" applyNumberFormat="0" applyBorder="0" applyAlignment="0" applyProtection="0"/>
    <xf numFmtId="0" fontId="67" fillId="46"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8" fillId="36" borderId="0" applyNumberFormat="0" applyBorder="0" applyAlignment="0" applyProtection="0"/>
    <xf numFmtId="0" fontId="69" fillId="53" borderId="60" applyNumberFormat="0" applyAlignment="0" applyProtection="0"/>
    <xf numFmtId="0" fontId="70" fillId="54" borderId="61" applyNumberFormat="0" applyAlignment="0" applyProtection="0"/>
    <xf numFmtId="3" fontId="63" fillId="0" borderId="0" applyFont="0" applyFill="0" applyBorder="0" applyAlignment="0" applyProtection="0"/>
    <xf numFmtId="171" fontId="63" fillId="0" borderId="0" applyFont="0" applyFill="0" applyBorder="0" applyAlignment="0" applyProtection="0"/>
    <xf numFmtId="0" fontId="63" fillId="0" borderId="0" applyFont="0" applyFill="0" applyBorder="0" applyAlignment="0" applyProtection="0"/>
    <xf numFmtId="0" fontId="71" fillId="0" borderId="0" applyNumberFormat="0" applyFill="0" applyBorder="0" applyAlignment="0" applyProtection="0"/>
    <xf numFmtId="2" fontId="63" fillId="0" borderId="0" applyFont="0" applyFill="0" applyBorder="0" applyAlignment="0" applyProtection="0"/>
    <xf numFmtId="0" fontId="72" fillId="37" borderId="0" applyNumberFormat="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73" fillId="0" borderId="62" applyNumberFormat="0" applyFill="0" applyAlignment="0" applyProtection="0"/>
    <xf numFmtId="0" fontId="73" fillId="0" borderId="0" applyNumberFormat="0" applyFill="0" applyBorder="0" applyAlignment="0" applyProtection="0"/>
    <xf numFmtId="0" fontId="74" fillId="40" borderId="60" applyNumberFormat="0" applyAlignment="0" applyProtection="0"/>
    <xf numFmtId="0" fontId="75" fillId="0" borderId="63" applyNumberFormat="0" applyFill="0" applyAlignment="0" applyProtection="0"/>
    <xf numFmtId="0" fontId="76" fillId="55" borderId="0" applyNumberFormat="0" applyBorder="0" applyAlignment="0" applyProtection="0"/>
    <xf numFmtId="0" fontId="17" fillId="56" borderId="64" applyNumberFormat="0" applyFont="0" applyAlignment="0" applyProtection="0"/>
    <xf numFmtId="0" fontId="77" fillId="53" borderId="65" applyNumberFormat="0" applyAlignment="0" applyProtection="0"/>
    <xf numFmtId="0" fontId="78" fillId="0" borderId="0" applyNumberFormat="0" applyFill="0" applyBorder="0" applyAlignment="0" applyProtection="0"/>
    <xf numFmtId="0" fontId="63" fillId="0" borderId="66" applyNumberFormat="0" applyFont="0" applyFill="0" applyAlignment="0" applyProtection="0"/>
    <xf numFmtId="0" fontId="79"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3" fontId="63" fillId="0" borderId="0" applyFont="0" applyFill="0" applyBorder="0" applyAlignment="0" applyProtection="0"/>
    <xf numFmtId="3" fontId="63" fillId="0" borderId="0" applyFont="0" applyFill="0" applyBorder="0" applyAlignment="0" applyProtection="0"/>
    <xf numFmtId="171" fontId="63" fillId="0" borderId="0" applyFont="0" applyFill="0" applyBorder="0" applyAlignment="0" applyProtection="0"/>
    <xf numFmtId="171" fontId="63"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2" fontId="63" fillId="0" borderId="0" applyFont="0" applyFill="0" applyBorder="0" applyAlignment="0" applyProtection="0"/>
    <xf numFmtId="2" fontId="63" fillId="0" borderId="0" applyFon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3" fillId="0" borderId="66" applyNumberFormat="0" applyFont="0" applyFill="0" applyAlignment="0" applyProtection="0"/>
    <xf numFmtId="0" fontId="63" fillId="0" borderId="66" applyNumberFormat="0" applyFont="0" applyFill="0" applyAlignment="0" applyProtection="0"/>
    <xf numFmtId="0" fontId="80" fillId="0" borderId="0" applyNumberFormat="0" applyFill="0" applyBorder="0" applyAlignment="0" applyProtection="0">
      <alignment vertical="top"/>
      <protection locked="0"/>
    </xf>
    <xf numFmtId="44" fontId="17" fillId="0" borderId="0" applyFont="0" applyFill="0" applyBorder="0" applyAlignment="0" applyProtection="0"/>
    <xf numFmtId="0" fontId="81" fillId="0" borderId="0"/>
    <xf numFmtId="0" fontId="82" fillId="0" borderId="0"/>
    <xf numFmtId="0" fontId="82" fillId="0" borderId="0"/>
    <xf numFmtId="9" fontId="17" fillId="0" borderId="0" applyFont="0" applyFill="0" applyBorder="0" applyAlignment="0" applyProtection="0"/>
    <xf numFmtId="0" fontId="17" fillId="0" borderId="0"/>
    <xf numFmtId="0" fontId="5" fillId="0" borderId="0"/>
    <xf numFmtId="0" fontId="17" fillId="0" borderId="0"/>
    <xf numFmtId="43" fontId="17" fillId="0" borderId="0" applyFont="0" applyFill="0" applyBorder="0" applyAlignment="0" applyProtection="0"/>
    <xf numFmtId="0" fontId="80" fillId="0" borderId="0" applyNumberFormat="0" applyFill="0" applyBorder="0" applyAlignment="0" applyProtection="0">
      <alignment vertical="top"/>
      <protection locked="0"/>
    </xf>
    <xf numFmtId="0" fontId="17" fillId="0" borderId="0"/>
    <xf numFmtId="0" fontId="80" fillId="0" borderId="0" applyNumberFormat="0" applyFill="0" applyBorder="0" applyAlignment="0" applyProtection="0">
      <alignment vertical="top"/>
      <protection locked="0"/>
    </xf>
    <xf numFmtId="0" fontId="83" fillId="0" borderId="0" applyNumberFormat="0" applyFill="0" applyBorder="0" applyAlignment="0" applyProtection="0"/>
    <xf numFmtId="0" fontId="17" fillId="0" borderId="0"/>
    <xf numFmtId="43" fontId="11" fillId="0" borderId="0" applyFont="0" applyFill="0" applyBorder="0" applyAlignment="0" applyProtection="0"/>
    <xf numFmtId="44" fontId="17"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82"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43" fontId="11" fillId="0" borderId="0" applyFont="0" applyFill="0" applyBorder="0" applyAlignment="0" applyProtection="0"/>
    <xf numFmtId="43" fontId="82"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0" fontId="15" fillId="0" borderId="0"/>
    <xf numFmtId="0" fontId="4" fillId="0" borderId="0"/>
    <xf numFmtId="0" fontId="4" fillId="0" borderId="0"/>
    <xf numFmtId="0" fontId="4" fillId="0" borderId="0"/>
    <xf numFmtId="0" fontId="17" fillId="0" borderId="0"/>
    <xf numFmtId="9" fontId="66" fillId="0" borderId="0" applyFont="0" applyFill="0" applyBorder="0" applyAlignment="0" applyProtection="0"/>
    <xf numFmtId="9" fontId="4" fillId="0" borderId="0" applyFont="0" applyFill="0" applyBorder="0" applyAlignment="0" applyProtection="0"/>
    <xf numFmtId="0" fontId="15"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82" fillId="0" borderId="0" applyFont="0" applyFill="0" applyBorder="0" applyAlignment="0" applyProtection="0"/>
    <xf numFmtId="3" fontId="17" fillId="0" borderId="0"/>
    <xf numFmtId="3" fontId="17" fillId="0" borderId="0"/>
    <xf numFmtId="44" fontId="17" fillId="0" borderId="0" applyFont="0" applyFill="0" applyBorder="0" applyAlignment="0" applyProtection="0"/>
    <xf numFmtId="44" fontId="82" fillId="0" borderId="0" applyFont="0" applyFill="0" applyBorder="0" applyAlignment="0" applyProtection="0"/>
    <xf numFmtId="44" fontId="49" fillId="0" borderId="0" applyFont="0" applyFill="0" applyBorder="0" applyAlignment="0" applyProtection="0"/>
    <xf numFmtId="44" fontId="81" fillId="0" borderId="0" applyFont="0" applyFill="0" applyBorder="0" applyAlignment="0" applyProtection="0"/>
    <xf numFmtId="0" fontId="17" fillId="0" borderId="0"/>
    <xf numFmtId="0" fontId="81" fillId="0" borderId="0"/>
    <xf numFmtId="0" fontId="4" fillId="0" borderId="0"/>
    <xf numFmtId="0" fontId="17" fillId="0" borderId="0"/>
    <xf numFmtId="0" fontId="17" fillId="0" borderId="0"/>
    <xf numFmtId="0" fontId="17" fillId="0" borderId="0"/>
    <xf numFmtId="0" fontId="17" fillId="0" borderId="0"/>
    <xf numFmtId="0" fontId="17" fillId="0" borderId="0"/>
    <xf numFmtId="0" fontId="17" fillId="0" borderId="0"/>
    <xf numFmtId="0" fontId="49" fillId="0" borderId="0"/>
    <xf numFmtId="0" fontId="17" fillId="0" borderId="0"/>
    <xf numFmtId="0" fontId="82" fillId="0" borderId="0"/>
    <xf numFmtId="0" fontId="49" fillId="0" borderId="0"/>
    <xf numFmtId="9" fontId="82" fillId="0" borderId="0" applyFont="0" applyFill="0" applyBorder="0" applyAlignment="0" applyProtection="0"/>
    <xf numFmtId="9" fontId="81" fillId="0" borderId="0" applyFont="0" applyFill="0" applyBorder="0" applyAlignment="0" applyProtection="0"/>
    <xf numFmtId="0" fontId="81" fillId="0" borderId="0"/>
    <xf numFmtId="0" fontId="2" fillId="0" borderId="0"/>
    <xf numFmtId="0" fontId="82" fillId="0" borderId="0"/>
    <xf numFmtId="0" fontId="2" fillId="0" borderId="0"/>
    <xf numFmtId="9" fontId="2" fillId="0" borderId="0" applyFont="0" applyFill="0" applyBorder="0" applyAlignment="0" applyProtection="0"/>
    <xf numFmtId="43" fontId="2" fillId="0" borderId="0" applyFont="0" applyFill="0" applyBorder="0" applyAlignment="0" applyProtection="0"/>
  </cellStyleXfs>
  <cellXfs count="1360">
    <xf numFmtId="0" fontId="0" fillId="0" borderId="0" xfId="0"/>
    <xf numFmtId="0" fontId="13" fillId="2" borderId="0" xfId="0" applyNumberFormat="1" applyFont="1" applyFill="1" applyBorder="1" applyAlignment="1">
      <alignment horizontal="center"/>
    </xf>
    <xf numFmtId="0" fontId="13" fillId="2" borderId="0" xfId="1" applyNumberFormat="1" applyFont="1" applyFill="1" applyBorder="1" applyAlignment="1">
      <alignment horizontal="center"/>
    </xf>
    <xf numFmtId="0" fontId="13" fillId="0" borderId="0" xfId="1" applyNumberFormat="1" applyFont="1" applyFill="1" applyBorder="1" applyAlignment="1">
      <alignment horizontal="center"/>
    </xf>
    <xf numFmtId="0" fontId="11" fillId="0" borderId="0" xfId="0" applyFont="1" applyBorder="1"/>
    <xf numFmtId="0" fontId="13" fillId="3" borderId="1" xfId="0" applyFont="1" applyFill="1" applyBorder="1"/>
    <xf numFmtId="0" fontId="11" fillId="3" borderId="1" xfId="0" applyFont="1" applyFill="1" applyBorder="1" applyAlignment="1">
      <alignment horizontal="left"/>
    </xf>
    <xf numFmtId="164" fontId="11" fillId="3" borderId="1" xfId="1" applyNumberFormat="1" applyFont="1" applyFill="1" applyBorder="1"/>
    <xf numFmtId="0" fontId="11" fillId="3" borderId="1" xfId="0" applyFont="1" applyFill="1" applyBorder="1" applyAlignment="1">
      <alignment horizontal="center"/>
    </xf>
    <xf numFmtId="0" fontId="11" fillId="0" borderId="1" xfId="0" applyFont="1" applyBorder="1"/>
    <xf numFmtId="0" fontId="16" fillId="0" borderId="1" xfId="4" applyFont="1" applyBorder="1" applyAlignment="1">
      <alignment horizontal="left" wrapText="1"/>
    </xf>
    <xf numFmtId="164" fontId="16" fillId="0" borderId="1" xfId="1" applyNumberFormat="1" applyFont="1" applyBorder="1" applyAlignment="1">
      <alignment horizontal="left" wrapText="1" indent="1"/>
    </xf>
    <xf numFmtId="164" fontId="11" fillId="0" borderId="1" xfId="1" applyNumberFormat="1" applyFont="1" applyBorder="1"/>
    <xf numFmtId="3" fontId="16" fillId="0" borderId="1" xfId="4" applyNumberFormat="1" applyFont="1" applyBorder="1" applyAlignment="1">
      <alignment horizontal="right" wrapText="1"/>
    </xf>
    <xf numFmtId="164" fontId="11" fillId="0" borderId="1" xfId="1" applyNumberFormat="1" applyFont="1" applyFill="1" applyBorder="1"/>
    <xf numFmtId="0" fontId="16" fillId="0" borderId="1" xfId="4" quotePrefix="1" applyFont="1" applyBorder="1" applyAlignment="1">
      <alignment horizontal="left" wrapText="1"/>
    </xf>
    <xf numFmtId="164" fontId="16" fillId="0" borderId="1" xfId="1" quotePrefix="1" applyNumberFormat="1" applyFont="1" applyBorder="1" applyAlignment="1">
      <alignment horizontal="left" wrapText="1" indent="1"/>
    </xf>
    <xf numFmtId="3" fontId="16" fillId="0" borderId="1" xfId="4" quotePrefix="1" applyNumberFormat="1" applyFont="1" applyBorder="1" applyAlignment="1">
      <alignment horizontal="right" wrapText="1"/>
    </xf>
    <xf numFmtId="0" fontId="16" fillId="0" borderId="1" xfId="4" applyFont="1" applyBorder="1" applyAlignment="1">
      <alignment horizontal="right" wrapText="1"/>
    </xf>
    <xf numFmtId="0" fontId="16" fillId="0" borderId="1" xfId="4" applyFont="1" applyFill="1" applyBorder="1" applyAlignment="1">
      <alignment horizontal="left" wrapText="1"/>
    </xf>
    <xf numFmtId="0" fontId="11" fillId="0" borderId="1" xfId="0" applyFont="1" applyBorder="1" applyAlignment="1">
      <alignment horizontal="left"/>
    </xf>
    <xf numFmtId="3" fontId="11" fillId="0" borderId="1" xfId="0" applyNumberFormat="1" applyFont="1" applyBorder="1" applyAlignment="1">
      <alignment horizontal="right"/>
    </xf>
    <xf numFmtId="0" fontId="11" fillId="0" borderId="1" xfId="0" applyFont="1" applyBorder="1" applyAlignment="1">
      <alignment horizontal="right"/>
    </xf>
    <xf numFmtId="0" fontId="11" fillId="0" borderId="1" xfId="0" applyFont="1" applyFill="1" applyBorder="1" applyAlignment="1">
      <alignment horizontal="left"/>
    </xf>
    <xf numFmtId="3" fontId="11" fillId="0" borderId="1" xfId="0" applyNumberFormat="1" applyFont="1" applyFill="1" applyBorder="1" applyAlignment="1">
      <alignment horizontal="right"/>
    </xf>
    <xf numFmtId="0" fontId="13" fillId="3" borderId="1" xfId="0" applyFont="1" applyFill="1" applyBorder="1" applyAlignment="1">
      <alignment horizontal="left"/>
    </xf>
    <xf numFmtId="0" fontId="11" fillId="3" borderId="1" xfId="0" applyFont="1" applyFill="1" applyBorder="1" applyAlignment="1">
      <alignment horizontal="right"/>
    </xf>
    <xf numFmtId="0" fontId="13" fillId="0" borderId="1" xfId="0" applyFont="1" applyBorder="1" applyAlignment="1">
      <alignment horizontal="left"/>
    </xf>
    <xf numFmtId="0" fontId="13" fillId="0" borderId="1" xfId="0" applyFont="1" applyBorder="1"/>
    <xf numFmtId="164" fontId="13" fillId="0" borderId="1" xfId="1" applyNumberFormat="1" applyFont="1" applyFill="1" applyBorder="1"/>
    <xf numFmtId="0" fontId="11" fillId="3" borderId="2" xfId="0" applyFont="1" applyFill="1" applyBorder="1" applyAlignment="1">
      <alignment horizontal="left"/>
    </xf>
    <xf numFmtId="0" fontId="11" fillId="3" borderId="2" xfId="0" applyFont="1" applyFill="1" applyBorder="1" applyAlignment="1">
      <alignment horizontal="right"/>
    </xf>
    <xf numFmtId="0" fontId="17" fillId="0" borderId="1" xfId="5" applyFill="1" applyBorder="1"/>
    <xf numFmtId="3" fontId="17" fillId="0" borderId="1" xfId="5" applyNumberFormat="1" applyFill="1" applyBorder="1" applyAlignment="1">
      <alignment horizontal="right"/>
    </xf>
    <xf numFmtId="164" fontId="13" fillId="0" borderId="1" xfId="1" applyNumberFormat="1" applyFont="1" applyBorder="1"/>
    <xf numFmtId="0" fontId="13" fillId="0" borderId="1" xfId="0" applyFont="1" applyBorder="1" applyAlignment="1">
      <alignment horizontal="right"/>
    </xf>
    <xf numFmtId="164" fontId="11" fillId="0" borderId="1" xfId="1" applyNumberFormat="1" applyFont="1" applyBorder="1" applyAlignment="1">
      <alignment horizontal="center"/>
    </xf>
    <xf numFmtId="164" fontId="11" fillId="0" borderId="1" xfId="1" applyNumberFormat="1" applyFont="1" applyBorder="1" applyAlignment="1">
      <alignment horizontal="right"/>
    </xf>
    <xf numFmtId="0" fontId="11" fillId="0" borderId="1" xfId="0" applyFont="1" applyBorder="1" applyAlignment="1">
      <alignment horizontal="left" wrapText="1"/>
    </xf>
    <xf numFmtId="0" fontId="13" fillId="0" borderId="4" xfId="0" applyFont="1" applyFill="1" applyBorder="1" applyAlignment="1">
      <alignment wrapText="1"/>
    </xf>
    <xf numFmtId="0" fontId="13" fillId="0" borderId="3" xfId="0" applyFont="1" applyFill="1" applyBorder="1" applyAlignment="1">
      <alignment wrapText="1"/>
    </xf>
    <xf numFmtId="0" fontId="11" fillId="0" borderId="1" xfId="0" applyFont="1" applyFill="1" applyBorder="1"/>
    <xf numFmtId="0" fontId="11" fillId="0" borderId="1" xfId="0" applyFont="1" applyFill="1" applyBorder="1" applyAlignment="1">
      <alignment horizontal="left" indent="1"/>
    </xf>
    <xf numFmtId="3" fontId="11" fillId="0" borderId="1" xfId="0" applyNumberFormat="1" applyFont="1" applyFill="1" applyBorder="1" applyAlignment="1">
      <alignment horizontal="right" indent="1"/>
    </xf>
    <xf numFmtId="0" fontId="11" fillId="0" borderId="1" xfId="0" applyFont="1" applyBorder="1" applyAlignment="1">
      <alignment wrapText="1"/>
    </xf>
    <xf numFmtId="3" fontId="13" fillId="0" borderId="1" xfId="0" applyNumberFormat="1" applyFont="1" applyBorder="1" applyAlignment="1">
      <alignment horizontal="right"/>
    </xf>
    <xf numFmtId="41" fontId="11" fillId="0" borderId="1" xfId="0" applyNumberFormat="1" applyFont="1" applyBorder="1" applyAlignment="1">
      <alignment horizontal="right"/>
    </xf>
    <xf numFmtId="41" fontId="13" fillId="0" borderId="1" xfId="0" applyNumberFormat="1" applyFont="1" applyBorder="1" applyAlignment="1">
      <alignment horizontal="right"/>
    </xf>
    <xf numFmtId="41" fontId="11" fillId="0" borderId="1" xfId="0" applyNumberFormat="1" applyFont="1" applyFill="1" applyBorder="1" applyAlignment="1">
      <alignment horizontal="right" indent="1"/>
    </xf>
    <xf numFmtId="0" fontId="16" fillId="0" borderId="1" xfId="4" quotePrefix="1" applyFont="1" applyBorder="1" applyAlignment="1">
      <alignment horizontal="right" wrapText="1"/>
    </xf>
    <xf numFmtId="0" fontId="11" fillId="0" borderId="1" xfId="0" applyFont="1" applyBorder="1" applyAlignment="1">
      <alignment horizontal="left" indent="1"/>
    </xf>
    <xf numFmtId="0" fontId="11" fillId="0" borderId="1" xfId="0" applyFont="1" applyBorder="1" applyAlignment="1">
      <alignment horizontal="right" indent="1"/>
    </xf>
    <xf numFmtId="0" fontId="11" fillId="0" borderId="1" xfId="0" applyNumberFormat="1" applyFont="1" applyBorder="1" applyAlignment="1">
      <alignment horizontal="left"/>
    </xf>
    <xf numFmtId="0" fontId="11" fillId="0" borderId="1" xfId="0" applyNumberFormat="1" applyFont="1" applyBorder="1" applyAlignment="1">
      <alignment horizontal="right"/>
    </xf>
    <xf numFmtId="3" fontId="11" fillId="3" borderId="1" xfId="0" applyNumberFormat="1" applyFont="1" applyFill="1" applyBorder="1" applyAlignment="1">
      <alignment horizontal="right"/>
    </xf>
    <xf numFmtId="37" fontId="11" fillId="0" borderId="1" xfId="0" applyNumberFormat="1" applyFont="1" applyFill="1" applyBorder="1"/>
    <xf numFmtId="37" fontId="11" fillId="0" borderId="1" xfId="0" applyNumberFormat="1" applyFont="1" applyFill="1" applyBorder="1" applyAlignment="1">
      <alignment horizontal="right"/>
    </xf>
    <xf numFmtId="0" fontId="11" fillId="0" borderId="1" xfId="0" quotePrefix="1" applyFont="1" applyFill="1" applyBorder="1" applyAlignment="1">
      <alignment horizontal="left"/>
    </xf>
    <xf numFmtId="0" fontId="11" fillId="0" borderId="1" xfId="0" applyFont="1" applyFill="1" applyBorder="1" applyAlignment="1">
      <alignment horizontal="right"/>
    </xf>
    <xf numFmtId="0" fontId="13" fillId="0" borderId="1" xfId="0" applyFont="1" applyFill="1" applyBorder="1"/>
    <xf numFmtId="164" fontId="13" fillId="3" borderId="1" xfId="1" applyNumberFormat="1" applyFont="1" applyFill="1" applyBorder="1"/>
    <xf numFmtId="164" fontId="11" fillId="3" borderId="1" xfId="1" applyNumberFormat="1" applyFont="1" applyFill="1" applyBorder="1" applyAlignment="1">
      <alignment wrapText="1"/>
    </xf>
    <xf numFmtId="9" fontId="11" fillId="0" borderId="1" xfId="3" applyFont="1" applyFill="1" applyBorder="1"/>
    <xf numFmtId="0" fontId="11" fillId="0" borderId="0" xfId="0" applyFont="1" applyBorder="1" applyAlignment="1">
      <alignment horizontal="left"/>
    </xf>
    <xf numFmtId="164" fontId="11" fillId="0" borderId="0" xfId="1" applyNumberFormat="1" applyFont="1" applyBorder="1"/>
    <xf numFmtId="0" fontId="11" fillId="0" borderId="0" xfId="0" applyFont="1" applyBorder="1" applyAlignment="1">
      <alignment horizontal="right"/>
    </xf>
    <xf numFmtId="0" fontId="13" fillId="0" borderId="0" xfId="0" applyFont="1"/>
    <xf numFmtId="0" fontId="11" fillId="0" borderId="0" xfId="0" applyFont="1"/>
    <xf numFmtId="0" fontId="12" fillId="0" borderId="0" xfId="0" applyFont="1"/>
    <xf numFmtId="0" fontId="24" fillId="0" borderId="0" xfId="0" applyFont="1" applyAlignment="1">
      <alignment horizontal="right" vertical="top"/>
    </xf>
    <xf numFmtId="0" fontId="13" fillId="0" borderId="0" xfId="0" applyFont="1" applyAlignment="1">
      <alignment horizontal="right"/>
    </xf>
    <xf numFmtId="0" fontId="14" fillId="0" borderId="0" xfId="0" applyFont="1"/>
    <xf numFmtId="0" fontId="13" fillId="0" borderId="5" xfId="0" applyFont="1" applyBorder="1" applyAlignment="1">
      <alignment wrapText="1"/>
    </xf>
    <xf numFmtId="0" fontId="11" fillId="2" borderId="9" xfId="0" applyFont="1" applyFill="1" applyBorder="1" applyAlignment="1">
      <alignment horizontal="center" wrapText="1"/>
    </xf>
    <xf numFmtId="0" fontId="11" fillId="2" borderId="10" xfId="0" applyFont="1" applyFill="1" applyBorder="1" applyAlignment="1">
      <alignment horizontal="center" wrapText="1"/>
    </xf>
    <xf numFmtId="0" fontId="11" fillId="2" borderId="11" xfId="0"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horizontal="center" wrapText="1"/>
    </xf>
    <xf numFmtId="0" fontId="16" fillId="0" borderId="15" xfId="4" applyFont="1" applyBorder="1" applyAlignment="1">
      <alignment horizontal="left" wrapText="1" indent="1"/>
    </xf>
    <xf numFmtId="165" fontId="11" fillId="0" borderId="16" xfId="2" applyNumberFormat="1" applyFont="1" applyBorder="1" applyAlignment="1"/>
    <xf numFmtId="165" fontId="11" fillId="0" borderId="1" xfId="2" applyNumberFormat="1" applyFont="1" applyBorder="1" applyAlignment="1"/>
    <xf numFmtId="165" fontId="11" fillId="0" borderId="17" xfId="2" applyNumberFormat="1" applyFont="1" applyBorder="1" applyAlignment="1"/>
    <xf numFmtId="165" fontId="11" fillId="0" borderId="18" xfId="2" applyNumberFormat="1" applyFont="1" applyBorder="1" applyAlignment="1"/>
    <xf numFmtId="10" fontId="11" fillId="0" borderId="1" xfId="3" applyNumberFormat="1" applyFont="1" applyBorder="1" applyAlignment="1"/>
    <xf numFmtId="10" fontId="11" fillId="0" borderId="19" xfId="3" applyNumberFormat="1" applyFont="1" applyBorder="1" applyAlignment="1"/>
    <xf numFmtId="41" fontId="11" fillId="0" borderId="18" xfId="2" applyNumberFormat="1" applyFont="1" applyBorder="1" applyAlignment="1"/>
    <xf numFmtId="41" fontId="11" fillId="0" borderId="1" xfId="2" applyNumberFormat="1" applyFont="1" applyBorder="1" applyAlignment="1"/>
    <xf numFmtId="41" fontId="11" fillId="0" borderId="17" xfId="2" applyNumberFormat="1" applyFont="1" applyBorder="1" applyAlignment="1"/>
    <xf numFmtId="41" fontId="16" fillId="0" borderId="18" xfId="2" applyNumberFormat="1" applyFont="1" applyBorder="1" applyAlignment="1">
      <alignment horizontal="left"/>
    </xf>
    <xf numFmtId="41" fontId="16" fillId="0" borderId="1" xfId="2" applyNumberFormat="1" applyFont="1" applyBorder="1" applyAlignment="1">
      <alignment horizontal="left"/>
    </xf>
    <xf numFmtId="41" fontId="11" fillId="0" borderId="3" xfId="2" applyNumberFormat="1" applyFont="1" applyBorder="1" applyAlignment="1"/>
    <xf numFmtId="0" fontId="16" fillId="0" borderId="15" xfId="4" quotePrefix="1" applyFont="1" applyBorder="1" applyAlignment="1">
      <alignment horizontal="left" wrapText="1" indent="1"/>
    </xf>
    <xf numFmtId="41" fontId="16" fillId="0" borderId="18" xfId="2" quotePrefix="1" applyNumberFormat="1" applyFont="1" applyBorder="1" applyAlignment="1">
      <alignment horizontal="left"/>
    </xf>
    <xf numFmtId="41" fontId="16" fillId="0" borderId="1" xfId="2" quotePrefix="1" applyNumberFormat="1" applyFont="1" applyBorder="1" applyAlignment="1">
      <alignment horizontal="left"/>
    </xf>
    <xf numFmtId="0" fontId="25" fillId="3" borderId="20" xfId="4" applyFont="1" applyFill="1" applyBorder="1" applyAlignment="1">
      <alignment horizontal="right" wrapText="1"/>
    </xf>
    <xf numFmtId="165" fontId="11" fillId="3" borderId="21" xfId="2" applyNumberFormat="1" applyFont="1" applyFill="1" applyBorder="1" applyAlignment="1"/>
    <xf numFmtId="165" fontId="11" fillId="3" borderId="22" xfId="2" applyNumberFormat="1" applyFont="1" applyFill="1" applyBorder="1" applyAlignment="1"/>
    <xf numFmtId="165" fontId="11" fillId="3" borderId="23" xfId="2" applyNumberFormat="1" applyFont="1" applyFill="1" applyBorder="1" applyAlignment="1"/>
    <xf numFmtId="10" fontId="11" fillId="3" borderId="22" xfId="3" applyNumberFormat="1" applyFont="1" applyFill="1" applyBorder="1" applyAlignment="1"/>
    <xf numFmtId="165" fontId="11" fillId="3" borderId="24" xfId="2" applyNumberFormat="1" applyFont="1" applyFill="1" applyBorder="1" applyAlignment="1"/>
    <xf numFmtId="10" fontId="11" fillId="3" borderId="25" xfId="3" applyNumberFormat="1" applyFont="1" applyFill="1" applyBorder="1" applyAlignment="1"/>
    <xf numFmtId="165" fontId="16" fillId="0" borderId="18" xfId="2" applyNumberFormat="1" applyFont="1" applyBorder="1" applyAlignment="1">
      <alignment horizontal="left"/>
    </xf>
    <xf numFmtId="165" fontId="16" fillId="0" borderId="1" xfId="2" applyNumberFormat="1" applyFont="1" applyBorder="1" applyAlignment="1">
      <alignment horizontal="left"/>
    </xf>
    <xf numFmtId="0" fontId="25" fillId="3" borderId="15" xfId="4" quotePrefix="1" applyFont="1" applyFill="1" applyBorder="1" applyAlignment="1">
      <alignment horizontal="left" wrapText="1"/>
    </xf>
    <xf numFmtId="41" fontId="11" fillId="3" borderId="18" xfId="2" applyNumberFormat="1" applyFont="1" applyFill="1" applyBorder="1" applyAlignment="1"/>
    <xf numFmtId="41" fontId="11" fillId="3" borderId="1" xfId="2" applyNumberFormat="1" applyFont="1" applyFill="1" applyBorder="1" applyAlignment="1"/>
    <xf numFmtId="41" fontId="11" fillId="3" borderId="17" xfId="2" applyNumberFormat="1" applyFont="1" applyFill="1" applyBorder="1" applyAlignment="1"/>
    <xf numFmtId="10" fontId="11" fillId="3" borderId="1" xfId="3" applyNumberFormat="1" applyFont="1" applyFill="1" applyBorder="1" applyAlignment="1"/>
    <xf numFmtId="10" fontId="11" fillId="3" borderId="19" xfId="3" applyNumberFormat="1" applyFont="1" applyFill="1" applyBorder="1" applyAlignment="1"/>
    <xf numFmtId="41" fontId="16" fillId="3" borderId="18" xfId="2" quotePrefix="1" applyNumberFormat="1" applyFont="1" applyFill="1" applyBorder="1" applyAlignment="1">
      <alignment horizontal="left"/>
    </xf>
    <xf numFmtId="41" fontId="16" fillId="3" borderId="1" xfId="2" quotePrefix="1" applyNumberFormat="1" applyFont="1" applyFill="1" applyBorder="1" applyAlignment="1">
      <alignment horizontal="left"/>
    </xf>
    <xf numFmtId="0" fontId="16" fillId="0" borderId="15" xfId="4" quotePrefix="1" applyFont="1" applyFill="1" applyBorder="1" applyAlignment="1">
      <alignment horizontal="left" wrapText="1" indent="1"/>
    </xf>
    <xf numFmtId="0" fontId="25" fillId="3" borderId="15" xfId="4" applyFont="1" applyFill="1" applyBorder="1" applyAlignment="1">
      <alignment horizontal="left" wrapText="1"/>
    </xf>
    <xf numFmtId="41" fontId="16" fillId="3" borderId="18" xfId="2" applyNumberFormat="1" applyFont="1" applyFill="1" applyBorder="1" applyAlignment="1">
      <alignment horizontal="left"/>
    </xf>
    <xf numFmtId="41" fontId="16" fillId="3" borderId="1" xfId="2" applyNumberFormat="1" applyFont="1" applyFill="1" applyBorder="1" applyAlignment="1">
      <alignment horizontal="left"/>
    </xf>
    <xf numFmtId="165" fontId="16" fillId="3" borderId="21" xfId="2" applyNumberFormat="1" applyFont="1" applyFill="1" applyBorder="1" applyAlignment="1">
      <alignment horizontal="right"/>
    </xf>
    <xf numFmtId="165" fontId="16" fillId="3" borderId="22" xfId="2" applyNumberFormat="1" applyFont="1" applyFill="1" applyBorder="1" applyAlignment="1">
      <alignment horizontal="right"/>
    </xf>
    <xf numFmtId="165" fontId="11" fillId="0" borderId="0" xfId="0" applyNumberFormat="1" applyFont="1"/>
    <xf numFmtId="164" fontId="11" fillId="3" borderId="17" xfId="1" applyNumberFormat="1" applyFont="1" applyFill="1" applyBorder="1" applyAlignment="1"/>
    <xf numFmtId="0" fontId="25" fillId="0" borderId="15" xfId="4" applyFont="1" applyBorder="1" applyAlignment="1">
      <alignment horizontal="left" wrapText="1"/>
    </xf>
    <xf numFmtId="0" fontId="11" fillId="0" borderId="0" xfId="0" quotePrefix="1" applyFont="1"/>
    <xf numFmtId="41" fontId="11" fillId="0" borderId="0" xfId="0" applyNumberFormat="1" applyFont="1"/>
    <xf numFmtId="41" fontId="11" fillId="0" borderId="0" xfId="0" quotePrefix="1" applyNumberFormat="1" applyFont="1"/>
    <xf numFmtId="165" fontId="11" fillId="3" borderId="17" xfId="2" applyNumberFormat="1" applyFont="1" applyFill="1" applyBorder="1" applyAlignment="1"/>
    <xf numFmtId="0" fontId="17" fillId="0" borderId="0" xfId="6" applyFont="1"/>
    <xf numFmtId="0" fontId="0" fillId="0" borderId="0" xfId="0" applyNumberFormat="1"/>
    <xf numFmtId="0" fontId="13" fillId="2" borderId="1" xfId="1" applyNumberFormat="1" applyFont="1" applyFill="1" applyBorder="1" applyAlignment="1">
      <alignment horizontal="center"/>
    </xf>
    <xf numFmtId="0" fontId="0" fillId="0" borderId="0" xfId="0" applyNumberFormat="1" applyFill="1"/>
    <xf numFmtId="0" fontId="11" fillId="0" borderId="0" xfId="0" applyFont="1" applyFill="1"/>
    <xf numFmtId="0" fontId="11" fillId="0" borderId="0" xfId="0" applyFont="1" applyBorder="1" applyAlignment="1">
      <alignment horizontal="left" wrapText="1"/>
    </xf>
    <xf numFmtId="41" fontId="16" fillId="0" borderId="0" xfId="2" applyNumberFormat="1" applyFont="1" applyBorder="1" applyAlignment="1">
      <alignment horizontal="left"/>
    </xf>
    <xf numFmtId="0" fontId="11" fillId="0" borderId="0" xfId="0" applyFont="1" applyFill="1" applyBorder="1" applyAlignment="1">
      <alignment wrapText="1"/>
    </xf>
    <xf numFmtId="0" fontId="11" fillId="0" borderId="0" xfId="0" applyFont="1" applyAlignment="1">
      <alignment wrapText="1"/>
    </xf>
    <xf numFmtId="0" fontId="11" fillId="0" borderId="1" xfId="0" applyFont="1" applyFill="1" applyBorder="1" applyAlignment="1">
      <alignment horizontal="right" wrapText="1"/>
    </xf>
    <xf numFmtId="164" fontId="16" fillId="0" borderId="1" xfId="2" applyNumberFormat="1" applyFont="1" applyBorder="1" applyAlignment="1">
      <alignment horizontal="left"/>
    </xf>
    <xf numFmtId="0" fontId="26" fillId="0" borderId="0" xfId="0" applyFont="1"/>
    <xf numFmtId="0" fontId="26" fillId="0" borderId="0" xfId="0" applyFont="1" applyBorder="1"/>
    <xf numFmtId="41" fontId="0" fillId="0" borderId="0" xfId="0" applyNumberFormat="1" applyAlignment="1">
      <alignment horizontal="center"/>
    </xf>
    <xf numFmtId="0" fontId="26" fillId="0" borderId="1" xfId="0" applyFont="1" applyBorder="1" applyAlignment="1">
      <alignment horizontal="center"/>
    </xf>
    <xf numFmtId="0" fontId="26" fillId="0" borderId="0" xfId="0" applyFont="1" applyBorder="1" applyAlignment="1">
      <alignment horizontal="center"/>
    </xf>
    <xf numFmtId="0" fontId="0" fillId="0" borderId="26" xfId="0" applyBorder="1" applyAlignment="1">
      <alignment horizontal="center"/>
    </xf>
    <xf numFmtId="0" fontId="26" fillId="0" borderId="27" xfId="0" applyFont="1" applyBorder="1" applyAlignment="1">
      <alignment horizontal="center"/>
    </xf>
    <xf numFmtId="0" fontId="28" fillId="0" borderId="0" xfId="7" applyNumberFormat="1" applyFont="1" applyFill="1" applyBorder="1" applyAlignment="1" applyProtection="1">
      <alignment horizontal="center"/>
    </xf>
    <xf numFmtId="49" fontId="17" fillId="0" borderId="0" xfId="7" applyNumberFormat="1" applyFont="1" applyFill="1" applyBorder="1" applyAlignment="1" applyProtection="1">
      <alignment horizontal="center" wrapText="1"/>
    </xf>
    <xf numFmtId="9" fontId="16" fillId="0" borderId="0" xfId="3" applyNumberFormat="1" applyFont="1" applyBorder="1" applyAlignment="1">
      <alignment horizontal="center"/>
    </xf>
    <xf numFmtId="0" fontId="29" fillId="4" borderId="28" xfId="8" applyNumberFormat="1" applyFont="1" applyFill="1" applyBorder="1" applyAlignment="1" applyProtection="1">
      <alignment horizontal="left" wrapText="1"/>
      <protection locked="0"/>
    </xf>
    <xf numFmtId="0" fontId="29" fillId="4" borderId="28" xfId="8" applyNumberFormat="1" applyFont="1" applyFill="1" applyBorder="1" applyAlignment="1" applyProtection="1">
      <alignment horizontal="center"/>
      <protection locked="0"/>
    </xf>
    <xf numFmtId="0" fontId="26" fillId="0" borderId="0" xfId="0" applyFont="1" applyAlignment="1">
      <alignment horizontal="center"/>
    </xf>
    <xf numFmtId="41" fontId="26" fillId="0" borderId="0" xfId="0" applyNumberFormat="1" applyFont="1" applyAlignment="1">
      <alignment horizontal="center"/>
    </xf>
    <xf numFmtId="37" fontId="17" fillId="5" borderId="28" xfId="9" applyFont="1" applyFill="1" applyBorder="1" applyAlignment="1">
      <alignment horizontal="center" wrapText="1"/>
    </xf>
    <xf numFmtId="49" fontId="17" fillId="5" borderId="28" xfId="7" applyNumberFormat="1" applyFont="1" applyFill="1" applyBorder="1" applyAlignment="1" applyProtection="1">
      <alignment horizontal="center" wrapText="1"/>
    </xf>
    <xf numFmtId="0" fontId="0" fillId="0" borderId="1" xfId="0" applyBorder="1" applyAlignment="1">
      <alignment horizontal="center" wrapText="1"/>
    </xf>
    <xf numFmtId="164" fontId="17" fillId="0" borderId="1" xfId="10" applyNumberFormat="1" applyFont="1" applyFill="1" applyBorder="1" applyAlignment="1">
      <alignment horizontal="center" wrapText="1"/>
    </xf>
    <xf numFmtId="41" fontId="0" fillId="0" borderId="1" xfId="0" applyNumberFormat="1" applyFill="1" applyBorder="1" applyAlignment="1">
      <alignment horizontal="center" wrapText="1"/>
    </xf>
    <xf numFmtId="164" fontId="31" fillId="0" borderId="26" xfId="10" applyNumberFormat="1" applyFont="1" applyFill="1" applyBorder="1" applyAlignment="1">
      <alignment horizontal="center" wrapText="1"/>
    </xf>
    <xf numFmtId="41" fontId="0" fillId="0" borderId="0" xfId="0" applyNumberFormat="1"/>
    <xf numFmtId="0" fontId="0" fillId="0" borderId="30" xfId="0" applyBorder="1"/>
    <xf numFmtId="37" fontId="17" fillId="6" borderId="0" xfId="11" applyFont="1" applyFill="1" applyBorder="1" applyAlignment="1" applyProtection="1">
      <protection locked="0"/>
    </xf>
    <xf numFmtId="49" fontId="17" fillId="6" borderId="0" xfId="11" applyNumberFormat="1" applyFont="1" applyFill="1" applyBorder="1" applyAlignment="1" applyProtection="1">
      <alignment horizontal="center"/>
      <protection locked="0"/>
    </xf>
    <xf numFmtId="41" fontId="0" fillId="0" borderId="30" xfId="0" applyNumberFormat="1" applyBorder="1"/>
    <xf numFmtId="166" fontId="32" fillId="6" borderId="0" xfId="11" applyNumberFormat="1" applyFont="1" applyFill="1" applyBorder="1" applyAlignment="1" applyProtection="1">
      <alignment horizontal="right"/>
      <protection locked="0"/>
    </xf>
    <xf numFmtId="37" fontId="17" fillId="6" borderId="0" xfId="11" applyFont="1" applyFill="1" applyBorder="1" applyAlignment="1" applyProtection="1">
      <alignment horizontal="right"/>
      <protection locked="0"/>
    </xf>
    <xf numFmtId="37" fontId="31" fillId="6" borderId="0" xfId="11" applyFont="1" applyFill="1" applyBorder="1" applyAlignment="1" applyProtection="1">
      <alignment horizontal="right"/>
      <protection locked="0"/>
    </xf>
    <xf numFmtId="41" fontId="0" fillId="0" borderId="0" xfId="0" applyNumberFormat="1" applyBorder="1"/>
    <xf numFmtId="166" fontId="31" fillId="6" borderId="0" xfId="11" applyNumberFormat="1" applyFont="1" applyFill="1" applyBorder="1" applyAlignment="1" applyProtection="1">
      <alignment horizontal="right"/>
      <protection locked="0"/>
    </xf>
    <xf numFmtId="41" fontId="16" fillId="7" borderId="26" xfId="2" applyNumberFormat="1" applyFont="1" applyFill="1" applyBorder="1" applyAlignment="1">
      <alignment horizontal="left"/>
    </xf>
    <xf numFmtId="41" fontId="16" fillId="7" borderId="31" xfId="2" applyNumberFormat="1" applyFont="1" applyFill="1" applyBorder="1" applyAlignment="1">
      <alignment horizontal="left"/>
    </xf>
    <xf numFmtId="0" fontId="0" fillId="7" borderId="31" xfId="0" applyFill="1" applyBorder="1"/>
    <xf numFmtId="49" fontId="17" fillId="6" borderId="0" xfId="12" applyNumberFormat="1" applyFont="1" applyFill="1" applyBorder="1" applyAlignment="1" applyProtection="1">
      <alignment horizontal="left"/>
      <protection locked="0"/>
    </xf>
    <xf numFmtId="49" fontId="17" fillId="6" borderId="0" xfId="12" applyNumberFormat="1" applyFont="1" applyFill="1" applyBorder="1" applyAlignment="1" applyProtection="1">
      <alignment horizontal="center"/>
      <protection locked="0"/>
    </xf>
    <xf numFmtId="41" fontId="16" fillId="7" borderId="27" xfId="2" applyNumberFormat="1" applyFont="1" applyFill="1" applyBorder="1" applyAlignment="1">
      <alignment horizontal="left"/>
    </xf>
    <xf numFmtId="41" fontId="16" fillId="0" borderId="0" xfId="2" applyNumberFormat="1" applyFont="1" applyFill="1" applyBorder="1" applyAlignment="1">
      <alignment horizontal="left"/>
    </xf>
    <xf numFmtId="0" fontId="0" fillId="0" borderId="0" xfId="0" applyFill="1"/>
    <xf numFmtId="41" fontId="0" fillId="0" borderId="0" xfId="0" applyNumberFormat="1" applyFill="1"/>
    <xf numFmtId="3" fontId="17" fillId="6" borderId="0" xfId="13" applyFont="1" applyFill="1" applyBorder="1" applyAlignment="1" applyProtection="1">
      <protection locked="0"/>
    </xf>
    <xf numFmtId="49" fontId="17" fillId="6" borderId="0" xfId="13" applyNumberFormat="1" applyFont="1" applyFill="1" applyBorder="1" applyAlignment="1" applyProtection="1">
      <alignment horizontal="center"/>
      <protection locked="0"/>
    </xf>
    <xf numFmtId="3" fontId="17" fillId="8" borderId="0" xfId="13" applyFont="1" applyFill="1" applyBorder="1" applyAlignment="1" applyProtection="1">
      <protection locked="0"/>
    </xf>
    <xf numFmtId="3" fontId="17" fillId="9" borderId="0" xfId="13" applyFont="1" applyFill="1" applyBorder="1" applyAlignment="1" applyProtection="1">
      <protection locked="0"/>
    </xf>
    <xf numFmtId="49" fontId="17" fillId="10" borderId="0" xfId="12" applyNumberFormat="1" applyFont="1" applyFill="1" applyBorder="1" applyAlignment="1" applyProtection="1">
      <alignment horizontal="left"/>
      <protection locked="0"/>
    </xf>
    <xf numFmtId="3" fontId="17" fillId="11" borderId="0" xfId="13" applyFont="1" applyFill="1" applyBorder="1" applyAlignment="1" applyProtection="1">
      <protection locked="0"/>
    </xf>
    <xf numFmtId="37" fontId="17" fillId="10" borderId="0" xfId="11" applyFont="1" applyFill="1" applyBorder="1" applyAlignment="1" applyProtection="1">
      <protection locked="0"/>
    </xf>
    <xf numFmtId="49" fontId="17" fillId="10" borderId="0" xfId="13" applyNumberFormat="1" applyFont="1" applyFill="1" applyBorder="1" applyAlignment="1" applyProtection="1">
      <alignment horizontal="left"/>
      <protection locked="0"/>
    </xf>
    <xf numFmtId="3" fontId="17" fillId="9" borderId="0" xfId="13" applyFont="1" applyFill="1" applyBorder="1" applyAlignment="1" applyProtection="1">
      <alignment horizontal="right"/>
      <protection locked="0"/>
    </xf>
    <xf numFmtId="49" fontId="17" fillId="6" borderId="0" xfId="11" applyNumberFormat="1" applyFont="1" applyFill="1" applyBorder="1" applyAlignment="1" applyProtection="1">
      <protection locked="0"/>
    </xf>
    <xf numFmtId="3" fontId="17" fillId="8" borderId="0" xfId="13" applyFont="1" applyFill="1" applyBorder="1" applyAlignment="1" applyProtection="1">
      <alignment horizontal="right"/>
      <protection locked="0"/>
    </xf>
    <xf numFmtId="3" fontId="17" fillId="11" borderId="0" xfId="13" applyFont="1" applyFill="1" applyBorder="1" applyAlignment="1" applyProtection="1">
      <alignment horizontal="right"/>
      <protection locked="0"/>
    </xf>
    <xf numFmtId="37" fontId="17" fillId="7" borderId="0" xfId="11" quotePrefix="1" applyFont="1" applyFill="1" applyBorder="1" applyAlignment="1" applyProtection="1">
      <protection locked="0"/>
    </xf>
    <xf numFmtId="37" fontId="17" fillId="7" borderId="0" xfId="11" quotePrefix="1" applyFont="1" applyFill="1" applyBorder="1" applyAlignment="1" applyProtection="1">
      <alignment horizontal="left"/>
      <protection locked="0"/>
    </xf>
    <xf numFmtId="49" fontId="17" fillId="6" borderId="0" xfId="7" applyNumberFormat="1" applyFont="1" applyFill="1" applyBorder="1" applyAlignment="1" applyProtection="1">
      <alignment horizontal="center" wrapText="1"/>
      <protection locked="0"/>
    </xf>
    <xf numFmtId="164" fontId="17" fillId="0" borderId="0" xfId="10" applyNumberFormat="1" applyFont="1" applyFill="1" applyBorder="1" applyAlignment="1">
      <alignment horizontal="center"/>
    </xf>
    <xf numFmtId="37" fontId="31" fillId="6" borderId="0" xfId="11" applyFont="1" applyFill="1" applyBorder="1" applyAlignment="1" applyProtection="1">
      <protection locked="0"/>
    </xf>
    <xf numFmtId="49" fontId="17" fillId="6" borderId="0" xfId="7" applyNumberFormat="1" applyFont="1" applyFill="1" applyBorder="1" applyAlignment="1" applyProtection="1">
      <alignment horizontal="center"/>
      <protection locked="0"/>
    </xf>
    <xf numFmtId="37" fontId="31" fillId="12" borderId="0" xfId="11" applyFont="1" applyFill="1" applyBorder="1" applyAlignment="1" applyProtection="1">
      <alignment horizontal="right"/>
      <protection locked="0"/>
    </xf>
    <xf numFmtId="37" fontId="31" fillId="12" borderId="0" xfId="11" quotePrefix="1" applyFont="1" applyFill="1" applyBorder="1" applyAlignment="1" applyProtection="1">
      <alignment horizontal="right"/>
      <protection locked="0"/>
    </xf>
    <xf numFmtId="37" fontId="35" fillId="13" borderId="0" xfId="11" applyFont="1" applyFill="1" applyBorder="1" applyAlignment="1" applyProtection="1">
      <alignment horizontal="right"/>
      <protection locked="0"/>
    </xf>
    <xf numFmtId="41" fontId="0" fillId="0" borderId="27" xfId="0" applyNumberFormat="1" applyBorder="1"/>
    <xf numFmtId="37" fontId="32" fillId="6" borderId="0" xfId="11" applyFont="1" applyFill="1" applyBorder="1" applyAlignment="1" applyProtection="1">
      <alignment horizontal="right"/>
      <protection locked="0"/>
    </xf>
    <xf numFmtId="37" fontId="35" fillId="12" borderId="0" xfId="11" applyFont="1" applyFill="1" applyBorder="1" applyAlignment="1" applyProtection="1">
      <alignment horizontal="right"/>
      <protection locked="0"/>
    </xf>
    <xf numFmtId="37" fontId="32" fillId="6" borderId="0" xfId="11" applyFont="1" applyFill="1" applyBorder="1" applyAlignment="1" applyProtection="1">
      <alignment horizontal="left"/>
      <protection locked="0"/>
    </xf>
    <xf numFmtId="37" fontId="36" fillId="12" borderId="0" xfId="11" applyFont="1" applyFill="1" applyBorder="1" applyAlignment="1" applyProtection="1">
      <alignment horizontal="right"/>
      <protection locked="0"/>
    </xf>
    <xf numFmtId="37" fontId="31" fillId="12" borderId="0" xfId="14" applyFont="1" applyFill="1" applyBorder="1" applyAlignment="1" applyProtection="1">
      <alignment horizontal="right"/>
      <protection locked="0"/>
    </xf>
    <xf numFmtId="0" fontId="0" fillId="0" borderId="1" xfId="0" applyBorder="1"/>
    <xf numFmtId="0" fontId="0" fillId="0" borderId="28" xfId="0" applyBorder="1"/>
    <xf numFmtId="41" fontId="0" fillId="0" borderId="28" xfId="0" applyNumberFormat="1" applyBorder="1"/>
    <xf numFmtId="0" fontId="0" fillId="0" borderId="32" xfId="0" applyBorder="1"/>
    <xf numFmtId="0" fontId="26" fillId="0" borderId="0" xfId="0" applyFont="1" applyFill="1"/>
    <xf numFmtId="41" fontId="26" fillId="0" borderId="0" xfId="0" applyNumberFormat="1" applyFont="1" applyFill="1"/>
    <xf numFmtId="41" fontId="0" fillId="0" borderId="0" xfId="0" applyNumberFormat="1" applyFill="1" applyBorder="1"/>
    <xf numFmtId="0" fontId="0" fillId="0" borderId="0" xfId="0" applyFill="1" applyBorder="1"/>
    <xf numFmtId="164" fontId="17" fillId="0" borderId="0" xfId="10" applyNumberFormat="1" applyFont="1" applyFill="1"/>
    <xf numFmtId="0" fontId="0" fillId="0" borderId="26" xfId="0" applyFill="1" applyBorder="1" applyAlignment="1">
      <alignment horizontal="center"/>
    </xf>
    <xf numFmtId="41" fontId="0" fillId="0" borderId="27" xfId="0" applyNumberFormat="1" applyFill="1" applyBorder="1"/>
    <xf numFmtId="41" fontId="16" fillId="0" borderId="28" xfId="2" applyNumberFormat="1" applyFont="1" applyFill="1" applyBorder="1" applyAlignment="1">
      <alignment horizontal="left"/>
    </xf>
    <xf numFmtId="41" fontId="26" fillId="0" borderId="0" xfId="0" applyNumberFormat="1" applyFont="1" applyFill="1" applyBorder="1"/>
    <xf numFmtId="41" fontId="0" fillId="0" borderId="0" xfId="0" applyNumberFormat="1" applyFill="1" applyAlignment="1">
      <alignment horizontal="center"/>
    </xf>
    <xf numFmtId="0" fontId="0" fillId="0" borderId="0" xfId="0" applyAlignment="1">
      <alignment horizontal="center"/>
    </xf>
    <xf numFmtId="0" fontId="0" fillId="14" borderId="0" xfId="0" applyFill="1" applyAlignment="1">
      <alignment horizontal="center"/>
    </xf>
    <xf numFmtId="0" fontId="0" fillId="0" borderId="0" xfId="0" applyFont="1"/>
    <xf numFmtId="0" fontId="13" fillId="0" borderId="1" xfId="0" applyFont="1" applyFill="1" applyBorder="1" applyAlignment="1">
      <alignment horizontal="center"/>
    </xf>
    <xf numFmtId="0" fontId="13" fillId="0" borderId="1" xfId="1" applyNumberFormat="1" applyFont="1" applyFill="1" applyBorder="1" applyAlignment="1">
      <alignment horizontal="center"/>
    </xf>
    <xf numFmtId="0" fontId="13" fillId="0" borderId="1" xfId="0" applyFont="1" applyFill="1" applyBorder="1" applyAlignment="1">
      <alignment wrapText="1"/>
    </xf>
    <xf numFmtId="164" fontId="0" fillId="0" borderId="0" xfId="0" applyNumberFormat="1"/>
    <xf numFmtId="0" fontId="0" fillId="0" borderId="1" xfId="0" applyFont="1" applyBorder="1"/>
    <xf numFmtId="0" fontId="0" fillId="0" borderId="1" xfId="0" applyFont="1" applyBorder="1" applyAlignment="1">
      <alignment horizontal="left"/>
    </xf>
    <xf numFmtId="41" fontId="16" fillId="0" borderId="1" xfId="2" applyNumberFormat="1" applyFont="1" applyFill="1" applyBorder="1" applyAlignment="1">
      <alignment horizontal="left"/>
    </xf>
    <xf numFmtId="0" fontId="13" fillId="0" borderId="1" xfId="0" applyFont="1" applyFill="1" applyBorder="1" applyAlignment="1">
      <alignment horizontal="left"/>
    </xf>
    <xf numFmtId="41" fontId="0" fillId="0" borderId="1" xfId="0" applyNumberFormat="1" applyFont="1" applyBorder="1" applyAlignment="1">
      <alignment horizontal="right"/>
    </xf>
    <xf numFmtId="164" fontId="0" fillId="0" borderId="1" xfId="1" applyNumberFormat="1" applyFont="1" applyBorder="1"/>
    <xf numFmtId="0" fontId="13" fillId="0" borderId="0" xfId="0" applyFont="1" applyBorder="1"/>
    <xf numFmtId="3" fontId="13" fillId="0" borderId="1" xfId="0" applyNumberFormat="1" applyFont="1" applyFill="1" applyBorder="1" applyAlignment="1">
      <alignment horizontal="right"/>
    </xf>
    <xf numFmtId="37" fontId="17" fillId="0" borderId="0" xfId="9" applyFont="1" applyFill="1" applyBorder="1" applyAlignment="1">
      <alignment horizontal="center" wrapText="1"/>
    </xf>
    <xf numFmtId="0" fontId="0" fillId="13" borderId="0" xfId="0" applyFill="1"/>
    <xf numFmtId="41" fontId="0" fillId="13" borderId="0" xfId="0" applyNumberFormat="1" applyFill="1"/>
    <xf numFmtId="0" fontId="0" fillId="13" borderId="30" xfId="0" applyFill="1" applyBorder="1"/>
    <xf numFmtId="41" fontId="16" fillId="13" borderId="0" xfId="2" applyNumberFormat="1" applyFont="1" applyFill="1" applyBorder="1" applyAlignment="1">
      <alignment horizontal="left"/>
    </xf>
    <xf numFmtId="41" fontId="0" fillId="13" borderId="0" xfId="0" applyNumberFormat="1" applyFill="1" applyBorder="1"/>
    <xf numFmtId="41" fontId="16" fillId="15" borderId="0" xfId="2" applyNumberFormat="1" applyFont="1" applyFill="1" applyBorder="1" applyAlignment="1">
      <alignment horizontal="left"/>
    </xf>
    <xf numFmtId="164" fontId="17" fillId="0" borderId="0" xfId="10" applyNumberFormat="1" applyFont="1" applyFill="1" applyAlignment="1">
      <alignment horizontal="center"/>
    </xf>
    <xf numFmtId="164" fontId="17" fillId="0" borderId="28" xfId="10" applyNumberFormat="1" applyFont="1" applyFill="1" applyBorder="1" applyAlignment="1">
      <alignment horizontal="center"/>
    </xf>
    <xf numFmtId="0" fontId="13" fillId="0" borderId="4" xfId="0" applyFont="1" applyBorder="1"/>
    <xf numFmtId="0" fontId="13" fillId="0" borderId="3" xfId="0" applyFont="1" applyBorder="1"/>
    <xf numFmtId="41" fontId="13" fillId="0" borderId="30" xfId="0" applyNumberFormat="1" applyFont="1" applyBorder="1"/>
    <xf numFmtId="0" fontId="0" fillId="0" borderId="0" xfId="0" applyBorder="1"/>
    <xf numFmtId="0" fontId="0" fillId="0" borderId="1" xfId="0" applyFont="1" applyFill="1" applyBorder="1"/>
    <xf numFmtId="0" fontId="13" fillId="0" borderId="1" xfId="0" quotePrefix="1" applyFont="1" applyFill="1" applyBorder="1" applyAlignment="1">
      <alignment horizontal="left"/>
    </xf>
    <xf numFmtId="37" fontId="11" fillId="0" borderId="2" xfId="0" applyNumberFormat="1" applyFont="1" applyFill="1" applyBorder="1"/>
    <xf numFmtId="37" fontId="11" fillId="0" borderId="26" xfId="0" applyNumberFormat="1" applyFont="1" applyFill="1" applyBorder="1"/>
    <xf numFmtId="37" fontId="11" fillId="0" borderId="29" xfId="0" applyNumberFormat="1" applyFont="1" applyFill="1" applyBorder="1"/>
    <xf numFmtId="37" fontId="11" fillId="0" borderId="30" xfId="0" applyNumberFormat="1" applyFont="1" applyFill="1" applyBorder="1"/>
    <xf numFmtId="37" fontId="11" fillId="0" borderId="32" xfId="0" applyNumberFormat="1" applyFont="1" applyFill="1" applyBorder="1"/>
    <xf numFmtId="37" fontId="11" fillId="0" borderId="27" xfId="0" applyNumberFormat="1" applyFont="1" applyFill="1" applyBorder="1"/>
    <xf numFmtId="37" fontId="11" fillId="0" borderId="31" xfId="0" applyNumberFormat="1" applyFont="1" applyFill="1" applyBorder="1"/>
    <xf numFmtId="37" fontId="0" fillId="0" borderId="30" xfId="0" applyNumberFormat="1" applyFont="1" applyFill="1" applyBorder="1" applyAlignment="1">
      <alignment horizontal="center"/>
    </xf>
    <xf numFmtId="0" fontId="11" fillId="16" borderId="1" xfId="0" applyFont="1" applyFill="1" applyBorder="1" applyAlignment="1">
      <alignment horizontal="left"/>
    </xf>
    <xf numFmtId="0" fontId="0" fillId="16" borderId="1" xfId="0" applyFont="1" applyFill="1" applyBorder="1" applyAlignment="1">
      <alignment horizontal="left"/>
    </xf>
    <xf numFmtId="0" fontId="11" fillId="16" borderId="0" xfId="0" applyFont="1" applyFill="1" applyBorder="1" applyAlignment="1">
      <alignment horizontal="left"/>
    </xf>
    <xf numFmtId="0" fontId="0" fillId="16" borderId="0" xfId="0" applyFont="1" applyFill="1" applyBorder="1" applyAlignment="1">
      <alignment horizontal="left"/>
    </xf>
    <xf numFmtId="0" fontId="13" fillId="0" borderId="28" xfId="0" applyFont="1" applyBorder="1" applyAlignment="1">
      <alignment horizontal="center"/>
    </xf>
    <xf numFmtId="0" fontId="0" fillId="0" borderId="1" xfId="0" applyBorder="1" applyAlignment="1">
      <alignment horizontal="center"/>
    </xf>
    <xf numFmtId="41" fontId="13" fillId="0" borderId="0" xfId="0" applyNumberFormat="1" applyFont="1" applyBorder="1"/>
    <xf numFmtId="0" fontId="0" fillId="0" borderId="0" xfId="0" applyBorder="1" applyAlignment="1">
      <alignment horizontal="center"/>
    </xf>
    <xf numFmtId="0" fontId="13" fillId="0" borderId="1" xfId="0" applyFont="1" applyBorder="1" applyAlignment="1">
      <alignment wrapText="1"/>
    </xf>
    <xf numFmtId="3" fontId="0" fillId="0" borderId="1" xfId="0" applyNumberFormat="1" applyFont="1" applyBorder="1" applyAlignment="1">
      <alignment horizontal="right"/>
    </xf>
    <xf numFmtId="164" fontId="31" fillId="0" borderId="1" xfId="10" applyNumberFormat="1" applyFont="1" applyFill="1" applyBorder="1" applyAlignment="1">
      <alignment horizontal="center" wrapText="1"/>
    </xf>
    <xf numFmtId="0" fontId="13" fillId="0" borderId="1" xfId="0" applyFont="1" applyBorder="1" applyAlignment="1">
      <alignment horizontal="center"/>
    </xf>
    <xf numFmtId="0" fontId="15" fillId="0" borderId="1" xfId="0" applyFont="1" applyBorder="1" applyAlignment="1" applyProtection="1">
      <alignment vertical="top" wrapText="1"/>
      <protection locked="0"/>
    </xf>
    <xf numFmtId="0" fontId="39" fillId="0" borderId="1" xfId="0" applyFont="1" applyBorder="1" applyAlignment="1" applyProtection="1">
      <alignment vertical="top" wrapText="1"/>
      <protection locked="0"/>
    </xf>
    <xf numFmtId="0" fontId="39" fillId="16" borderId="1" xfId="0" applyFont="1" applyFill="1" applyBorder="1" applyAlignment="1" applyProtection="1">
      <alignment horizontal="left" vertical="top" wrapText="1"/>
    </xf>
    <xf numFmtId="0" fontId="39" fillId="0" borderId="1" xfId="0" applyFont="1" applyFill="1" applyBorder="1" applyAlignment="1" applyProtection="1">
      <alignment vertical="top" wrapText="1"/>
      <protection locked="0"/>
    </xf>
    <xf numFmtId="0" fontId="39" fillId="0" borderId="1" xfId="15" applyNumberFormat="1" applyFont="1" applyFill="1" applyBorder="1" applyAlignment="1" applyProtection="1">
      <alignment vertical="top" wrapText="1"/>
      <protection locked="0"/>
    </xf>
    <xf numFmtId="0" fontId="15" fillId="0" borderId="1" xfId="15" applyFont="1" applyFill="1" applyBorder="1" applyAlignment="1" applyProtection="1">
      <alignment vertical="top" wrapText="1"/>
      <protection locked="0"/>
    </xf>
    <xf numFmtId="0" fontId="41" fillId="0" borderId="1" xfId="0" applyFont="1" applyBorder="1" applyAlignment="1">
      <alignment vertical="top" wrapText="1"/>
    </xf>
    <xf numFmtId="0" fontId="0" fillId="0" borderId="0" xfId="0" applyAlignment="1">
      <alignment vertical="center"/>
    </xf>
    <xf numFmtId="0" fontId="15" fillId="0" borderId="0" xfId="0" applyFont="1" applyBorder="1" applyAlignment="1" applyProtection="1">
      <alignment vertical="top" wrapText="1"/>
      <protection locked="0"/>
    </xf>
    <xf numFmtId="0" fontId="17" fillId="0" borderId="0" xfId="16"/>
    <xf numFmtId="0" fontId="17" fillId="0" borderId="26" xfId="16" applyBorder="1"/>
    <xf numFmtId="0" fontId="17" fillId="0" borderId="31" xfId="16" applyBorder="1"/>
    <xf numFmtId="0" fontId="11" fillId="17" borderId="1" xfId="0" applyFont="1" applyFill="1" applyBorder="1" applyAlignment="1">
      <alignment horizontal="left"/>
    </xf>
    <xf numFmtId="0" fontId="0" fillId="17" borderId="1" xfId="0" applyFont="1" applyFill="1" applyBorder="1" applyAlignment="1">
      <alignment horizontal="left"/>
    </xf>
    <xf numFmtId="0" fontId="12" fillId="0" borderId="0" xfId="0" applyFont="1" applyAlignment="1">
      <alignment vertical="center"/>
    </xf>
    <xf numFmtId="41" fontId="12" fillId="0" borderId="0" xfId="0" applyNumberFormat="1" applyFont="1"/>
    <xf numFmtId="0" fontId="31" fillId="0" borderId="0" xfId="16" applyFont="1"/>
    <xf numFmtId="0" fontId="13" fillId="0" borderId="1" xfId="0" applyFont="1" applyBorder="1" applyAlignment="1">
      <alignment horizontal="center" wrapText="1"/>
    </xf>
    <xf numFmtId="0" fontId="39" fillId="0" borderId="0" xfId="0" applyFont="1" applyBorder="1" applyAlignment="1" applyProtection="1">
      <alignment vertical="top" wrapText="1"/>
      <protection locked="0"/>
    </xf>
    <xf numFmtId="0" fontId="0" fillId="0" borderId="0" xfId="0" applyBorder="1" applyAlignment="1">
      <alignment vertical="center"/>
    </xf>
    <xf numFmtId="0" fontId="15" fillId="0" borderId="1" xfId="0" applyNumberFormat="1" applyFont="1" applyBorder="1" applyAlignment="1" applyProtection="1">
      <alignment vertical="top" wrapText="1"/>
      <protection locked="0"/>
    </xf>
    <xf numFmtId="0" fontId="15" fillId="0" borderId="0" xfId="0" applyNumberFormat="1" applyFont="1" applyBorder="1" applyAlignment="1" applyProtection="1">
      <alignment vertical="top" wrapText="1"/>
      <protection locked="0"/>
    </xf>
    <xf numFmtId="41" fontId="0" fillId="0" borderId="37" xfId="0" applyNumberFormat="1" applyBorder="1"/>
    <xf numFmtId="41" fontId="0" fillId="0" borderId="38" xfId="0" applyNumberFormat="1" applyBorder="1"/>
    <xf numFmtId="0" fontId="0" fillId="0" borderId="0" xfId="0" applyFont="1" applyBorder="1"/>
    <xf numFmtId="0" fontId="0" fillId="0" borderId="1" xfId="0" applyFont="1" applyBorder="1" applyAlignment="1">
      <alignment horizontal="right"/>
    </xf>
    <xf numFmtId="41" fontId="13" fillId="0" borderId="1" xfId="0" applyNumberFormat="1" applyFont="1" applyBorder="1"/>
    <xf numFmtId="0" fontId="0" fillId="16" borderId="0" xfId="0" applyFill="1"/>
    <xf numFmtId="41" fontId="0" fillId="16" borderId="0" xfId="0" applyNumberFormat="1" applyFill="1"/>
    <xf numFmtId="0" fontId="13" fillId="0" borderId="0" xfId="0" applyFont="1" applyBorder="1" applyAlignment="1">
      <alignment horizontal="center"/>
    </xf>
    <xf numFmtId="0" fontId="0" fillId="0" borderId="28" xfId="0" applyBorder="1" applyAlignment="1">
      <alignment horizontal="center"/>
    </xf>
    <xf numFmtId="0" fontId="26" fillId="0" borderId="0" xfId="0" applyFont="1" applyFill="1" applyAlignment="1">
      <alignment horizontal="center"/>
    </xf>
    <xf numFmtId="0" fontId="0" fillId="0" borderId="0" xfId="0" applyFill="1" applyAlignment="1">
      <alignment horizontal="center"/>
    </xf>
    <xf numFmtId="0" fontId="0" fillId="13" borderId="0" xfId="0" applyFill="1" applyAlignment="1">
      <alignment horizontal="center"/>
    </xf>
    <xf numFmtId="0" fontId="12" fillId="0" borderId="0" xfId="0" applyFont="1" applyAlignment="1">
      <alignment horizontal="center"/>
    </xf>
    <xf numFmtId="41" fontId="16" fillId="0" borderId="28" xfId="2" applyNumberFormat="1" applyFont="1" applyBorder="1" applyAlignment="1">
      <alignment horizontal="left"/>
    </xf>
    <xf numFmtId="10" fontId="0" fillId="0" borderId="0" xfId="3" applyNumberFormat="1" applyFont="1"/>
    <xf numFmtId="41" fontId="16" fillId="0" borderId="38" xfId="2" applyNumberFormat="1" applyFont="1" applyBorder="1" applyAlignment="1">
      <alignment horizontal="left"/>
    </xf>
    <xf numFmtId="164" fontId="0" fillId="0" borderId="38" xfId="0" applyNumberFormat="1" applyBorder="1"/>
    <xf numFmtId="41" fontId="0" fillId="0" borderId="38" xfId="0" applyNumberFormat="1" applyFont="1" applyBorder="1"/>
    <xf numFmtId="0" fontId="43" fillId="4" borderId="0" xfId="0" applyFont="1" applyFill="1" applyAlignment="1"/>
    <xf numFmtId="0" fontId="44" fillId="0" borderId="1" xfId="0" applyFont="1" applyBorder="1" applyAlignment="1">
      <alignment wrapText="1"/>
    </xf>
    <xf numFmtId="0" fontId="44" fillId="0" borderId="0" xfId="0" applyFont="1" applyAlignment="1">
      <alignment wrapText="1"/>
    </xf>
    <xf numFmtId="0" fontId="44" fillId="16" borderId="1" xfId="0" applyFont="1" applyFill="1" applyBorder="1" applyAlignment="1">
      <alignment wrapText="1"/>
    </xf>
    <xf numFmtId="0" fontId="43" fillId="4" borderId="0" xfId="0" applyFont="1" applyFill="1" applyAlignment="1">
      <alignment wrapText="1"/>
    </xf>
    <xf numFmtId="0" fontId="44" fillId="16" borderId="0" xfId="0" applyFont="1" applyFill="1" applyAlignment="1">
      <alignment wrapText="1"/>
    </xf>
    <xf numFmtId="0" fontId="29" fillId="4" borderId="0" xfId="0" applyFont="1" applyFill="1" applyAlignment="1">
      <alignment horizontal="left" wrapText="1"/>
    </xf>
    <xf numFmtId="0" fontId="44" fillId="12" borderId="1" xfId="0" applyFont="1" applyFill="1" applyBorder="1" applyAlignment="1">
      <alignment wrapText="1"/>
    </xf>
    <xf numFmtId="0" fontId="44" fillId="0" borderId="0" xfId="0" applyFont="1" applyAlignment="1">
      <alignment horizontal="center"/>
    </xf>
    <xf numFmtId="49" fontId="45" fillId="0" borderId="0" xfId="0" applyNumberFormat="1" applyFont="1" applyAlignment="1">
      <alignment horizontal="center"/>
    </xf>
    <xf numFmtId="165" fontId="45" fillId="0" borderId="0" xfId="2" applyNumberFormat="1" applyFont="1"/>
    <xf numFmtId="165" fontId="45" fillId="16" borderId="0" xfId="2" applyNumberFormat="1" applyFont="1" applyFill="1"/>
    <xf numFmtId="165" fontId="45" fillId="20" borderId="0" xfId="2" applyNumberFormat="1" applyFont="1" applyFill="1"/>
    <xf numFmtId="165" fontId="45" fillId="21" borderId="0" xfId="2" applyNumberFormat="1" applyFont="1" applyFill="1"/>
    <xf numFmtId="0" fontId="29" fillId="4" borderId="0" xfId="0" applyFont="1" applyFill="1" applyAlignment="1">
      <alignment wrapText="1"/>
    </xf>
    <xf numFmtId="164" fontId="45" fillId="0" borderId="0" xfId="1" applyNumberFormat="1" applyFont="1"/>
    <xf numFmtId="164" fontId="45" fillId="16" borderId="0" xfId="1" applyNumberFormat="1" applyFont="1" applyFill="1"/>
    <xf numFmtId="164" fontId="45" fillId="16" borderId="0" xfId="0" applyNumberFormat="1" applyFont="1" applyFill="1"/>
    <xf numFmtId="165" fontId="45" fillId="12" borderId="0" xfId="2" applyNumberFormat="1" applyFont="1" applyFill="1"/>
    <xf numFmtId="0" fontId="45" fillId="0" borderId="0" xfId="0" applyFont="1"/>
    <xf numFmtId="165" fontId="45" fillId="22" borderId="0" xfId="2" applyNumberFormat="1" applyFont="1" applyFill="1"/>
    <xf numFmtId="164" fontId="45" fillId="12" borderId="0" xfId="1" applyNumberFormat="1" applyFont="1" applyFill="1"/>
    <xf numFmtId="165" fontId="45" fillId="18" borderId="0" xfId="2" applyNumberFormat="1" applyFont="1" applyFill="1"/>
    <xf numFmtId="164" fontId="45" fillId="18" borderId="0" xfId="1" applyNumberFormat="1" applyFont="1" applyFill="1"/>
    <xf numFmtId="0" fontId="13" fillId="0" borderId="0" xfId="0" applyFont="1" applyFill="1"/>
    <xf numFmtId="0" fontId="46" fillId="0" borderId="35" xfId="0" applyFont="1" applyBorder="1" applyAlignment="1">
      <alignment horizontal="center"/>
    </xf>
    <xf numFmtId="165" fontId="45" fillId="0" borderId="31" xfId="2" applyNumberFormat="1" applyFont="1" applyBorder="1"/>
    <xf numFmtId="165" fontId="46" fillId="19" borderId="26" xfId="2" applyNumberFormat="1" applyFont="1" applyFill="1" applyBorder="1"/>
    <xf numFmtId="165" fontId="46" fillId="19" borderId="31" xfId="2" applyNumberFormat="1" applyFont="1" applyFill="1" applyBorder="1"/>
    <xf numFmtId="0" fontId="13" fillId="0" borderId="0" xfId="0" applyFont="1" applyAlignment="1">
      <alignment horizontal="center"/>
    </xf>
    <xf numFmtId="165" fontId="46" fillId="19" borderId="27" xfId="2" applyNumberFormat="1" applyFont="1" applyFill="1" applyBorder="1"/>
    <xf numFmtId="0" fontId="41" fillId="0" borderId="0" xfId="0" applyFont="1" applyBorder="1" applyAlignment="1">
      <alignment vertical="top" wrapText="1"/>
    </xf>
    <xf numFmtId="0" fontId="47" fillId="0" borderId="1" xfId="0" applyFont="1" applyBorder="1" applyAlignment="1">
      <alignment vertical="top" wrapText="1"/>
    </xf>
    <xf numFmtId="165" fontId="46" fillId="19" borderId="1" xfId="2" applyNumberFormat="1" applyFont="1" applyFill="1" applyBorder="1"/>
    <xf numFmtId="0" fontId="13" fillId="0" borderId="0" xfId="0" applyFont="1" applyBorder="1" applyAlignment="1">
      <alignment wrapText="1"/>
    </xf>
    <xf numFmtId="164" fontId="0" fillId="0" borderId="0" xfId="0" applyNumberFormat="1" applyBorder="1"/>
    <xf numFmtId="165" fontId="45" fillId="18" borderId="27" xfId="2" applyNumberFormat="1" applyFont="1" applyFill="1" applyBorder="1"/>
    <xf numFmtId="164" fontId="46" fillId="19" borderId="26" xfId="1" applyNumberFormat="1" applyFont="1" applyFill="1" applyBorder="1"/>
    <xf numFmtId="164" fontId="46" fillId="19" borderId="27" xfId="1" applyNumberFormat="1" applyFont="1" applyFill="1" applyBorder="1"/>
    <xf numFmtId="0" fontId="13" fillId="17" borderId="1" xfId="0" applyFont="1" applyFill="1" applyBorder="1" applyAlignment="1">
      <alignment horizontal="center"/>
    </xf>
    <xf numFmtId="41" fontId="0" fillId="0" borderId="1" xfId="0" applyNumberFormat="1" applyBorder="1"/>
    <xf numFmtId="41" fontId="13" fillId="23" borderId="2" xfId="0" applyNumberFormat="1" applyFont="1" applyFill="1" applyBorder="1"/>
    <xf numFmtId="41" fontId="13" fillId="23" borderId="1" xfId="0" applyNumberFormat="1" applyFont="1" applyFill="1" applyBorder="1"/>
    <xf numFmtId="41" fontId="13" fillId="0" borderId="1" xfId="0" applyNumberFormat="1" applyFont="1" applyFill="1" applyBorder="1"/>
    <xf numFmtId="0" fontId="39" fillId="0" borderId="0" xfId="15" applyNumberFormat="1" applyFont="1" applyFill="1" applyBorder="1" applyAlignment="1" applyProtection="1">
      <alignment vertical="top" wrapText="1"/>
      <protection locked="0"/>
    </xf>
    <xf numFmtId="0" fontId="42" fillId="0" borderId="1" xfId="0" applyFont="1" applyFill="1" applyBorder="1" applyAlignment="1">
      <alignment wrapText="1"/>
    </xf>
    <xf numFmtId="0" fontId="42" fillId="0" borderId="0" xfId="0" applyFont="1" applyFill="1" applyBorder="1" applyAlignment="1">
      <alignment wrapText="1"/>
    </xf>
    <xf numFmtId="0" fontId="13" fillId="0" borderId="26" xfId="0" applyFont="1" applyBorder="1" applyAlignment="1">
      <alignment horizontal="center" wrapText="1"/>
    </xf>
    <xf numFmtId="0" fontId="13" fillId="15" borderId="0" xfId="0" applyFont="1" applyFill="1" applyAlignment="1">
      <alignment horizontal="center"/>
    </xf>
    <xf numFmtId="0" fontId="48" fillId="0" borderId="0" xfId="17"/>
    <xf numFmtId="0" fontId="0" fillId="24" borderId="0" xfId="0" applyFill="1" applyAlignment="1">
      <alignment horizontal="center"/>
    </xf>
    <xf numFmtId="0" fontId="0" fillId="24" borderId="0" xfId="0" applyFill="1"/>
    <xf numFmtId="41" fontId="0" fillId="24" borderId="0" xfId="0" applyNumberFormat="1" applyFill="1"/>
    <xf numFmtId="0" fontId="45" fillId="0" borderId="0" xfId="0" applyFont="1" applyFill="1" applyAlignment="1">
      <alignment horizontal="center"/>
    </xf>
    <xf numFmtId="0" fontId="43" fillId="0" borderId="0" xfId="0" applyFont="1" applyFill="1" applyAlignment="1"/>
    <xf numFmtId="165" fontId="45" fillId="0" borderId="0" xfId="2" applyNumberFormat="1" applyFont="1" applyFill="1"/>
    <xf numFmtId="0" fontId="43" fillId="0" borderId="0" xfId="0" applyFont="1" applyFill="1" applyAlignment="1">
      <alignment wrapText="1"/>
    </xf>
    <xf numFmtId="0" fontId="29" fillId="0" borderId="0" xfId="0" applyFont="1" applyFill="1" applyAlignment="1">
      <alignment wrapText="1"/>
    </xf>
    <xf numFmtId="164" fontId="45" fillId="0" borderId="0" xfId="1" applyNumberFormat="1" applyFont="1" applyFill="1"/>
    <xf numFmtId="0" fontId="13" fillId="3" borderId="3" xfId="0" applyFont="1" applyFill="1" applyBorder="1" applyAlignment="1">
      <alignment horizontal="left" wrapText="1"/>
    </xf>
    <xf numFmtId="0" fontId="13" fillId="3" borderId="4" xfId="0" applyFont="1" applyFill="1" applyBorder="1" applyAlignment="1">
      <alignment wrapText="1"/>
    </xf>
    <xf numFmtId="0" fontId="13" fillId="3" borderId="3" xfId="0" applyFont="1" applyFill="1" applyBorder="1" applyAlignment="1">
      <alignment horizontal="left"/>
    </xf>
    <xf numFmtId="0" fontId="13" fillId="0" borderId="1" xfId="0" applyFont="1" applyBorder="1" applyAlignment="1">
      <alignment horizontal="left" wrapText="1"/>
    </xf>
    <xf numFmtId="0" fontId="0" fillId="3" borderId="1" xfId="0" applyFont="1" applyFill="1" applyBorder="1" applyAlignment="1">
      <alignment horizontal="center"/>
    </xf>
    <xf numFmtId="0" fontId="0" fillId="0" borderId="1" xfId="0" applyFont="1" applyBorder="1" applyAlignment="1">
      <alignment wrapText="1"/>
    </xf>
    <xf numFmtId="0" fontId="13" fillId="0" borderId="1" xfId="0" applyFont="1" applyFill="1" applyBorder="1" applyAlignment="1">
      <alignment horizontal="right"/>
    </xf>
    <xf numFmtId="164" fontId="11" fillId="0" borderId="1" xfId="0" applyNumberFormat="1" applyFont="1" applyFill="1" applyBorder="1" applyAlignment="1">
      <alignment horizontal="right"/>
    </xf>
    <xf numFmtId="41" fontId="11" fillId="0" borderId="1" xfId="0" applyNumberFormat="1" applyFont="1" applyFill="1" applyBorder="1" applyAlignment="1">
      <alignment horizontal="right"/>
    </xf>
    <xf numFmtId="164" fontId="11" fillId="0" borderId="1" xfId="1" applyNumberFormat="1" applyFont="1" applyFill="1" applyBorder="1" applyAlignment="1">
      <alignment horizontal="right"/>
    </xf>
    <xf numFmtId="0" fontId="0" fillId="0" borderId="1" xfId="0" applyFont="1" applyFill="1" applyBorder="1" applyAlignment="1">
      <alignment horizontal="left"/>
    </xf>
    <xf numFmtId="3" fontId="11" fillId="14" borderId="1" xfId="0" applyNumberFormat="1" applyFont="1" applyFill="1" applyBorder="1" applyAlignment="1">
      <alignment horizontal="right"/>
    </xf>
    <xf numFmtId="0" fontId="0" fillId="0" borderId="1" xfId="0" applyFont="1" applyFill="1" applyBorder="1" applyAlignment="1">
      <alignment horizontal="left" wrapText="1"/>
    </xf>
    <xf numFmtId="0" fontId="25" fillId="0" borderId="1" xfId="4" applyFont="1" applyFill="1" applyBorder="1" applyAlignment="1">
      <alignment horizontal="left" wrapText="1"/>
    </xf>
    <xf numFmtId="0" fontId="0" fillId="0" borderId="1" xfId="0" applyFont="1" applyFill="1" applyBorder="1" applyAlignment="1">
      <alignment wrapText="1"/>
    </xf>
    <xf numFmtId="0" fontId="0" fillId="0" borderId="1" xfId="0" applyFont="1" applyFill="1" applyBorder="1" applyAlignment="1">
      <alignment horizontal="right" wrapText="1"/>
    </xf>
    <xf numFmtId="0" fontId="13" fillId="0" borderId="1" xfId="0" applyNumberFormat="1" applyFont="1" applyBorder="1" applyAlignment="1">
      <alignment horizontal="left"/>
    </xf>
    <xf numFmtId="164" fontId="25" fillId="0" borderId="1" xfId="1" applyNumberFormat="1" applyFont="1" applyFill="1" applyBorder="1" applyAlignment="1">
      <alignment horizontal="left" wrapText="1" indent="1"/>
    </xf>
    <xf numFmtId="3" fontId="25" fillId="0" borderId="1" xfId="4" applyNumberFormat="1" applyFont="1" applyFill="1" applyBorder="1" applyAlignment="1">
      <alignment horizontal="right" wrapText="1"/>
    </xf>
    <xf numFmtId="0" fontId="16" fillId="23" borderId="1" xfId="4" applyFont="1" applyFill="1" applyBorder="1" applyAlignment="1">
      <alignment horizontal="left" wrapText="1"/>
    </xf>
    <xf numFmtId="164" fontId="11" fillId="23" borderId="1" xfId="1" applyNumberFormat="1" applyFont="1" applyFill="1" applyBorder="1"/>
    <xf numFmtId="0" fontId="16" fillId="23" borderId="1" xfId="4" quotePrefix="1" applyFont="1" applyFill="1" applyBorder="1" applyAlignment="1">
      <alignment horizontal="left" wrapText="1"/>
    </xf>
    <xf numFmtId="0" fontId="16" fillId="18" borderId="1" xfId="4" applyFont="1" applyFill="1" applyBorder="1" applyAlignment="1">
      <alignment horizontal="left" wrapText="1"/>
    </xf>
    <xf numFmtId="164" fontId="11" fillId="18" borderId="1" xfId="1" applyNumberFormat="1" applyFont="1" applyFill="1" applyBorder="1"/>
    <xf numFmtId="0" fontId="16" fillId="18" borderId="1" xfId="4" quotePrefix="1" applyFont="1" applyFill="1" applyBorder="1" applyAlignment="1">
      <alignment horizontal="left" wrapText="1"/>
    </xf>
    <xf numFmtId="0" fontId="16" fillId="18" borderId="15" xfId="4" applyFont="1" applyFill="1" applyBorder="1" applyAlignment="1">
      <alignment horizontal="left" wrapText="1" indent="1"/>
    </xf>
    <xf numFmtId="41" fontId="11" fillId="18" borderId="1" xfId="2" applyNumberFormat="1" applyFont="1" applyFill="1" applyBorder="1" applyAlignment="1"/>
    <xf numFmtId="41" fontId="16" fillId="18" borderId="18" xfId="2" applyNumberFormat="1" applyFont="1" applyFill="1" applyBorder="1" applyAlignment="1">
      <alignment horizontal="left"/>
    </xf>
    <xf numFmtId="41" fontId="16" fillId="18" borderId="1" xfId="2" applyNumberFormat="1" applyFont="1" applyFill="1" applyBorder="1" applyAlignment="1">
      <alignment horizontal="left"/>
    </xf>
    <xf numFmtId="3" fontId="11" fillId="15" borderId="1" xfId="0" applyNumberFormat="1" applyFont="1" applyFill="1" applyBorder="1" applyAlignment="1">
      <alignment horizontal="right"/>
    </xf>
    <xf numFmtId="0" fontId="13" fillId="7" borderId="1" xfId="0" applyFont="1" applyFill="1" applyBorder="1" applyAlignment="1">
      <alignment horizontal="left" wrapText="1"/>
    </xf>
    <xf numFmtId="0" fontId="13" fillId="7" borderId="1" xfId="0" applyFont="1" applyFill="1" applyBorder="1" applyAlignment="1">
      <alignment wrapText="1"/>
    </xf>
    <xf numFmtId="41" fontId="16" fillId="7" borderId="1" xfId="2" applyNumberFormat="1" applyFont="1" applyFill="1" applyBorder="1" applyAlignment="1">
      <alignment horizontal="left"/>
    </xf>
    <xf numFmtId="41" fontId="13" fillId="7" borderId="1" xfId="0" applyNumberFormat="1" applyFont="1" applyFill="1" applyBorder="1"/>
    <xf numFmtId="41" fontId="25" fillId="7" borderId="1" xfId="2" applyNumberFormat="1" applyFont="1" applyFill="1" applyBorder="1" applyAlignment="1">
      <alignment horizontal="left"/>
    </xf>
    <xf numFmtId="0" fontId="11" fillId="17" borderId="1" xfId="0" applyFont="1" applyFill="1" applyBorder="1"/>
    <xf numFmtId="0" fontId="0" fillId="17" borderId="1" xfId="0" applyFont="1" applyFill="1" applyBorder="1"/>
    <xf numFmtId="165" fontId="11" fillId="0" borderId="4" xfId="2" applyNumberFormat="1" applyFont="1" applyBorder="1" applyAlignment="1"/>
    <xf numFmtId="165" fontId="16" fillId="0" borderId="3" xfId="2" applyNumberFormat="1" applyFont="1" applyBorder="1" applyAlignment="1">
      <alignment horizontal="left"/>
    </xf>
    <xf numFmtId="41" fontId="16" fillId="0" borderId="3" xfId="2" applyNumberFormat="1" applyFont="1" applyBorder="1" applyAlignment="1">
      <alignment horizontal="left"/>
    </xf>
    <xf numFmtId="41" fontId="11" fillId="3" borderId="3" xfId="2" applyNumberFormat="1" applyFont="1" applyFill="1" applyBorder="1" applyAlignment="1"/>
    <xf numFmtId="41" fontId="16" fillId="3" borderId="3" xfId="2" quotePrefix="1" applyNumberFormat="1" applyFont="1" applyFill="1" applyBorder="1" applyAlignment="1">
      <alignment horizontal="left"/>
    </xf>
    <xf numFmtId="41" fontId="16" fillId="0" borderId="3" xfId="2" quotePrefix="1" applyNumberFormat="1" applyFont="1" applyBorder="1" applyAlignment="1">
      <alignment horizontal="left"/>
    </xf>
    <xf numFmtId="165" fontId="16" fillId="3" borderId="24" xfId="2" applyNumberFormat="1" applyFont="1" applyFill="1" applyBorder="1" applyAlignment="1">
      <alignment horizontal="right"/>
    </xf>
    <xf numFmtId="165" fontId="11" fillId="0" borderId="3" xfId="2" applyNumberFormat="1" applyFont="1" applyBorder="1" applyAlignment="1"/>
    <xf numFmtId="0" fontId="11" fillId="0" borderId="36" xfId="0" applyFont="1" applyBorder="1"/>
    <xf numFmtId="10" fontId="11" fillId="0" borderId="36" xfId="3" applyNumberFormat="1" applyFont="1" applyBorder="1" applyAlignment="1">
      <alignment horizontal="right"/>
    </xf>
    <xf numFmtId="10" fontId="11" fillId="0" borderId="3" xfId="3" applyNumberFormat="1" applyFont="1" applyBorder="1" applyAlignment="1"/>
    <xf numFmtId="41" fontId="11" fillId="18" borderId="3" xfId="2" applyNumberFormat="1" applyFont="1" applyFill="1" applyBorder="1" applyAlignment="1"/>
    <xf numFmtId="41" fontId="11" fillId="0" borderId="19" xfId="2" applyNumberFormat="1" applyFont="1" applyBorder="1" applyAlignment="1"/>
    <xf numFmtId="0" fontId="0" fillId="0" borderId="0" xfId="0" applyNumberFormat="1" applyFont="1" applyBorder="1"/>
    <xf numFmtId="0" fontId="0" fillId="0" borderId="31" xfId="0" applyBorder="1" applyAlignment="1">
      <alignment wrapText="1"/>
    </xf>
    <xf numFmtId="0" fontId="0" fillId="0" borderId="27" xfId="0" applyBorder="1" applyAlignment="1">
      <alignment wrapText="1"/>
    </xf>
    <xf numFmtId="0" fontId="0" fillId="0" borderId="1" xfId="0" applyFill="1" applyBorder="1" applyAlignment="1">
      <alignment wrapText="1"/>
    </xf>
    <xf numFmtId="0" fontId="0" fillId="0" borderId="31" xfId="0" applyBorder="1" applyAlignment="1">
      <alignment vertical="top" wrapText="1"/>
    </xf>
    <xf numFmtId="0" fontId="48" fillId="0" borderId="0" xfId="17" applyAlignment="1">
      <alignment horizontal="center"/>
    </xf>
    <xf numFmtId="0" fontId="25" fillId="0" borderId="15" xfId="4" applyFont="1" applyBorder="1" applyAlignment="1">
      <alignment horizontal="left" wrapText="1" indent="1"/>
    </xf>
    <xf numFmtId="0" fontId="11" fillId="0" borderId="0" xfId="0" applyFont="1" applyFill="1" applyBorder="1" applyAlignment="1">
      <alignment horizontal="center" wrapText="1"/>
    </xf>
    <xf numFmtId="0" fontId="48" fillId="0" borderId="0" xfId="17" applyFill="1" applyBorder="1" applyAlignment="1">
      <alignment horizontal="center" wrapText="1"/>
    </xf>
    <xf numFmtId="0" fontId="48" fillId="0" borderId="0" xfId="17" applyFill="1" applyAlignment="1">
      <alignment horizontal="center"/>
    </xf>
    <xf numFmtId="0" fontId="11" fillId="0" borderId="36" xfId="0" applyFont="1" applyFill="1" applyBorder="1" applyAlignment="1">
      <alignment horizontal="center" wrapText="1"/>
    </xf>
    <xf numFmtId="0" fontId="13" fillId="0" borderId="0" xfId="0" applyNumberFormat="1" applyFont="1" applyBorder="1"/>
    <xf numFmtId="0" fontId="13" fillId="0" borderId="1" xfId="0" applyFont="1" applyBorder="1" applyAlignment="1">
      <alignment vertical="center" wrapText="1"/>
    </xf>
    <xf numFmtId="0" fontId="0" fillId="0" borderId="1" xfId="0" applyFill="1" applyBorder="1" applyAlignment="1">
      <alignment vertical="center" wrapText="1"/>
    </xf>
    <xf numFmtId="42" fontId="11" fillId="3" borderId="17" xfId="2" applyNumberFormat="1" applyFont="1" applyFill="1" applyBorder="1" applyAlignment="1"/>
    <xf numFmtId="42" fontId="11" fillId="3" borderId="18" xfId="2" applyNumberFormat="1" applyFont="1" applyFill="1" applyBorder="1" applyAlignment="1"/>
    <xf numFmtId="42" fontId="11" fillId="3" borderId="1" xfId="2" applyNumberFormat="1" applyFont="1" applyFill="1" applyBorder="1" applyAlignment="1"/>
    <xf numFmtId="0" fontId="0" fillId="3" borderId="1" xfId="0" applyFont="1" applyFill="1" applyBorder="1"/>
    <xf numFmtId="165" fontId="0" fillId="0" borderId="0" xfId="0" applyNumberFormat="1"/>
    <xf numFmtId="41" fontId="13" fillId="18" borderId="2" xfId="0" applyNumberFormat="1" applyFont="1" applyFill="1" applyBorder="1"/>
    <xf numFmtId="0" fontId="13" fillId="18" borderId="4" xfId="0" applyFont="1" applyFill="1" applyBorder="1"/>
    <xf numFmtId="165" fontId="46" fillId="19" borderId="26" xfId="2" applyNumberFormat="1" applyFont="1" applyFill="1" applyBorder="1" applyAlignment="1">
      <alignment horizontal="center"/>
    </xf>
    <xf numFmtId="0" fontId="13" fillId="13" borderId="0" xfId="0" applyNumberFormat="1" applyFont="1" applyFill="1" applyBorder="1" applyAlignment="1"/>
    <xf numFmtId="0" fontId="13" fillId="13" borderId="0" xfId="0" applyNumberFormat="1" applyFont="1" applyFill="1" applyBorder="1" applyAlignment="1">
      <alignment horizontal="center"/>
    </xf>
    <xf numFmtId="0" fontId="13" fillId="13" borderId="0" xfId="0" applyNumberFormat="1" applyFont="1" applyFill="1" applyBorder="1" applyAlignment="1">
      <alignment horizontal="left"/>
    </xf>
    <xf numFmtId="0" fontId="13" fillId="13" borderId="0" xfId="1" applyNumberFormat="1" applyFont="1" applyFill="1" applyBorder="1" applyAlignment="1">
      <alignment horizontal="center"/>
    </xf>
    <xf numFmtId="0" fontId="13" fillId="13" borderId="0" xfId="0" applyNumberFormat="1" applyFont="1" applyFill="1" applyBorder="1" applyAlignment="1">
      <alignment horizontal="right"/>
    </xf>
    <xf numFmtId="42" fontId="11" fillId="3" borderId="19" xfId="2" applyNumberFormat="1" applyFont="1" applyFill="1" applyBorder="1" applyAlignment="1"/>
    <xf numFmtId="168" fontId="0" fillId="25" borderId="1" xfId="0" applyNumberFormat="1" applyFill="1" applyBorder="1" applyAlignment="1"/>
    <xf numFmtId="168" fontId="0" fillId="25" borderId="17" xfId="0" applyNumberFormat="1" applyFill="1" applyBorder="1" applyAlignment="1"/>
    <xf numFmtId="168" fontId="0" fillId="3" borderId="22" xfId="0" applyNumberFormat="1" applyFill="1" applyBorder="1" applyAlignment="1"/>
    <xf numFmtId="168" fontId="0" fillId="3" borderId="23" xfId="0" applyNumberFormat="1" applyFill="1" applyBorder="1" applyAlignment="1"/>
    <xf numFmtId="168" fontId="11" fillId="0" borderId="1" xfId="3" applyNumberFormat="1" applyFont="1" applyBorder="1" applyAlignment="1"/>
    <xf numFmtId="168" fontId="11" fillId="0" borderId="3" xfId="3" applyNumberFormat="1" applyFont="1" applyBorder="1" applyAlignment="1"/>
    <xf numFmtId="168" fontId="11" fillId="3" borderId="1" xfId="3" applyNumberFormat="1" applyFont="1" applyFill="1" applyBorder="1" applyAlignment="1"/>
    <xf numFmtId="168" fontId="11" fillId="3" borderId="3" xfId="3" applyNumberFormat="1" applyFont="1" applyFill="1" applyBorder="1" applyAlignment="1"/>
    <xf numFmtId="168" fontId="11" fillId="3" borderId="22" xfId="3" applyNumberFormat="1" applyFont="1" applyFill="1" applyBorder="1" applyAlignment="1"/>
    <xf numFmtId="168" fontId="11" fillId="3" borderId="24" xfId="3" applyNumberFormat="1" applyFont="1" applyFill="1" applyBorder="1" applyAlignment="1"/>
    <xf numFmtId="168" fontId="11" fillId="0" borderId="17" xfId="3" applyNumberFormat="1" applyFont="1" applyBorder="1" applyAlignment="1"/>
    <xf numFmtId="168" fontId="11" fillId="3" borderId="17" xfId="3" applyNumberFormat="1" applyFont="1" applyFill="1" applyBorder="1" applyAlignment="1"/>
    <xf numFmtId="168" fontId="11" fillId="3" borderId="23" xfId="3" applyNumberFormat="1" applyFont="1" applyFill="1" applyBorder="1" applyAlignment="1"/>
    <xf numFmtId="0" fontId="49" fillId="0" borderId="0" xfId="0" applyFont="1"/>
    <xf numFmtId="0" fontId="50" fillId="0" borderId="0" xfId="0" applyFont="1"/>
    <xf numFmtId="0" fontId="51" fillId="0" borderId="0" xfId="0" applyFont="1"/>
    <xf numFmtId="0" fontId="52" fillId="0" borderId="0" xfId="0" applyFont="1"/>
    <xf numFmtId="0" fontId="52" fillId="0" borderId="1" xfId="0" applyFont="1" applyBorder="1" applyAlignment="1">
      <alignment horizontal="center"/>
    </xf>
    <xf numFmtId="0" fontId="51" fillId="0" borderId="0" xfId="0" applyFont="1" applyBorder="1" applyAlignment="1">
      <alignment vertical="top" wrapText="1"/>
    </xf>
    <xf numFmtId="0" fontId="16" fillId="0" borderId="0" xfId="0" applyFont="1"/>
    <xf numFmtId="0" fontId="11" fillId="0" borderId="41" xfId="0" applyFont="1" applyBorder="1"/>
    <xf numFmtId="0" fontId="11" fillId="0" borderId="40" xfId="0" applyFont="1" applyBorder="1"/>
    <xf numFmtId="41" fontId="16" fillId="3" borderId="3" xfId="2" applyNumberFormat="1" applyFont="1" applyFill="1" applyBorder="1" applyAlignment="1">
      <alignment horizontal="left"/>
    </xf>
    <xf numFmtId="0" fontId="11" fillId="2" borderId="42" xfId="0" applyFont="1" applyFill="1" applyBorder="1" applyAlignment="1">
      <alignment horizontal="center" wrapText="1"/>
    </xf>
    <xf numFmtId="41" fontId="11" fillId="3" borderId="33" xfId="2" applyNumberFormat="1" applyFont="1" applyFill="1" applyBorder="1" applyAlignment="1"/>
    <xf numFmtId="41" fontId="11" fillId="3" borderId="0" xfId="2" applyNumberFormat="1" applyFont="1" applyFill="1" applyBorder="1" applyAlignment="1"/>
    <xf numFmtId="41" fontId="11" fillId="0" borderId="0" xfId="2" applyNumberFormat="1" applyFont="1" applyBorder="1" applyAlignment="1"/>
    <xf numFmtId="41" fontId="11" fillId="0" borderId="41" xfId="2" applyNumberFormat="1" applyFont="1" applyBorder="1" applyAlignment="1"/>
    <xf numFmtId="41" fontId="11" fillId="3" borderId="41" xfId="2" applyNumberFormat="1" applyFont="1" applyFill="1" applyBorder="1" applyAlignment="1"/>
    <xf numFmtId="165" fontId="11" fillId="3" borderId="39" xfId="2" applyNumberFormat="1" applyFont="1" applyFill="1" applyBorder="1" applyAlignment="1"/>
    <xf numFmtId="165" fontId="16" fillId="3" borderId="39" xfId="2" applyNumberFormat="1" applyFont="1" applyFill="1" applyBorder="1" applyAlignment="1">
      <alignment horizontal="right"/>
    </xf>
    <xf numFmtId="165" fontId="11" fillId="3" borderId="40" xfId="2" applyNumberFormat="1" applyFont="1" applyFill="1" applyBorder="1" applyAlignment="1"/>
    <xf numFmtId="41" fontId="11" fillId="0" borderId="30" xfId="2" applyNumberFormat="1" applyFont="1" applyBorder="1" applyAlignment="1"/>
    <xf numFmtId="10" fontId="11" fillId="0" borderId="0" xfId="3" applyNumberFormat="1" applyFont="1" applyBorder="1" applyAlignment="1"/>
    <xf numFmtId="10" fontId="11" fillId="0" borderId="41" xfId="3" applyNumberFormat="1" applyFont="1" applyBorder="1" applyAlignment="1"/>
    <xf numFmtId="41" fontId="11" fillId="3" borderId="30" xfId="2" applyNumberFormat="1" applyFont="1" applyFill="1" applyBorder="1" applyAlignment="1"/>
    <xf numFmtId="10" fontId="11" fillId="3" borderId="0" xfId="3" applyNumberFormat="1" applyFont="1" applyFill="1" applyBorder="1" applyAlignment="1"/>
    <xf numFmtId="10" fontId="11" fillId="3" borderId="41" xfId="3" applyNumberFormat="1" applyFont="1" applyFill="1" applyBorder="1" applyAlignment="1"/>
    <xf numFmtId="165" fontId="11" fillId="3" borderId="44" xfId="2" applyNumberFormat="1" applyFont="1" applyFill="1" applyBorder="1" applyAlignment="1"/>
    <xf numFmtId="10" fontId="11" fillId="3" borderId="39" xfId="3" applyNumberFormat="1" applyFont="1" applyFill="1" applyBorder="1" applyAlignment="1"/>
    <xf numFmtId="10" fontId="11" fillId="3" borderId="40" xfId="3" applyNumberFormat="1" applyFont="1" applyFill="1" applyBorder="1" applyAlignment="1"/>
    <xf numFmtId="10" fontId="0" fillId="0" borderId="0" xfId="3" applyNumberFormat="1" applyFont="1" applyBorder="1" applyAlignment="1"/>
    <xf numFmtId="41" fontId="11" fillId="3" borderId="29" xfId="2" applyNumberFormat="1" applyFont="1" applyFill="1" applyBorder="1" applyAlignment="1"/>
    <xf numFmtId="10" fontId="11" fillId="3" borderId="33" xfId="3" applyNumberFormat="1" applyFont="1" applyFill="1" applyBorder="1" applyAlignment="1"/>
    <xf numFmtId="10" fontId="11" fillId="3" borderId="43" xfId="3" applyNumberFormat="1" applyFont="1" applyFill="1" applyBorder="1" applyAlignment="1"/>
    <xf numFmtId="168" fontId="11" fillId="3" borderId="15" xfId="3" applyNumberFormat="1" applyFont="1" applyFill="1" applyBorder="1" applyAlignment="1"/>
    <xf numFmtId="168" fontId="11" fillId="0" borderId="15" xfId="3" applyNumberFormat="1" applyFont="1" applyBorder="1" applyAlignment="1"/>
    <xf numFmtId="168" fontId="11" fillId="3" borderId="20" xfId="3" applyNumberFormat="1" applyFont="1" applyFill="1" applyBorder="1" applyAlignment="1"/>
    <xf numFmtId="41" fontId="11" fillId="18" borderId="17" xfId="2" applyNumberFormat="1" applyFont="1" applyFill="1" applyBorder="1" applyAlignment="1"/>
    <xf numFmtId="41" fontId="0" fillId="0" borderId="18" xfId="2" applyNumberFormat="1" applyFont="1" applyBorder="1" applyAlignment="1"/>
    <xf numFmtId="0" fontId="0" fillId="14" borderId="0" xfId="0" applyNumberFormat="1" applyFill="1"/>
    <xf numFmtId="0" fontId="13" fillId="13" borderId="0" xfId="0" applyFont="1" applyFill="1" applyAlignment="1">
      <alignment wrapText="1"/>
    </xf>
    <xf numFmtId="0" fontId="11" fillId="13" borderId="0" xfId="0" applyFont="1" applyFill="1"/>
    <xf numFmtId="0" fontId="0" fillId="13" borderId="0" xfId="0" applyNumberFormat="1" applyFill="1"/>
    <xf numFmtId="0" fontId="11" fillId="13" borderId="0" xfId="0" applyFont="1" applyFill="1" applyAlignment="1">
      <alignment wrapText="1"/>
    </xf>
    <xf numFmtId="0" fontId="0" fillId="0" borderId="0" xfId="0" applyFont="1" applyAlignment="1">
      <alignment wrapText="1"/>
    </xf>
    <xf numFmtId="0" fontId="13" fillId="27" borderId="0" xfId="0" applyFont="1" applyFill="1" applyAlignment="1">
      <alignment wrapText="1"/>
    </xf>
    <xf numFmtId="0" fontId="11" fillId="27" borderId="0" xfId="0" applyFont="1" applyFill="1"/>
    <xf numFmtId="0" fontId="0" fillId="27" borderId="0" xfId="0" applyNumberFormat="1" applyFill="1"/>
    <xf numFmtId="0" fontId="0" fillId="27" borderId="0" xfId="0" applyFill="1"/>
    <xf numFmtId="0" fontId="11" fillId="27" borderId="0" xfId="0" applyFont="1" applyFill="1" applyAlignment="1">
      <alignment wrapText="1"/>
    </xf>
    <xf numFmtId="41" fontId="16" fillId="0" borderId="29" xfId="2" applyNumberFormat="1" applyFont="1" applyBorder="1" applyAlignment="1">
      <alignment horizontal="left"/>
    </xf>
    <xf numFmtId="41" fontId="16" fillId="0" borderId="34" xfId="2" applyNumberFormat="1" applyFont="1" applyBorder="1" applyAlignment="1">
      <alignment horizontal="left"/>
    </xf>
    <xf numFmtId="164" fontId="16" fillId="0" borderId="32" xfId="2" applyNumberFormat="1" applyFont="1" applyBorder="1" applyAlignment="1">
      <alignment horizontal="left"/>
    </xf>
    <xf numFmtId="164" fontId="16" fillId="0" borderId="35" xfId="2" applyNumberFormat="1" applyFont="1" applyBorder="1" applyAlignment="1">
      <alignment horizontal="left"/>
    </xf>
    <xf numFmtId="41" fontId="11" fillId="0" borderId="4" xfId="2" applyNumberFormat="1" applyFont="1" applyBorder="1" applyAlignment="1"/>
    <xf numFmtId="0" fontId="11" fillId="2" borderId="45" xfId="0" applyFont="1" applyFill="1" applyBorder="1" applyAlignment="1">
      <alignment horizontal="center" wrapText="1"/>
    </xf>
    <xf numFmtId="0" fontId="11" fillId="0" borderId="39" xfId="0" applyFont="1" applyBorder="1"/>
    <xf numFmtId="0" fontId="52" fillId="0" borderId="0" xfId="0" applyFont="1" applyAlignment="1">
      <alignment horizontal="left" wrapText="1"/>
    </xf>
    <xf numFmtId="0" fontId="51" fillId="0" borderId="32" xfId="0" applyFont="1" applyBorder="1"/>
    <xf numFmtId="0" fontId="51" fillId="0" borderId="35" xfId="0" applyFont="1" applyBorder="1"/>
    <xf numFmtId="0" fontId="52" fillId="26" borderId="6" xfId="0" applyFont="1" applyFill="1" applyBorder="1"/>
    <xf numFmtId="0" fontId="52" fillId="19" borderId="6" xfId="0" applyFont="1" applyFill="1" applyBorder="1"/>
    <xf numFmtId="0" fontId="51" fillId="19" borderId="8" xfId="0" applyFont="1" applyFill="1" applyBorder="1"/>
    <xf numFmtId="0" fontId="52" fillId="15" borderId="6" xfId="0" applyFont="1" applyFill="1" applyBorder="1"/>
    <xf numFmtId="0" fontId="51" fillId="15" borderId="8" xfId="0" applyFont="1" applyFill="1" applyBorder="1"/>
    <xf numFmtId="0" fontId="52" fillId="28" borderId="6" xfId="0" applyFont="1" applyFill="1" applyBorder="1"/>
    <xf numFmtId="0" fontId="49" fillId="0" borderId="0" xfId="0" applyFont="1" applyAlignment="1">
      <alignment wrapText="1"/>
    </xf>
    <xf numFmtId="0" fontId="54" fillId="0" borderId="0" xfId="0" applyFont="1" applyAlignment="1">
      <alignment vertical="center"/>
    </xf>
    <xf numFmtId="0" fontId="55" fillId="0" borderId="0" xfId="0" applyFont="1" applyAlignment="1">
      <alignment vertical="center"/>
    </xf>
    <xf numFmtId="0" fontId="48" fillId="0" borderId="0" xfId="17" applyAlignment="1">
      <alignment vertical="center"/>
    </xf>
    <xf numFmtId="0" fontId="45" fillId="0" borderId="0" xfId="0" applyFont="1" applyAlignment="1">
      <alignment horizontal="center" vertical="center"/>
    </xf>
    <xf numFmtId="0" fontId="56" fillId="0" borderId="0" xfId="0" applyFont="1"/>
    <xf numFmtId="0" fontId="51" fillId="28" borderId="7" xfId="0" applyFont="1" applyFill="1" applyBorder="1"/>
    <xf numFmtId="0" fontId="51" fillId="26" borderId="7" xfId="0" applyFont="1" applyFill="1" applyBorder="1"/>
    <xf numFmtId="0" fontId="51" fillId="0" borderId="2" xfId="0" applyFont="1" applyBorder="1"/>
    <xf numFmtId="0" fontId="51" fillId="0" borderId="4" xfId="0" applyFont="1" applyBorder="1"/>
    <xf numFmtId="0" fontId="51" fillId="0" borderId="3" xfId="0" applyFont="1" applyBorder="1"/>
    <xf numFmtId="0" fontId="56" fillId="0" borderId="2" xfId="0" applyFont="1" applyBorder="1"/>
    <xf numFmtId="0" fontId="0" fillId="0" borderId="4" xfId="0" applyBorder="1"/>
    <xf numFmtId="0" fontId="0" fillId="0" borderId="3" xfId="0" applyBorder="1"/>
    <xf numFmtId="0" fontId="52" fillId="0" borderId="2" xfId="0" applyFont="1" applyBorder="1"/>
    <xf numFmtId="0" fontId="48" fillId="0" borderId="5" xfId="17" applyBorder="1" applyAlignment="1">
      <alignment wrapText="1"/>
    </xf>
    <xf numFmtId="0" fontId="13" fillId="0" borderId="6" xfId="0" applyFont="1" applyBorder="1" applyAlignment="1"/>
    <xf numFmtId="0" fontId="13" fillId="0" borderId="7" xfId="0" applyFont="1" applyBorder="1" applyAlignment="1"/>
    <xf numFmtId="0" fontId="13" fillId="0" borderId="8" xfId="0" applyFont="1" applyBorder="1" applyAlignment="1"/>
    <xf numFmtId="0" fontId="52" fillId="0" borderId="4" xfId="0" applyFont="1" applyBorder="1"/>
    <xf numFmtId="0" fontId="52" fillId="19" borderId="7" xfId="0" applyFont="1" applyFill="1" applyBorder="1"/>
    <xf numFmtId="0" fontId="52" fillId="15" borderId="7" xfId="0" applyFont="1" applyFill="1" applyBorder="1"/>
    <xf numFmtId="0" fontId="51" fillId="0" borderId="28" xfId="0" applyFont="1" applyBorder="1"/>
    <xf numFmtId="0" fontId="52" fillId="26" borderId="7" xfId="0" applyFont="1" applyFill="1" applyBorder="1"/>
    <xf numFmtId="0" fontId="52" fillId="28" borderId="7" xfId="0" applyFont="1" applyFill="1" applyBorder="1"/>
    <xf numFmtId="0" fontId="56" fillId="0" borderId="4" xfId="0" applyFont="1" applyBorder="1"/>
    <xf numFmtId="0" fontId="48" fillId="0" borderId="1" xfId="17" applyBorder="1" applyAlignment="1">
      <alignment horizontal="center"/>
    </xf>
    <xf numFmtId="0" fontId="49" fillId="0" borderId="4" xfId="0" applyFont="1" applyBorder="1"/>
    <xf numFmtId="0" fontId="52" fillId="0" borderId="0" xfId="0" applyFont="1" applyFill="1" applyBorder="1"/>
    <xf numFmtId="0" fontId="51" fillId="0" borderId="46" xfId="0" applyFont="1" applyFill="1" applyBorder="1"/>
    <xf numFmtId="0" fontId="51" fillId="0" borderId="36" xfId="0" applyFont="1" applyFill="1" applyBorder="1"/>
    <xf numFmtId="0" fontId="48" fillId="0" borderId="0" xfId="17" applyBorder="1" applyAlignment="1">
      <alignment horizontal="center"/>
    </xf>
    <xf numFmtId="0" fontId="52" fillId="13" borderId="6" xfId="0" applyFont="1" applyFill="1" applyBorder="1"/>
    <xf numFmtId="0" fontId="52" fillId="13" borderId="7" xfId="0" applyFont="1" applyFill="1" applyBorder="1"/>
    <xf numFmtId="0" fontId="51" fillId="13" borderId="8" xfId="0" applyFont="1" applyFill="1" applyBorder="1"/>
    <xf numFmtId="0" fontId="13" fillId="0" borderId="28" xfId="0" applyFont="1" applyBorder="1"/>
    <xf numFmtId="16" fontId="0" fillId="0" borderId="0" xfId="0" applyNumberFormat="1" applyAlignment="1">
      <alignment horizontal="center"/>
    </xf>
    <xf numFmtId="41" fontId="13" fillId="3" borderId="1" xfId="0" applyNumberFormat="1" applyFont="1" applyFill="1" applyBorder="1" applyAlignment="1">
      <alignment horizontal="left"/>
    </xf>
    <xf numFmtId="41" fontId="13" fillId="3" borderId="1" xfId="1" applyNumberFormat="1" applyFont="1" applyFill="1" applyBorder="1"/>
    <xf numFmtId="41" fontId="13" fillId="3" borderId="1" xfId="0" applyNumberFormat="1" applyFont="1" applyFill="1" applyBorder="1" applyAlignment="1">
      <alignment horizontal="right"/>
    </xf>
    <xf numFmtId="41" fontId="11" fillId="0" borderId="1" xfId="0" applyNumberFormat="1" applyFont="1" applyFill="1" applyBorder="1" applyAlignment="1">
      <alignment horizontal="left"/>
    </xf>
    <xf numFmtId="41" fontId="11" fillId="0" borderId="1" xfId="1" applyNumberFormat="1" applyFont="1" applyFill="1" applyBorder="1"/>
    <xf numFmtId="43" fontId="11" fillId="0" borderId="1" xfId="1" applyNumberFormat="1" applyFont="1" applyBorder="1"/>
    <xf numFmtId="0" fontId="0" fillId="0" borderId="0" xfId="0" applyNumberFormat="1" applyFont="1" applyBorder="1" applyAlignment="1">
      <alignment horizontal="center"/>
    </xf>
    <xf numFmtId="0" fontId="11" fillId="13" borderId="0" xfId="0" applyNumberFormat="1" applyFont="1" applyFill="1" applyBorder="1" applyAlignment="1">
      <alignment horizontal="center"/>
    </xf>
    <xf numFmtId="0" fontId="11" fillId="0" borderId="0" xfId="0" applyFont="1" applyBorder="1" applyAlignment="1">
      <alignment horizontal="center"/>
    </xf>
    <xf numFmtId="0" fontId="11" fillId="0" borderId="0" xfId="0" applyFont="1" applyFill="1" applyBorder="1" applyAlignment="1">
      <alignment horizontal="center"/>
    </xf>
    <xf numFmtId="0" fontId="0" fillId="0" borderId="0" xfId="0" applyFont="1" applyBorder="1" applyAlignment="1">
      <alignment horizontal="center"/>
    </xf>
    <xf numFmtId="169" fontId="11" fillId="0" borderId="0" xfId="0" applyNumberFormat="1" applyFont="1" applyFill="1" applyBorder="1" applyAlignment="1">
      <alignment horizontal="center"/>
    </xf>
    <xf numFmtId="43" fontId="11" fillId="0" borderId="1" xfId="1" applyNumberFormat="1" applyFont="1" applyFill="1" applyBorder="1" applyAlignment="1">
      <alignment wrapText="1"/>
    </xf>
    <xf numFmtId="43" fontId="11" fillId="0" borderId="1" xfId="1" applyNumberFormat="1" applyFont="1" applyFill="1" applyBorder="1"/>
    <xf numFmtId="0" fontId="13" fillId="0" borderId="0" xfId="0" applyFont="1" applyFill="1" applyBorder="1" applyAlignment="1">
      <alignment horizontal="center"/>
    </xf>
    <xf numFmtId="43" fontId="13" fillId="0" borderId="1" xfId="1" applyNumberFormat="1" applyFont="1" applyFill="1" applyBorder="1"/>
    <xf numFmtId="2" fontId="31" fillId="0" borderId="0" xfId="16" applyNumberFormat="1" applyFont="1"/>
    <xf numFmtId="43" fontId="13" fillId="0" borderId="1" xfId="1" applyNumberFormat="1" applyFont="1" applyFill="1" applyBorder="1" applyAlignment="1">
      <alignment wrapText="1"/>
    </xf>
    <xf numFmtId="169" fontId="13" fillId="0" borderId="0" xfId="0" applyNumberFormat="1" applyFont="1" applyFill="1" applyBorder="1" applyAlignment="1">
      <alignment horizontal="center"/>
    </xf>
    <xf numFmtId="43" fontId="13" fillId="0" borderId="1" xfId="1" applyNumberFormat="1" applyFont="1" applyBorder="1"/>
    <xf numFmtId="43" fontId="0" fillId="0" borderId="1" xfId="1" applyNumberFormat="1" applyFont="1" applyFill="1" applyBorder="1"/>
    <xf numFmtId="0" fontId="17" fillId="0" borderId="0" xfId="16" applyAlignment="1">
      <alignment horizontal="center"/>
    </xf>
    <xf numFmtId="0" fontId="0" fillId="0" borderId="0" xfId="0" applyFont="1" applyAlignment="1">
      <alignment horizontal="center"/>
    </xf>
    <xf numFmtId="164" fontId="11" fillId="0" borderId="1" xfId="1" applyNumberFormat="1" applyFont="1" applyFill="1" applyBorder="1" applyAlignment="1">
      <alignment wrapText="1"/>
    </xf>
    <xf numFmtId="169" fontId="17" fillId="0" borderId="0" xfId="22" applyNumberFormat="1" applyFill="1" applyAlignment="1">
      <alignment horizontal="center"/>
    </xf>
    <xf numFmtId="169" fontId="0" fillId="0" borderId="0" xfId="0" applyNumberFormat="1" applyFont="1" applyFill="1" applyBorder="1" applyAlignment="1">
      <alignment horizontal="center"/>
    </xf>
    <xf numFmtId="0" fontId="13" fillId="29" borderId="0" xfId="0" applyNumberFormat="1" applyFont="1" applyFill="1" applyBorder="1" applyAlignment="1">
      <alignment horizontal="center"/>
    </xf>
    <xf numFmtId="0" fontId="13" fillId="29" borderId="0" xfId="0" applyNumberFormat="1" applyFont="1" applyFill="1" applyBorder="1" applyAlignment="1">
      <alignment horizontal="left"/>
    </xf>
    <xf numFmtId="0" fontId="13" fillId="29" borderId="2" xfId="0" applyNumberFormat="1" applyFont="1" applyFill="1" applyBorder="1" applyAlignment="1">
      <alignment horizontal="center"/>
    </xf>
    <xf numFmtId="0" fontId="13" fillId="29" borderId="3" xfId="0" applyNumberFormat="1" applyFont="1" applyFill="1" applyBorder="1" applyAlignment="1">
      <alignment horizontal="center"/>
    </xf>
    <xf numFmtId="0" fontId="13" fillId="29" borderId="2" xfId="1" applyNumberFormat="1" applyFont="1" applyFill="1" applyBorder="1" applyAlignment="1">
      <alignment horizontal="center"/>
    </xf>
    <xf numFmtId="0" fontId="13" fillId="29" borderId="3" xfId="1" applyNumberFormat="1" applyFont="1" applyFill="1" applyBorder="1" applyAlignment="1">
      <alignment horizontal="center"/>
    </xf>
    <xf numFmtId="164" fontId="13" fillId="0" borderId="1" xfId="1" applyNumberFormat="1" applyFont="1" applyFill="1" applyBorder="1" applyAlignment="1">
      <alignment wrapText="1"/>
    </xf>
    <xf numFmtId="14" fontId="0" fillId="0" borderId="0" xfId="0" applyNumberFormat="1"/>
    <xf numFmtId="164" fontId="11" fillId="3" borderId="2" xfId="1" applyNumberFormat="1" applyFont="1" applyFill="1" applyBorder="1" applyAlignment="1">
      <alignment horizontal="center"/>
    </xf>
    <xf numFmtId="0" fontId="11" fillId="30" borderId="1" xfId="0" applyFont="1" applyFill="1" applyBorder="1" applyAlignment="1">
      <alignment horizontal="left"/>
    </xf>
    <xf numFmtId="0" fontId="11" fillId="18" borderId="1" xfId="0" applyFont="1" applyFill="1" applyBorder="1" applyAlignment="1">
      <alignment horizontal="left"/>
    </xf>
    <xf numFmtId="164" fontId="0" fillId="3" borderId="1" xfId="1" applyNumberFormat="1" applyFont="1" applyFill="1" applyBorder="1" applyAlignment="1">
      <alignment horizontal="center"/>
    </xf>
    <xf numFmtId="0" fontId="13" fillId="31" borderId="1" xfId="0" applyFont="1" applyFill="1" applyBorder="1" applyAlignment="1">
      <alignment horizontal="left"/>
    </xf>
    <xf numFmtId="0" fontId="13" fillId="31" borderId="1" xfId="0" applyFont="1" applyFill="1" applyBorder="1"/>
    <xf numFmtId="0" fontId="0" fillId="18" borderId="1" xfId="0" applyFont="1" applyFill="1" applyBorder="1"/>
    <xf numFmtId="0" fontId="0" fillId="18" borderId="1" xfId="0" applyFont="1" applyFill="1" applyBorder="1" applyAlignment="1">
      <alignment horizontal="left" indent="1"/>
    </xf>
    <xf numFmtId="164" fontId="0" fillId="3" borderId="1" xfId="1" applyNumberFormat="1" applyFont="1" applyFill="1" applyBorder="1"/>
    <xf numFmtId="0" fontId="0" fillId="0" borderId="0" xfId="0" applyFont="1" applyFill="1"/>
    <xf numFmtId="0" fontId="0" fillId="0" borderId="0" xfId="0" applyFont="1" applyFill="1" applyBorder="1" applyAlignment="1">
      <alignment horizontal="center"/>
    </xf>
    <xf numFmtId="37" fontId="0" fillId="0" borderId="1" xfId="0" applyNumberFormat="1" applyFont="1" applyFill="1" applyBorder="1" applyAlignment="1">
      <alignment horizontal="center"/>
    </xf>
    <xf numFmtId="0" fontId="26" fillId="28" borderId="1" xfId="0" applyFont="1" applyFill="1" applyBorder="1" applyAlignment="1">
      <alignment horizontal="center"/>
    </xf>
    <xf numFmtId="0" fontId="0" fillId="31" borderId="0" xfId="0" applyFill="1" applyAlignment="1">
      <alignment horizontal="center"/>
    </xf>
    <xf numFmtId="0" fontId="13" fillId="0" borderId="2" xfId="0" applyFont="1" applyBorder="1" applyAlignment="1">
      <alignment horizontal="right"/>
    </xf>
    <xf numFmtId="0" fontId="15" fillId="0" borderId="1" xfId="0" applyFont="1" applyFill="1" applyBorder="1" applyAlignment="1" applyProtection="1">
      <alignment vertical="top" wrapText="1"/>
      <protection locked="0"/>
    </xf>
    <xf numFmtId="41" fontId="16" fillId="32" borderId="0" xfId="2" applyNumberFormat="1" applyFont="1" applyFill="1" applyBorder="1" applyAlignment="1">
      <alignment horizontal="left"/>
    </xf>
    <xf numFmtId="0" fontId="10" fillId="0" borderId="0" xfId="0" applyFont="1" applyFill="1"/>
    <xf numFmtId="0" fontId="0" fillId="0" borderId="28" xfId="0" applyFill="1" applyBorder="1"/>
    <xf numFmtId="41" fontId="0" fillId="14" borderId="0" xfId="0" applyNumberFormat="1" applyFill="1"/>
    <xf numFmtId="0" fontId="0" fillId="0" borderId="28" xfId="0" applyFill="1" applyBorder="1" applyAlignment="1">
      <alignment horizontal="center"/>
    </xf>
    <xf numFmtId="0" fontId="0" fillId="0" borderId="0" xfId="0" applyFill="1" applyBorder="1" applyAlignment="1">
      <alignment horizontal="center"/>
    </xf>
    <xf numFmtId="41" fontId="16" fillId="0" borderId="0" xfId="2" applyNumberFormat="1" applyFont="1" applyBorder="1" applyAlignment="1">
      <alignment horizontal="center"/>
    </xf>
    <xf numFmtId="0" fontId="0" fillId="19" borderId="1" xfId="0" applyFont="1" applyFill="1" applyBorder="1"/>
    <xf numFmtId="0" fontId="11" fillId="19" borderId="1" xfId="0" applyFont="1" applyFill="1" applyBorder="1"/>
    <xf numFmtId="0" fontId="0" fillId="18" borderId="1" xfId="0" applyFont="1" applyFill="1" applyBorder="1" applyAlignment="1">
      <alignment horizontal="left"/>
    </xf>
    <xf numFmtId="0" fontId="0" fillId="30" borderId="1" xfId="0" applyFont="1" applyFill="1" applyBorder="1" applyAlignment="1">
      <alignment horizontal="left"/>
    </xf>
    <xf numFmtId="0" fontId="0" fillId="0" borderId="1" xfId="0" quotePrefix="1" applyFont="1" applyFill="1" applyBorder="1" applyAlignment="1">
      <alignment horizontal="left"/>
    </xf>
    <xf numFmtId="0" fontId="48" fillId="13" borderId="0" xfId="17" applyFill="1"/>
    <xf numFmtId="0" fontId="10" fillId="0" borderId="0" xfId="0" applyFont="1"/>
    <xf numFmtId="164" fontId="0" fillId="0" borderId="1" xfId="1" applyNumberFormat="1" applyFont="1" applyBorder="1" applyAlignment="1"/>
    <xf numFmtId="41" fontId="13" fillId="18" borderId="4" xfId="0" applyNumberFormat="1" applyFont="1" applyFill="1" applyBorder="1"/>
    <xf numFmtId="165" fontId="46" fillId="0" borderId="29" xfId="2" applyNumberFormat="1" applyFont="1" applyFill="1" applyBorder="1"/>
    <xf numFmtId="165" fontId="46" fillId="0" borderId="34" xfId="2" applyNumberFormat="1" applyFont="1" applyFill="1" applyBorder="1"/>
    <xf numFmtId="0" fontId="0" fillId="0" borderId="0" xfId="0" applyAlignment="1">
      <alignment wrapText="1"/>
    </xf>
    <xf numFmtId="0" fontId="25" fillId="3" borderId="0" xfId="4" applyFont="1" applyFill="1" applyBorder="1" applyAlignment="1">
      <alignment horizontal="right" wrapText="1"/>
    </xf>
    <xf numFmtId="165" fontId="11" fillId="3" borderId="0" xfId="2" applyNumberFormat="1" applyFont="1" applyFill="1" applyBorder="1" applyAlignment="1"/>
    <xf numFmtId="165" fontId="16" fillId="3" borderId="0" xfId="2" applyNumberFormat="1" applyFont="1" applyFill="1" applyBorder="1" applyAlignment="1">
      <alignment horizontal="right"/>
    </xf>
    <xf numFmtId="168" fontId="11" fillId="3" borderId="0" xfId="3" applyNumberFormat="1" applyFont="1" applyFill="1" applyBorder="1" applyAlignment="1"/>
    <xf numFmtId="165" fontId="11" fillId="3" borderId="41" xfId="2" applyNumberFormat="1" applyFont="1" applyFill="1" applyBorder="1" applyAlignment="1"/>
    <xf numFmtId="10" fontId="16" fillId="3" borderId="0" xfId="3" applyNumberFormat="1" applyFont="1" applyFill="1" applyBorder="1" applyAlignment="1">
      <alignment horizontal="right"/>
    </xf>
    <xf numFmtId="165" fontId="13" fillId="3" borderId="0" xfId="2" applyNumberFormat="1" applyFont="1" applyFill="1" applyBorder="1" applyAlignment="1"/>
    <xf numFmtId="169" fontId="0" fillId="0" borderId="0" xfId="0" applyNumberFormat="1" applyFont="1" applyBorder="1" applyAlignment="1">
      <alignment horizontal="center"/>
    </xf>
    <xf numFmtId="37" fontId="0" fillId="0" borderId="1" xfId="0" applyNumberFormat="1" applyFont="1" applyFill="1" applyBorder="1"/>
    <xf numFmtId="164" fontId="13" fillId="0" borderId="2" xfId="1" applyNumberFormat="1" applyFont="1" applyBorder="1"/>
    <xf numFmtId="164" fontId="13" fillId="0" borderId="4" xfId="1" applyNumberFormat="1" applyFont="1" applyBorder="1"/>
    <xf numFmtId="164" fontId="13" fillId="0" borderId="3" xfId="1" applyNumberFormat="1" applyFont="1" applyBorder="1"/>
    <xf numFmtId="0" fontId="11" fillId="0" borderId="3" xfId="0" applyFont="1" applyBorder="1" applyAlignment="1">
      <alignment horizontal="left"/>
    </xf>
    <xf numFmtId="1" fontId="17" fillId="6" borderId="0" xfId="13" quotePrefix="1" applyNumberFormat="1" applyFont="1" applyFill="1" applyBorder="1" applyAlignment="1" applyProtection="1">
      <alignment horizontal="center"/>
      <protection locked="0"/>
    </xf>
    <xf numFmtId="1" fontId="26" fillId="0" borderId="0" xfId="0" applyNumberFormat="1" applyFont="1" applyFill="1"/>
    <xf numFmtId="0" fontId="17" fillId="6" borderId="0" xfId="12" applyNumberFormat="1" applyFont="1" applyFill="1" applyBorder="1" applyAlignment="1" applyProtection="1">
      <alignment horizontal="center"/>
      <protection locked="0"/>
    </xf>
    <xf numFmtId="0" fontId="26" fillId="28" borderId="2" xfId="0" applyFont="1" applyFill="1" applyBorder="1" applyAlignment="1">
      <alignment horizontal="center"/>
    </xf>
    <xf numFmtId="0" fontId="0" fillId="0" borderId="29" xfId="0" applyBorder="1" applyAlignment="1">
      <alignment horizontal="center"/>
    </xf>
    <xf numFmtId="0" fontId="26" fillId="0" borderId="32" xfId="0" applyFont="1" applyBorder="1" applyAlignment="1">
      <alignment horizontal="center"/>
    </xf>
    <xf numFmtId="164" fontId="31" fillId="0" borderId="29" xfId="10" applyNumberFormat="1" applyFont="1" applyFill="1" applyBorder="1" applyAlignment="1">
      <alignment horizontal="center" wrapText="1"/>
    </xf>
    <xf numFmtId="0" fontId="0" fillId="0" borderId="26" xfId="0" applyBorder="1"/>
    <xf numFmtId="0" fontId="0" fillId="0" borderId="31" xfId="0" applyBorder="1"/>
    <xf numFmtId="0" fontId="0" fillId="0" borderId="27" xfId="0" applyBorder="1"/>
    <xf numFmtId="0" fontId="0" fillId="0" borderId="51" xfId="0" applyBorder="1"/>
    <xf numFmtId="41" fontId="0" fillId="0" borderId="51" xfId="0" applyNumberFormat="1" applyBorder="1"/>
    <xf numFmtId="41" fontId="0" fillId="18" borderId="51" xfId="0" applyNumberFormat="1" applyFill="1" applyBorder="1"/>
    <xf numFmtId="0" fontId="0" fillId="0" borderId="52" xfId="0" applyBorder="1"/>
    <xf numFmtId="41" fontId="26" fillId="0" borderId="51" xfId="0" applyNumberFormat="1" applyFont="1" applyFill="1" applyBorder="1"/>
    <xf numFmtId="0" fontId="0" fillId="0" borderId="51" xfId="0" applyFill="1" applyBorder="1"/>
    <xf numFmtId="41" fontId="16" fillId="0" borderId="51" xfId="2" applyNumberFormat="1" applyFont="1" applyFill="1" applyBorder="1" applyAlignment="1">
      <alignment horizontal="left"/>
    </xf>
    <xf numFmtId="41" fontId="16" fillId="0" borderId="52" xfId="2" applyNumberFormat="1" applyFont="1" applyFill="1" applyBorder="1" applyAlignment="1">
      <alignment horizontal="left"/>
    </xf>
    <xf numFmtId="41" fontId="0" fillId="0" borderId="51" xfId="0" applyNumberFormat="1" applyFill="1" applyBorder="1"/>
    <xf numFmtId="0" fontId="0" fillId="31" borderId="51" xfId="0" applyFill="1" applyBorder="1" applyAlignment="1">
      <alignment horizontal="center"/>
    </xf>
    <xf numFmtId="0" fontId="0" fillId="0" borderId="51" xfId="0" applyFill="1" applyBorder="1" applyAlignment="1">
      <alignment horizontal="center"/>
    </xf>
    <xf numFmtId="0" fontId="0" fillId="0" borderId="52" xfId="0" applyFill="1" applyBorder="1" applyAlignment="1">
      <alignment horizontal="center"/>
    </xf>
    <xf numFmtId="0" fontId="0" fillId="0" borderId="51" xfId="0" applyBorder="1" applyAlignment="1">
      <alignment horizontal="center"/>
    </xf>
    <xf numFmtId="164" fontId="11" fillId="3" borderId="2" xfId="1" applyNumberFormat="1" applyFont="1" applyFill="1" applyBorder="1" applyAlignment="1"/>
    <xf numFmtId="170" fontId="16" fillId="0" borderId="31" xfId="2" applyNumberFormat="1" applyFont="1" applyFill="1" applyBorder="1" applyAlignment="1">
      <alignment horizontal="left"/>
    </xf>
    <xf numFmtId="170" fontId="16" fillId="0" borderId="27" xfId="2" applyNumberFormat="1" applyFont="1" applyFill="1" applyBorder="1" applyAlignment="1">
      <alignment horizontal="left"/>
    </xf>
    <xf numFmtId="170" fontId="26" fillId="0" borderId="0" xfId="0" applyNumberFormat="1" applyFont="1" applyFill="1"/>
    <xf numFmtId="170" fontId="0" fillId="0" borderId="31" xfId="0" applyNumberFormat="1" applyFill="1" applyBorder="1"/>
    <xf numFmtId="170" fontId="26" fillId="0" borderId="0" xfId="0" applyNumberFormat="1" applyFont="1" applyFill="1" applyBorder="1"/>
    <xf numFmtId="170" fontId="0" fillId="0" borderId="0" xfId="0" applyNumberFormat="1" applyFill="1"/>
    <xf numFmtId="0" fontId="13" fillId="15" borderId="4" xfId="0" applyFont="1" applyFill="1" applyBorder="1" applyAlignment="1">
      <alignment wrapText="1"/>
    </xf>
    <xf numFmtId="0" fontId="13" fillId="15" borderId="1" xfId="0" applyFont="1" applyFill="1" applyBorder="1" applyAlignment="1">
      <alignment horizontal="left"/>
    </xf>
    <xf numFmtId="164" fontId="11" fillId="33" borderId="1" xfId="1" applyNumberFormat="1" applyFont="1" applyFill="1" applyBorder="1"/>
    <xf numFmtId="0" fontId="13" fillId="15" borderId="3" xfId="0" applyFont="1" applyFill="1" applyBorder="1" applyAlignment="1">
      <alignment horizontal="left" wrapText="1"/>
    </xf>
    <xf numFmtId="164" fontId="11" fillId="15" borderId="1" xfId="1" applyNumberFormat="1" applyFont="1" applyFill="1" applyBorder="1"/>
    <xf numFmtId="164" fontId="16" fillId="0" borderId="1" xfId="1" applyNumberFormat="1" applyFont="1" applyFill="1" applyBorder="1" applyAlignment="1">
      <alignment horizontal="left" wrapText="1" indent="1"/>
    </xf>
    <xf numFmtId="164" fontId="16" fillId="0" borderId="1" xfId="1" quotePrefix="1" applyNumberFormat="1" applyFont="1" applyFill="1" applyBorder="1" applyAlignment="1">
      <alignment horizontal="left" wrapText="1" indent="1"/>
    </xf>
    <xf numFmtId="0" fontId="11" fillId="27" borderId="1" xfId="0" applyFont="1" applyFill="1" applyBorder="1" applyAlignment="1">
      <alignment horizontal="right"/>
    </xf>
    <xf numFmtId="0" fontId="16" fillId="0" borderId="16" xfId="4" applyFont="1" applyBorder="1" applyAlignment="1">
      <alignment horizontal="left" wrapText="1" indent="1"/>
    </xf>
    <xf numFmtId="0" fontId="0" fillId="0" borderId="1" xfId="0" applyFont="1" applyBorder="1" applyAlignment="1">
      <alignment horizontal="left" indent="1"/>
    </xf>
    <xf numFmtId="164" fontId="0" fillId="0" borderId="1" xfId="1" applyNumberFormat="1" applyFont="1" applyFill="1" applyBorder="1" applyAlignment="1"/>
    <xf numFmtId="41" fontId="11" fillId="0" borderId="1" xfId="3" applyNumberFormat="1" applyFont="1" applyBorder="1" applyAlignment="1"/>
    <xf numFmtId="41" fontId="11" fillId="0" borderId="3" xfId="3" applyNumberFormat="1" applyFont="1" applyBorder="1" applyAlignment="1"/>
    <xf numFmtId="41" fontId="11" fillId="0" borderId="19" xfId="3" applyNumberFormat="1" applyFont="1" applyBorder="1" applyAlignment="1"/>
    <xf numFmtId="164" fontId="11" fillId="3" borderId="3" xfId="1" applyNumberFormat="1" applyFont="1" applyFill="1" applyBorder="1" applyAlignment="1"/>
    <xf numFmtId="164" fontId="11" fillId="17" borderId="1" xfId="1" applyNumberFormat="1" applyFont="1" applyFill="1" applyBorder="1" applyAlignment="1">
      <alignment horizontal="right"/>
    </xf>
    <xf numFmtId="164" fontId="57" fillId="0" borderId="0" xfId="10" applyNumberFormat="1" applyFont="1" applyFill="1" applyBorder="1"/>
    <xf numFmtId="3" fontId="13" fillId="3" borderId="1" xfId="0" applyNumberFormat="1" applyFont="1" applyFill="1" applyBorder="1" applyAlignment="1">
      <alignment horizontal="right"/>
    </xf>
    <xf numFmtId="37" fontId="17" fillId="28" borderId="0" xfId="11" applyFont="1" applyFill="1" applyBorder="1" applyAlignment="1" applyProtection="1">
      <protection locked="0"/>
    </xf>
    <xf numFmtId="49" fontId="17" fillId="28" borderId="0" xfId="11" applyNumberFormat="1" applyFont="1" applyFill="1" applyBorder="1" applyAlignment="1" applyProtection="1">
      <alignment horizontal="center"/>
      <protection locked="0"/>
    </xf>
    <xf numFmtId="164" fontId="11" fillId="28" borderId="1" xfId="1" applyNumberFormat="1" applyFont="1" applyFill="1" applyBorder="1" applyAlignment="1">
      <alignment horizontal="right"/>
    </xf>
    <xf numFmtId="41" fontId="0" fillId="0" borderId="26" xfId="0" applyNumberFormat="1" applyBorder="1"/>
    <xf numFmtId="41" fontId="0" fillId="0" borderId="31" xfId="0" applyNumberFormat="1" applyBorder="1"/>
    <xf numFmtId="2" fontId="11" fillId="0" borderId="1" xfId="0" applyNumberFormat="1" applyFont="1" applyFill="1" applyBorder="1" applyAlignment="1">
      <alignment horizontal="right"/>
    </xf>
    <xf numFmtId="2" fontId="13" fillId="0" borderId="1" xfId="0" applyNumberFormat="1" applyFont="1" applyFill="1" applyBorder="1" applyAlignment="1">
      <alignment horizontal="right"/>
    </xf>
    <xf numFmtId="43" fontId="13" fillId="0" borderId="1" xfId="0" applyNumberFormat="1" applyFont="1" applyBorder="1" applyAlignment="1">
      <alignment horizontal="right"/>
    </xf>
    <xf numFmtId="3" fontId="0" fillId="14" borderId="1" xfId="0" applyNumberFormat="1" applyFont="1" applyFill="1" applyBorder="1" applyAlignment="1">
      <alignment horizontal="right"/>
    </xf>
    <xf numFmtId="0" fontId="0" fillId="31" borderId="1" xfId="0" applyFont="1" applyFill="1" applyBorder="1" applyAlignment="1">
      <alignment horizontal="center"/>
    </xf>
    <xf numFmtId="0" fontId="9" fillId="0" borderId="0" xfId="23"/>
    <xf numFmtId="165" fontId="11" fillId="3" borderId="0" xfId="24" applyNumberFormat="1" applyFont="1" applyFill="1" applyBorder="1" applyAlignment="1"/>
    <xf numFmtId="41" fontId="16" fillId="3" borderId="0" xfId="24" applyNumberFormat="1" applyFont="1" applyFill="1" applyBorder="1" applyAlignment="1">
      <alignment horizontal="left"/>
    </xf>
    <xf numFmtId="41" fontId="16" fillId="0" borderId="0" xfId="24" applyNumberFormat="1" applyFont="1" applyBorder="1" applyAlignment="1">
      <alignment horizontal="left"/>
    </xf>
    <xf numFmtId="165" fontId="11" fillId="3" borderId="22" xfId="24" applyNumberFormat="1" applyFont="1" applyFill="1" applyBorder="1" applyAlignment="1"/>
    <xf numFmtId="165" fontId="11" fillId="3" borderId="21" xfId="24" applyNumberFormat="1" applyFont="1" applyFill="1" applyBorder="1" applyAlignment="1"/>
    <xf numFmtId="41" fontId="16" fillId="3" borderId="1" xfId="24" applyNumberFormat="1" applyFont="1" applyFill="1" applyBorder="1" applyAlignment="1">
      <alignment horizontal="left"/>
    </xf>
    <xf numFmtId="41" fontId="16" fillId="3" borderId="18" xfId="24" applyNumberFormat="1" applyFont="1" applyFill="1" applyBorder="1" applyAlignment="1">
      <alignment horizontal="left"/>
    </xf>
    <xf numFmtId="41" fontId="16" fillId="0" borderId="1" xfId="24" applyNumberFormat="1" applyFont="1" applyBorder="1" applyAlignment="1">
      <alignment horizontal="left"/>
    </xf>
    <xf numFmtId="41" fontId="16" fillId="0" borderId="18" xfId="24" applyNumberFormat="1" applyFont="1" applyBorder="1" applyAlignment="1">
      <alignment horizontal="left"/>
    </xf>
    <xf numFmtId="0" fontId="9" fillId="0" borderId="1" xfId="23" applyFont="1" applyBorder="1" applyAlignment="1">
      <alignment horizontal="left"/>
    </xf>
    <xf numFmtId="41" fontId="11" fillId="0" borderId="0" xfId="24" applyNumberFormat="1" applyFont="1" applyBorder="1" applyAlignment="1"/>
    <xf numFmtId="41" fontId="11" fillId="0" borderId="1" xfId="24" applyNumberFormat="1" applyFont="1" applyBorder="1" applyAlignment="1"/>
    <xf numFmtId="41" fontId="11" fillId="3" borderId="0" xfId="24" applyNumberFormat="1" applyFont="1" applyFill="1" applyBorder="1" applyAlignment="1"/>
    <xf numFmtId="41" fontId="11" fillId="3" borderId="1" xfId="24" applyNumberFormat="1" applyFont="1" applyFill="1" applyBorder="1" applyAlignment="1"/>
    <xf numFmtId="41" fontId="11" fillId="3" borderId="18" xfId="24" applyNumberFormat="1" applyFont="1" applyFill="1" applyBorder="1" applyAlignment="1"/>
    <xf numFmtId="3" fontId="13" fillId="0" borderId="1" xfId="23" applyNumberFormat="1" applyFont="1" applyBorder="1" applyAlignment="1">
      <alignment horizontal="right"/>
    </xf>
    <xf numFmtId="0" fontId="13" fillId="0" borderId="1" xfId="23" applyFont="1" applyBorder="1" applyAlignment="1">
      <alignment horizontal="left"/>
    </xf>
    <xf numFmtId="3" fontId="11" fillId="0" borderId="1" xfId="23" applyNumberFormat="1" applyFont="1" applyBorder="1" applyAlignment="1">
      <alignment horizontal="right"/>
    </xf>
    <xf numFmtId="3" fontId="9" fillId="0" borderId="1" xfId="23" applyNumberFormat="1" applyFont="1" applyBorder="1" applyAlignment="1">
      <alignment horizontal="right"/>
    </xf>
    <xf numFmtId="3" fontId="11" fillId="0" borderId="1" xfId="23" applyNumberFormat="1" applyFont="1" applyFill="1" applyBorder="1" applyAlignment="1">
      <alignment horizontal="right"/>
    </xf>
    <xf numFmtId="0" fontId="11" fillId="0" borderId="1" xfId="23" applyFont="1" applyFill="1" applyBorder="1" applyAlignment="1">
      <alignment horizontal="left"/>
    </xf>
    <xf numFmtId="0" fontId="11" fillId="0" borderId="1" xfId="23" applyFont="1" applyBorder="1" applyAlignment="1">
      <alignment horizontal="left"/>
    </xf>
    <xf numFmtId="3" fontId="9" fillId="0" borderId="0" xfId="23" applyNumberFormat="1"/>
    <xf numFmtId="3" fontId="9" fillId="31" borderId="0" xfId="23" applyNumberFormat="1" applyFill="1"/>
    <xf numFmtId="3" fontId="13" fillId="0" borderId="1" xfId="23" applyNumberFormat="1" applyFont="1" applyFill="1" applyBorder="1" applyAlignment="1">
      <alignment horizontal="right"/>
    </xf>
    <xf numFmtId="0" fontId="13" fillId="0" borderId="1" xfId="23" applyFont="1" applyFill="1" applyBorder="1" applyAlignment="1">
      <alignment horizontal="left"/>
    </xf>
    <xf numFmtId="3" fontId="11" fillId="15" borderId="1" xfId="23" applyNumberFormat="1" applyFont="1" applyFill="1" applyBorder="1" applyAlignment="1">
      <alignment horizontal="right"/>
    </xf>
    <xf numFmtId="0" fontId="11" fillId="30" borderId="1" xfId="23" applyFont="1" applyFill="1" applyBorder="1" applyAlignment="1">
      <alignment horizontal="left"/>
    </xf>
    <xf numFmtId="0" fontId="9" fillId="18" borderId="1" xfId="23" applyFont="1" applyFill="1" applyBorder="1" applyAlignment="1">
      <alignment horizontal="left"/>
    </xf>
    <xf numFmtId="0" fontId="11" fillId="18" borderId="1" xfId="23" applyFont="1" applyFill="1" applyBorder="1" applyAlignment="1">
      <alignment horizontal="left"/>
    </xf>
    <xf numFmtId="0" fontId="11" fillId="0" borderId="1" xfId="23" applyFont="1" applyBorder="1" applyAlignment="1">
      <alignment horizontal="left" indent="1"/>
    </xf>
    <xf numFmtId="0" fontId="9" fillId="0" borderId="1" xfId="23" applyFont="1" applyBorder="1" applyAlignment="1">
      <alignment horizontal="left" indent="1"/>
    </xf>
    <xf numFmtId="3" fontId="11" fillId="14" borderId="1" xfId="23" applyNumberFormat="1" applyFont="1" applyFill="1" applyBorder="1" applyAlignment="1">
      <alignment horizontal="right"/>
    </xf>
    <xf numFmtId="3" fontId="9" fillId="14" borderId="1" xfId="23" applyNumberFormat="1" applyFont="1" applyFill="1" applyBorder="1" applyAlignment="1">
      <alignment horizontal="right"/>
    </xf>
    <xf numFmtId="164" fontId="11" fillId="0" borderId="1" xfId="25" applyNumberFormat="1" applyFont="1" applyBorder="1"/>
    <xf numFmtId="165" fontId="16" fillId="0" borderId="0" xfId="24" applyNumberFormat="1" applyFont="1" applyBorder="1" applyAlignment="1">
      <alignment horizontal="left"/>
    </xf>
    <xf numFmtId="165" fontId="16" fillId="0" borderId="1" xfId="24" applyNumberFormat="1" applyFont="1" applyBorder="1" applyAlignment="1">
      <alignment horizontal="left"/>
    </xf>
    <xf numFmtId="165" fontId="16" fillId="0" borderId="18" xfId="24" applyNumberFormat="1" applyFont="1" applyBorder="1" applyAlignment="1">
      <alignment horizontal="left"/>
    </xf>
    <xf numFmtId="165" fontId="16" fillId="3" borderId="22" xfId="24" applyNumberFormat="1" applyFont="1" applyFill="1" applyBorder="1" applyAlignment="1">
      <alignment horizontal="right"/>
    </xf>
    <xf numFmtId="165" fontId="16" fillId="3" borderId="21" xfId="24" applyNumberFormat="1" applyFont="1" applyFill="1" applyBorder="1" applyAlignment="1">
      <alignment horizontal="right"/>
    </xf>
    <xf numFmtId="41" fontId="16" fillId="0" borderId="1" xfId="24" quotePrefix="1" applyNumberFormat="1" applyFont="1" applyBorder="1" applyAlignment="1">
      <alignment horizontal="left"/>
    </xf>
    <xf numFmtId="41" fontId="16" fillId="0" borderId="18" xfId="24" quotePrefix="1" applyNumberFormat="1" applyFont="1" applyBorder="1" applyAlignment="1">
      <alignment horizontal="left"/>
    </xf>
    <xf numFmtId="41" fontId="16" fillId="31" borderId="1" xfId="24" quotePrefix="1" applyNumberFormat="1" applyFont="1" applyFill="1" applyBorder="1" applyAlignment="1">
      <alignment horizontal="left"/>
    </xf>
    <xf numFmtId="41" fontId="16" fillId="31" borderId="18" xfId="24" quotePrefix="1" applyNumberFormat="1" applyFont="1" applyFill="1" applyBorder="1" applyAlignment="1">
      <alignment horizontal="left"/>
    </xf>
    <xf numFmtId="3" fontId="11" fillId="31" borderId="1" xfId="23" applyNumberFormat="1" applyFont="1" applyFill="1" applyBorder="1" applyAlignment="1">
      <alignment horizontal="right"/>
    </xf>
    <xf numFmtId="41" fontId="16" fillId="3" borderId="1" xfId="24" quotePrefix="1" applyNumberFormat="1" applyFont="1" applyFill="1" applyBorder="1" applyAlignment="1">
      <alignment horizontal="left"/>
    </xf>
    <xf numFmtId="41" fontId="16" fillId="3" borderId="18" xfId="24" quotePrefix="1" applyNumberFormat="1" applyFont="1" applyFill="1" applyBorder="1" applyAlignment="1">
      <alignment horizontal="left"/>
    </xf>
    <xf numFmtId="0" fontId="11" fillId="0" borderId="1" xfId="23" applyFont="1" applyBorder="1" applyAlignment="1">
      <alignment horizontal="right"/>
    </xf>
    <xf numFmtId="42" fontId="11" fillId="3" borderId="17" xfId="24" applyNumberFormat="1" applyFont="1" applyFill="1" applyBorder="1" applyAlignment="1"/>
    <xf numFmtId="41" fontId="16" fillId="31" borderId="1" xfId="24" applyNumberFormat="1" applyFont="1" applyFill="1" applyBorder="1" applyAlignment="1">
      <alignment horizontal="left"/>
    </xf>
    <xf numFmtId="41" fontId="16" fillId="31" borderId="18" xfId="24" applyNumberFormat="1" applyFont="1" applyFill="1" applyBorder="1" applyAlignment="1">
      <alignment horizontal="left"/>
    </xf>
    <xf numFmtId="165" fontId="16" fillId="31" borderId="1" xfId="24" applyNumberFormat="1" applyFont="1" applyFill="1" applyBorder="1" applyAlignment="1">
      <alignment horizontal="left"/>
    </xf>
    <xf numFmtId="165" fontId="16" fillId="31" borderId="18" xfId="24" applyNumberFormat="1" applyFont="1" applyFill="1" applyBorder="1" applyAlignment="1">
      <alignment horizontal="left"/>
    </xf>
    <xf numFmtId="0" fontId="9" fillId="0" borderId="0" xfId="23" applyAlignment="1">
      <alignment horizontal="center"/>
    </xf>
    <xf numFmtId="0" fontId="58" fillId="0" borderId="0" xfId="23" applyFont="1" applyAlignment="1">
      <alignment horizontal="center"/>
    </xf>
    <xf numFmtId="0" fontId="58" fillId="0" borderId="0" xfId="23" applyFont="1"/>
    <xf numFmtId="0" fontId="59" fillId="0" borderId="0" xfId="23" applyFont="1"/>
    <xf numFmtId="0" fontId="13" fillId="0" borderId="1" xfId="0" applyFont="1" applyBorder="1" applyAlignment="1"/>
    <xf numFmtId="0" fontId="11" fillId="0" borderId="1" xfId="0" applyFont="1" applyBorder="1" applyAlignment="1"/>
    <xf numFmtId="0" fontId="0" fillId="0" borderId="1" xfId="0" applyFont="1" applyBorder="1" applyAlignment="1"/>
    <xf numFmtId="0" fontId="11" fillId="0" borderId="1" xfId="0" applyFont="1" applyFill="1" applyBorder="1" applyAlignment="1"/>
    <xf numFmtId="0" fontId="0" fillId="27" borderId="1" xfId="0" applyFont="1" applyFill="1" applyBorder="1" applyAlignment="1"/>
    <xf numFmtId="0" fontId="11" fillId="27" borderId="1" xfId="0" applyFont="1" applyFill="1" applyBorder="1" applyAlignment="1"/>
    <xf numFmtId="0" fontId="0" fillId="18" borderId="1" xfId="0" applyFont="1" applyFill="1" applyBorder="1" applyAlignment="1"/>
    <xf numFmtId="165" fontId="9" fillId="0" borderId="0" xfId="23" applyNumberFormat="1"/>
    <xf numFmtId="37" fontId="0" fillId="0" borderId="1" xfId="0" applyNumberFormat="1" applyFont="1" applyFill="1" applyBorder="1" applyAlignment="1">
      <alignment horizontal="right"/>
    </xf>
    <xf numFmtId="1" fontId="11" fillId="0" borderId="0" xfId="0" applyNumberFormat="1" applyFont="1"/>
    <xf numFmtId="1" fontId="0" fillId="0" borderId="0" xfId="0" applyNumberFormat="1"/>
    <xf numFmtId="3" fontId="9" fillId="31" borderId="0" xfId="23" applyNumberFormat="1" applyFill="1" applyAlignment="1">
      <alignment horizontal="center"/>
    </xf>
    <xf numFmtId="0" fontId="8" fillId="0" borderId="0" xfId="23" applyFont="1"/>
    <xf numFmtId="0" fontId="0" fillId="0" borderId="0" xfId="0" applyAlignment="1">
      <alignment horizontal="left" vertical="center"/>
    </xf>
    <xf numFmtId="0" fontId="0" fillId="0" borderId="26" xfId="0" applyBorder="1" applyAlignment="1">
      <alignment horizontal="left" vertical="center" wrapText="1"/>
    </xf>
    <xf numFmtId="165" fontId="16" fillId="0" borderId="0" xfId="24" applyNumberFormat="1" applyFont="1" applyBorder="1" applyAlignment="1">
      <alignment horizontal="center"/>
    </xf>
    <xf numFmtId="41" fontId="16" fillId="0" borderId="0" xfId="24" applyNumberFormat="1" applyFont="1" applyBorder="1" applyAlignment="1">
      <alignment horizontal="center"/>
    </xf>
    <xf numFmtId="41" fontId="16" fillId="3" borderId="0" xfId="24" applyNumberFormat="1" applyFont="1" applyFill="1" applyBorder="1" applyAlignment="1">
      <alignment horizontal="center"/>
    </xf>
    <xf numFmtId="41" fontId="11" fillId="3" borderId="0" xfId="24" applyNumberFormat="1" applyFont="1" applyFill="1" applyBorder="1" applyAlignment="1">
      <alignment horizontal="center"/>
    </xf>
    <xf numFmtId="41" fontId="11" fillId="0" borderId="0" xfId="24" applyNumberFormat="1" applyFont="1" applyBorder="1" applyAlignment="1">
      <alignment horizontal="center"/>
    </xf>
    <xf numFmtId="0" fontId="0" fillId="0" borderId="0" xfId="0" applyAlignment="1"/>
    <xf numFmtId="164" fontId="0" fillId="0" borderId="1" xfId="0" applyNumberFormat="1" applyFont="1" applyBorder="1" applyAlignment="1">
      <alignment horizontal="right"/>
    </xf>
    <xf numFmtId="0" fontId="46" fillId="0" borderId="28" xfId="0" applyFont="1" applyBorder="1" applyAlignment="1">
      <alignment horizontal="center"/>
    </xf>
    <xf numFmtId="0" fontId="52" fillId="19" borderId="7" xfId="0" applyFont="1" applyFill="1" applyBorder="1" applyAlignment="1">
      <alignment horizontal="center" vertical="center" wrapText="1"/>
    </xf>
    <xf numFmtId="0" fontId="50" fillId="0" borderId="8" xfId="0" applyFont="1" applyFill="1" applyBorder="1" applyAlignment="1">
      <alignment horizontal="center" vertical="center"/>
    </xf>
    <xf numFmtId="164" fontId="0" fillId="3" borderId="1" xfId="1" applyNumberFormat="1" applyFont="1" applyFill="1" applyBorder="1" applyAlignment="1">
      <alignment wrapText="1"/>
    </xf>
    <xf numFmtId="169" fontId="17" fillId="25" borderId="0" xfId="16" applyNumberFormat="1" applyFont="1" applyFill="1" applyAlignment="1">
      <alignment horizontal="center"/>
    </xf>
    <xf numFmtId="164" fontId="11" fillId="3" borderId="1" xfId="1" applyNumberFormat="1" applyFont="1" applyFill="1" applyBorder="1" applyAlignment="1"/>
    <xf numFmtId="0" fontId="0" fillId="3" borderId="1" xfId="0" applyFont="1" applyFill="1" applyBorder="1" applyAlignment="1">
      <alignment horizontal="right"/>
    </xf>
    <xf numFmtId="49" fontId="17" fillId="17" borderId="0" xfId="12" applyNumberFormat="1" applyFont="1" applyFill="1" applyBorder="1" applyAlignment="1" applyProtection="1">
      <alignment horizontal="left"/>
      <protection locked="0"/>
    </xf>
    <xf numFmtId="49" fontId="17" fillId="17" borderId="0" xfId="11" applyNumberFormat="1" applyFont="1" applyFill="1" applyBorder="1" applyAlignment="1" applyProtection="1">
      <alignment horizontal="center"/>
      <protection locked="0"/>
    </xf>
    <xf numFmtId="37" fontId="17" fillId="17" borderId="0" xfId="11" applyFont="1" applyFill="1" applyBorder="1" applyAlignment="1" applyProtection="1">
      <protection locked="0"/>
    </xf>
    <xf numFmtId="169" fontId="0" fillId="0" borderId="0" xfId="0" applyNumberFormat="1"/>
    <xf numFmtId="164" fontId="31" fillId="0" borderId="34" xfId="10" applyNumberFormat="1" applyFont="1" applyFill="1" applyBorder="1" applyAlignment="1">
      <alignment horizontal="center" wrapText="1"/>
    </xf>
    <xf numFmtId="0" fontId="0" fillId="0" borderId="1" xfId="0" applyFill="1" applyBorder="1" applyAlignment="1">
      <alignment horizontal="center" wrapText="1"/>
    </xf>
    <xf numFmtId="0" fontId="11" fillId="0" borderId="1" xfId="0" applyFont="1" applyBorder="1"/>
    <xf numFmtId="0" fontId="11" fillId="0" borderId="1" xfId="0" applyFont="1" applyBorder="1" applyAlignment="1">
      <alignment horizontal="left"/>
    </xf>
    <xf numFmtId="0" fontId="0" fillId="0" borderId="0" xfId="0"/>
    <xf numFmtId="0" fontId="11" fillId="0" borderId="0" xfId="0" applyFont="1" applyBorder="1" applyAlignment="1">
      <alignment horizontal="center"/>
    </xf>
    <xf numFmtId="164" fontId="11" fillId="0" borderId="1" xfId="1" applyNumberFormat="1" applyFont="1" applyBorder="1"/>
    <xf numFmtId="0" fontId="11" fillId="0" borderId="1" xfId="0" applyFont="1" applyBorder="1" applyAlignment="1">
      <alignment horizontal="left"/>
    </xf>
    <xf numFmtId="3" fontId="11" fillId="0" borderId="1" xfId="0" applyNumberFormat="1" applyFont="1" applyBorder="1" applyAlignment="1">
      <alignment horizontal="right"/>
    </xf>
    <xf numFmtId="0" fontId="0" fillId="0" borderId="0" xfId="0"/>
    <xf numFmtId="0" fontId="11" fillId="0" borderId="0" xfId="0" applyFont="1" applyBorder="1" applyAlignment="1">
      <alignment horizontal="center"/>
    </xf>
    <xf numFmtId="0" fontId="11" fillId="0" borderId="1" xfId="0" applyFont="1" applyBorder="1"/>
    <xf numFmtId="164" fontId="11" fillId="0" borderId="1" xfId="1" applyNumberFormat="1" applyFont="1" applyBorder="1"/>
    <xf numFmtId="0" fontId="11" fillId="0" borderId="1" xfId="0" applyFont="1" applyBorder="1" applyAlignment="1">
      <alignment horizontal="left"/>
    </xf>
    <xf numFmtId="3" fontId="11" fillId="0" borderId="1" xfId="0" applyNumberFormat="1" applyFont="1" applyBorder="1" applyAlignment="1">
      <alignment horizontal="right"/>
    </xf>
    <xf numFmtId="0" fontId="11" fillId="0" borderId="1" xfId="0" applyFont="1" applyBorder="1"/>
    <xf numFmtId="0" fontId="0" fillId="0" borderId="1" xfId="0" applyFont="1" applyBorder="1" applyAlignment="1">
      <alignment horizontal="left"/>
    </xf>
    <xf numFmtId="0" fontId="11" fillId="0" borderId="1" xfId="0" applyFont="1" applyBorder="1"/>
    <xf numFmtId="0" fontId="0" fillId="0" borderId="1" xfId="0" applyFont="1" applyBorder="1"/>
    <xf numFmtId="3" fontId="11" fillId="14" borderId="1" xfId="0" applyNumberFormat="1" applyFont="1" applyFill="1" applyBorder="1" applyAlignment="1">
      <alignment horizontal="right"/>
    </xf>
    <xf numFmtId="0" fontId="0" fillId="0" borderId="0" xfId="0"/>
    <xf numFmtId="0" fontId="11" fillId="0" borderId="0" xfId="0" applyFont="1" applyBorder="1" applyAlignment="1">
      <alignment horizontal="center"/>
    </xf>
    <xf numFmtId="0" fontId="13" fillId="3" borderId="1" xfId="0" applyFont="1" applyFill="1" applyBorder="1"/>
    <xf numFmtId="164" fontId="11" fillId="0" borderId="1" xfId="1" applyNumberFormat="1" applyFont="1" applyBorder="1"/>
    <xf numFmtId="164" fontId="11" fillId="0" borderId="1" xfId="1" applyNumberFormat="1" applyFont="1" applyFill="1" applyBorder="1"/>
    <xf numFmtId="0" fontId="11" fillId="0" borderId="1" xfId="0" applyFont="1" applyBorder="1" applyAlignment="1">
      <alignment horizontal="left"/>
    </xf>
    <xf numFmtId="3" fontId="11" fillId="0" borderId="1" xfId="0" applyNumberFormat="1" applyFont="1" applyBorder="1" applyAlignment="1">
      <alignment horizontal="right"/>
    </xf>
    <xf numFmtId="0" fontId="11" fillId="16" borderId="1" xfId="0" applyFont="1" applyFill="1" applyBorder="1" applyAlignment="1">
      <alignment horizontal="left"/>
    </xf>
    <xf numFmtId="0" fontId="13" fillId="3" borderId="1" xfId="0" applyFont="1" applyFill="1" applyBorder="1"/>
    <xf numFmtId="0" fontId="0" fillId="0" borderId="0" xfId="0"/>
    <xf numFmtId="0" fontId="11" fillId="0" borderId="0" xfId="0" applyFont="1" applyBorder="1" applyAlignment="1">
      <alignment horizontal="center"/>
    </xf>
    <xf numFmtId="0" fontId="11" fillId="0" borderId="1" xfId="0" applyFont="1" applyBorder="1"/>
    <xf numFmtId="164" fontId="11" fillId="0" borderId="1" xfId="1" applyNumberFormat="1" applyFont="1" applyBorder="1"/>
    <xf numFmtId="0" fontId="11" fillId="0" borderId="1" xfId="0" applyFont="1" applyBorder="1" applyAlignment="1">
      <alignment horizontal="left"/>
    </xf>
    <xf numFmtId="3" fontId="11" fillId="0" borderId="1" xfId="0" applyNumberFormat="1" applyFont="1" applyBorder="1" applyAlignment="1">
      <alignment horizontal="right"/>
    </xf>
    <xf numFmtId="3" fontId="13" fillId="0" borderId="1" xfId="0" applyNumberFormat="1" applyFont="1" applyBorder="1" applyAlignment="1">
      <alignment horizontal="right"/>
    </xf>
    <xf numFmtId="0" fontId="13" fillId="3" borderId="1" xfId="0" applyFont="1" applyFill="1" applyBorder="1"/>
    <xf numFmtId="0" fontId="11" fillId="0" borderId="1" xfId="0" applyFont="1" applyBorder="1" applyAlignment="1">
      <alignment horizontal="left"/>
    </xf>
    <xf numFmtId="0" fontId="0" fillId="0" borderId="0" xfId="0"/>
    <xf numFmtId="0" fontId="11" fillId="0" borderId="0" xfId="0" applyFont="1" applyBorder="1" applyAlignment="1">
      <alignment horizontal="center"/>
    </xf>
    <xf numFmtId="0" fontId="11" fillId="0" borderId="1" xfId="0" applyFont="1" applyBorder="1"/>
    <xf numFmtId="164" fontId="11" fillId="0" borderId="1" xfId="1" applyNumberFormat="1" applyFont="1" applyBorder="1"/>
    <xf numFmtId="0" fontId="11" fillId="0" borderId="1" xfId="0" applyFont="1" applyBorder="1" applyAlignment="1">
      <alignment horizontal="left"/>
    </xf>
    <xf numFmtId="3" fontId="11" fillId="0" borderId="1" xfId="0" applyNumberFormat="1" applyFont="1" applyBorder="1" applyAlignment="1">
      <alignment horizontal="right"/>
    </xf>
    <xf numFmtId="3" fontId="13" fillId="0" borderId="1" xfId="0" applyNumberFormat="1" applyFont="1" applyBorder="1" applyAlignment="1">
      <alignment horizontal="right"/>
    </xf>
    <xf numFmtId="0" fontId="11" fillId="0" borderId="1" xfId="0" applyFont="1" applyBorder="1" applyAlignment="1">
      <alignment horizontal="left"/>
    </xf>
    <xf numFmtId="0" fontId="0" fillId="0" borderId="0" xfId="0" applyAlignment="1">
      <alignment horizontal="center"/>
    </xf>
    <xf numFmtId="164" fontId="11" fillId="0" borderId="1" xfId="1" applyNumberFormat="1" applyFont="1" applyBorder="1"/>
    <xf numFmtId="164" fontId="13" fillId="0" borderId="1" xfId="1" applyNumberFormat="1" applyFont="1" applyBorder="1"/>
    <xf numFmtId="3" fontId="11" fillId="0" borderId="1" xfId="0" applyNumberFormat="1" applyFont="1" applyBorder="1" applyAlignment="1">
      <alignment horizontal="right"/>
    </xf>
    <xf numFmtId="3" fontId="17" fillId="0" borderId="1" xfId="5" applyNumberFormat="1" applyFill="1" applyBorder="1" applyAlignment="1">
      <alignment horizontal="right"/>
    </xf>
    <xf numFmtId="3" fontId="0" fillId="0" borderId="1" xfId="0" applyNumberFormat="1" applyFont="1" applyBorder="1" applyAlignment="1">
      <alignment horizontal="right"/>
    </xf>
    <xf numFmtId="164" fontId="11" fillId="0" borderId="1" xfId="1" applyNumberFormat="1" applyFont="1" applyBorder="1"/>
    <xf numFmtId="164" fontId="13" fillId="0" borderId="1" xfId="1" applyNumberFormat="1" applyFont="1" applyBorder="1"/>
    <xf numFmtId="164" fontId="11" fillId="3" borderId="1" xfId="1" applyNumberFormat="1" applyFont="1" applyFill="1" applyBorder="1" applyAlignment="1"/>
    <xf numFmtId="164" fontId="11" fillId="0" borderId="1" xfId="1" applyNumberFormat="1" applyFont="1" applyBorder="1"/>
    <xf numFmtId="164" fontId="11" fillId="0" borderId="1" xfId="1" applyNumberFormat="1" applyFont="1" applyBorder="1"/>
    <xf numFmtId="164" fontId="13" fillId="0" borderId="1" xfId="1" applyNumberFormat="1" applyFont="1" applyBorder="1"/>
    <xf numFmtId="0" fontId="0" fillId="0" borderId="0" xfId="0"/>
    <xf numFmtId="0" fontId="11" fillId="0" borderId="0" xfId="0" applyFont="1" applyBorder="1" applyAlignment="1">
      <alignment horizontal="center"/>
    </xf>
    <xf numFmtId="0" fontId="13" fillId="3" borderId="1" xfId="0" applyFont="1" applyFill="1" applyBorder="1"/>
    <xf numFmtId="164" fontId="11" fillId="0" borderId="1" xfId="1" applyNumberFormat="1" applyFont="1" applyBorder="1"/>
    <xf numFmtId="0" fontId="11" fillId="0" borderId="1" xfId="0" applyFont="1" applyBorder="1" applyAlignment="1">
      <alignment horizontal="left"/>
    </xf>
    <xf numFmtId="3" fontId="11" fillId="0" borderId="1" xfId="0" applyNumberFormat="1" applyFont="1" applyBorder="1" applyAlignment="1">
      <alignment horizontal="right"/>
    </xf>
    <xf numFmtId="0" fontId="0" fillId="17" borderId="1" xfId="0" applyFont="1" applyFill="1" applyBorder="1"/>
    <xf numFmtId="0" fontId="11" fillId="0" borderId="1" xfId="0" applyFont="1" applyBorder="1" applyAlignment="1">
      <alignment horizontal="left"/>
    </xf>
    <xf numFmtId="164" fontId="11" fillId="0" borderId="1" xfId="1" applyNumberFormat="1" applyFont="1" applyBorder="1"/>
    <xf numFmtId="3" fontId="11" fillId="0" borderId="1" xfId="0" applyNumberFormat="1" applyFont="1" applyBorder="1" applyAlignment="1">
      <alignment horizontal="right"/>
    </xf>
    <xf numFmtId="3" fontId="13" fillId="0" borderId="1" xfId="0" applyNumberFormat="1" applyFont="1" applyFill="1" applyBorder="1" applyAlignment="1">
      <alignment horizontal="right"/>
    </xf>
    <xf numFmtId="3" fontId="13" fillId="0" borderId="1" xfId="0" applyNumberFormat="1" applyFont="1" applyBorder="1" applyAlignment="1">
      <alignment horizontal="right"/>
    </xf>
    <xf numFmtId="3" fontId="11" fillId="0" borderId="1" xfId="0" applyNumberFormat="1" applyFont="1" applyFill="1" applyBorder="1" applyAlignment="1">
      <alignment horizontal="right"/>
    </xf>
    <xf numFmtId="3" fontId="11" fillId="15" borderId="1" xfId="0" applyNumberFormat="1" applyFont="1" applyFill="1" applyBorder="1" applyAlignment="1">
      <alignment horizontal="right"/>
    </xf>
    <xf numFmtId="3" fontId="17" fillId="0" borderId="1" xfId="5" applyNumberFormat="1" applyFill="1" applyBorder="1" applyAlignment="1">
      <alignment horizontal="right"/>
    </xf>
    <xf numFmtId="0" fontId="0" fillId="0" borderId="0" xfId="0"/>
    <xf numFmtId="0" fontId="11" fillId="0" borderId="0" xfId="0" applyFont="1" applyBorder="1" applyAlignment="1">
      <alignment horizontal="center"/>
    </xf>
    <xf numFmtId="0" fontId="13" fillId="3" borderId="1" xfId="0" applyFont="1" applyFill="1" applyBorder="1"/>
    <xf numFmtId="164" fontId="11" fillId="0" borderId="1" xfId="1" applyNumberFormat="1" applyFont="1" applyBorder="1"/>
    <xf numFmtId="164" fontId="13" fillId="0" borderId="1" xfId="1" applyNumberFormat="1" applyFont="1" applyBorder="1"/>
    <xf numFmtId="0" fontId="11" fillId="0" borderId="1" xfId="0" applyFont="1" applyBorder="1" applyAlignment="1">
      <alignment horizontal="left"/>
    </xf>
    <xf numFmtId="3" fontId="11" fillId="0" borderId="1" xfId="0" applyNumberFormat="1" applyFont="1" applyBorder="1" applyAlignment="1">
      <alignment horizontal="right"/>
    </xf>
    <xf numFmtId="0" fontId="0" fillId="19" borderId="1" xfId="0" applyFont="1" applyFill="1" applyBorder="1"/>
    <xf numFmtId="0" fontId="11" fillId="0" borderId="1" xfId="0" applyFont="1" applyBorder="1" applyAlignment="1">
      <alignment horizontal="left"/>
    </xf>
    <xf numFmtId="0" fontId="0" fillId="0" borderId="0" xfId="0"/>
    <xf numFmtId="0" fontId="11" fillId="0" borderId="0" xfId="0" applyFont="1" applyBorder="1" applyAlignment="1">
      <alignment horizontal="center"/>
    </xf>
    <xf numFmtId="0" fontId="11" fillId="0" borderId="1" xfId="0" applyFont="1" applyBorder="1"/>
    <xf numFmtId="164" fontId="11" fillId="0" borderId="1" xfId="1" applyNumberFormat="1" applyFont="1" applyBorder="1"/>
    <xf numFmtId="3" fontId="11" fillId="0" borderId="1" xfId="0" applyNumberFormat="1" applyFont="1" applyBorder="1" applyAlignment="1">
      <alignment horizontal="right"/>
    </xf>
    <xf numFmtId="3" fontId="11" fillId="0" borderId="1" xfId="0" applyNumberFormat="1" applyFont="1" applyFill="1" applyBorder="1" applyAlignment="1">
      <alignment horizontal="right"/>
    </xf>
    <xf numFmtId="3" fontId="17" fillId="0" borderId="1" xfId="5" applyNumberFormat="1" applyFill="1" applyBorder="1" applyAlignment="1">
      <alignment horizontal="right"/>
    </xf>
    <xf numFmtId="0" fontId="0" fillId="0" borderId="0" xfId="0"/>
    <xf numFmtId="0" fontId="11" fillId="0" borderId="0" xfId="0" applyFont="1" applyBorder="1" applyAlignment="1">
      <alignment horizontal="center"/>
    </xf>
    <xf numFmtId="0" fontId="11" fillId="0" borderId="1" xfId="0" applyFont="1" applyBorder="1"/>
    <xf numFmtId="164" fontId="11" fillId="0" borderId="1" xfId="1" applyNumberFormat="1" applyFont="1" applyBorder="1"/>
    <xf numFmtId="3" fontId="11" fillId="0" borderId="1" xfId="0" applyNumberFormat="1" applyFont="1" applyFill="1" applyBorder="1" applyAlignment="1">
      <alignment horizontal="right"/>
    </xf>
    <xf numFmtId="0" fontId="0" fillId="0" borderId="0" xfId="0"/>
    <xf numFmtId="0" fontId="11" fillId="0" borderId="0" xfId="0" applyFont="1" applyBorder="1" applyAlignment="1">
      <alignment horizontal="center"/>
    </xf>
    <xf numFmtId="0" fontId="11" fillId="0" borderId="1" xfId="0" applyFont="1" applyBorder="1"/>
    <xf numFmtId="164" fontId="11" fillId="0" borderId="1" xfId="1" applyNumberFormat="1" applyFont="1" applyBorder="1"/>
    <xf numFmtId="3" fontId="11" fillId="0" borderId="1" xfId="0" applyNumberFormat="1" applyFont="1" applyFill="1" applyBorder="1" applyAlignment="1">
      <alignment horizontal="right"/>
    </xf>
    <xf numFmtId="0" fontId="0" fillId="0" borderId="0" xfId="0"/>
    <xf numFmtId="0" fontId="11" fillId="0" borderId="0" xfId="0" applyFont="1" applyBorder="1" applyAlignment="1">
      <alignment horizontal="center"/>
    </xf>
    <xf numFmtId="164" fontId="11" fillId="0" borderId="1" xfId="1" applyNumberFormat="1" applyFont="1" applyBorder="1"/>
    <xf numFmtId="164" fontId="11" fillId="0" borderId="1" xfId="1" applyNumberFormat="1" applyFont="1" applyFill="1" applyBorder="1"/>
    <xf numFmtId="0" fontId="11" fillId="0" borderId="1" xfId="0" applyFont="1" applyFill="1" applyBorder="1" applyAlignment="1">
      <alignment horizontal="left" indent="1"/>
    </xf>
    <xf numFmtId="3" fontId="11" fillId="0" borderId="1" xfId="0" applyNumberFormat="1" applyFont="1" applyFill="1" applyBorder="1" applyAlignment="1">
      <alignment horizontal="right" indent="1"/>
    </xf>
    <xf numFmtId="0" fontId="0" fillId="0" borderId="0" xfId="0"/>
    <xf numFmtId="0" fontId="11" fillId="0" borderId="0" xfId="0" applyFont="1" applyBorder="1" applyAlignment="1">
      <alignment horizontal="center"/>
    </xf>
    <xf numFmtId="164" fontId="11" fillId="0" borderId="1" xfId="1" applyNumberFormat="1" applyFont="1" applyBorder="1"/>
    <xf numFmtId="164" fontId="11" fillId="0" borderId="1" xfId="1" applyNumberFormat="1" applyFont="1" applyFill="1" applyBorder="1"/>
    <xf numFmtId="0" fontId="11" fillId="0" borderId="1" xfId="0" applyFont="1" applyFill="1" applyBorder="1"/>
    <xf numFmtId="0" fontId="11" fillId="0" borderId="1" xfId="0" applyFont="1" applyFill="1" applyBorder="1" applyAlignment="1">
      <alignment horizontal="left" indent="1"/>
    </xf>
    <xf numFmtId="3" fontId="11" fillId="0" borderId="1" xfId="0" applyNumberFormat="1" applyFont="1" applyFill="1" applyBorder="1" applyAlignment="1">
      <alignment horizontal="right" indent="1"/>
    </xf>
    <xf numFmtId="0" fontId="0" fillId="0" borderId="0" xfId="0"/>
    <xf numFmtId="0" fontId="11" fillId="0" borderId="0" xfId="0" applyFont="1" applyBorder="1" applyAlignment="1">
      <alignment horizontal="center"/>
    </xf>
    <xf numFmtId="164" fontId="13" fillId="0" borderId="1" xfId="1" applyNumberFormat="1" applyFont="1" applyBorder="1"/>
    <xf numFmtId="3" fontId="13" fillId="0" borderId="1" xfId="0" applyNumberFormat="1" applyFont="1" applyFill="1" applyBorder="1" applyAlignment="1">
      <alignment horizontal="right"/>
    </xf>
    <xf numFmtId="0" fontId="13" fillId="0" borderId="1" xfId="0" applyFont="1" applyBorder="1" applyAlignment="1">
      <alignment horizontal="right"/>
    </xf>
    <xf numFmtId="0" fontId="0" fillId="0" borderId="0" xfId="0"/>
    <xf numFmtId="0" fontId="11" fillId="0" borderId="0" xfId="0" applyFont="1" applyBorder="1" applyAlignment="1">
      <alignment horizontal="center"/>
    </xf>
    <xf numFmtId="0" fontId="11" fillId="0" borderId="1" xfId="0" applyFont="1" applyBorder="1"/>
    <xf numFmtId="164" fontId="11" fillId="0" borderId="1" xfId="1" applyNumberFormat="1" applyFont="1" applyBorder="1"/>
    <xf numFmtId="3" fontId="11" fillId="0" borderId="1" xfId="0" applyNumberFormat="1" applyFont="1" applyFill="1" applyBorder="1" applyAlignment="1">
      <alignment horizontal="right"/>
    </xf>
    <xf numFmtId="0" fontId="0" fillId="0" borderId="0" xfId="0"/>
    <xf numFmtId="0" fontId="11" fillId="0" borderId="0" xfId="0" applyFont="1" applyBorder="1" applyAlignment="1">
      <alignment horizontal="center"/>
    </xf>
    <xf numFmtId="0" fontId="11" fillId="0" borderId="1" xfId="0" applyFont="1" applyBorder="1"/>
    <xf numFmtId="164" fontId="11" fillId="0" borderId="1" xfId="1" applyNumberFormat="1" applyFont="1" applyBorder="1"/>
    <xf numFmtId="3" fontId="11" fillId="0" borderId="1" xfId="0" applyNumberFormat="1" applyFont="1" applyFill="1" applyBorder="1" applyAlignment="1">
      <alignment horizontal="right"/>
    </xf>
    <xf numFmtId="0" fontId="0" fillId="0" borderId="0" xfId="0"/>
    <xf numFmtId="0" fontId="11" fillId="0" borderId="0" xfId="0" applyFont="1" applyBorder="1" applyAlignment="1">
      <alignment horizontal="center"/>
    </xf>
    <xf numFmtId="0" fontId="13" fillId="3" borderId="1" xfId="0" applyFont="1" applyFill="1" applyBorder="1"/>
    <xf numFmtId="0" fontId="11" fillId="0" borderId="1" xfId="0" applyFont="1" applyBorder="1"/>
    <xf numFmtId="164" fontId="11" fillId="0" borderId="1" xfId="1" applyNumberFormat="1" applyFont="1" applyBorder="1"/>
    <xf numFmtId="3" fontId="13" fillId="0" borderId="1" xfId="0" applyNumberFormat="1" applyFont="1" applyFill="1" applyBorder="1" applyAlignment="1">
      <alignment horizontal="right"/>
    </xf>
    <xf numFmtId="0" fontId="13" fillId="0" borderId="1" xfId="0" applyFont="1" applyFill="1" applyBorder="1" applyAlignment="1">
      <alignment horizontal="right"/>
    </xf>
    <xf numFmtId="0" fontId="11" fillId="0" borderId="1" xfId="0" applyFont="1" applyFill="1" applyBorder="1" applyAlignment="1">
      <alignment horizontal="right"/>
    </xf>
    <xf numFmtId="41" fontId="11" fillId="0" borderId="1" xfId="0" applyNumberFormat="1" applyFont="1" applyBorder="1" applyAlignment="1">
      <alignment horizontal="right"/>
    </xf>
    <xf numFmtId="3" fontId="11" fillId="0" borderId="1" xfId="0" applyNumberFormat="1" applyFont="1" applyFill="1" applyBorder="1" applyAlignment="1"/>
    <xf numFmtId="3" fontId="0" fillId="0" borderId="1" xfId="0" applyNumberFormat="1" applyFont="1" applyFill="1" applyBorder="1" applyAlignment="1">
      <alignment horizontal="right"/>
    </xf>
    <xf numFmtId="0" fontId="0" fillId="0" borderId="0" xfId="0"/>
    <xf numFmtId="0" fontId="11" fillId="0" borderId="0" xfId="0" applyFont="1" applyBorder="1" applyAlignment="1">
      <alignment horizontal="center"/>
    </xf>
    <xf numFmtId="0" fontId="11" fillId="0" borderId="1" xfId="0" applyFont="1" applyBorder="1"/>
    <xf numFmtId="164" fontId="11" fillId="0" borderId="1" xfId="1" applyNumberFormat="1" applyFont="1" applyBorder="1"/>
    <xf numFmtId="0" fontId="0" fillId="0" borderId="1" xfId="0" applyFont="1" applyBorder="1"/>
    <xf numFmtId="0" fontId="11" fillId="0" borderId="1" xfId="0" applyFont="1" applyFill="1" applyBorder="1" applyAlignment="1">
      <alignment horizontal="left" indent="1"/>
    </xf>
    <xf numFmtId="41" fontId="11" fillId="0" borderId="1" xfId="0" applyNumberFormat="1" applyFont="1" applyFill="1" applyBorder="1" applyAlignment="1">
      <alignment horizontal="right" indent="1"/>
    </xf>
    <xf numFmtId="0" fontId="0" fillId="0" borderId="0" xfId="0"/>
    <xf numFmtId="0" fontId="11" fillId="0" borderId="0" xfId="0" applyFont="1" applyBorder="1" applyAlignment="1">
      <alignment horizontal="center"/>
    </xf>
    <xf numFmtId="0" fontId="13" fillId="3" borderId="1" xfId="0" applyFont="1" applyFill="1" applyBorder="1"/>
    <xf numFmtId="164" fontId="11" fillId="0" borderId="1" xfId="1" applyNumberFormat="1" applyFont="1" applyBorder="1"/>
    <xf numFmtId="0" fontId="11" fillId="0" borderId="1" xfId="0" applyFont="1" applyFill="1" applyBorder="1" applyAlignment="1">
      <alignment horizontal="left" indent="1"/>
    </xf>
    <xf numFmtId="41" fontId="11" fillId="0" borderId="1" xfId="0" applyNumberFormat="1" applyFont="1" applyFill="1" applyBorder="1" applyAlignment="1">
      <alignment horizontal="right" indent="1"/>
    </xf>
    <xf numFmtId="0" fontId="0" fillId="0" borderId="1" xfId="0" applyFont="1" applyFill="1" applyBorder="1" applyAlignment="1">
      <alignment horizontal="left" indent="1"/>
    </xf>
    <xf numFmtId="0" fontId="0" fillId="0" borderId="0" xfId="0"/>
    <xf numFmtId="0" fontId="11" fillId="0" borderId="0" xfId="0" applyFont="1" applyBorder="1" applyAlignment="1">
      <alignment horizontal="center"/>
    </xf>
    <xf numFmtId="0" fontId="13" fillId="3" borderId="1" xfId="0" applyFont="1" applyFill="1" applyBorder="1"/>
    <xf numFmtId="0" fontId="11" fillId="0" borderId="1" xfId="0" applyFont="1" applyBorder="1"/>
    <xf numFmtId="0" fontId="0" fillId="0" borderId="1" xfId="0" applyFont="1" applyBorder="1"/>
    <xf numFmtId="164" fontId="13" fillId="0" borderId="1" xfId="1" applyNumberFormat="1" applyFont="1" applyBorder="1"/>
    <xf numFmtId="0" fontId="13" fillId="0" borderId="1" xfId="0" applyFont="1" applyBorder="1" applyAlignment="1">
      <alignment horizontal="right"/>
    </xf>
    <xf numFmtId="0" fontId="11" fillId="0" borderId="1" xfId="0" applyFont="1" applyFill="1" applyBorder="1" applyAlignment="1">
      <alignment horizontal="left" indent="1"/>
    </xf>
    <xf numFmtId="41" fontId="13" fillId="0" borderId="1" xfId="0" applyNumberFormat="1" applyFont="1" applyBorder="1" applyAlignment="1">
      <alignment horizontal="right"/>
    </xf>
    <xf numFmtId="0" fontId="0" fillId="0" borderId="1" xfId="0" applyFont="1" applyFill="1" applyBorder="1" applyAlignment="1">
      <alignment horizontal="left" indent="1"/>
    </xf>
    <xf numFmtId="0" fontId="13" fillId="3" borderId="1" xfId="0" applyFont="1" applyFill="1" applyBorder="1"/>
    <xf numFmtId="0" fontId="0" fillId="0" borderId="1" xfId="0" applyFont="1" applyBorder="1"/>
    <xf numFmtId="0" fontId="13" fillId="0" borderId="1" xfId="0" applyFont="1" applyBorder="1" applyAlignment="1">
      <alignment horizontal="right"/>
    </xf>
    <xf numFmtId="0" fontId="0" fillId="0" borderId="1" xfId="0" applyFont="1" applyBorder="1" applyAlignment="1"/>
    <xf numFmtId="0" fontId="0" fillId="0" borderId="0" xfId="0"/>
    <xf numFmtId="0" fontId="11" fillId="0" borderId="0" xfId="0" applyFont="1" applyBorder="1" applyAlignment="1">
      <alignment horizontal="center"/>
    </xf>
    <xf numFmtId="0" fontId="13" fillId="3" borderId="1" xfId="0" applyFont="1" applyFill="1" applyBorder="1"/>
    <xf numFmtId="0" fontId="11" fillId="0" borderId="1" xfId="0" applyFont="1" applyBorder="1"/>
    <xf numFmtId="164" fontId="13" fillId="0" borderId="1" xfId="1" applyNumberFormat="1" applyFont="1" applyBorder="1"/>
    <xf numFmtId="0" fontId="13" fillId="0" borderId="1" xfId="0" applyFont="1" applyBorder="1" applyAlignment="1">
      <alignment horizontal="right"/>
    </xf>
    <xf numFmtId="41" fontId="13" fillId="0" borderId="1" xfId="0" applyNumberFormat="1" applyFont="1" applyBorder="1" applyAlignment="1">
      <alignment horizontal="right"/>
    </xf>
    <xf numFmtId="0" fontId="13" fillId="0" borderId="1" xfId="0" applyFont="1" applyBorder="1" applyAlignment="1"/>
    <xf numFmtId="0" fontId="0" fillId="0" borderId="0" xfId="0"/>
    <xf numFmtId="0" fontId="11" fillId="0" borderId="0" xfId="0" applyFont="1" applyBorder="1" applyAlignment="1">
      <alignment horizontal="center"/>
    </xf>
    <xf numFmtId="0" fontId="13" fillId="3" borderId="1" xfId="0" applyFont="1" applyFill="1" applyBorder="1"/>
    <xf numFmtId="0" fontId="11" fillId="0" borderId="1" xfId="0" applyFont="1" applyBorder="1"/>
    <xf numFmtId="164" fontId="11" fillId="0" borderId="1" xfId="1" applyNumberFormat="1" applyFont="1" applyBorder="1"/>
    <xf numFmtId="0" fontId="0" fillId="0" borderId="1" xfId="0" applyFont="1" applyBorder="1"/>
    <xf numFmtId="0" fontId="13" fillId="0" borderId="1" xfId="0" applyFont="1" applyBorder="1" applyAlignment="1">
      <alignment horizontal="left"/>
    </xf>
    <xf numFmtId="0" fontId="13" fillId="0" borderId="1" xfId="0" applyFont="1" applyBorder="1" applyAlignment="1">
      <alignment horizontal="right"/>
    </xf>
    <xf numFmtId="41" fontId="11" fillId="0" borderId="1" xfId="0" applyNumberFormat="1" applyFont="1" applyBorder="1" applyAlignment="1">
      <alignment horizontal="right"/>
    </xf>
    <xf numFmtId="41" fontId="0" fillId="0" borderId="1" xfId="0" applyNumberFormat="1" applyFont="1" applyBorder="1" applyAlignment="1">
      <alignment horizontal="right"/>
    </xf>
    <xf numFmtId="164" fontId="0" fillId="0" borderId="1" xfId="1" applyNumberFormat="1" applyFont="1" applyBorder="1"/>
    <xf numFmtId="0" fontId="13" fillId="3" borderId="1" xfId="0" applyFont="1" applyFill="1" applyBorder="1"/>
    <xf numFmtId="0" fontId="0" fillId="0" borderId="1" xfId="0" applyFont="1" applyBorder="1"/>
    <xf numFmtId="0" fontId="0" fillId="0" borderId="0" xfId="0"/>
    <xf numFmtId="0" fontId="11" fillId="0" borderId="0" xfId="0" applyFont="1" applyBorder="1" applyAlignment="1">
      <alignment horizontal="center"/>
    </xf>
    <xf numFmtId="0" fontId="11" fillId="0" borderId="1" xfId="0" applyFont="1" applyBorder="1"/>
    <xf numFmtId="164" fontId="11" fillId="0" borderId="1" xfId="1" applyNumberFormat="1" applyFont="1" applyBorder="1"/>
    <xf numFmtId="41" fontId="11" fillId="0" borderId="1" xfId="0" applyNumberFormat="1" applyFont="1" applyBorder="1" applyAlignment="1">
      <alignment horizontal="right"/>
    </xf>
    <xf numFmtId="0" fontId="13" fillId="3" borderId="1" xfId="0" applyFont="1" applyFill="1" applyBorder="1"/>
    <xf numFmtId="0" fontId="0" fillId="0" borderId="1" xfId="0" applyFont="1" applyBorder="1"/>
    <xf numFmtId="164" fontId="11" fillId="0" borderId="1" xfId="1" applyNumberFormat="1" applyFont="1" applyBorder="1"/>
    <xf numFmtId="3" fontId="13" fillId="0" borderId="1" xfId="0" applyNumberFormat="1" applyFont="1" applyBorder="1" applyAlignment="1">
      <alignment horizontal="right"/>
    </xf>
    <xf numFmtId="3" fontId="11" fillId="0" borderId="1" xfId="0" applyNumberFormat="1" applyFont="1" applyFill="1" applyBorder="1" applyAlignment="1">
      <alignment horizontal="right"/>
    </xf>
    <xf numFmtId="0" fontId="13" fillId="0" borderId="1" xfId="0" applyFont="1" applyBorder="1" applyAlignment="1">
      <alignment horizontal="right"/>
    </xf>
    <xf numFmtId="164" fontId="11" fillId="0" borderId="1" xfId="1" applyNumberFormat="1" applyFont="1" applyFill="1" applyBorder="1" applyAlignment="1">
      <alignment horizontal="right"/>
    </xf>
    <xf numFmtId="41" fontId="11" fillId="0" borderId="1" xfId="0" applyNumberFormat="1" applyFont="1" applyBorder="1" applyAlignment="1">
      <alignment horizontal="right"/>
    </xf>
    <xf numFmtId="41" fontId="13" fillId="0" borderId="1" xfId="0" applyNumberFormat="1" applyFont="1" applyBorder="1" applyAlignment="1">
      <alignment horizontal="right"/>
    </xf>
    <xf numFmtId="41" fontId="11" fillId="0" borderId="1" xfId="0" applyNumberFormat="1" applyFont="1" applyFill="1" applyBorder="1" applyAlignment="1">
      <alignment horizontal="right" indent="1"/>
    </xf>
    <xf numFmtId="41" fontId="0" fillId="0" borderId="1" xfId="0" applyNumberFormat="1" applyFont="1" applyBorder="1" applyAlignment="1">
      <alignment horizontal="right"/>
    </xf>
    <xf numFmtId="164" fontId="57" fillId="0" borderId="0" xfId="37" applyNumberFormat="1" applyFont="1" applyFill="1" applyBorder="1"/>
    <xf numFmtId="0" fontId="0" fillId="0" borderId="0" xfId="0"/>
    <xf numFmtId="0" fontId="11" fillId="0" borderId="0" xfId="0" applyFont="1" applyBorder="1" applyAlignment="1">
      <alignment horizontal="center"/>
    </xf>
    <xf numFmtId="164" fontId="11" fillId="0" borderId="1" xfId="1" applyNumberFormat="1" applyFont="1" applyBorder="1"/>
    <xf numFmtId="0" fontId="11" fillId="0" borderId="1" xfId="0" applyFont="1" applyBorder="1" applyAlignment="1">
      <alignment horizontal="left"/>
    </xf>
    <xf numFmtId="3" fontId="0" fillId="0" borderId="1" xfId="0" applyNumberFormat="1" applyFont="1" applyBorder="1" applyAlignment="1">
      <alignment horizontal="right"/>
    </xf>
    <xf numFmtId="0" fontId="0" fillId="0" borderId="0" xfId="0"/>
    <xf numFmtId="0" fontId="11" fillId="0" borderId="0" xfId="0" applyFont="1" applyBorder="1" applyAlignment="1">
      <alignment horizontal="center"/>
    </xf>
    <xf numFmtId="0" fontId="13" fillId="3" borderId="1" xfId="0" applyFont="1" applyFill="1" applyBorder="1"/>
    <xf numFmtId="0" fontId="11" fillId="0" borderId="1" xfId="0" applyFont="1" applyBorder="1"/>
    <xf numFmtId="164" fontId="11" fillId="0" borderId="1" xfId="1" applyNumberFormat="1" applyFont="1" applyBorder="1"/>
    <xf numFmtId="0" fontId="11" fillId="0" borderId="1" xfId="0" applyFont="1" applyBorder="1" applyAlignment="1">
      <alignment horizontal="left"/>
    </xf>
    <xf numFmtId="3" fontId="11" fillId="0" borderId="1" xfId="0" applyNumberFormat="1" applyFont="1" applyBorder="1" applyAlignment="1">
      <alignment horizontal="right"/>
    </xf>
    <xf numFmtId="0" fontId="0" fillId="0" borderId="0" xfId="0"/>
    <xf numFmtId="0" fontId="11" fillId="0" borderId="0" xfId="0" applyFont="1" applyBorder="1" applyAlignment="1">
      <alignment horizontal="center"/>
    </xf>
    <xf numFmtId="0" fontId="13" fillId="3" borderId="1" xfId="0" applyFont="1" applyFill="1" applyBorder="1"/>
    <xf numFmtId="0" fontId="11" fillId="0" borderId="1" xfId="0" applyFont="1" applyBorder="1"/>
    <xf numFmtId="164" fontId="11" fillId="0" borderId="1" xfId="1" applyNumberFormat="1" applyFont="1" applyBorder="1"/>
    <xf numFmtId="0" fontId="11" fillId="0" borderId="1" xfId="0" applyFont="1" applyBorder="1" applyAlignment="1">
      <alignment horizontal="left"/>
    </xf>
    <xf numFmtId="0" fontId="0" fillId="0" borderId="1" xfId="0" applyFont="1" applyBorder="1" applyAlignment="1">
      <alignment horizontal="left"/>
    </xf>
    <xf numFmtId="0" fontId="0" fillId="0" borderId="0" xfId="0"/>
    <xf numFmtId="0" fontId="11" fillId="0" borderId="0" xfId="0" applyFont="1" applyBorder="1" applyAlignment="1">
      <alignment horizontal="center"/>
    </xf>
    <xf numFmtId="0" fontId="13" fillId="3" borderId="1" xfId="0" applyFont="1" applyFill="1" applyBorder="1"/>
    <xf numFmtId="164" fontId="11" fillId="0" borderId="1" xfId="1" applyNumberFormat="1" applyFont="1" applyBorder="1"/>
    <xf numFmtId="0" fontId="11" fillId="0" borderId="1" xfId="0" applyFont="1" applyBorder="1" applyAlignment="1">
      <alignment horizontal="left"/>
    </xf>
    <xf numFmtId="0" fontId="11" fillId="0" borderId="1" xfId="0" applyFont="1" applyBorder="1" applyAlignment="1">
      <alignment horizontal="right"/>
    </xf>
    <xf numFmtId="0" fontId="0" fillId="0" borderId="1" xfId="0" applyFont="1" applyBorder="1" applyAlignment="1">
      <alignment horizontal="left"/>
    </xf>
    <xf numFmtId="0" fontId="13" fillId="3" borderId="1" xfId="0" applyFont="1" applyFill="1" applyBorder="1"/>
    <xf numFmtId="0" fontId="0" fillId="0" borderId="1" xfId="0" applyFont="1" applyBorder="1"/>
    <xf numFmtId="0" fontId="0" fillId="17" borderId="1" xfId="0" applyFont="1" applyFill="1" applyBorder="1" applyAlignment="1">
      <alignment horizontal="left"/>
    </xf>
    <xf numFmtId="0" fontId="0" fillId="0" borderId="0" xfId="0"/>
    <xf numFmtId="0" fontId="11" fillId="0" borderId="0" xfId="0" applyFont="1" applyBorder="1" applyAlignment="1">
      <alignment horizontal="center"/>
    </xf>
    <xf numFmtId="0" fontId="11" fillId="0" borderId="1" xfId="0" applyFont="1" applyBorder="1"/>
    <xf numFmtId="164" fontId="11" fillId="0" borderId="1" xfId="1" applyNumberFormat="1" applyFont="1" applyBorder="1"/>
    <xf numFmtId="0" fontId="11" fillId="0" borderId="1" xfId="0" applyFont="1" applyBorder="1" applyAlignment="1">
      <alignment horizontal="left"/>
    </xf>
    <xf numFmtId="3" fontId="11" fillId="0" borderId="1" xfId="0" applyNumberFormat="1" applyFont="1" applyBorder="1" applyAlignment="1">
      <alignment horizontal="right"/>
    </xf>
    <xf numFmtId="0" fontId="0" fillId="0" borderId="0" xfId="0"/>
    <xf numFmtId="0" fontId="11" fillId="0" borderId="0" xfId="0" applyFont="1" applyBorder="1" applyAlignment="1">
      <alignment horizontal="center"/>
    </xf>
    <xf numFmtId="0" fontId="13" fillId="3" borderId="1" xfId="0" applyFont="1" applyFill="1" applyBorder="1"/>
    <xf numFmtId="0" fontId="11" fillId="0" borderId="1" xfId="0" applyFont="1" applyBorder="1"/>
    <xf numFmtId="164" fontId="11" fillId="0" borderId="1" xfId="1" applyNumberFormat="1" applyFont="1" applyBorder="1"/>
    <xf numFmtId="0" fontId="11" fillId="0" borderId="1" xfId="0" applyFont="1" applyBorder="1" applyAlignment="1">
      <alignment horizontal="left"/>
    </xf>
    <xf numFmtId="3" fontId="11" fillId="0" borderId="1" xfId="0" applyNumberFormat="1" applyFont="1" applyBorder="1" applyAlignment="1">
      <alignment horizontal="right"/>
    </xf>
    <xf numFmtId="0" fontId="0" fillId="0" borderId="1" xfId="0" applyFont="1" applyBorder="1" applyAlignment="1">
      <alignment horizontal="left"/>
    </xf>
    <xf numFmtId="0" fontId="0" fillId="0" borderId="0" xfId="0"/>
    <xf numFmtId="0" fontId="11" fillId="0" borderId="0" xfId="0" applyFont="1" applyBorder="1" applyAlignment="1">
      <alignment horizontal="center"/>
    </xf>
    <xf numFmtId="0" fontId="13" fillId="3" borderId="1" xfId="0" applyFont="1" applyFill="1" applyBorder="1"/>
    <xf numFmtId="0" fontId="11" fillId="3" borderId="1" xfId="0" applyFont="1" applyFill="1" applyBorder="1" applyAlignment="1">
      <alignment horizontal="left"/>
    </xf>
    <xf numFmtId="164" fontId="11" fillId="3" borderId="1" xfId="1" applyNumberFormat="1" applyFont="1" applyFill="1" applyBorder="1"/>
    <xf numFmtId="164" fontId="13" fillId="3" borderId="1" xfId="1" applyNumberFormat="1" applyFont="1" applyFill="1" applyBorder="1"/>
    <xf numFmtId="0" fontId="13" fillId="3" borderId="1" xfId="0" applyFont="1" applyFill="1" applyBorder="1" applyAlignment="1">
      <alignment horizontal="left"/>
    </xf>
    <xf numFmtId="0" fontId="0" fillId="0" borderId="1" xfId="0" applyFont="1" applyFill="1" applyBorder="1" applyAlignment="1">
      <alignment horizontal="left"/>
    </xf>
    <xf numFmtId="0" fontId="0" fillId="0" borderId="1" xfId="0" applyFont="1" applyFill="1" applyBorder="1"/>
    <xf numFmtId="0" fontId="0" fillId="0" borderId="0" xfId="0"/>
    <xf numFmtId="0" fontId="11" fillId="0" borderId="0" xfId="0" applyFont="1" applyBorder="1" applyAlignment="1">
      <alignment horizontal="center"/>
    </xf>
    <xf numFmtId="0" fontId="13" fillId="3" borderId="1" xfId="0" applyFont="1" applyFill="1" applyBorder="1"/>
    <xf numFmtId="0" fontId="11" fillId="0" borderId="1" xfId="0" applyFont="1" applyBorder="1" applyAlignment="1">
      <alignment horizontal="left"/>
    </xf>
    <xf numFmtId="0" fontId="13" fillId="3" borderId="1" xfId="0" applyFont="1" applyFill="1" applyBorder="1" applyAlignment="1">
      <alignment horizontal="left"/>
    </xf>
    <xf numFmtId="0" fontId="0" fillId="0" borderId="1" xfId="0" applyFont="1" applyFill="1" applyBorder="1" applyAlignment="1">
      <alignment horizontal="left"/>
    </xf>
    <xf numFmtId="0" fontId="0" fillId="0" borderId="1" xfId="0" applyFont="1" applyFill="1" applyBorder="1"/>
    <xf numFmtId="0" fontId="0" fillId="0" borderId="1" xfId="0" applyFont="1" applyBorder="1"/>
    <xf numFmtId="0" fontId="0" fillId="17" borderId="1" xfId="0" applyFont="1" applyFill="1" applyBorder="1" applyAlignment="1">
      <alignment horizontal="left"/>
    </xf>
    <xf numFmtId="0" fontId="13" fillId="3" borderId="1" xfId="0" applyFont="1" applyFill="1" applyBorder="1"/>
    <xf numFmtId="0" fontId="0" fillId="0" borderId="1" xfId="0" applyFont="1" applyBorder="1" applyAlignment="1">
      <alignment horizontal="left"/>
    </xf>
    <xf numFmtId="164" fontId="11" fillId="3" borderId="1" xfId="1" applyNumberFormat="1" applyFont="1" applyFill="1" applyBorder="1"/>
    <xf numFmtId="164" fontId="11" fillId="0" borderId="1" xfId="1" applyNumberFormat="1" applyFont="1" applyFill="1" applyBorder="1"/>
    <xf numFmtId="164" fontId="13" fillId="0" borderId="1" xfId="1" applyNumberFormat="1" applyFont="1" applyFill="1" applyBorder="1"/>
    <xf numFmtId="3" fontId="11" fillId="0" borderId="1" xfId="0" applyNumberFormat="1" applyFont="1" applyBorder="1" applyAlignment="1">
      <alignment horizontal="right"/>
    </xf>
    <xf numFmtId="0" fontId="11" fillId="0" borderId="1" xfId="0" applyFont="1" applyBorder="1" applyAlignment="1">
      <alignment horizontal="right"/>
    </xf>
    <xf numFmtId="0" fontId="11" fillId="0" borderId="1" xfId="0" applyFont="1" applyFill="1" applyBorder="1" applyAlignment="1">
      <alignment horizontal="left"/>
    </xf>
    <xf numFmtId="3" fontId="11" fillId="0" borderId="1" xfId="0" applyNumberFormat="1" applyFont="1" applyFill="1" applyBorder="1" applyAlignment="1">
      <alignment horizontal="right"/>
    </xf>
    <xf numFmtId="164" fontId="11" fillId="0" borderId="1" xfId="1" applyNumberFormat="1" applyFont="1" applyBorder="1" applyAlignment="1">
      <alignment horizontal="right"/>
    </xf>
    <xf numFmtId="41" fontId="11" fillId="0" borderId="1" xfId="0" applyNumberFormat="1" applyFont="1" applyFill="1" applyBorder="1" applyAlignment="1">
      <alignment horizontal="right"/>
    </xf>
    <xf numFmtId="3" fontId="0" fillId="0" borderId="1" xfId="0" applyNumberFormat="1" applyFont="1" applyBorder="1" applyAlignment="1">
      <alignment horizontal="right"/>
    </xf>
    <xf numFmtId="37" fontId="11" fillId="0" borderId="1" xfId="0" applyNumberFormat="1" applyFont="1" applyFill="1" applyBorder="1" applyAlignment="1">
      <alignment horizontal="right"/>
    </xf>
    <xf numFmtId="41" fontId="13" fillId="3" borderId="1" xfId="0" applyNumberFormat="1" applyFont="1" applyFill="1" applyBorder="1" applyAlignment="1">
      <alignment horizontal="right"/>
    </xf>
    <xf numFmtId="164" fontId="13" fillId="3" borderId="1" xfId="1" applyNumberFormat="1" applyFont="1" applyFill="1" applyBorder="1"/>
    <xf numFmtId="3" fontId="13" fillId="3" borderId="1" xfId="0" applyNumberFormat="1" applyFont="1" applyFill="1" applyBorder="1" applyAlignment="1">
      <alignment horizontal="right"/>
    </xf>
    <xf numFmtId="0" fontId="11" fillId="31" borderId="1" xfId="0" applyFont="1" applyFill="1" applyBorder="1" applyAlignment="1">
      <alignment horizontal="right"/>
    </xf>
    <xf numFmtId="164" fontId="11" fillId="0" borderId="1" xfId="1" applyNumberFormat="1" applyFont="1" applyBorder="1"/>
    <xf numFmtId="164" fontId="11" fillId="0" borderId="1" xfId="1" applyNumberFormat="1" applyFont="1" applyFill="1" applyBorder="1"/>
    <xf numFmtId="164" fontId="13" fillId="0" borderId="1" xfId="1" applyNumberFormat="1" applyFont="1" applyFill="1" applyBorder="1"/>
    <xf numFmtId="164" fontId="13" fillId="0" borderId="1" xfId="1" applyNumberFormat="1" applyFont="1" applyBorder="1"/>
    <xf numFmtId="164" fontId="13" fillId="3" borderId="1" xfId="1" applyNumberFormat="1" applyFont="1" applyFill="1" applyBorder="1"/>
    <xf numFmtId="49" fontId="17" fillId="17" borderId="0" xfId="7" applyNumberFormat="1" applyFont="1" applyFill="1" applyBorder="1" applyAlignment="1" applyProtection="1">
      <alignment horizontal="center" wrapText="1"/>
      <protection locked="0"/>
    </xf>
    <xf numFmtId="164" fontId="11" fillId="0" borderId="1" xfId="0" applyNumberFormat="1" applyFont="1" applyBorder="1" applyAlignment="1">
      <alignment horizontal="right"/>
    </xf>
    <xf numFmtId="0" fontId="0" fillId="0" borderId="26" xfId="0" applyBorder="1" applyAlignment="1">
      <alignment horizontal="left" vertical="top" wrapText="1"/>
    </xf>
    <xf numFmtId="0" fontId="8" fillId="0" borderId="0" xfId="27" applyFont="1"/>
    <xf numFmtId="0" fontId="8" fillId="0" borderId="1" xfId="27" applyFont="1" applyBorder="1"/>
    <xf numFmtId="0" fontId="8" fillId="0" borderId="0" xfId="27" applyFont="1" applyAlignment="1">
      <alignment horizontal="center"/>
    </xf>
    <xf numFmtId="169" fontId="17" fillId="0" borderId="0" xfId="16" applyNumberFormat="1" applyAlignment="1">
      <alignment horizontal="center" vertical="center"/>
    </xf>
    <xf numFmtId="4" fontId="11" fillId="0" borderId="1" xfId="1" applyNumberFormat="1" applyFont="1" applyBorder="1"/>
    <xf numFmtId="4" fontId="0" fillId="0" borderId="1" xfId="0" applyNumberFormat="1" applyFont="1" applyBorder="1" applyAlignment="1">
      <alignment horizontal="right"/>
    </xf>
    <xf numFmtId="4" fontId="13" fillId="0" borderId="1" xfId="0" applyNumberFormat="1" applyFont="1" applyBorder="1" applyAlignment="1">
      <alignment horizontal="right"/>
    </xf>
    <xf numFmtId="4" fontId="13" fillId="0" borderId="1" xfId="1" applyNumberFormat="1" applyFont="1" applyBorder="1"/>
    <xf numFmtId="2" fontId="0" fillId="0" borderId="1" xfId="0" applyNumberFormat="1" applyFont="1" applyBorder="1" applyAlignment="1">
      <alignment horizontal="right"/>
    </xf>
    <xf numFmtId="164" fontId="11" fillId="0" borderId="1" xfId="1" applyNumberFormat="1" applyFont="1" applyFill="1" applyBorder="1" applyAlignment="1"/>
    <xf numFmtId="164" fontId="11" fillId="0" borderId="1" xfId="1" applyNumberFormat="1" applyFont="1" applyBorder="1" applyAlignment="1"/>
    <xf numFmtId="0" fontId="25" fillId="3" borderId="56" xfId="4" applyFont="1" applyFill="1" applyBorder="1" applyAlignment="1">
      <alignment horizontal="right" wrapText="1"/>
    </xf>
    <xf numFmtId="165" fontId="11" fillId="3" borderId="57" xfId="24" applyNumberFormat="1" applyFont="1" applyFill="1" applyBorder="1" applyAlignment="1"/>
    <xf numFmtId="165" fontId="11" fillId="3" borderId="26" xfId="24" applyNumberFormat="1" applyFont="1" applyFill="1" applyBorder="1" applyAlignment="1"/>
    <xf numFmtId="0" fontId="13" fillId="0" borderId="2" xfId="0" applyFont="1" applyFill="1" applyBorder="1" applyAlignment="1">
      <alignment horizontal="left"/>
    </xf>
    <xf numFmtId="3" fontId="11" fillId="0" borderId="26" xfId="23" applyNumberFormat="1" applyFont="1" applyBorder="1" applyAlignment="1">
      <alignment horizontal="right"/>
    </xf>
    <xf numFmtId="3" fontId="11" fillId="0" borderId="27" xfId="23" applyNumberFormat="1" applyFont="1" applyBorder="1" applyAlignment="1">
      <alignment horizontal="right"/>
    </xf>
    <xf numFmtId="3" fontId="11" fillId="0" borderId="5" xfId="23" applyNumberFormat="1" applyFont="1" applyBorder="1" applyAlignment="1">
      <alignment horizontal="right"/>
    </xf>
    <xf numFmtId="0" fontId="0" fillId="0" borderId="1" xfId="0" applyFont="1" applyFill="1" applyBorder="1" applyAlignment="1"/>
    <xf numFmtId="41" fontId="9" fillId="0" borderId="0" xfId="23" applyNumberFormat="1"/>
    <xf numFmtId="41" fontId="11" fillId="0" borderId="16" xfId="2" applyNumberFormat="1" applyFont="1" applyBorder="1" applyAlignment="1"/>
    <xf numFmtId="41" fontId="16" fillId="0" borderId="18" xfId="24" applyNumberFormat="1" applyFont="1" applyBorder="1" applyAlignment="1">
      <alignment horizontal="center"/>
    </xf>
    <xf numFmtId="41" fontId="11" fillId="0" borderId="18" xfId="2" applyNumberFormat="1" applyFont="1" applyFill="1" applyBorder="1" applyAlignment="1"/>
    <xf numFmtId="41" fontId="11" fillId="0" borderId="1" xfId="2" applyNumberFormat="1" applyFont="1" applyFill="1" applyBorder="1" applyAlignment="1"/>
    <xf numFmtId="41" fontId="11" fillId="0" borderId="17" xfId="2" applyNumberFormat="1" applyFont="1" applyFill="1" applyBorder="1" applyAlignment="1"/>
    <xf numFmtId="41" fontId="16" fillId="0" borderId="18" xfId="2" applyNumberFormat="1" applyFont="1" applyFill="1" applyBorder="1" applyAlignment="1">
      <alignment horizontal="left"/>
    </xf>
    <xf numFmtId="0" fontId="16" fillId="0" borderId="15" xfId="4" applyFont="1" applyFill="1" applyBorder="1" applyAlignment="1">
      <alignment horizontal="left" wrapText="1" indent="1"/>
    </xf>
    <xf numFmtId="37" fontId="17" fillId="17" borderId="0" xfId="11" quotePrefix="1" applyFont="1" applyFill="1" applyBorder="1" applyAlignment="1" applyProtection="1">
      <protection locked="0"/>
    </xf>
    <xf numFmtId="3" fontId="11" fillId="10" borderId="1" xfId="0" applyNumberFormat="1" applyFont="1" applyFill="1" applyBorder="1" applyAlignment="1">
      <alignment horizontal="right"/>
    </xf>
    <xf numFmtId="164" fontId="11" fillId="31" borderId="1" xfId="1" applyNumberFormat="1" applyFont="1" applyFill="1" applyBorder="1" applyAlignment="1">
      <alignment wrapText="1"/>
    </xf>
    <xf numFmtId="164" fontId="0" fillId="31" borderId="1" xfId="1" applyNumberFormat="1" applyFont="1" applyFill="1" applyBorder="1" applyAlignment="1">
      <alignment wrapText="1"/>
    </xf>
    <xf numFmtId="0" fontId="17" fillId="6" borderId="0" xfId="11" applyNumberFormat="1" applyFont="1" applyFill="1" applyBorder="1" applyAlignment="1" applyProtection="1">
      <alignment horizontal="center"/>
      <protection locked="0"/>
    </xf>
    <xf numFmtId="164" fontId="11" fillId="34" borderId="1" xfId="1" applyNumberFormat="1" applyFont="1" applyFill="1" applyBorder="1"/>
    <xf numFmtId="164" fontId="0" fillId="31" borderId="1" xfId="1" applyNumberFormat="1" applyFont="1" applyFill="1" applyBorder="1" applyAlignment="1">
      <alignment horizontal="center"/>
    </xf>
    <xf numFmtId="0" fontId="11" fillId="0" borderId="2" xfId="0" applyFont="1" applyBorder="1"/>
    <xf numFmtId="0" fontId="0" fillId="0" borderId="2" xfId="0" applyFont="1" applyBorder="1"/>
    <xf numFmtId="0" fontId="11" fillId="3" borderId="3" xfId="0" applyFont="1" applyFill="1" applyBorder="1" applyAlignment="1">
      <alignment horizontal="left"/>
    </xf>
    <xf numFmtId="0" fontId="13" fillId="3" borderId="26" xfId="0" applyFont="1" applyFill="1" applyBorder="1" applyAlignment="1">
      <alignment horizontal="left"/>
    </xf>
    <xf numFmtId="0" fontId="11" fillId="0" borderId="27" xfId="0" applyFont="1" applyBorder="1" applyAlignment="1">
      <alignment horizontal="left"/>
    </xf>
    <xf numFmtId="0" fontId="11" fillId="0" borderId="9" xfId="0" applyFont="1" applyBorder="1" applyAlignment="1">
      <alignment horizontal="left"/>
    </xf>
    <xf numFmtId="0" fontId="11" fillId="0" borderId="15" xfId="0" applyFont="1" applyBorder="1" applyAlignment="1">
      <alignment horizontal="left"/>
    </xf>
    <xf numFmtId="0" fontId="0" fillId="0" borderId="15" xfId="0" applyFont="1" applyBorder="1" applyAlignment="1">
      <alignment horizontal="left"/>
    </xf>
    <xf numFmtId="0" fontId="11" fillId="17" borderId="15" xfId="0" applyFont="1" applyFill="1" applyBorder="1" applyAlignment="1">
      <alignment horizontal="left"/>
    </xf>
    <xf numFmtId="0" fontId="0" fillId="17" borderId="15" xfId="0" applyFont="1" applyFill="1" applyBorder="1" applyAlignment="1">
      <alignment horizontal="left"/>
    </xf>
    <xf numFmtId="0" fontId="13" fillId="3" borderId="20" xfId="0" applyFont="1" applyFill="1" applyBorder="1" applyAlignment="1">
      <alignment horizontal="left"/>
    </xf>
    <xf numFmtId="0" fontId="0" fillId="0" borderId="9" xfId="0" applyFont="1" applyBorder="1" applyAlignment="1">
      <alignment horizontal="left"/>
    </xf>
    <xf numFmtId="0" fontId="0" fillId="0" borderId="27" xfId="0" applyFont="1" applyBorder="1" applyAlignment="1">
      <alignment horizontal="left"/>
    </xf>
    <xf numFmtId="0" fontId="11" fillId="17" borderId="9" xfId="0" applyFont="1" applyFill="1" applyBorder="1" applyAlignment="1">
      <alignment horizontal="left"/>
    </xf>
    <xf numFmtId="0" fontId="0" fillId="0" borderId="2" xfId="0" applyFont="1" applyFill="1" applyBorder="1"/>
    <xf numFmtId="0" fontId="0" fillId="0" borderId="3" xfId="0" applyFont="1" applyFill="1" applyBorder="1" applyAlignment="1">
      <alignment horizontal="left"/>
    </xf>
    <xf numFmtId="0" fontId="0" fillId="0" borderId="27" xfId="0" applyFont="1" applyFill="1" applyBorder="1" applyAlignment="1">
      <alignment horizontal="left"/>
    </xf>
    <xf numFmtId="0" fontId="0" fillId="0" borderId="9" xfId="0" applyFont="1" applyFill="1" applyBorder="1" applyAlignment="1">
      <alignment horizontal="left"/>
    </xf>
    <xf numFmtId="0" fontId="11" fillId="0" borderId="3" xfId="0" applyFont="1" applyFill="1" applyBorder="1" applyAlignment="1">
      <alignment horizontal="left"/>
    </xf>
    <xf numFmtId="0" fontId="0" fillId="0" borderId="15" xfId="0" applyFont="1" applyFill="1" applyBorder="1" applyAlignment="1">
      <alignment horizontal="left"/>
    </xf>
    <xf numFmtId="41" fontId="11" fillId="0" borderId="1" xfId="0" applyNumberFormat="1" applyFont="1" applyBorder="1" applyAlignment="1">
      <alignment horizontal="left"/>
    </xf>
    <xf numFmtId="0" fontId="0" fillId="0" borderId="58" xfId="0" applyFont="1" applyFill="1" applyBorder="1" applyAlignment="1">
      <alignment horizontal="left"/>
    </xf>
    <xf numFmtId="0" fontId="13" fillId="3" borderId="59" xfId="0" applyFont="1" applyFill="1" applyBorder="1" applyAlignment="1">
      <alignment horizontal="left"/>
    </xf>
    <xf numFmtId="3" fontId="0" fillId="0" borderId="1" xfId="0" applyNumberFormat="1" applyFont="1" applyFill="1" applyBorder="1" applyAlignment="1">
      <alignment horizontal="center"/>
    </xf>
    <xf numFmtId="164" fontId="57" fillId="0" borderId="30" xfId="7" applyNumberFormat="1" applyFont="1" applyFill="1" applyBorder="1"/>
    <xf numFmtId="41" fontId="0" fillId="17" borderId="1" xfId="0" applyNumberFormat="1" applyFont="1" applyFill="1" applyBorder="1" applyAlignment="1">
      <alignment horizontal="right"/>
    </xf>
    <xf numFmtId="41" fontId="11" fillId="17" borderId="1" xfId="0" applyNumberFormat="1" applyFont="1" applyFill="1" applyBorder="1" applyAlignment="1">
      <alignment horizontal="right"/>
    </xf>
    <xf numFmtId="41" fontId="0" fillId="0" borderId="2" xfId="0" applyNumberFormat="1" applyBorder="1"/>
    <xf numFmtId="41" fontId="0" fillId="0" borderId="3" xfId="0" applyNumberFormat="1" applyBorder="1"/>
    <xf numFmtId="0" fontId="13" fillId="31" borderId="1" xfId="0" applyFont="1" applyFill="1" applyBorder="1" applyAlignment="1">
      <alignment horizontal="right"/>
    </xf>
    <xf numFmtId="41" fontId="9" fillId="0" borderId="28" xfId="23" applyNumberFormat="1" applyBorder="1"/>
    <xf numFmtId="3" fontId="9" fillId="0" borderId="28" xfId="23" applyNumberFormat="1" applyBorder="1"/>
    <xf numFmtId="0" fontId="9" fillId="0" borderId="28" xfId="23" applyBorder="1"/>
    <xf numFmtId="0" fontId="9" fillId="0" borderId="28" xfId="23" applyBorder="1" applyAlignment="1">
      <alignment horizontal="center"/>
    </xf>
    <xf numFmtId="3" fontId="9" fillId="0" borderId="35" xfId="23" applyNumberFormat="1" applyBorder="1"/>
    <xf numFmtId="0" fontId="11" fillId="18" borderId="1" xfId="23" applyFont="1" applyFill="1" applyBorder="1" applyAlignment="1">
      <alignment horizontal="left" wrapText="1"/>
    </xf>
    <xf numFmtId="0" fontId="9" fillId="18" borderId="1" xfId="23" applyFont="1" applyFill="1" applyBorder="1" applyAlignment="1">
      <alignment horizontal="left" wrapText="1"/>
    </xf>
    <xf numFmtId="0" fontId="11" fillId="18" borderId="1" xfId="0" applyFont="1" applyFill="1" applyBorder="1" applyAlignment="1">
      <alignment horizontal="left" wrapText="1"/>
    </xf>
    <xf numFmtId="0" fontId="0" fillId="18" borderId="1" xfId="0" applyFont="1" applyFill="1" applyBorder="1" applyAlignment="1">
      <alignment horizontal="left" wrapText="1"/>
    </xf>
    <xf numFmtId="0" fontId="0" fillId="18" borderId="2" xfId="0" applyFont="1" applyFill="1" applyBorder="1" applyAlignment="1">
      <alignment horizontal="left" wrapText="1"/>
    </xf>
    <xf numFmtId="0" fontId="8" fillId="0" borderId="1" xfId="0" applyFont="1" applyBorder="1" applyAlignment="1">
      <alignment wrapText="1"/>
    </xf>
    <xf numFmtId="0" fontId="8" fillId="16" borderId="1" xfId="0" applyFont="1" applyFill="1" applyBorder="1" applyAlignment="1">
      <alignment wrapText="1"/>
    </xf>
    <xf numFmtId="164" fontId="0" fillId="0" borderId="1" xfId="1" applyNumberFormat="1" applyFont="1" applyFill="1" applyBorder="1"/>
    <xf numFmtId="164" fontId="57" fillId="0" borderId="1" xfId="7" applyNumberFormat="1" applyFont="1" applyFill="1" applyBorder="1"/>
    <xf numFmtId="41" fontId="17" fillId="57" borderId="0" xfId="16" applyNumberFormat="1" applyFont="1" applyFill="1"/>
    <xf numFmtId="41" fontId="17" fillId="57" borderId="0" xfId="115" applyNumberFormat="1" applyFont="1" applyFill="1"/>
    <xf numFmtId="41" fontId="17" fillId="57" borderId="0" xfId="115" applyNumberFormat="1" applyFont="1" applyFill="1"/>
    <xf numFmtId="0" fontId="11" fillId="17" borderId="27" xfId="0" applyFont="1" applyFill="1" applyBorder="1" applyAlignment="1">
      <alignment horizontal="left"/>
    </xf>
    <xf numFmtId="37" fontId="0" fillId="0" borderId="0" xfId="0" applyNumberFormat="1"/>
    <xf numFmtId="41" fontId="11" fillId="0" borderId="27" xfId="1" applyNumberFormat="1" applyFont="1" applyFill="1" applyBorder="1"/>
    <xf numFmtId="0" fontId="85" fillId="0" borderId="0" xfId="0" applyFont="1" applyFill="1" applyAlignment="1">
      <alignment horizontal="left"/>
    </xf>
    <xf numFmtId="0" fontId="85" fillId="0" borderId="0" xfId="0" applyFont="1" applyFill="1" applyAlignment="1">
      <alignment horizontal="right"/>
    </xf>
    <xf numFmtId="0" fontId="14" fillId="0" borderId="0" xfId="0" applyFont="1"/>
    <xf numFmtId="0" fontId="14" fillId="0" borderId="0" xfId="0" applyFont="1" applyAlignment="1" applyProtection="1">
      <alignment horizontal="center"/>
      <protection locked="0"/>
    </xf>
    <xf numFmtId="0" fontId="85" fillId="0" borderId="0" xfId="0" applyFont="1" applyAlignment="1">
      <alignment horizontal="left"/>
    </xf>
    <xf numFmtId="0" fontId="85" fillId="0" borderId="0" xfId="0" applyFont="1" applyAlignment="1">
      <alignment horizontal="right"/>
    </xf>
    <xf numFmtId="164" fontId="0" fillId="3" borderId="2" xfId="1" applyNumberFormat="1" applyFont="1" applyFill="1" applyBorder="1" applyAlignment="1">
      <alignment horizontal="center"/>
    </xf>
    <xf numFmtId="0" fontId="13" fillId="0" borderId="4" xfId="0" applyFont="1" applyBorder="1" applyAlignment="1">
      <alignment horizontal="left"/>
    </xf>
    <xf numFmtId="0" fontId="11" fillId="0" borderId="4" xfId="0" applyFont="1" applyBorder="1" applyAlignment="1">
      <alignment horizontal="left"/>
    </xf>
    <xf numFmtId="164" fontId="11" fillId="0" borderId="4" xfId="1" applyNumberFormat="1" applyFont="1" applyBorder="1"/>
    <xf numFmtId="164" fontId="0" fillId="0" borderId="1" xfId="1" applyNumberFormat="1" applyFont="1" applyBorder="1" applyAlignment="1">
      <alignment horizontal="center"/>
    </xf>
    <xf numFmtId="0" fontId="0" fillId="0" borderId="1" xfId="0" applyFont="1" applyBorder="1" applyAlignment="1">
      <alignment horizontal="left" wrapText="1" indent="1"/>
    </xf>
    <xf numFmtId="0" fontId="0" fillId="0" borderId="1" xfId="23" applyFont="1" applyBorder="1" applyAlignment="1">
      <alignment horizontal="left"/>
    </xf>
    <xf numFmtId="0" fontId="13" fillId="0" borderId="53" xfId="0" applyFont="1" applyFill="1" applyBorder="1" applyAlignment="1">
      <alignment horizontal="left" wrapText="1"/>
    </xf>
    <xf numFmtId="0" fontId="48" fillId="0" borderId="54" xfId="17" applyFill="1" applyBorder="1" applyAlignment="1">
      <alignment horizontal="center"/>
    </xf>
    <xf numFmtId="0" fontId="11" fillId="0" borderId="54" xfId="0" applyFont="1" applyBorder="1"/>
    <xf numFmtId="0" fontId="11" fillId="0" borderId="46" xfId="0" applyFont="1" applyFill="1" applyBorder="1" applyAlignment="1">
      <alignment horizontal="center" wrapText="1"/>
    </xf>
    <xf numFmtId="0" fontId="11" fillId="0" borderId="67" xfId="0" applyFont="1" applyBorder="1"/>
    <xf numFmtId="0" fontId="11" fillId="0" borderId="46" xfId="0" applyFont="1" applyBorder="1"/>
    <xf numFmtId="0" fontId="17" fillId="3" borderId="50" xfId="0" applyFont="1" applyFill="1" applyBorder="1"/>
    <xf numFmtId="172" fontId="13" fillId="0" borderId="1" xfId="1" applyNumberFormat="1" applyFont="1" applyBorder="1"/>
    <xf numFmtId="165" fontId="45" fillId="0" borderId="32" xfId="2" applyNumberFormat="1" applyFont="1" applyFill="1" applyBorder="1" applyAlignment="1">
      <alignment horizontal="center"/>
    </xf>
    <xf numFmtId="165" fontId="45" fillId="0" borderId="35" xfId="2" applyNumberFormat="1" applyFont="1" applyFill="1" applyBorder="1" applyAlignment="1">
      <alignment horizontal="center"/>
    </xf>
    <xf numFmtId="0" fontId="13" fillId="0" borderId="2" xfId="0" applyFont="1" applyBorder="1" applyAlignment="1">
      <alignment horizontal="center"/>
    </xf>
    <xf numFmtId="0" fontId="0" fillId="0" borderId="2" xfId="0" applyBorder="1" applyAlignment="1">
      <alignment horizontal="center"/>
    </xf>
    <xf numFmtId="0" fontId="0" fillId="0" borderId="0" xfId="0" applyAlignment="1">
      <alignment horizontal="right"/>
    </xf>
    <xf numFmtId="0" fontId="13" fillId="0" borderId="1" xfId="0" applyFont="1" applyBorder="1" applyAlignment="1">
      <alignment horizontal="center"/>
    </xf>
    <xf numFmtId="0" fontId="0" fillId="0" borderId="2" xfId="0" applyBorder="1"/>
    <xf numFmtId="0" fontId="13" fillId="0" borderId="26" xfId="0" applyFont="1" applyBorder="1" applyAlignment="1">
      <alignment horizontal="center"/>
    </xf>
    <xf numFmtId="164" fontId="13" fillId="0" borderId="10" xfId="0" applyNumberFormat="1" applyFont="1" applyBorder="1"/>
    <xf numFmtId="164" fontId="13" fillId="0" borderId="12" xfId="0" applyNumberFormat="1" applyFont="1" applyBorder="1"/>
    <xf numFmtId="164" fontId="13" fillId="0" borderId="21" xfId="0" applyNumberFormat="1" applyFont="1" applyBorder="1"/>
    <xf numFmtId="164" fontId="13" fillId="0" borderId="23" xfId="0" applyNumberFormat="1" applyFont="1" applyBorder="1"/>
    <xf numFmtId="41" fontId="45" fillId="0" borderId="0" xfId="2" applyNumberFormat="1" applyFont="1" applyFill="1"/>
    <xf numFmtId="41" fontId="45" fillId="0" borderId="28" xfId="2" applyNumberFormat="1" applyFont="1" applyFill="1" applyBorder="1"/>
    <xf numFmtId="0" fontId="0" fillId="0" borderId="1" xfId="0" applyFont="1" applyBorder="1" applyAlignment="1">
      <alignment horizontal="left" indent="2"/>
    </xf>
    <xf numFmtId="172" fontId="13" fillId="0" borderId="1" xfId="1" applyNumberFormat="1" applyFont="1" applyFill="1" applyBorder="1"/>
    <xf numFmtId="41" fontId="46" fillId="0" borderId="0" xfId="2" applyNumberFormat="1" applyFont="1" applyFill="1"/>
    <xf numFmtId="41" fontId="13" fillId="0" borderId="0" xfId="0" applyNumberFormat="1" applyFont="1"/>
    <xf numFmtId="41" fontId="13" fillId="0" borderId="0" xfId="0" applyNumberFormat="1" applyFont="1" applyAlignment="1">
      <alignment horizontal="center"/>
    </xf>
    <xf numFmtId="164" fontId="45" fillId="0" borderId="0" xfId="1" applyNumberFormat="1" applyFont="1" applyFill="1" applyAlignment="1">
      <alignment vertical="top"/>
    </xf>
    <xf numFmtId="0" fontId="0" fillId="0" borderId="0" xfId="0" applyAlignment="1">
      <alignment horizontal="center" vertical="top"/>
    </xf>
    <xf numFmtId="164" fontId="0" fillId="31" borderId="2" xfId="1" applyNumberFormat="1" applyFont="1" applyFill="1" applyBorder="1" applyAlignment="1">
      <alignment horizontal="center"/>
    </xf>
    <xf numFmtId="0" fontId="13" fillId="32" borderId="1" xfId="0" applyFont="1" applyFill="1" applyBorder="1"/>
    <xf numFmtId="0" fontId="11" fillId="32" borderId="1" xfId="0" applyFont="1" applyFill="1" applyBorder="1" applyAlignment="1">
      <alignment horizontal="left"/>
    </xf>
    <xf numFmtId="164" fontId="0" fillId="3" borderId="1" xfId="1" applyNumberFormat="1" applyFont="1" applyFill="1" applyBorder="1" applyAlignment="1"/>
    <xf numFmtId="164" fontId="0" fillId="3" borderId="1" xfId="1" applyNumberFormat="1" applyFont="1" applyFill="1" applyBorder="1" applyAlignment="1">
      <alignment horizontal="center" wrapText="1"/>
    </xf>
    <xf numFmtId="3" fontId="12" fillId="0" borderId="1" xfId="0" applyNumberFormat="1" applyFont="1" applyBorder="1" applyAlignment="1">
      <alignment horizontal="right"/>
    </xf>
    <xf numFmtId="3" fontId="12" fillId="10" borderId="1" xfId="0" applyNumberFormat="1" applyFont="1" applyFill="1" applyBorder="1" applyAlignment="1">
      <alignment horizontal="right"/>
    </xf>
    <xf numFmtId="0" fontId="86" fillId="0" borderId="27" xfId="0" applyFont="1" applyFill="1" applyBorder="1" applyAlignment="1">
      <alignment horizontal="center"/>
    </xf>
    <xf numFmtId="0" fontId="87" fillId="0" borderId="0" xfId="0" applyFont="1"/>
    <xf numFmtId="0" fontId="87" fillId="0" borderId="0" xfId="0" applyFont="1" applyAlignment="1">
      <alignment horizontal="center"/>
    </xf>
    <xf numFmtId="0" fontId="13" fillId="0" borderId="0" xfId="0" applyFont="1" applyAlignment="1">
      <alignment horizontal="center" wrapText="1"/>
    </xf>
    <xf numFmtId="0" fontId="0" fillId="0" borderId="2" xfId="0" applyBorder="1" applyAlignment="1"/>
    <xf numFmtId="0" fontId="0" fillId="0" borderId="4" xfId="0" applyBorder="1" applyAlignment="1"/>
    <xf numFmtId="0" fontId="0" fillId="0" borderId="3" xfId="0" applyBorder="1" applyAlignment="1"/>
    <xf numFmtId="169" fontId="17" fillId="25" borderId="0" xfId="16" applyNumberFormat="1" applyFont="1" applyFill="1" applyAlignment="1">
      <alignment horizontal="center"/>
    </xf>
    <xf numFmtId="0" fontId="17" fillId="0" borderId="0" xfId="115" applyFont="1"/>
    <xf numFmtId="164" fontId="11" fillId="17" borderId="1" xfId="1" applyNumberFormat="1" applyFont="1" applyFill="1" applyBorder="1"/>
    <xf numFmtId="164" fontId="11" fillId="31" borderId="1" xfId="1" applyNumberFormat="1" applyFont="1" applyFill="1" applyBorder="1"/>
    <xf numFmtId="3" fontId="11" fillId="17" borderId="1" xfId="0" applyNumberFormat="1" applyFont="1" applyFill="1" applyBorder="1" applyAlignment="1">
      <alignment horizontal="right"/>
    </xf>
    <xf numFmtId="3" fontId="0" fillId="17" borderId="0" xfId="0" applyNumberFormat="1" applyFill="1"/>
    <xf numFmtId="3" fontId="0" fillId="17" borderId="31" xfId="0" applyNumberFormat="1" applyFont="1" applyFill="1" applyBorder="1" applyAlignment="1">
      <alignment horizontal="right"/>
    </xf>
    <xf numFmtId="164" fontId="11" fillId="17" borderId="31" xfId="1" applyNumberFormat="1" applyFont="1" applyFill="1" applyBorder="1"/>
    <xf numFmtId="3" fontId="0" fillId="17" borderId="30" xfId="0" applyNumberFormat="1" applyFont="1" applyFill="1" applyBorder="1" applyAlignment="1">
      <alignment horizontal="right"/>
    </xf>
    <xf numFmtId="164" fontId="0" fillId="17" borderId="1" xfId="1" applyNumberFormat="1" applyFont="1" applyFill="1" applyBorder="1"/>
    <xf numFmtId="0" fontId="0" fillId="17" borderId="1" xfId="0" applyFill="1" applyBorder="1"/>
    <xf numFmtId="3" fontId="17" fillId="17" borderId="1" xfId="5" applyNumberFormat="1" applyFill="1" applyBorder="1" applyAlignment="1">
      <alignment horizontal="right"/>
    </xf>
    <xf numFmtId="0" fontId="0" fillId="0" borderId="0" xfId="0" applyFill="1" applyBorder="1" applyAlignment="1">
      <alignment horizontal="center"/>
    </xf>
    <xf numFmtId="0" fontId="1" fillId="0" borderId="0" xfId="0" applyFont="1" applyFill="1"/>
    <xf numFmtId="41" fontId="16" fillId="0" borderId="26" xfId="2" applyNumberFormat="1" applyFont="1" applyBorder="1" applyAlignment="1">
      <alignment horizontal="left"/>
    </xf>
    <xf numFmtId="41" fontId="16" fillId="0" borderId="27" xfId="2" applyNumberFormat="1" applyFont="1" applyBorder="1" applyAlignment="1">
      <alignment horizontal="left"/>
    </xf>
    <xf numFmtId="166" fontId="31" fillId="17" borderId="0" xfId="11" applyNumberFormat="1" applyFont="1" applyFill="1" applyBorder="1" applyAlignment="1" applyProtection="1">
      <alignment horizontal="right"/>
      <protection locked="0"/>
    </xf>
    <xf numFmtId="0" fontId="13" fillId="19" borderId="1" xfId="0" applyFont="1" applyFill="1" applyBorder="1"/>
    <xf numFmtId="3" fontId="0" fillId="0" borderId="0" xfId="0" applyNumberFormat="1"/>
    <xf numFmtId="0" fontId="0" fillId="58" borderId="1" xfId="0" applyFont="1" applyFill="1" applyBorder="1"/>
    <xf numFmtId="164" fontId="11" fillId="58" borderId="1" xfId="1" applyNumberFormat="1" applyFont="1" applyFill="1" applyBorder="1"/>
    <xf numFmtId="164" fontId="11" fillId="58" borderId="31" xfId="1" applyNumberFormat="1" applyFont="1" applyFill="1" applyBorder="1"/>
    <xf numFmtId="0" fontId="0" fillId="58" borderId="1" xfId="0" applyFont="1" applyFill="1" applyBorder="1" applyAlignment="1">
      <alignment horizontal="left"/>
    </xf>
    <xf numFmtId="164" fontId="13" fillId="0" borderId="31" xfId="1" applyNumberFormat="1" applyFont="1" applyFill="1" applyBorder="1"/>
    <xf numFmtId="3" fontId="16" fillId="17" borderId="1" xfId="0" applyNumberFormat="1" applyFont="1" applyFill="1" applyBorder="1" applyAlignment="1">
      <alignment horizontal="right"/>
    </xf>
    <xf numFmtId="0" fontId="16" fillId="0" borderId="1" xfId="0" applyFont="1" applyBorder="1"/>
    <xf numFmtId="3" fontId="16" fillId="0" borderId="1" xfId="0" applyNumberFormat="1" applyFont="1" applyBorder="1" applyAlignment="1">
      <alignment horizontal="right"/>
    </xf>
    <xf numFmtId="0" fontId="16" fillId="0" borderId="2" xfId="0" applyFont="1" applyBorder="1"/>
    <xf numFmtId="0" fontId="25" fillId="32" borderId="1" xfId="0" applyFont="1" applyFill="1" applyBorder="1"/>
    <xf numFmtId="37" fontId="16" fillId="0" borderId="1" xfId="0" applyNumberFormat="1" applyFont="1" applyFill="1" applyBorder="1" applyAlignment="1" applyProtection="1">
      <alignment vertical="center"/>
    </xf>
    <xf numFmtId="164" fontId="11" fillId="14" borderId="1" xfId="1" applyNumberFormat="1" applyFont="1" applyFill="1" applyBorder="1"/>
    <xf numFmtId="0" fontId="13" fillId="15" borderId="1" xfId="0" applyFont="1" applyFill="1" applyBorder="1"/>
    <xf numFmtId="0" fontId="11" fillId="15" borderId="1" xfId="0" applyFont="1" applyFill="1" applyBorder="1" applyAlignment="1">
      <alignment horizontal="left"/>
    </xf>
    <xf numFmtId="0" fontId="11" fillId="15" borderId="1" xfId="0" applyFont="1" applyFill="1" applyBorder="1"/>
    <xf numFmtId="0" fontId="0" fillId="15" borderId="1" xfId="0" applyFont="1" applyFill="1" applyBorder="1"/>
    <xf numFmtId="0" fontId="13" fillId="15" borderId="1" xfId="0" applyFont="1" applyFill="1" applyBorder="1" applyAlignment="1">
      <alignment horizontal="right"/>
    </xf>
    <xf numFmtId="0" fontId="11" fillId="15" borderId="1" xfId="0" applyFont="1" applyFill="1" applyBorder="1" applyAlignment="1">
      <alignment horizontal="left" indent="1"/>
    </xf>
    <xf numFmtId="0" fontId="0" fillId="15" borderId="1" xfId="0" applyFont="1" applyFill="1" applyBorder="1" applyAlignment="1">
      <alignment horizontal="left" indent="1"/>
    </xf>
    <xf numFmtId="0" fontId="0" fillId="15" borderId="1" xfId="0" applyFont="1" applyFill="1" applyBorder="1" applyAlignment="1"/>
    <xf numFmtId="0" fontId="0" fillId="15" borderId="1" xfId="0" applyFont="1" applyFill="1" applyBorder="1" applyAlignment="1">
      <alignment horizontal="left"/>
    </xf>
    <xf numFmtId="0" fontId="11" fillId="15" borderId="1" xfId="0" applyFont="1" applyFill="1" applyBorder="1" applyAlignment="1">
      <alignment wrapText="1"/>
    </xf>
    <xf numFmtId="0" fontId="0" fillId="15" borderId="1" xfId="0" applyFont="1" applyFill="1" applyBorder="1" applyAlignment="1">
      <alignment wrapText="1"/>
    </xf>
    <xf numFmtId="0" fontId="13" fillId="17" borderId="1" xfId="0" applyFont="1" applyFill="1" applyBorder="1"/>
    <xf numFmtId="0" fontId="0" fillId="0" borderId="29" xfId="0" applyBorder="1" applyAlignment="1">
      <alignment vertical="center" wrapText="1"/>
    </xf>
    <xf numFmtId="0" fontId="0" fillId="0" borderId="33" xfId="0" applyBorder="1" applyAlignment="1">
      <alignment vertical="center" wrapText="1"/>
    </xf>
    <xf numFmtId="0" fontId="0" fillId="0" borderId="34" xfId="0" applyBorder="1" applyAlignment="1">
      <alignment vertical="center" wrapText="1"/>
    </xf>
    <xf numFmtId="0" fontId="0" fillId="0" borderId="30" xfId="0" applyBorder="1" applyAlignment="1">
      <alignment vertical="center" wrapText="1"/>
    </xf>
    <xf numFmtId="0" fontId="0" fillId="0" borderId="0" xfId="0" applyBorder="1" applyAlignment="1">
      <alignment vertical="center" wrapText="1"/>
    </xf>
    <xf numFmtId="0" fontId="0" fillId="0" borderId="36" xfId="0" applyBorder="1" applyAlignment="1">
      <alignment vertical="center" wrapText="1"/>
    </xf>
    <xf numFmtId="14" fontId="0" fillId="0" borderId="0" xfId="0" applyNumberFormat="1" applyFont="1"/>
    <xf numFmtId="164" fontId="25" fillId="0" borderId="1" xfId="1" applyNumberFormat="1" applyFont="1" applyBorder="1"/>
    <xf numFmtId="164" fontId="16" fillId="0" borderId="1" xfId="1" applyNumberFormat="1" applyFont="1" applyBorder="1"/>
    <xf numFmtId="0" fontId="49" fillId="0" borderId="0" xfId="0" applyFont="1" applyAlignment="1">
      <alignment wrapText="1"/>
    </xf>
    <xf numFmtId="0" fontId="48" fillId="0" borderId="0" xfId="17" applyAlignment="1">
      <alignment horizontal="left"/>
    </xf>
    <xf numFmtId="0" fontId="56" fillId="0" borderId="1" xfId="0" applyFont="1" applyBorder="1" applyAlignment="1">
      <alignment horizontal="center"/>
    </xf>
    <xf numFmtId="0" fontId="49" fillId="0" borderId="0" xfId="0" applyFont="1" applyAlignment="1">
      <alignment vertical="center" wrapText="1"/>
    </xf>
    <xf numFmtId="0" fontId="51" fillId="0" borderId="33" xfId="0" applyFont="1" applyBorder="1" applyAlignment="1">
      <alignment horizontal="left" vertical="top" wrapText="1"/>
    </xf>
    <xf numFmtId="0" fontId="51" fillId="0" borderId="34" xfId="0" applyFont="1" applyBorder="1" applyAlignment="1">
      <alignment horizontal="left" vertical="top" wrapText="1"/>
    </xf>
    <xf numFmtId="0" fontId="51" fillId="0" borderId="30" xfId="0" applyFont="1" applyBorder="1" applyAlignment="1">
      <alignment horizontal="left" vertical="top" wrapText="1"/>
    </xf>
    <xf numFmtId="0" fontId="51" fillId="0" borderId="0" xfId="0" applyFont="1" applyBorder="1" applyAlignment="1">
      <alignment horizontal="left" vertical="top" wrapText="1"/>
    </xf>
    <xf numFmtId="0" fontId="51" fillId="0" borderId="36" xfId="0" applyFont="1" applyBorder="1" applyAlignment="1">
      <alignment horizontal="left" vertical="top" wrapText="1"/>
    </xf>
    <xf numFmtId="0" fontId="51" fillId="0" borderId="28" xfId="0" applyFont="1" applyBorder="1" applyAlignment="1">
      <alignment horizontal="left" vertical="top" wrapText="1"/>
    </xf>
    <xf numFmtId="0" fontId="51" fillId="0" borderId="35" xfId="0" applyFont="1" applyBorder="1" applyAlignment="1">
      <alignment horizontal="left" vertical="top" wrapText="1"/>
    </xf>
    <xf numFmtId="0" fontId="51" fillId="0" borderId="29" xfId="0" applyFont="1" applyBorder="1" applyAlignment="1">
      <alignment wrapText="1"/>
    </xf>
    <xf numFmtId="0" fontId="51" fillId="0" borderId="33" xfId="0" applyFont="1" applyBorder="1" applyAlignment="1">
      <alignment wrapText="1"/>
    </xf>
    <xf numFmtId="0" fontId="51" fillId="0" borderId="34" xfId="0" applyFont="1" applyBorder="1" applyAlignment="1">
      <alignment wrapText="1"/>
    </xf>
    <xf numFmtId="0" fontId="51" fillId="0" borderId="32" xfId="0" applyFont="1" applyBorder="1" applyAlignment="1">
      <alignment wrapText="1"/>
    </xf>
    <xf numFmtId="0" fontId="51" fillId="0" borderId="28" xfId="0" applyFont="1" applyBorder="1" applyAlignment="1">
      <alignment wrapText="1"/>
    </xf>
    <xf numFmtId="0" fontId="51" fillId="0" borderId="35" xfId="0" applyFont="1" applyBorder="1" applyAlignment="1">
      <alignment wrapText="1"/>
    </xf>
    <xf numFmtId="0" fontId="53" fillId="0" borderId="0" xfId="0" applyFont="1" applyAlignment="1"/>
    <xf numFmtId="0" fontId="49" fillId="0" borderId="0" xfId="0" applyFont="1" applyAlignment="1">
      <alignment horizontal="left" wrapText="1"/>
    </xf>
    <xf numFmtId="0" fontId="84" fillId="0" borderId="6" xfId="0" applyFont="1" applyBorder="1" applyAlignment="1">
      <alignment horizontal="center"/>
    </xf>
    <xf numFmtId="0" fontId="84" fillId="0" borderId="7" xfId="0" applyFont="1" applyBorder="1" applyAlignment="1">
      <alignment horizontal="center"/>
    </xf>
    <xf numFmtId="0" fontId="84" fillId="0" borderId="8" xfId="0" applyFont="1" applyBorder="1" applyAlignment="1">
      <alignment horizontal="center"/>
    </xf>
    <xf numFmtId="0" fontId="13" fillId="0" borderId="6"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26" borderId="7" xfId="0" applyFont="1" applyFill="1" applyBorder="1" applyAlignment="1">
      <alignment horizontal="center" wrapText="1"/>
    </xf>
    <xf numFmtId="0" fontId="13" fillId="26" borderId="8" xfId="0" applyFont="1" applyFill="1" applyBorder="1" applyAlignment="1">
      <alignment horizontal="center" wrapText="1"/>
    </xf>
    <xf numFmtId="0" fontId="13" fillId="0" borderId="26"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27" xfId="0" applyFont="1" applyBorder="1" applyAlignment="1">
      <alignment horizontal="center" vertical="center" wrapText="1"/>
    </xf>
    <xf numFmtId="0" fontId="11" fillId="3" borderId="2" xfId="0" applyFont="1" applyFill="1" applyBorder="1" applyAlignment="1">
      <alignment horizontal="center"/>
    </xf>
    <xf numFmtId="0" fontId="11" fillId="3" borderId="3" xfId="0" applyFont="1" applyFill="1" applyBorder="1" applyAlignment="1">
      <alignment horizontal="center"/>
    </xf>
    <xf numFmtId="0" fontId="11" fillId="31" borderId="2" xfId="0" applyFont="1" applyFill="1" applyBorder="1" applyAlignment="1">
      <alignment horizontal="center"/>
    </xf>
    <xf numFmtId="0" fontId="11" fillId="31" borderId="4" xfId="0" applyFont="1" applyFill="1" applyBorder="1" applyAlignment="1">
      <alignment horizontal="center"/>
    </xf>
    <xf numFmtId="0" fontId="0" fillId="31" borderId="2" xfId="0" applyFont="1" applyFill="1" applyBorder="1" applyAlignment="1">
      <alignment horizontal="center"/>
    </xf>
    <xf numFmtId="164" fontId="11" fillId="3" borderId="2" xfId="1" applyNumberFormat="1" applyFont="1" applyFill="1" applyBorder="1" applyAlignment="1">
      <alignment horizontal="center"/>
    </xf>
    <xf numFmtId="164" fontId="11" fillId="3" borderId="4" xfId="1" applyNumberFormat="1" applyFont="1" applyFill="1" applyBorder="1" applyAlignment="1">
      <alignment horizontal="center"/>
    </xf>
    <xf numFmtId="164" fontId="11" fillId="3" borderId="3" xfId="1" applyNumberFormat="1" applyFont="1" applyFill="1" applyBorder="1" applyAlignment="1">
      <alignment horizontal="center"/>
    </xf>
    <xf numFmtId="164" fontId="0" fillId="3" borderId="2" xfId="1" applyNumberFormat="1" applyFont="1" applyFill="1" applyBorder="1" applyAlignment="1">
      <alignment horizontal="center"/>
    </xf>
    <xf numFmtId="0" fontId="13" fillId="15" borderId="2" xfId="0" applyFont="1" applyFill="1" applyBorder="1" applyAlignment="1">
      <alignment horizontal="center" wrapText="1"/>
    </xf>
    <xf numFmtId="0" fontId="13" fillId="15" borderId="3" xfId="0" applyFont="1" applyFill="1" applyBorder="1" applyAlignment="1">
      <alignment horizontal="center" wrapText="1"/>
    </xf>
    <xf numFmtId="0" fontId="13" fillId="3" borderId="2" xfId="0" applyFont="1" applyFill="1" applyBorder="1" applyAlignment="1">
      <alignment horizontal="center" wrapText="1"/>
    </xf>
    <xf numFmtId="0" fontId="13" fillId="3" borderId="3" xfId="0" applyFont="1" applyFill="1" applyBorder="1" applyAlignment="1">
      <alignment horizontal="center" wrapText="1"/>
    </xf>
    <xf numFmtId="0" fontId="13" fillId="33" borderId="4" xfId="0" applyFont="1" applyFill="1" applyBorder="1" applyAlignment="1">
      <alignment horizontal="center" wrapText="1"/>
    </xf>
    <xf numFmtId="0" fontId="11" fillId="3" borderId="4" xfId="0" applyFont="1" applyFill="1" applyBorder="1" applyAlignment="1">
      <alignment horizontal="center"/>
    </xf>
    <xf numFmtId="164" fontId="0" fillId="31" borderId="2" xfId="1" applyNumberFormat="1" applyFont="1" applyFill="1" applyBorder="1" applyAlignment="1">
      <alignment horizontal="center"/>
    </xf>
    <xf numFmtId="164" fontId="11" fillId="31" borderId="3" xfId="1" applyNumberFormat="1" applyFont="1" applyFill="1" applyBorder="1" applyAlignment="1">
      <alignment horizontal="center"/>
    </xf>
    <xf numFmtId="0" fontId="3" fillId="0" borderId="0" xfId="0" applyFont="1" applyAlignment="1">
      <alignment wrapText="1"/>
    </xf>
    <xf numFmtId="0" fontId="0" fillId="3" borderId="2" xfId="0" applyFont="1" applyFill="1" applyBorder="1" applyAlignment="1">
      <alignment horizontal="center"/>
    </xf>
    <xf numFmtId="0" fontId="0" fillId="0" borderId="29" xfId="0" applyBorder="1" applyAlignment="1">
      <alignment wrapText="1"/>
    </xf>
    <xf numFmtId="0" fontId="0" fillId="0" borderId="33" xfId="0" applyBorder="1" applyAlignment="1">
      <alignment wrapText="1"/>
    </xf>
    <xf numFmtId="0" fontId="0" fillId="0" borderId="34" xfId="0" applyBorder="1" applyAlignment="1">
      <alignment wrapText="1"/>
    </xf>
    <xf numFmtId="0" fontId="0" fillId="0" borderId="32" xfId="0" applyBorder="1" applyAlignment="1">
      <alignment wrapText="1"/>
    </xf>
    <xf numFmtId="0" fontId="0" fillId="0" borderId="28" xfId="0" applyBorder="1" applyAlignment="1">
      <alignment wrapText="1"/>
    </xf>
    <xf numFmtId="0" fontId="0" fillId="0" borderId="35" xfId="0" applyBorder="1" applyAlignment="1">
      <alignment wrapText="1"/>
    </xf>
    <xf numFmtId="0" fontId="0" fillId="0" borderId="26" xfId="0" applyBorder="1" applyAlignment="1">
      <alignment horizontal="center" wrapText="1"/>
    </xf>
    <xf numFmtId="0" fontId="0" fillId="0" borderId="27" xfId="0" applyBorder="1" applyAlignment="1">
      <alignment horizontal="center"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13" fillId="0" borderId="1" xfId="0" applyFont="1" applyBorder="1" applyAlignment="1">
      <alignment horizontal="center"/>
    </xf>
    <xf numFmtId="0" fontId="26" fillId="0" borderId="6" xfId="0" applyFont="1" applyBorder="1" applyAlignment="1">
      <alignment horizontal="left"/>
    </xf>
    <xf numFmtId="0" fontId="26" fillId="0" borderId="7" xfId="0" applyFont="1" applyBorder="1" applyAlignment="1">
      <alignment horizontal="left"/>
    </xf>
    <xf numFmtId="41" fontId="16" fillId="0" borderId="47" xfId="2" applyNumberFormat="1" applyFont="1" applyBorder="1" applyAlignment="1">
      <alignment horizontal="center"/>
    </xf>
    <xf numFmtId="41" fontId="16" fillId="0" borderId="48" xfId="2" applyNumberFormat="1" applyFont="1" applyBorder="1" applyAlignment="1">
      <alignment horizontal="center"/>
    </xf>
    <xf numFmtId="41" fontId="16" fillId="0" borderId="49" xfId="2" applyNumberFormat="1"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41" fontId="13" fillId="0" borderId="53" xfId="0" applyNumberFormat="1" applyFont="1" applyBorder="1" applyAlignment="1">
      <alignment horizontal="center" vertical="center" wrapText="1"/>
    </xf>
    <xf numFmtId="41" fontId="13" fillId="0" borderId="54" xfId="0" applyNumberFormat="1" applyFont="1" applyBorder="1" applyAlignment="1">
      <alignment horizontal="center" vertical="center" wrapText="1"/>
    </xf>
    <xf numFmtId="41" fontId="13" fillId="0" borderId="50" xfId="0" applyNumberFormat="1" applyFont="1" applyBorder="1" applyAlignment="1">
      <alignment horizontal="center" vertical="center" wrapText="1"/>
    </xf>
    <xf numFmtId="41" fontId="13" fillId="0" borderId="41" xfId="0" applyNumberFormat="1" applyFont="1" applyBorder="1" applyAlignment="1">
      <alignment horizontal="center" vertical="center" wrapText="1"/>
    </xf>
    <xf numFmtId="41" fontId="13" fillId="0" borderId="55" xfId="0" applyNumberFormat="1" applyFont="1" applyBorder="1" applyAlignment="1">
      <alignment horizontal="center" vertical="center" wrapText="1"/>
    </xf>
    <xf numFmtId="41" fontId="13" fillId="0" borderId="40" xfId="0" applyNumberFormat="1" applyFont="1" applyBorder="1" applyAlignment="1">
      <alignment horizontal="center" vertical="center" wrapText="1"/>
    </xf>
    <xf numFmtId="0" fontId="0" fillId="19" borderId="4" xfId="0" applyFill="1" applyBorder="1" applyAlignment="1">
      <alignment horizontal="center" wrapText="1"/>
    </xf>
    <xf numFmtId="0" fontId="0" fillId="19" borderId="3" xfId="0" applyFill="1" applyBorder="1" applyAlignment="1">
      <alignment horizontal="center"/>
    </xf>
    <xf numFmtId="0" fontId="0" fillId="18" borderId="33" xfId="0" applyFill="1" applyBorder="1" applyAlignment="1">
      <alignment horizontal="center"/>
    </xf>
    <xf numFmtId="0" fontId="0" fillId="18" borderId="34" xfId="0" applyFill="1" applyBorder="1" applyAlignment="1">
      <alignment horizontal="center"/>
    </xf>
    <xf numFmtId="0" fontId="0" fillId="0" borderId="0" xfId="0" applyFill="1" applyBorder="1" applyAlignment="1">
      <alignment horizontal="center"/>
    </xf>
    <xf numFmtId="0" fontId="0" fillId="0" borderId="36" xfId="0" applyFill="1" applyBorder="1" applyAlignment="1">
      <alignment horizontal="center"/>
    </xf>
    <xf numFmtId="0" fontId="13" fillId="0" borderId="26" xfId="0" applyFont="1" applyFill="1" applyBorder="1" applyAlignment="1">
      <alignment horizontal="center" wrapText="1"/>
    </xf>
    <xf numFmtId="0" fontId="13" fillId="0" borderId="27" xfId="0" applyFont="1" applyFill="1" applyBorder="1" applyAlignment="1">
      <alignment horizontal="center" wrapText="1"/>
    </xf>
    <xf numFmtId="0" fontId="13" fillId="2" borderId="1" xfId="0" applyFont="1" applyFill="1" applyBorder="1" applyAlignment="1">
      <alignment horizontal="center"/>
    </xf>
    <xf numFmtId="0" fontId="13" fillId="23" borderId="1" xfId="0" applyFont="1" applyFill="1" applyBorder="1" applyAlignment="1">
      <alignment horizontal="center"/>
    </xf>
    <xf numFmtId="0" fontId="8" fillId="0" borderId="2" xfId="23" applyFont="1" applyBorder="1" applyAlignment="1">
      <alignment horizontal="center"/>
    </xf>
    <xf numFmtId="0" fontId="9" fillId="0" borderId="4" xfId="23" applyBorder="1" applyAlignment="1">
      <alignment horizontal="center"/>
    </xf>
    <xf numFmtId="0" fontId="9" fillId="0" borderId="3" xfId="23" applyBorder="1" applyAlignment="1">
      <alignment horizontal="center"/>
    </xf>
    <xf numFmtId="0" fontId="13" fillId="31" borderId="2" xfId="0" applyFont="1" applyFill="1" applyBorder="1" applyAlignment="1">
      <alignment horizontal="center"/>
    </xf>
    <xf numFmtId="0" fontId="13" fillId="31" borderId="4" xfId="0" applyFont="1" applyFill="1" applyBorder="1" applyAlignment="1">
      <alignment horizontal="center"/>
    </xf>
    <xf numFmtId="0" fontId="13" fillId="31" borderId="3" xfId="0" applyFont="1" applyFill="1" applyBorder="1" applyAlignment="1">
      <alignment horizontal="center"/>
    </xf>
  </cellXfs>
  <cellStyles count="174">
    <cellStyle name="20% - Accent1 2" xfId="40" xr:uid="{00000000-0005-0000-0000-000000000000}"/>
    <cellStyle name="20% - Accent2 2" xfId="41" xr:uid="{00000000-0005-0000-0000-000001000000}"/>
    <cellStyle name="20% - Accent3 2" xfId="42" xr:uid="{00000000-0005-0000-0000-000002000000}"/>
    <cellStyle name="20% - Accent4 2" xfId="43" xr:uid="{00000000-0005-0000-0000-000003000000}"/>
    <cellStyle name="20% - Accent5 2" xfId="44" xr:uid="{00000000-0005-0000-0000-000004000000}"/>
    <cellStyle name="20% - Accent6 2" xfId="45" xr:uid="{00000000-0005-0000-0000-000005000000}"/>
    <cellStyle name="40% - Accent1 2" xfId="46" xr:uid="{00000000-0005-0000-0000-000006000000}"/>
    <cellStyle name="40% - Accent2 2" xfId="47" xr:uid="{00000000-0005-0000-0000-000007000000}"/>
    <cellStyle name="40% - Accent3 2" xfId="48" xr:uid="{00000000-0005-0000-0000-000008000000}"/>
    <cellStyle name="40% - Accent4 2" xfId="49" xr:uid="{00000000-0005-0000-0000-000009000000}"/>
    <cellStyle name="40% - Accent5 2" xfId="50" xr:uid="{00000000-0005-0000-0000-00000A000000}"/>
    <cellStyle name="40% - Accent6 2" xfId="51" xr:uid="{00000000-0005-0000-0000-00000B000000}"/>
    <cellStyle name="60% - Accent1 2" xfId="52" xr:uid="{00000000-0005-0000-0000-00000C000000}"/>
    <cellStyle name="60% - Accent2 2" xfId="53" xr:uid="{00000000-0005-0000-0000-00000D000000}"/>
    <cellStyle name="60% - Accent3 2" xfId="54" xr:uid="{00000000-0005-0000-0000-00000E000000}"/>
    <cellStyle name="60% - Accent4 2" xfId="55" xr:uid="{00000000-0005-0000-0000-00000F000000}"/>
    <cellStyle name="60% - Accent5 2" xfId="56" xr:uid="{00000000-0005-0000-0000-000010000000}"/>
    <cellStyle name="60% - Accent6 2" xfId="57" xr:uid="{00000000-0005-0000-0000-000011000000}"/>
    <cellStyle name="Accent1 2" xfId="58" xr:uid="{00000000-0005-0000-0000-000012000000}"/>
    <cellStyle name="Accent2 2" xfId="59" xr:uid="{00000000-0005-0000-0000-000013000000}"/>
    <cellStyle name="Accent3 2" xfId="60" xr:uid="{00000000-0005-0000-0000-000014000000}"/>
    <cellStyle name="Accent4 2" xfId="61" xr:uid="{00000000-0005-0000-0000-000015000000}"/>
    <cellStyle name="Accent5 2" xfId="62" xr:uid="{00000000-0005-0000-0000-000016000000}"/>
    <cellStyle name="Accent6 2" xfId="63" xr:uid="{00000000-0005-0000-0000-000017000000}"/>
    <cellStyle name="Bad 2" xfId="64" xr:uid="{00000000-0005-0000-0000-000018000000}"/>
    <cellStyle name="Calculation 2" xfId="65" xr:uid="{00000000-0005-0000-0000-000019000000}"/>
    <cellStyle name="Check Cell 2" xfId="66" xr:uid="{00000000-0005-0000-0000-00001A000000}"/>
    <cellStyle name="Comma" xfId="1" builtinId="3"/>
    <cellStyle name="Comma 2" xfId="25" xr:uid="{00000000-0005-0000-0000-00001C000000}"/>
    <cellStyle name="Comma 2 2" xfId="20" xr:uid="{00000000-0005-0000-0000-00001D000000}"/>
    <cellStyle name="Comma 2 2 2" xfId="146" xr:uid="{00000000-0005-0000-0000-00001E000000}"/>
    <cellStyle name="Comma 2 3" xfId="34" xr:uid="{00000000-0005-0000-0000-00001F000000}"/>
    <cellStyle name="Comma 2 4" xfId="116" xr:uid="{00000000-0005-0000-0000-000020000000}"/>
    <cellStyle name="Comma 2 5" xfId="131" xr:uid="{00000000-0005-0000-0000-000021000000}"/>
    <cellStyle name="Comma 3" xfId="10" xr:uid="{00000000-0005-0000-0000-000022000000}"/>
    <cellStyle name="Comma 3 2" xfId="7" xr:uid="{00000000-0005-0000-0000-000023000000}"/>
    <cellStyle name="Comma 3 2 2" xfId="143" xr:uid="{00000000-0005-0000-0000-000024000000}"/>
    <cellStyle name="Comma 3 3" xfId="35" xr:uid="{00000000-0005-0000-0000-000025000000}"/>
    <cellStyle name="Comma 3 3 2" xfId="132" xr:uid="{00000000-0005-0000-0000-000026000000}"/>
    <cellStyle name="Comma 3 4" xfId="37" xr:uid="{00000000-0005-0000-0000-000027000000}"/>
    <cellStyle name="Comma 3 5" xfId="173" xr:uid="{00000000-0005-0000-0000-000028000000}"/>
    <cellStyle name="Comma 4" xfId="29" xr:uid="{00000000-0005-0000-0000-000029000000}"/>
    <cellStyle name="Comma 4 2" xfId="133" xr:uid="{00000000-0005-0000-0000-00002A000000}"/>
    <cellStyle name="Comma 5" xfId="134" xr:uid="{00000000-0005-0000-0000-00002B000000}"/>
    <cellStyle name="Comma 6" xfId="130" xr:uid="{00000000-0005-0000-0000-00002C000000}"/>
    <cellStyle name="Comma 7" xfId="125" xr:uid="{00000000-0005-0000-0000-00002D000000}"/>
    <cellStyle name="Comma 8" xfId="122" xr:uid="{00000000-0005-0000-0000-00002E000000}"/>
    <cellStyle name="Comma0" xfId="67" xr:uid="{00000000-0005-0000-0000-00002F000000}"/>
    <cellStyle name="Comma0 2" xfId="93" xr:uid="{00000000-0005-0000-0000-000030000000}"/>
    <cellStyle name="Comma0 2 2" xfId="148" xr:uid="{00000000-0005-0000-0000-000031000000}"/>
    <cellStyle name="Comma0 3" xfId="94" xr:uid="{00000000-0005-0000-0000-000032000000}"/>
    <cellStyle name="Comma0 4" xfId="147" xr:uid="{00000000-0005-0000-0000-000033000000}"/>
    <cellStyle name="Currency" xfId="2" builtinId="4"/>
    <cellStyle name="Currency 2" xfId="24" xr:uid="{00000000-0005-0000-0000-000035000000}"/>
    <cellStyle name="Currency 2 2" xfId="33" xr:uid="{00000000-0005-0000-0000-000036000000}"/>
    <cellStyle name="Currency 2 2 2" xfId="149" xr:uid="{00000000-0005-0000-0000-000037000000}"/>
    <cellStyle name="Currency 2 3" xfId="123" xr:uid="{00000000-0005-0000-0000-000038000000}"/>
    <cellStyle name="Currency 3" xfId="30" xr:uid="{00000000-0005-0000-0000-000039000000}"/>
    <cellStyle name="Currency 3 2" xfId="151" xr:uid="{00000000-0005-0000-0000-00003A000000}"/>
    <cellStyle name="Currency 3 3" xfId="150" xr:uid="{00000000-0005-0000-0000-00003B000000}"/>
    <cellStyle name="Currency 4" xfId="108" xr:uid="{00000000-0005-0000-0000-00003C000000}"/>
    <cellStyle name="Currency 4 2" xfId="152" xr:uid="{00000000-0005-0000-0000-00003D000000}"/>
    <cellStyle name="Currency 5" xfId="128" xr:uid="{00000000-0005-0000-0000-00003E000000}"/>
    <cellStyle name="Currency0" xfId="68" xr:uid="{00000000-0005-0000-0000-00003F000000}"/>
    <cellStyle name="Currency0 2" xfId="95" xr:uid="{00000000-0005-0000-0000-000040000000}"/>
    <cellStyle name="Currency0 3" xfId="96" xr:uid="{00000000-0005-0000-0000-000041000000}"/>
    <cellStyle name="Date" xfId="69" xr:uid="{00000000-0005-0000-0000-000042000000}"/>
    <cellStyle name="Date 2" xfId="97" xr:uid="{00000000-0005-0000-0000-000043000000}"/>
    <cellStyle name="Date 3" xfId="98" xr:uid="{00000000-0005-0000-0000-000044000000}"/>
    <cellStyle name="Explanatory Text 2" xfId="70" xr:uid="{00000000-0005-0000-0000-000045000000}"/>
    <cellStyle name="Fixed" xfId="71" xr:uid="{00000000-0005-0000-0000-000046000000}"/>
    <cellStyle name="Fixed 2" xfId="99" xr:uid="{00000000-0005-0000-0000-000047000000}"/>
    <cellStyle name="Fixed 3" xfId="100" xr:uid="{00000000-0005-0000-0000-000048000000}"/>
    <cellStyle name="Good 2" xfId="72" xr:uid="{00000000-0005-0000-0000-000049000000}"/>
    <cellStyle name="Heading 1 2" xfId="101" xr:uid="{00000000-0005-0000-0000-00004A000000}"/>
    <cellStyle name="Heading 1 3" xfId="102" xr:uid="{00000000-0005-0000-0000-00004B000000}"/>
    <cellStyle name="Heading 1 4" xfId="73" xr:uid="{00000000-0005-0000-0000-00004C000000}"/>
    <cellStyle name="Heading 2 2" xfId="103" xr:uid="{00000000-0005-0000-0000-00004D000000}"/>
    <cellStyle name="Heading 2 3" xfId="104" xr:uid="{00000000-0005-0000-0000-00004E000000}"/>
    <cellStyle name="Heading 2 4" xfId="74" xr:uid="{00000000-0005-0000-0000-00004F000000}"/>
    <cellStyle name="Heading 3 2" xfId="75" xr:uid="{00000000-0005-0000-0000-000050000000}"/>
    <cellStyle name="Heading 4 2" xfId="76" xr:uid="{00000000-0005-0000-0000-000051000000}"/>
    <cellStyle name="Hyperlink" xfId="17" builtinId="8"/>
    <cellStyle name="Hyperlink 2" xfId="117" xr:uid="{00000000-0005-0000-0000-000053000000}"/>
    <cellStyle name="Hyperlink 2 2" xfId="119" xr:uid="{00000000-0005-0000-0000-000054000000}"/>
    <cellStyle name="Hyperlink 2 3" xfId="120" xr:uid="{00000000-0005-0000-0000-000055000000}"/>
    <cellStyle name="Hyperlink 3" xfId="107" xr:uid="{00000000-0005-0000-0000-000056000000}"/>
    <cellStyle name="Input 2" xfId="77" xr:uid="{00000000-0005-0000-0000-000057000000}"/>
    <cellStyle name="Linked Cell 2" xfId="78" xr:uid="{00000000-0005-0000-0000-000058000000}"/>
    <cellStyle name="Neutral 2" xfId="79" xr:uid="{00000000-0005-0000-0000-000059000000}"/>
    <cellStyle name="Normal" xfId="0" builtinId="0"/>
    <cellStyle name="Normal 10" xfId="19" xr:uid="{00000000-0005-0000-0000-00005B000000}"/>
    <cellStyle name="Normal 10 2" xfId="115" xr:uid="{00000000-0005-0000-0000-00005C000000}"/>
    <cellStyle name="Normal 10 3" xfId="153" xr:uid="{00000000-0005-0000-0000-00005D000000}"/>
    <cellStyle name="Normal 11" xfId="154" xr:uid="{00000000-0005-0000-0000-00005E000000}"/>
    <cellStyle name="Normal 11 2" xfId="171" xr:uid="{00000000-0005-0000-0000-00005F000000}"/>
    <cellStyle name="Normal 12" xfId="155" xr:uid="{00000000-0005-0000-0000-000060000000}"/>
    <cellStyle name="Normal 13" xfId="124" xr:uid="{00000000-0005-0000-0000-000061000000}"/>
    <cellStyle name="Normal 2" xfId="16" xr:uid="{00000000-0005-0000-0000-000062000000}"/>
    <cellStyle name="Normal 2 10" xfId="121" xr:uid="{00000000-0005-0000-0000-000063000000}"/>
    <cellStyle name="Normal 2 11" xfId="156" xr:uid="{00000000-0005-0000-0000-000064000000}"/>
    <cellStyle name="Normal 2 12" xfId="157" xr:uid="{00000000-0005-0000-0000-000065000000}"/>
    <cellStyle name="Normal 2 13" xfId="158" xr:uid="{00000000-0005-0000-0000-000066000000}"/>
    <cellStyle name="Normal 2 14" xfId="127" xr:uid="{00000000-0005-0000-0000-000067000000}"/>
    <cellStyle name="Normal 2 2" xfId="22" xr:uid="{00000000-0005-0000-0000-000068000000}"/>
    <cellStyle name="Normal 2 2 2" xfId="110" xr:uid="{00000000-0005-0000-0000-000069000000}"/>
    <cellStyle name="Normal 2 3" xfId="6" xr:uid="{00000000-0005-0000-0000-00006A000000}"/>
    <cellStyle name="Normal 2 3 2" xfId="109" xr:uid="{00000000-0005-0000-0000-00006B000000}"/>
    <cellStyle name="Normal 2 3 2 2" xfId="145" xr:uid="{00000000-0005-0000-0000-00006C000000}"/>
    <cellStyle name="Normal 2 3 3" xfId="85" xr:uid="{00000000-0005-0000-0000-00006D000000}"/>
    <cellStyle name="Normal 2 4" xfId="86" xr:uid="{00000000-0005-0000-0000-00006E000000}"/>
    <cellStyle name="Normal 2 5" xfId="87" xr:uid="{00000000-0005-0000-0000-00006F000000}"/>
    <cellStyle name="Normal 2 6" xfId="88" xr:uid="{00000000-0005-0000-0000-000070000000}"/>
    <cellStyle name="Normal 2 7" xfId="159" xr:uid="{00000000-0005-0000-0000-000071000000}"/>
    <cellStyle name="Normal 2 8" xfId="160" xr:uid="{00000000-0005-0000-0000-000072000000}"/>
    <cellStyle name="Normal 2 9" xfId="161" xr:uid="{00000000-0005-0000-0000-000073000000}"/>
    <cellStyle name="Normal 3" xfId="23" xr:uid="{00000000-0005-0000-0000-000074000000}"/>
    <cellStyle name="Normal 3 2" xfId="5" xr:uid="{00000000-0005-0000-0000-000075000000}"/>
    <cellStyle name="Normal 3 2 2" xfId="111" xr:uid="{00000000-0005-0000-0000-000076000000}"/>
    <cellStyle name="Normal 3 2 2 2" xfId="162" xr:uid="{00000000-0005-0000-0000-000077000000}"/>
    <cellStyle name="Normal 3 2 3" xfId="170" xr:uid="{00000000-0005-0000-0000-000078000000}"/>
    <cellStyle name="Normal 3 3" xfId="32" xr:uid="{00000000-0005-0000-0000-000079000000}"/>
    <cellStyle name="Normal 3 3 2" xfId="163" xr:uid="{00000000-0005-0000-0000-00007A000000}"/>
    <cellStyle name="Normal 3 3 3" xfId="168" xr:uid="{00000000-0005-0000-0000-00007B000000}"/>
    <cellStyle name="Normal 3 4" xfId="36" xr:uid="{00000000-0005-0000-0000-00007C000000}"/>
    <cellStyle name="Normal 3 5" xfId="38" xr:uid="{00000000-0005-0000-0000-00007D000000}"/>
    <cellStyle name="Normal 3 6" xfId="135" xr:uid="{00000000-0005-0000-0000-00007E000000}"/>
    <cellStyle name="Normal 4" xfId="21" xr:uid="{00000000-0005-0000-0000-00007F000000}"/>
    <cellStyle name="Normal 4 2" xfId="113" xr:uid="{00000000-0005-0000-0000-000080000000}"/>
    <cellStyle name="Normal 4 2 2" xfId="164" xr:uid="{00000000-0005-0000-0000-000081000000}"/>
    <cellStyle name="Normal 4 3" xfId="89" xr:uid="{00000000-0005-0000-0000-000082000000}"/>
    <cellStyle name="Normal 4 3 2" xfId="136" xr:uid="{00000000-0005-0000-0000-000083000000}"/>
    <cellStyle name="Normal 5" xfId="26" xr:uid="{00000000-0005-0000-0000-000084000000}"/>
    <cellStyle name="Normal 5 2" xfId="142" xr:uid="{00000000-0005-0000-0000-000085000000}"/>
    <cellStyle name="Normal 5 3" xfId="137" xr:uid="{00000000-0005-0000-0000-000086000000}"/>
    <cellStyle name="Normal 6" xfId="28" xr:uid="{00000000-0005-0000-0000-000087000000}"/>
    <cellStyle name="Normal 6 2" xfId="90" xr:uid="{00000000-0005-0000-0000-000088000000}"/>
    <cellStyle name="Normal 6 3" xfId="138" xr:uid="{00000000-0005-0000-0000-000089000000}"/>
    <cellStyle name="Normal 7" xfId="4" xr:uid="{00000000-0005-0000-0000-00008A000000}"/>
    <cellStyle name="Normal 7 2" xfId="91" xr:uid="{00000000-0005-0000-0000-00008B000000}"/>
    <cellStyle name="Normal 7 2 2" xfId="129" xr:uid="{00000000-0005-0000-0000-00008C000000}"/>
    <cellStyle name="Normal 8" xfId="27" xr:uid="{00000000-0005-0000-0000-00008D000000}"/>
    <cellStyle name="Normal 8 2" xfId="114" xr:uid="{00000000-0005-0000-0000-00008E000000}"/>
    <cellStyle name="Normal 8 3" xfId="139" xr:uid="{00000000-0005-0000-0000-00008F000000}"/>
    <cellStyle name="Normal 8 4" xfId="169" xr:uid="{00000000-0005-0000-0000-000090000000}"/>
    <cellStyle name="Normal 9" xfId="39" xr:uid="{00000000-0005-0000-0000-000091000000}"/>
    <cellStyle name="Normal 9 2" xfId="118" xr:uid="{00000000-0005-0000-0000-000092000000}"/>
    <cellStyle name="Normal 9 3" xfId="165" xr:uid="{00000000-0005-0000-0000-000093000000}"/>
    <cellStyle name="Normal_03TTA09mastersurvey" xfId="8" xr:uid="{00000000-0005-0000-0000-000094000000}"/>
    <cellStyle name="Normal_Degrees02 Form 2" xfId="12" xr:uid="{00000000-0005-0000-0000-000095000000}"/>
    <cellStyle name="Normal_Funding02 Form" xfId="11" xr:uid="{00000000-0005-0000-0000-000096000000}"/>
    <cellStyle name="Normal_Funding03 Form" xfId="14" xr:uid="{00000000-0005-0000-0000-000097000000}"/>
    <cellStyle name="Normal_Funding04 Form" xfId="9" xr:uid="{00000000-0005-0000-0000-000098000000}"/>
    <cellStyle name="Normal_SCH&amp;FTE02 Form" xfId="13" xr:uid="{00000000-0005-0000-0000-000099000000}"/>
    <cellStyle name="Normal_Sheet1" xfId="15" xr:uid="{00000000-0005-0000-0000-00009A000000}"/>
    <cellStyle name="Note 2" xfId="80" xr:uid="{00000000-0005-0000-0000-00009B000000}"/>
    <cellStyle name="Output 2" xfId="81" xr:uid="{00000000-0005-0000-0000-00009C000000}"/>
    <cellStyle name="Percent" xfId="3" builtinId="5"/>
    <cellStyle name="Percent 2" xfId="31" xr:uid="{00000000-0005-0000-0000-00009E000000}"/>
    <cellStyle name="Percent 2 2" xfId="92" xr:uid="{00000000-0005-0000-0000-00009F000000}"/>
    <cellStyle name="Percent 2 2 2" xfId="166" xr:uid="{00000000-0005-0000-0000-0000A0000000}"/>
    <cellStyle name="Percent 3" xfId="112" xr:uid="{00000000-0005-0000-0000-0000A1000000}"/>
    <cellStyle name="Percent 3 2" xfId="144" xr:uid="{00000000-0005-0000-0000-0000A2000000}"/>
    <cellStyle name="Percent 3 3" xfId="140" xr:uid="{00000000-0005-0000-0000-0000A3000000}"/>
    <cellStyle name="Percent 3 4" xfId="172" xr:uid="{00000000-0005-0000-0000-0000A4000000}"/>
    <cellStyle name="Percent 4" xfId="141" xr:uid="{00000000-0005-0000-0000-0000A5000000}"/>
    <cellStyle name="Percent 5" xfId="167" xr:uid="{00000000-0005-0000-0000-0000A6000000}"/>
    <cellStyle name="Percent 6" xfId="126" xr:uid="{00000000-0005-0000-0000-0000A7000000}"/>
    <cellStyle name="Style 1" xfId="18" xr:uid="{00000000-0005-0000-0000-0000A8000000}"/>
    <cellStyle name="Title 2" xfId="82" xr:uid="{00000000-0005-0000-0000-0000A9000000}"/>
    <cellStyle name="Total 2" xfId="105" xr:uid="{00000000-0005-0000-0000-0000AA000000}"/>
    <cellStyle name="Total 3" xfId="106" xr:uid="{00000000-0005-0000-0000-0000AB000000}"/>
    <cellStyle name="Total 4" xfId="83" xr:uid="{00000000-0005-0000-0000-0000AC000000}"/>
    <cellStyle name="Warning Text 2" xfId="84" xr:uid="{00000000-0005-0000-0000-0000AD000000}"/>
  </cellStyles>
  <dxfs count="0"/>
  <tableStyles count="0" defaultTableStyle="TableStyleMedium2" defaultPivotStyle="PivotStyleLight16"/>
  <colors>
    <mruColors>
      <color rgb="FFF4FA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State Appropriations - All Funds</a:t>
            </a:r>
          </a:p>
        </c:rich>
      </c:tx>
      <c:overlay val="0"/>
    </c:title>
    <c:autoTitleDeleted val="0"/>
    <c:plotArea>
      <c:layout>
        <c:manualLayout>
          <c:layoutTarget val="inner"/>
          <c:xMode val="edge"/>
          <c:yMode val="edge"/>
          <c:x val="0.18577693833869005"/>
          <c:y val="8.7410758320436724E-2"/>
          <c:w val="0.66760550419271159"/>
          <c:h val="0.85249343832020996"/>
        </c:manualLayout>
      </c:layout>
      <c:pieChart>
        <c:varyColors val="1"/>
        <c:ser>
          <c:idx val="0"/>
          <c:order val="0"/>
          <c:dLbls>
            <c:dLbl>
              <c:idx val="0"/>
              <c:layout>
                <c:manualLayout>
                  <c:x val="2.6940934718981121E-2"/>
                  <c:y val="3.760700444435251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A3B-4E51-BE11-16C8BA5CE644}"/>
                </c:ext>
              </c:extLst>
            </c:dLbl>
            <c:dLbl>
              <c:idx val="1"/>
              <c:layout>
                <c:manualLayout>
                  <c:x val="6.364653361462877E-2"/>
                  <c:y val="-0.1727848690350920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A3B-4E51-BE11-16C8BA5CE644}"/>
                </c:ext>
              </c:extLst>
            </c:dLbl>
            <c:dLbl>
              <c:idx val="3"/>
              <c:layout>
                <c:manualLayout>
                  <c:x val="0.20445316002971176"/>
                  <c:y val="0.14878336172996229"/>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A3B-4E51-BE11-16C8BA5CE644}"/>
                </c:ext>
              </c:extLst>
            </c:dLbl>
            <c:dLbl>
              <c:idx val="4"/>
              <c:layout>
                <c:manualLayout>
                  <c:x val="-0.11825786599512264"/>
                  <c:y val="2.218879837014553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A3B-4E51-BE11-16C8BA5CE644}"/>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Dollars'!$A$28:$A$31,'Summary - Dollars'!$A$38)</c:f>
              <c:strCache>
                <c:ptCount val="5"/>
                <c:pt idx="0">
                  <c:v>General Government</c:v>
                </c:pt>
                <c:pt idx="1">
                  <c:v>Health and Human Services</c:v>
                </c:pt>
                <c:pt idx="2">
                  <c:v>Agencies of Education</c:v>
                </c:pt>
                <c:pt idx="3">
                  <c:v>Public Safety and Criminal Justice</c:v>
                </c:pt>
                <c:pt idx="4">
                  <c:v>Other</c:v>
                </c:pt>
              </c:strCache>
            </c:strRef>
          </c:cat>
          <c:val>
            <c:numRef>
              <c:f>('Summary - Dollars'!$G$28:$G$31,'Summary - Dollars'!$G$38)</c:f>
              <c:numCache>
                <c:formatCode>_(* #,##0_);_(* \(#,##0\);_(* "-"_);_(@_)</c:formatCode>
                <c:ptCount val="5"/>
                <c:pt idx="0" formatCode="_(&quot;$&quot;* #,##0_);_(&quot;$&quot;* \(#,##0\);_(&quot;$&quot;* &quot;-&quot;??_);_(@_)">
                  <c:v>7452689424</c:v>
                </c:pt>
                <c:pt idx="1">
                  <c:v>84303829071</c:v>
                </c:pt>
                <c:pt idx="2">
                  <c:v>95901920858</c:v>
                </c:pt>
                <c:pt idx="3">
                  <c:v>12548895438</c:v>
                </c:pt>
                <c:pt idx="4">
                  <c:v>48106499279</c:v>
                </c:pt>
              </c:numCache>
            </c:numRef>
          </c:val>
          <c:extLst>
            <c:ext xmlns:c16="http://schemas.microsoft.com/office/drawing/2014/chart" uri="{C3380CC4-5D6E-409C-BE32-E72D297353CC}">
              <c16:uniqueId val="{00000000-9F61-4870-83F4-6647161169AC}"/>
            </c:ext>
          </c:extLst>
        </c:ser>
        <c:dLbls>
          <c:showLegendKey val="0"/>
          <c:showVal val="0"/>
          <c:showCatName val="0"/>
          <c:showSerName val="0"/>
          <c:showPercent val="0"/>
          <c:showBubbleSize val="0"/>
          <c:showLeaderLines val="1"/>
        </c:dLbls>
        <c:firstSliceAng val="120"/>
      </c:pieChart>
    </c:plotArea>
    <c:plotVisOnly val="1"/>
    <c:dispBlanksAs val="gap"/>
    <c:showDLblsOverMax val="0"/>
  </c:chart>
  <c:spPr>
    <a:ln>
      <a:noFill/>
    </a:ln>
  </c:sp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a:t>
            </a:r>
            <a:r>
              <a:rPr lang="en-US" sz="1200" baseline="0">
                <a:latin typeface="Tahoma" pitchFamily="34" charset="0"/>
                <a:ea typeface="Tahoma" pitchFamily="34" charset="0"/>
                <a:cs typeface="Tahoma" pitchFamily="34" charset="0"/>
              </a:rPr>
              <a:t> for Research and Emerging Research Institutions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342085844560817"/>
          <c:y val="0.21885758283717655"/>
          <c:w val="0.58062486428189286"/>
          <c:h val="0.74731637909297211"/>
        </c:manualLayout>
      </c:layout>
      <c:pieChart>
        <c:varyColors val="1"/>
        <c:ser>
          <c:idx val="0"/>
          <c:order val="0"/>
          <c:dLbls>
            <c:dLbl>
              <c:idx val="0"/>
              <c:layout>
                <c:manualLayout>
                  <c:x val="0.22040045793277174"/>
                  <c:y val="-5.553028093710508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325-4A7E-B6D6-2F5EDB58AFB8}"/>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Dollars'!$A$319:$A$320</c:f>
              <c:strCache>
                <c:ptCount val="2"/>
                <c:pt idx="0">
                  <c:v>Research and Emerging Research</c:v>
                </c:pt>
                <c:pt idx="1">
                  <c:v>All Other General Academics</c:v>
                </c:pt>
              </c:strCache>
            </c:strRef>
          </c:cat>
          <c:val>
            <c:numRef>
              <c:f>'Summary - Dollars'!$P$319:$P$320</c:f>
              <c:numCache>
                <c:formatCode>_(* #,##0_);_(* \(#,##0\);_(* "-"_);_(@_)</c:formatCode>
                <c:ptCount val="2"/>
                <c:pt idx="0">
                  <c:v>3705215600.2312622</c:v>
                </c:pt>
                <c:pt idx="1">
                  <c:v>1964455925</c:v>
                </c:pt>
              </c:numCache>
            </c:numRef>
          </c:val>
          <c:extLst>
            <c:ext xmlns:c16="http://schemas.microsoft.com/office/drawing/2014/chart" uri="{C3380CC4-5D6E-409C-BE32-E72D297353CC}">
              <c16:uniqueId val="{00000000-DD8F-4521-BD73-174A84E6C020}"/>
            </c:ext>
          </c:extLst>
        </c:ser>
        <c:dLbls>
          <c:showLegendKey val="0"/>
          <c:showVal val="0"/>
          <c:showCatName val="0"/>
          <c:showSerName val="0"/>
          <c:showPercent val="0"/>
          <c:showBubbleSize val="0"/>
          <c:showLeaderLines val="1"/>
        </c:dLbls>
        <c:firstSliceAng val="140"/>
      </c:pieChart>
    </c:plotArea>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for South Texas</a:t>
            </a:r>
            <a:r>
              <a:rPr lang="en-US" sz="1200" baseline="0">
                <a:latin typeface="Tahoma" pitchFamily="34" charset="0"/>
                <a:ea typeface="Tahoma" pitchFamily="34" charset="0"/>
                <a:cs typeface="Tahoma" pitchFamily="34" charset="0"/>
              </a:rPr>
              <a:t> Border Institutions </a:t>
            </a:r>
            <a:r>
              <a:rPr lang="en-US" sz="1200">
                <a:latin typeface="Tahoma" pitchFamily="34" charset="0"/>
                <a:ea typeface="Tahoma" pitchFamily="34" charset="0"/>
                <a:cs typeface="Tahoma" pitchFamily="34" charset="0"/>
              </a:rPr>
              <a:t>- All Funds</a:t>
            </a:r>
          </a:p>
        </c:rich>
      </c:tx>
      <c:overlay val="0"/>
    </c:title>
    <c:autoTitleDeleted val="0"/>
    <c:plotArea>
      <c:layout>
        <c:manualLayout>
          <c:layoutTarget val="inner"/>
          <c:xMode val="edge"/>
          <c:yMode val="edge"/>
          <c:x val="0.21910909663840408"/>
          <c:y val="0.23308080316890428"/>
          <c:w val="0.62094977749354163"/>
          <c:h val="0.73259326978039674"/>
        </c:manualLayout>
      </c:layout>
      <c:pieChart>
        <c:varyColors val="1"/>
        <c:ser>
          <c:idx val="0"/>
          <c:order val="0"/>
          <c:dLbls>
            <c:dLbl>
              <c:idx val="1"/>
              <c:layout>
                <c:manualLayout>
                  <c:x val="0.20164570114545868"/>
                  <c:y val="3.707991813634661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185-41E9-97FF-FE383DAAA4D7}"/>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Dollars'!$A$356:$A$357</c:f>
              <c:strCache>
                <c:ptCount val="2"/>
                <c:pt idx="0">
                  <c:v>South Texas Border Institutions</c:v>
                </c:pt>
                <c:pt idx="1">
                  <c:v>All Other General Academics</c:v>
                </c:pt>
              </c:strCache>
            </c:strRef>
          </c:cat>
          <c:val>
            <c:numRef>
              <c:f>'Summary - Dollars'!$G$356:$G$357</c:f>
              <c:numCache>
                <c:formatCode>_(* #,##0_);_(* \(#,##0\);_(* "-"_);_(@_)</c:formatCode>
                <c:ptCount val="2"/>
                <c:pt idx="0">
                  <c:v>1390439813</c:v>
                </c:pt>
                <c:pt idx="1">
                  <c:v>6684591311</c:v>
                </c:pt>
              </c:numCache>
            </c:numRef>
          </c:val>
          <c:extLst>
            <c:ext xmlns:c16="http://schemas.microsoft.com/office/drawing/2014/chart" uri="{C3380CC4-5D6E-409C-BE32-E72D297353CC}">
              <c16:uniqueId val="{00000001-F185-41E9-97FF-FE383DAAA4D7}"/>
            </c:ext>
          </c:extLst>
        </c:ser>
        <c:dLbls>
          <c:showLegendKey val="0"/>
          <c:showVal val="0"/>
          <c:showCatName val="0"/>
          <c:showSerName val="0"/>
          <c:showPercent val="0"/>
          <c:showBubbleSize val="0"/>
          <c:showLeaderLines val="1"/>
        </c:dLbls>
        <c:firstSliceAng val="60"/>
      </c:pieChart>
    </c:plotArea>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a:t>
            </a:r>
            <a:r>
              <a:rPr lang="en-US" sz="1200" baseline="0">
                <a:latin typeface="Tahoma" pitchFamily="34" charset="0"/>
                <a:ea typeface="Tahoma" pitchFamily="34" charset="0"/>
                <a:cs typeface="Tahoma" pitchFamily="34" charset="0"/>
              </a:rPr>
              <a:t> for </a:t>
            </a:r>
            <a:r>
              <a:rPr lang="en-US" sz="1200" b="1" i="0" u="none" strike="noStrike" baseline="0">
                <a:effectLst/>
              </a:rPr>
              <a:t>South Texas Border</a:t>
            </a:r>
            <a:r>
              <a:rPr lang="en-US" sz="1200" baseline="0">
                <a:latin typeface="Tahoma" pitchFamily="34" charset="0"/>
                <a:ea typeface="Tahoma" pitchFamily="34" charset="0"/>
                <a:cs typeface="Tahoma" pitchFamily="34" charset="0"/>
              </a:rPr>
              <a:t> Institutions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342085844560817"/>
          <c:y val="0.21885758283717655"/>
          <c:w val="0.58062486428189286"/>
          <c:h val="0.74731637909297211"/>
        </c:manualLayout>
      </c:layout>
      <c:pieChart>
        <c:varyColors val="1"/>
        <c:ser>
          <c:idx val="0"/>
          <c:order val="0"/>
          <c:dLbls>
            <c:dLbl>
              <c:idx val="1"/>
              <c:layout>
                <c:manualLayout>
                  <c:x val="0.20402271700361702"/>
                  <c:y val="5.110431394215422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12B-454D-9DAD-719949B86265}"/>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Dollars'!$A$356:$A$357</c:f>
              <c:strCache>
                <c:ptCount val="2"/>
                <c:pt idx="0">
                  <c:v>South Texas Border Institutions</c:v>
                </c:pt>
                <c:pt idx="1">
                  <c:v>All Other General Academics</c:v>
                </c:pt>
              </c:strCache>
            </c:strRef>
          </c:cat>
          <c:val>
            <c:numRef>
              <c:f>'Summary - Dollars'!$P$356:$P$357</c:f>
              <c:numCache>
                <c:formatCode>_(* #,##0_);_(* \(#,##0\);_(* "-"_);_(@_)</c:formatCode>
                <c:ptCount val="2"/>
                <c:pt idx="0">
                  <c:v>1045453698</c:v>
                </c:pt>
                <c:pt idx="1">
                  <c:v>4841955771.2312622</c:v>
                </c:pt>
              </c:numCache>
            </c:numRef>
          </c:val>
          <c:extLst>
            <c:ext xmlns:c16="http://schemas.microsoft.com/office/drawing/2014/chart" uri="{C3380CC4-5D6E-409C-BE32-E72D297353CC}">
              <c16:uniqueId val="{00000001-412B-454D-9DAD-719949B86265}"/>
            </c:ext>
          </c:extLst>
        </c:ser>
        <c:dLbls>
          <c:showLegendKey val="0"/>
          <c:showVal val="0"/>
          <c:showCatName val="0"/>
          <c:showSerName val="0"/>
          <c:showPercent val="0"/>
          <c:showBubbleSize val="0"/>
          <c:showLeaderLines val="1"/>
        </c:dLbls>
        <c:firstSliceAng val="60"/>
      </c:pieChart>
    </c:plotArea>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for Non-Formula</a:t>
            </a:r>
            <a:r>
              <a:rPr lang="en-US" sz="1200" baseline="0">
                <a:latin typeface="Tahoma" pitchFamily="34" charset="0"/>
                <a:ea typeface="Tahoma" pitchFamily="34" charset="0"/>
                <a:cs typeface="Tahoma" pitchFamily="34" charset="0"/>
              </a:rPr>
              <a:t> Items </a:t>
            </a:r>
            <a:r>
              <a:rPr lang="en-US" sz="1200">
                <a:latin typeface="Tahoma" pitchFamily="34" charset="0"/>
                <a:ea typeface="Tahoma" pitchFamily="34" charset="0"/>
                <a:cs typeface="Tahoma" pitchFamily="34" charset="0"/>
              </a:rPr>
              <a:t>- All Funds</a:t>
            </a:r>
          </a:p>
        </c:rich>
      </c:tx>
      <c:overlay val="0"/>
    </c:title>
    <c:autoTitleDeleted val="0"/>
    <c:plotArea>
      <c:layout>
        <c:manualLayout>
          <c:layoutTarget val="inner"/>
          <c:xMode val="edge"/>
          <c:yMode val="edge"/>
          <c:x val="0.24550004919415469"/>
          <c:y val="0.2058163368741435"/>
          <c:w val="0.58717825517523503"/>
          <c:h val="0.75407509107241688"/>
        </c:manualLayout>
      </c:layout>
      <c:pieChart>
        <c:varyColors val="1"/>
        <c:ser>
          <c:idx val="0"/>
          <c:order val="0"/>
          <c:dLbls>
            <c:dLbl>
              <c:idx val="1"/>
              <c:layout>
                <c:manualLayout>
                  <c:x val="0.35304973716802396"/>
                  <c:y val="4.375318416206019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CAB-4DB5-8CF9-09F74E585EDA}"/>
                </c:ext>
              </c:extLst>
            </c:dLbl>
            <c:dLbl>
              <c:idx val="3"/>
              <c:layout>
                <c:manualLayout>
                  <c:x val="6.0167737046352913E-2"/>
                  <c:y val="-0.1540838236010420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CAB-4DB5-8CF9-09F74E585EDA}"/>
                </c:ext>
              </c:extLst>
            </c:dLbl>
            <c:dLbl>
              <c:idx val="4"/>
              <c:layout>
                <c:manualLayout>
                  <c:x val="5.3182824255196742E-2"/>
                  <c:y val="-3.336080324478455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CAB-4DB5-8CF9-09F74E585EDA}"/>
                </c:ext>
              </c:extLst>
            </c:dLbl>
            <c:dLbl>
              <c:idx val="5"/>
              <c:layout>
                <c:manualLayout>
                  <c:x val="4.5422634117911254E-2"/>
                  <c:y val="0.1088802412788516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CAB-4DB5-8CF9-09F74E585EDA}"/>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Dollars'!$A$421,'Summary - Dollars'!$A$425,'Summary - Dollars'!$A$437,'Summary - Dollars'!$A$442,'Summary - Dollars'!$A$446,'Summary - Dollars'!$A$455)</c:f>
              <c:strCache>
                <c:ptCount val="6"/>
                <c:pt idx="0">
                  <c:v>Total General Academic Institutions</c:v>
                </c:pt>
                <c:pt idx="1">
                  <c:v>University System Offices</c:v>
                </c:pt>
                <c:pt idx="2">
                  <c:v>Total Health-Related Institutions</c:v>
                </c:pt>
                <c:pt idx="3">
                  <c:v>Total Technical Colleges</c:v>
                </c:pt>
                <c:pt idx="4">
                  <c:v>Total State Colleges</c:v>
                </c:pt>
                <c:pt idx="5">
                  <c:v>Public Community Colleges</c:v>
                </c:pt>
              </c:strCache>
            </c:strRef>
          </c:cat>
          <c:val>
            <c:numRef>
              <c:f>('Summary - Dollars'!$G$421,'Summary - Dollars'!$G$425,'Summary - Dollars'!$G$437,'Summary - Dollars'!$G$442,'Summary - Dollars'!$G$446,'Summary - Dollars'!$G$455)</c:f>
              <c:numCache>
                <c:formatCode>_(* #,##0_);_(* \(#,##0\);_(* "-"_);_(@_)</c:formatCode>
                <c:ptCount val="6"/>
                <c:pt idx="0">
                  <c:v>804607105</c:v>
                </c:pt>
                <c:pt idx="1">
                  <c:v>1768525</c:v>
                </c:pt>
                <c:pt idx="2">
                  <c:v>324527064</c:v>
                </c:pt>
                <c:pt idx="3">
                  <c:v>5287077</c:v>
                </c:pt>
                <c:pt idx="4">
                  <c:v>12778731</c:v>
                </c:pt>
                <c:pt idx="5">
                  <c:v>15461363</c:v>
                </c:pt>
              </c:numCache>
            </c:numRef>
          </c:val>
          <c:extLst>
            <c:ext xmlns:c16="http://schemas.microsoft.com/office/drawing/2014/chart" uri="{C3380CC4-5D6E-409C-BE32-E72D297353CC}">
              <c16:uniqueId val="{00000000-A784-485E-B5FE-1F6A6A5C4614}"/>
            </c:ext>
          </c:extLst>
        </c:ser>
        <c:dLbls>
          <c:showLegendKey val="0"/>
          <c:showVal val="0"/>
          <c:showCatName val="0"/>
          <c:showSerName val="0"/>
          <c:showPercent val="0"/>
          <c:showBubbleSize val="0"/>
          <c:showLeaderLines val="1"/>
        </c:dLbls>
        <c:firstSliceAng val="90"/>
      </c:pieChart>
    </c:plotArea>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a:t>
            </a:r>
            <a:r>
              <a:rPr lang="en-US" sz="1200" baseline="0">
                <a:latin typeface="Tahoma" pitchFamily="34" charset="0"/>
                <a:ea typeface="Tahoma" pitchFamily="34" charset="0"/>
                <a:cs typeface="Tahoma" pitchFamily="34" charset="0"/>
              </a:rPr>
              <a:t> for Non-Formula</a:t>
            </a:r>
            <a:r>
              <a:rPr lang="en-US" sz="1200" b="1" i="0" u="none" strike="noStrike" baseline="0">
                <a:effectLst/>
              </a:rPr>
              <a:t> Items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7114080581935257"/>
          <c:y val="0.21885753974490166"/>
          <c:w val="0.58062486428189286"/>
          <c:h val="0.74731637909297211"/>
        </c:manualLayout>
      </c:layout>
      <c:pieChart>
        <c:varyColors val="1"/>
        <c:ser>
          <c:idx val="0"/>
          <c:order val="0"/>
          <c:dLbls>
            <c:dLbl>
              <c:idx val="1"/>
              <c:layout>
                <c:manualLayout>
                  <c:x val="0.33098598341520824"/>
                  <c:y val="4.547373836163439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781-432B-9800-681C81B112A1}"/>
                </c:ext>
              </c:extLst>
            </c:dLbl>
            <c:dLbl>
              <c:idx val="3"/>
              <c:layout>
                <c:manualLayout>
                  <c:x val="0.10308589536240076"/>
                  <c:y val="-0.1150862483312833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781-432B-9800-681C81B112A1}"/>
                </c:ext>
              </c:extLst>
            </c:dLbl>
            <c:dLbl>
              <c:idx val="4"/>
              <c:layout>
                <c:manualLayout>
                  <c:x val="6.6335100693377946E-2"/>
                  <c:y val="8.6614144811632276E-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781-432B-9800-681C81B112A1}"/>
                </c:ext>
              </c:extLst>
            </c:dLbl>
            <c:dLbl>
              <c:idx val="5"/>
              <c:layout>
                <c:manualLayout>
                  <c:x val="7.4736995190380157E-2"/>
                  <c:y val="0.1126016690939405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781-432B-9800-681C81B112A1}"/>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Dollars'!$A$421,'Summary - Dollars'!$A$425,'Summary - Dollars'!$A$437,'Summary - Dollars'!$A$442,'Summary - Dollars'!$A$446,'Summary - Dollars'!$A$455)</c:f>
              <c:strCache>
                <c:ptCount val="6"/>
                <c:pt idx="0">
                  <c:v>Total General Academic Institutions</c:v>
                </c:pt>
                <c:pt idx="1">
                  <c:v>University System Offices</c:v>
                </c:pt>
                <c:pt idx="2">
                  <c:v>Total Health-Related Institutions</c:v>
                </c:pt>
                <c:pt idx="3">
                  <c:v>Total Technical Colleges</c:v>
                </c:pt>
                <c:pt idx="4">
                  <c:v>Total State Colleges</c:v>
                </c:pt>
                <c:pt idx="5">
                  <c:v>Public Community Colleges</c:v>
                </c:pt>
              </c:strCache>
            </c:strRef>
          </c:cat>
          <c:val>
            <c:numRef>
              <c:f>('Summary - Dollars'!$P$421,'Summary - Dollars'!$P$425,'Summary - Dollars'!$P$437,'Summary - Dollars'!$P$442,'Summary - Dollars'!$P$446,'Summary - Dollars'!$P$455)</c:f>
              <c:numCache>
                <c:formatCode>_(* #,##0_);_(* \(#,##0\);_(* "-"_);_(@_)</c:formatCode>
                <c:ptCount val="6"/>
                <c:pt idx="0">
                  <c:v>804607105</c:v>
                </c:pt>
                <c:pt idx="1">
                  <c:v>1768525</c:v>
                </c:pt>
                <c:pt idx="2">
                  <c:v>324527064</c:v>
                </c:pt>
                <c:pt idx="3">
                  <c:v>5287077</c:v>
                </c:pt>
                <c:pt idx="4">
                  <c:v>12778731</c:v>
                </c:pt>
                <c:pt idx="5">
                  <c:v>15461363</c:v>
                </c:pt>
              </c:numCache>
            </c:numRef>
          </c:val>
          <c:extLst>
            <c:ext xmlns:c16="http://schemas.microsoft.com/office/drawing/2014/chart" uri="{C3380CC4-5D6E-409C-BE32-E72D297353CC}">
              <c16:uniqueId val="{00000000-B87E-486D-B2F9-0561B1C6BB02}"/>
            </c:ext>
          </c:extLst>
        </c:ser>
        <c:dLbls>
          <c:showLegendKey val="0"/>
          <c:showVal val="0"/>
          <c:showCatName val="0"/>
          <c:showSerName val="0"/>
          <c:showPercent val="0"/>
          <c:showBubbleSize val="0"/>
          <c:showLeaderLines val="1"/>
        </c:dLbls>
        <c:firstSliceAng val="90"/>
      </c:pieChart>
    </c:plotArea>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for</a:t>
            </a:r>
            <a:r>
              <a:rPr lang="en-US" sz="1200" baseline="0">
                <a:latin typeface="Tahoma" pitchFamily="34" charset="0"/>
                <a:ea typeface="Tahoma" pitchFamily="34" charset="0"/>
                <a:cs typeface="Tahoma" pitchFamily="34" charset="0"/>
              </a:rPr>
              <a:t> Institutional Enhancement </a:t>
            </a:r>
            <a:r>
              <a:rPr lang="en-US" sz="1200">
                <a:latin typeface="Tahoma" pitchFamily="34" charset="0"/>
                <a:ea typeface="Tahoma" pitchFamily="34" charset="0"/>
                <a:cs typeface="Tahoma" pitchFamily="34" charset="0"/>
              </a:rPr>
              <a:t>- All Funds</a:t>
            </a:r>
          </a:p>
        </c:rich>
      </c:tx>
      <c:overlay val="0"/>
    </c:title>
    <c:autoTitleDeleted val="0"/>
    <c:plotArea>
      <c:layout>
        <c:manualLayout>
          <c:layoutTarget val="inner"/>
          <c:xMode val="edge"/>
          <c:yMode val="edge"/>
          <c:x val="0.21235479243145644"/>
          <c:y val="0.18925299469109394"/>
          <c:w val="0.63783553801091064"/>
          <c:h val="0.75251500090667411"/>
        </c:manualLayout>
      </c:layout>
      <c:pieChart>
        <c:varyColors val="1"/>
        <c:ser>
          <c:idx val="0"/>
          <c:order val="0"/>
          <c:dLbls>
            <c:dLbl>
              <c:idx val="0"/>
              <c:layout>
                <c:manualLayout>
                  <c:x val="0.2301190334087575"/>
                  <c:y val="-0.1482007719733782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802-4CE2-9F73-D28FBE14E063}"/>
                </c:ext>
              </c:extLst>
            </c:dLbl>
            <c:dLbl>
              <c:idx val="1"/>
              <c:layout>
                <c:manualLayout>
                  <c:x val="4.7995785129935416E-2"/>
                  <c:y val="-1.970199740669694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FF0-40DB-8A0D-C9D4D2989316}"/>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Dollars'!$A$515,'Summary - Dollars'!$A$527,'Summary - Dollars'!$A$532,'Summary - Dollars'!$A$536)</c:f>
              <c:strCache>
                <c:ptCount val="4"/>
                <c:pt idx="0">
                  <c:v>Total General Academic Institutions</c:v>
                </c:pt>
                <c:pt idx="1">
                  <c:v>Total Health-Related Institutions</c:v>
                </c:pt>
                <c:pt idx="2">
                  <c:v>Total Technical Colleges</c:v>
                </c:pt>
                <c:pt idx="3">
                  <c:v>Total State Colleges</c:v>
                </c:pt>
              </c:strCache>
            </c:strRef>
          </c:cat>
          <c:val>
            <c:numRef>
              <c:f>('Summary - Dollars'!$G$515,'Summary - Dollars'!$G$527,'Summary - Dollars'!$G$532,'Summary - Dollars'!$G$536)</c:f>
              <c:numCache>
                <c:formatCode>_(* #,##0_);_(* \(#,##0\);_(* "-"_);_(@_)</c:formatCode>
                <c:ptCount val="4"/>
                <c:pt idx="0">
                  <c:v>282118074</c:v>
                </c:pt>
                <c:pt idx="1">
                  <c:v>42480486</c:v>
                </c:pt>
                <c:pt idx="2">
                  <c:v>5287077</c:v>
                </c:pt>
                <c:pt idx="3">
                  <c:v>8847674</c:v>
                </c:pt>
              </c:numCache>
            </c:numRef>
          </c:val>
          <c:extLst>
            <c:ext xmlns:c16="http://schemas.microsoft.com/office/drawing/2014/chart" uri="{C3380CC4-5D6E-409C-BE32-E72D297353CC}">
              <c16:uniqueId val="{00000001-EFF0-40DB-8A0D-C9D4D2989316}"/>
            </c:ext>
          </c:extLst>
        </c:ser>
        <c:dLbls>
          <c:showLegendKey val="0"/>
          <c:showVal val="0"/>
          <c:showCatName val="0"/>
          <c:showSerName val="0"/>
          <c:showPercent val="0"/>
          <c:showBubbleSize val="0"/>
          <c:showLeaderLines val="1"/>
        </c:dLbls>
        <c:firstSliceAng val="90"/>
      </c:pieChart>
    </c:plotArea>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a:t>
            </a:r>
            <a:r>
              <a:rPr lang="en-US" sz="1200" baseline="0">
                <a:latin typeface="Tahoma" pitchFamily="34" charset="0"/>
                <a:ea typeface="Tahoma" pitchFamily="34" charset="0"/>
                <a:cs typeface="Tahoma" pitchFamily="34" charset="0"/>
              </a:rPr>
              <a:t> for </a:t>
            </a:r>
            <a:r>
              <a:rPr lang="en-US" sz="1200" b="1" i="0" u="none" strike="noStrike" baseline="0">
                <a:effectLst/>
              </a:rPr>
              <a:t>Institutional Enhancement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342085844560817"/>
          <c:y val="0.21885758283717655"/>
          <c:w val="0.58062486428189286"/>
          <c:h val="0.74731637909297211"/>
        </c:manualLayout>
      </c:layout>
      <c:pieChart>
        <c:varyColors val="1"/>
        <c:ser>
          <c:idx val="0"/>
          <c:order val="0"/>
          <c:dLbls>
            <c:dLbl>
              <c:idx val="0"/>
              <c:layout>
                <c:manualLayout>
                  <c:x val="0.25139846589342968"/>
                  <c:y val="-0.1353709425562311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7D0-4F97-BED9-75D4578742C6}"/>
                </c:ext>
              </c:extLst>
            </c:dLbl>
            <c:dLbl>
              <c:idx val="1"/>
              <c:layout>
                <c:manualLayout>
                  <c:x val="0.10967686575403374"/>
                  <c:y val="-6.54746004850659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7D0-4F97-BED9-75D4578742C6}"/>
                </c:ext>
              </c:extLst>
            </c:dLbl>
            <c:dLbl>
              <c:idx val="2"/>
              <c:layout>
                <c:manualLayout>
                  <c:x val="5.9831733459310428E-2"/>
                  <c:y val="-8.904016744742350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7D0-4F97-BED9-75D4578742C6}"/>
                </c:ext>
              </c:extLst>
            </c:dLbl>
            <c:dLbl>
              <c:idx val="3"/>
              <c:layout>
                <c:manualLayout>
                  <c:x val="6.3062681614679927E-2"/>
                  <c:y val="6.438087644107777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7D0-4F97-BED9-75D4578742C6}"/>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Dollars'!$A$515,'Summary - Dollars'!$A$527,'Summary - Dollars'!$A$532,'Summary - Dollars'!$A$536)</c:f>
              <c:strCache>
                <c:ptCount val="4"/>
                <c:pt idx="0">
                  <c:v>Total General Academic Institutions</c:v>
                </c:pt>
                <c:pt idx="1">
                  <c:v>Total Health-Related Institutions</c:v>
                </c:pt>
                <c:pt idx="2">
                  <c:v>Total Technical Colleges</c:v>
                </c:pt>
                <c:pt idx="3">
                  <c:v>Total State Colleges</c:v>
                </c:pt>
              </c:strCache>
            </c:strRef>
          </c:cat>
          <c:val>
            <c:numRef>
              <c:f>('Summary - Dollars'!$P$515,'Summary - Dollars'!$P$527,'Summary - Dollars'!$P$532,'Summary - Dollars'!$P$536)</c:f>
              <c:numCache>
                <c:formatCode>_(* #,##0_);_(* \(#,##0\);_(* "-"_);_(@_)</c:formatCode>
                <c:ptCount val="4"/>
                <c:pt idx="0">
                  <c:v>282118074</c:v>
                </c:pt>
                <c:pt idx="1">
                  <c:v>42480486</c:v>
                </c:pt>
                <c:pt idx="2">
                  <c:v>5287077</c:v>
                </c:pt>
                <c:pt idx="3">
                  <c:v>8847674</c:v>
                </c:pt>
              </c:numCache>
            </c:numRef>
          </c:val>
          <c:extLst>
            <c:ext xmlns:c16="http://schemas.microsoft.com/office/drawing/2014/chart" uri="{C3380CC4-5D6E-409C-BE32-E72D297353CC}">
              <c16:uniqueId val="{00000000-8679-4F33-8C87-B702F00A7D68}"/>
            </c:ext>
          </c:extLst>
        </c:ser>
        <c:dLbls>
          <c:showLegendKey val="0"/>
          <c:showVal val="0"/>
          <c:showCatName val="0"/>
          <c:showSerName val="0"/>
          <c:showPercent val="0"/>
          <c:showBubbleSize val="0"/>
          <c:showLeaderLines val="1"/>
        </c:dLbls>
        <c:firstSliceAng val="90"/>
      </c:pieChart>
    </c:plotArea>
    <c:plotVisOnly val="1"/>
    <c:dispBlanksAs val="gap"/>
    <c:showDLblsOverMax val="0"/>
  </c:chart>
  <c:spPr>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for</a:t>
            </a:r>
            <a:r>
              <a:rPr lang="en-US" sz="1200" baseline="0">
                <a:latin typeface="Tahoma" pitchFamily="34" charset="0"/>
                <a:ea typeface="Tahoma" pitchFamily="34" charset="0"/>
                <a:cs typeface="Tahoma" pitchFamily="34" charset="0"/>
              </a:rPr>
              <a:t> Tuition Revenue Bonds </a:t>
            </a:r>
            <a:r>
              <a:rPr lang="en-US" sz="1200">
                <a:latin typeface="Tahoma" pitchFamily="34" charset="0"/>
                <a:ea typeface="Tahoma" pitchFamily="34" charset="0"/>
                <a:cs typeface="Tahoma" pitchFamily="34" charset="0"/>
              </a:rPr>
              <a:t>- All Funds</a:t>
            </a:r>
          </a:p>
        </c:rich>
      </c:tx>
      <c:overlay val="0"/>
    </c:title>
    <c:autoTitleDeleted val="0"/>
    <c:plotArea>
      <c:layout>
        <c:manualLayout>
          <c:layoutTarget val="inner"/>
          <c:xMode val="edge"/>
          <c:yMode val="edge"/>
          <c:x val="0.24612643237121351"/>
          <c:y val="0.21835552372532521"/>
          <c:w val="0.58717825517523503"/>
          <c:h val="0.75407509107241688"/>
        </c:manualLayout>
      </c:layout>
      <c:pieChart>
        <c:varyColors val="1"/>
        <c:ser>
          <c:idx val="0"/>
          <c:order val="0"/>
          <c:dLbls>
            <c:dLbl>
              <c:idx val="0"/>
              <c:layout>
                <c:manualLayout>
                  <c:x val="0.15747507999437957"/>
                  <c:y val="-0.1819136833175583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7CF-44E7-8DA4-E214AEC01D9A}"/>
                </c:ext>
              </c:extLst>
            </c:dLbl>
            <c:dLbl>
              <c:idx val="1"/>
              <c:layout>
                <c:manualLayout>
                  <c:x val="-8.2170418547748619E-2"/>
                  <c:y val="5.377205736299622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7CF-44E7-8DA4-E214AEC01D9A}"/>
                </c:ext>
              </c:extLst>
            </c:dLbl>
            <c:dLbl>
              <c:idx val="3"/>
              <c:layout>
                <c:manualLayout>
                  <c:x val="4.2823961954069276E-2"/>
                  <c:y val="-7.203231520938556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7CF-44E7-8DA4-E214AEC01D9A}"/>
                </c:ext>
              </c:extLst>
            </c:dLbl>
            <c:dLbl>
              <c:idx val="4"/>
              <c:layout>
                <c:manualLayout>
                  <c:x val="7.2407915940207415E-2"/>
                  <c:y val="4.522373052599380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7CF-44E7-8DA4-E214AEC01D9A}"/>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Dollars'!$A$600,'Summary - Dollars'!$A$607,'Summary - Dollars'!$A$619,'Summary - Dollars'!$A$625,'Summary - Dollars'!$A$629)</c:f>
              <c:strCache>
                <c:ptCount val="5"/>
                <c:pt idx="0">
                  <c:v>General Academic Institutions</c:v>
                </c:pt>
                <c:pt idx="1">
                  <c:v>University System Offices</c:v>
                </c:pt>
                <c:pt idx="2">
                  <c:v>Health-Related Institutions</c:v>
                </c:pt>
                <c:pt idx="3">
                  <c:v>Technical Colleges</c:v>
                </c:pt>
                <c:pt idx="4">
                  <c:v>State Colleges</c:v>
                </c:pt>
              </c:strCache>
            </c:strRef>
          </c:cat>
          <c:val>
            <c:numRef>
              <c:f>('Summary - Dollars'!$G$600,'Summary - Dollars'!$G$607,'Summary - Dollars'!$G$619,'Summary - Dollars'!$G$625,'Summary - Dollars'!$G$629)</c:f>
              <c:numCache>
                <c:formatCode>_(* #,##0_);_(* \(#,##0\);_(* "-"_);_(@_)</c:formatCode>
                <c:ptCount val="5"/>
                <c:pt idx="0">
                  <c:v>663279720</c:v>
                </c:pt>
                <c:pt idx="1">
                  <c:v>18148166</c:v>
                </c:pt>
                <c:pt idx="2">
                  <c:v>312163284</c:v>
                </c:pt>
                <c:pt idx="3">
                  <c:v>4133375</c:v>
                </c:pt>
                <c:pt idx="4">
                  <c:v>7008676</c:v>
                </c:pt>
              </c:numCache>
            </c:numRef>
          </c:val>
          <c:extLst>
            <c:ext xmlns:c16="http://schemas.microsoft.com/office/drawing/2014/chart" uri="{C3380CC4-5D6E-409C-BE32-E72D297353CC}">
              <c16:uniqueId val="{00000000-CEFB-4205-A821-13420D327F3F}"/>
            </c:ext>
          </c:extLst>
        </c:ser>
        <c:dLbls>
          <c:showLegendKey val="0"/>
          <c:showVal val="0"/>
          <c:showCatName val="0"/>
          <c:showSerName val="0"/>
          <c:showPercent val="0"/>
          <c:showBubbleSize val="0"/>
          <c:showLeaderLines val="1"/>
        </c:dLbls>
        <c:firstSliceAng val="80"/>
      </c:pieChart>
    </c:plotArea>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a:t>
            </a:r>
            <a:r>
              <a:rPr lang="en-US" sz="1200" baseline="0">
                <a:latin typeface="Tahoma" pitchFamily="34" charset="0"/>
                <a:ea typeface="Tahoma" pitchFamily="34" charset="0"/>
                <a:cs typeface="Tahoma" pitchFamily="34" charset="0"/>
              </a:rPr>
              <a:t> for </a:t>
            </a:r>
            <a:r>
              <a:rPr lang="en-US" sz="1200" b="1" i="0" u="none" strike="noStrike" baseline="0">
                <a:effectLst/>
              </a:rPr>
              <a:t>Tuition Revenue Bonds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342085844560817"/>
          <c:y val="0.21885758283717655"/>
          <c:w val="0.58062486428189286"/>
          <c:h val="0.74731637909297211"/>
        </c:manualLayout>
      </c:layout>
      <c:pieChart>
        <c:varyColors val="1"/>
        <c:ser>
          <c:idx val="0"/>
          <c:order val="0"/>
          <c:dLbls>
            <c:dLbl>
              <c:idx val="0"/>
              <c:layout>
                <c:manualLayout>
                  <c:x val="0.12258850584033112"/>
                  <c:y val="-0.1688152333283355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E1D-4E1B-AE7B-EE620C3EBC74}"/>
                </c:ext>
              </c:extLst>
            </c:dLbl>
            <c:dLbl>
              <c:idx val="1"/>
              <c:layout>
                <c:manualLayout>
                  <c:x val="-4.636239437945925E-2"/>
                  <c:y val="2.471980816279259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88E-48C0-B7FA-6FD80B6F9404}"/>
                </c:ext>
              </c:extLst>
            </c:dLbl>
            <c:dLbl>
              <c:idx val="3"/>
              <c:layout>
                <c:manualLayout>
                  <c:x val="3.7923455504147142E-2"/>
                  <c:y val="-7.126211572765235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88E-48C0-B7FA-6FD80B6F9404}"/>
                </c:ext>
              </c:extLst>
            </c:dLbl>
            <c:dLbl>
              <c:idx val="4"/>
              <c:layout>
                <c:manualLayout>
                  <c:x val="7.7300054886021041E-2"/>
                  <c:y val="8.548127116756194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88E-48C0-B7FA-6FD80B6F9404}"/>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Dollars'!$A$600,'Summary - Dollars'!$A$607,'Summary - Dollars'!$A$619,'Summary - Dollars'!$A$625,'Summary - Dollars'!$A$629)</c:f>
              <c:strCache>
                <c:ptCount val="5"/>
                <c:pt idx="0">
                  <c:v>General Academic Institutions</c:v>
                </c:pt>
                <c:pt idx="1">
                  <c:v>University System Offices</c:v>
                </c:pt>
                <c:pt idx="2">
                  <c:v>Health-Related Institutions</c:v>
                </c:pt>
                <c:pt idx="3">
                  <c:v>Technical Colleges</c:v>
                </c:pt>
                <c:pt idx="4">
                  <c:v>State Colleges</c:v>
                </c:pt>
              </c:strCache>
            </c:strRef>
          </c:cat>
          <c:val>
            <c:numRef>
              <c:f>('Summary - Dollars'!$P$600,'Summary - Dollars'!$P$607,'Summary - Dollars'!$P$619,'Summary - Dollars'!$P$625,'Summary - Dollars'!$P$629)</c:f>
              <c:numCache>
                <c:formatCode>_(* #,##0_);_(* \(#,##0\);_(* "-"_);_(@_)</c:formatCode>
                <c:ptCount val="5"/>
                <c:pt idx="0">
                  <c:v>663279720</c:v>
                </c:pt>
                <c:pt idx="1">
                  <c:v>18148166</c:v>
                </c:pt>
                <c:pt idx="2">
                  <c:v>312163284</c:v>
                </c:pt>
                <c:pt idx="3">
                  <c:v>4133375</c:v>
                </c:pt>
                <c:pt idx="4">
                  <c:v>7008676</c:v>
                </c:pt>
              </c:numCache>
            </c:numRef>
          </c:val>
          <c:extLst>
            <c:ext xmlns:c16="http://schemas.microsoft.com/office/drawing/2014/chart" uri="{C3380CC4-5D6E-409C-BE32-E72D297353CC}">
              <c16:uniqueId val="{00000001-EE1D-4E1B-AE7B-EE620C3EBC74}"/>
            </c:ext>
          </c:extLst>
        </c:ser>
        <c:dLbls>
          <c:showLegendKey val="0"/>
          <c:showVal val="0"/>
          <c:showCatName val="0"/>
          <c:showSerName val="0"/>
          <c:showPercent val="0"/>
          <c:showBubbleSize val="0"/>
          <c:showLeaderLines val="1"/>
        </c:dLbls>
        <c:firstSliceAng val="75"/>
      </c:pieChart>
    </c:plotArea>
    <c:plotVisOnly val="1"/>
    <c:dispBlanksAs val="gap"/>
    <c:showDLblsOverMax val="0"/>
  </c:chart>
  <c:spPr>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Tobacco Settlement Earnings Appropriations - All Funds</a:t>
            </a:r>
          </a:p>
        </c:rich>
      </c:tx>
      <c:overlay val="0"/>
    </c:title>
    <c:autoTitleDeleted val="0"/>
    <c:plotArea>
      <c:layout>
        <c:manualLayout>
          <c:layoutTarget val="inner"/>
          <c:xMode val="edge"/>
          <c:yMode val="edge"/>
          <c:x val="0.24612643237121351"/>
          <c:y val="0.21835552372532521"/>
          <c:w val="0.58717825517523503"/>
          <c:h val="0.75407509107241688"/>
        </c:manualLayout>
      </c:layout>
      <c:pieChart>
        <c:varyColors val="1"/>
        <c:ser>
          <c:idx val="0"/>
          <c:order val="0"/>
          <c:dLbls>
            <c:dLbl>
              <c:idx val="0"/>
              <c:layout>
                <c:manualLayout>
                  <c:x val="2.8275806507737727E-2"/>
                  <c:y val="0.1456370913264136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73D-4228-B941-17962B44214B}"/>
                </c:ext>
              </c:extLst>
            </c:dLbl>
            <c:dLbl>
              <c:idx val="1"/>
              <c:layout>
                <c:manualLayout>
                  <c:x val="0.22292272155795978"/>
                  <c:y val="-9.112857902605675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8E2-491B-84A4-673E74845BC1}"/>
                </c:ext>
              </c:extLst>
            </c:dLbl>
            <c:dLbl>
              <c:idx val="2"/>
              <c:layout>
                <c:manualLayout>
                  <c:x val="1.7615100300015066E-2"/>
                  <c:y val="-3.029362523175032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73D-4228-B941-17962B44214B}"/>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Dollars'!$A$655,'Summary - Dollars'!$A$668,'Summary - Dollars'!$A$671)</c:f>
              <c:strCache>
                <c:ptCount val="3"/>
                <c:pt idx="0">
                  <c:v>General Academic Institutions</c:v>
                </c:pt>
                <c:pt idx="1">
                  <c:v>Health-Related Institutions (Incl. BCM)</c:v>
                </c:pt>
                <c:pt idx="2">
                  <c:v>Texas Higher Education Coordinating Board Trusteed Funds</c:v>
                </c:pt>
              </c:strCache>
            </c:strRef>
          </c:cat>
          <c:val>
            <c:numRef>
              <c:f>('Summary - Dollars'!$G$655,'Summary - Dollars'!$G$668,'Summary - Dollars'!$G$671)</c:f>
              <c:numCache>
                <c:formatCode>_(* #,##0_);_(* \(#,##0\);_(* "-"_);_(@_)</c:formatCode>
                <c:ptCount val="3"/>
                <c:pt idx="0">
                  <c:v>2512000</c:v>
                </c:pt>
                <c:pt idx="1">
                  <c:v>215510462</c:v>
                </c:pt>
                <c:pt idx="2">
                  <c:v>5900722</c:v>
                </c:pt>
              </c:numCache>
            </c:numRef>
          </c:val>
          <c:extLst>
            <c:ext xmlns:c16="http://schemas.microsoft.com/office/drawing/2014/chart" uri="{C3380CC4-5D6E-409C-BE32-E72D297353CC}">
              <c16:uniqueId val="{00000002-873D-4228-B941-17962B44214B}"/>
            </c:ext>
          </c:extLst>
        </c:ser>
        <c:dLbls>
          <c:showLegendKey val="0"/>
          <c:showVal val="0"/>
          <c:showCatName val="0"/>
          <c:showSerName val="0"/>
          <c:showPercent val="0"/>
          <c:showBubbleSize val="0"/>
          <c:showLeaderLines val="1"/>
        </c:dLbls>
        <c:firstSliceAng val="80"/>
      </c:pieChart>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State Appropriations -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16216505270922701"/>
          <c:y val="9.6404936423983734E-2"/>
          <c:w val="0.64522281008760685"/>
          <c:h val="0.82900848403123939"/>
        </c:manualLayout>
      </c:layout>
      <c:pieChart>
        <c:varyColors val="1"/>
        <c:ser>
          <c:idx val="0"/>
          <c:order val="0"/>
          <c:dLbls>
            <c:dLbl>
              <c:idx val="0"/>
              <c:layout>
                <c:manualLayout>
                  <c:x val="2.1166446200454953E-2"/>
                  <c:y val="3.2024537930250181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75B-4542-AC42-2F564E84679F}"/>
                </c:ext>
              </c:extLst>
            </c:dLbl>
            <c:dLbl>
              <c:idx val="1"/>
              <c:layout>
                <c:manualLayout>
                  <c:x val="7.1756916703839463E-2"/>
                  <c:y val="-0.1369590251728227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45F-4DBF-9A94-2D16A04EB03B}"/>
                </c:ext>
              </c:extLst>
            </c:dLbl>
            <c:dLbl>
              <c:idx val="3"/>
              <c:layout>
                <c:manualLayout>
                  <c:x val="3.2369102685306538E-2"/>
                  <c:y val="-9.3951207127054796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75B-4542-AC42-2F564E84679F}"/>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Dollars'!$A$28:$A$31,'Summary - Dollars'!$A$38)</c:f>
              <c:strCache>
                <c:ptCount val="5"/>
                <c:pt idx="0">
                  <c:v>General Government</c:v>
                </c:pt>
                <c:pt idx="1">
                  <c:v>Health and Human Services</c:v>
                </c:pt>
                <c:pt idx="2">
                  <c:v>Agencies of Education</c:v>
                </c:pt>
                <c:pt idx="3">
                  <c:v>Public Safety and Criminal Justice</c:v>
                </c:pt>
                <c:pt idx="4">
                  <c:v>Other</c:v>
                </c:pt>
              </c:strCache>
            </c:strRef>
          </c:cat>
          <c:val>
            <c:numRef>
              <c:f>('Summary - Dollars'!$P$28:$P$31,'Summary - Dollars'!$P$38)</c:f>
              <c:numCache>
                <c:formatCode>_("$"* #,##0_);_("$"* \(#,##0\);_("$"* "-"??_);_(@_)</c:formatCode>
                <c:ptCount val="5"/>
                <c:pt idx="0">
                  <c:v>4028634745</c:v>
                </c:pt>
                <c:pt idx="1">
                  <c:v>33643256982</c:v>
                </c:pt>
                <c:pt idx="2" formatCode="_(* #,##0_);_(* \(#,##0\);_(* &quot;-&quot;_);_(@_)">
                  <c:v>65714937963.231262</c:v>
                </c:pt>
                <c:pt idx="3" formatCode="_(* #,##0_);_(* \(#,##0\);_(* &quot;-&quot;_);_(@_)">
                  <c:v>12072254834</c:v>
                </c:pt>
                <c:pt idx="4" formatCode="_(* #,##0_);_(* \(#,##0\);_(* &quot;-&quot;_);_(@_)">
                  <c:v>2854513445</c:v>
                </c:pt>
              </c:numCache>
            </c:numRef>
          </c:val>
          <c:extLst>
            <c:ext xmlns:c16="http://schemas.microsoft.com/office/drawing/2014/chart" uri="{C3380CC4-5D6E-409C-BE32-E72D297353CC}">
              <c16:uniqueId val="{00000001-045F-4DBF-9A94-2D16A04EB03B}"/>
            </c:ext>
          </c:extLst>
        </c:ser>
        <c:dLbls>
          <c:showLegendKey val="0"/>
          <c:showVal val="0"/>
          <c:showCatName val="0"/>
          <c:showSerName val="0"/>
          <c:showPercent val="0"/>
          <c:showBubbleSize val="0"/>
          <c:showLeaderLines val="1"/>
        </c:dLbls>
        <c:firstSliceAng val="128"/>
      </c:pieChart>
    </c:plotArea>
    <c:plotVisOnly val="1"/>
    <c:dispBlanksAs val="gap"/>
    <c:showDLblsOverMax val="0"/>
  </c:chart>
  <c:spPr>
    <a:ln>
      <a:noFill/>
    </a:ln>
  </c:sp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State Appropriations - All Funds</a:t>
            </a:r>
          </a:p>
        </c:rich>
      </c:tx>
      <c:layout>
        <c:manualLayout>
          <c:xMode val="edge"/>
          <c:yMode val="edge"/>
          <c:x val="0.13120567375886524"/>
          <c:y val="1.1940150645217366E-2"/>
        </c:manualLayout>
      </c:layout>
      <c:overlay val="0"/>
    </c:title>
    <c:autoTitleDeleted val="0"/>
    <c:plotArea>
      <c:layout>
        <c:manualLayout>
          <c:layoutTarget val="inner"/>
          <c:xMode val="edge"/>
          <c:yMode val="edge"/>
          <c:x val="0.18839755402915062"/>
          <c:y val="9.1743859515764539E-2"/>
          <c:w val="0.66760550419271159"/>
          <c:h val="0.85249343832020996"/>
        </c:manualLayout>
      </c:layout>
      <c:pieChart>
        <c:varyColors val="1"/>
        <c:ser>
          <c:idx val="0"/>
          <c:order val="0"/>
          <c:dLbls>
            <c:dLbl>
              <c:idx val="0"/>
              <c:layout>
                <c:manualLayout>
                  <c:x val="-9.27318925559837E-3"/>
                  <c:y val="6.661005932252199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BAC-4B20-94E2-B730DE8BBEBB}"/>
                </c:ext>
              </c:extLst>
            </c:dLbl>
            <c:dLbl>
              <c:idx val="1"/>
              <c:layout>
                <c:manualLayout>
                  <c:x val="0.11758055509018819"/>
                  <c:y val="-0.19201671891327057"/>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2186156251745129"/>
                      <c:h val="0.17579937304075235"/>
                    </c:manualLayout>
                  </c15:layout>
                </c:ext>
                <c:ext xmlns:c16="http://schemas.microsoft.com/office/drawing/2014/chart" uri="{C3380CC4-5D6E-409C-BE32-E72D297353CC}">
                  <c16:uniqueId val="{00000000-DED1-4EEA-8699-E3421EC9C865}"/>
                </c:ext>
              </c:extLst>
            </c:dLbl>
            <c:dLbl>
              <c:idx val="2"/>
              <c:layout>
                <c:manualLayout>
                  <c:x val="0.19143742670464062"/>
                  <c:y val="0.1549866298060704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BAC-4B20-94E2-B730DE8BBEBB}"/>
                </c:ext>
              </c:extLst>
            </c:dLbl>
            <c:dLbl>
              <c:idx val="3"/>
              <c:layout>
                <c:manualLayout>
                  <c:x val="0.20803708047132408"/>
                  <c:y val="0.1389759665621734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BAC-4B20-94E2-B730DE8BBEBB}"/>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Millions'!$A$28:$A$31,'Summary - Millions'!$A$38)</c:f>
              <c:strCache>
                <c:ptCount val="5"/>
                <c:pt idx="0">
                  <c:v>General Government</c:v>
                </c:pt>
                <c:pt idx="1">
                  <c:v>Health and Human Services</c:v>
                </c:pt>
                <c:pt idx="2">
                  <c:v>Agencies of Education</c:v>
                </c:pt>
                <c:pt idx="3">
                  <c:v>Public Safety and Criminal Justice</c:v>
                </c:pt>
                <c:pt idx="4">
                  <c:v>Other</c:v>
                </c:pt>
              </c:strCache>
            </c:strRef>
          </c:cat>
          <c:val>
            <c:numRef>
              <c:f>('Summary - Millions'!$G$28:$G$31,'Summary - Millions'!$G$38)</c:f>
              <c:numCache>
                <c:formatCode>_(* #,##0_);_(* \(#,##0\);_(* "-"_);_(@_)</c:formatCode>
                <c:ptCount val="5"/>
                <c:pt idx="0" formatCode="_(&quot;$&quot;* #,##0_);_(&quot;$&quot;* \(#,##0\);_(&quot;$&quot;* &quot;-&quot;??_);_(@_)">
                  <c:v>7452.6894240000001</c:v>
                </c:pt>
                <c:pt idx="1">
                  <c:v>84303.829071</c:v>
                </c:pt>
                <c:pt idx="2">
                  <c:v>95901.920857999998</c:v>
                </c:pt>
                <c:pt idx="3">
                  <c:v>12548.895438</c:v>
                </c:pt>
                <c:pt idx="4">
                  <c:v>48106.499279000003</c:v>
                </c:pt>
              </c:numCache>
            </c:numRef>
          </c:val>
          <c:extLst>
            <c:ext xmlns:c16="http://schemas.microsoft.com/office/drawing/2014/chart" uri="{C3380CC4-5D6E-409C-BE32-E72D297353CC}">
              <c16:uniqueId val="{00000001-DED1-4EEA-8699-E3421EC9C865}"/>
            </c:ext>
          </c:extLst>
        </c:ser>
        <c:dLbls>
          <c:showLegendKey val="0"/>
          <c:showVal val="0"/>
          <c:showCatName val="0"/>
          <c:showSerName val="0"/>
          <c:showPercent val="0"/>
          <c:showBubbleSize val="0"/>
          <c:showLeaderLines val="1"/>
        </c:dLbls>
        <c:firstSliceAng val="120"/>
      </c:pieChart>
    </c:plotArea>
    <c:plotVisOnly val="1"/>
    <c:dispBlanksAs val="gap"/>
    <c:showDLblsOverMax val="0"/>
  </c:chart>
  <c:spPr>
    <a:ln>
      <a:noFill/>
    </a:ln>
  </c:spPr>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State Appropriations -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16216505270922701"/>
          <c:y val="9.6404936423983734E-2"/>
          <c:w val="0.64522281008760685"/>
          <c:h val="0.82900848403123939"/>
        </c:manualLayout>
      </c:layout>
      <c:pieChart>
        <c:varyColors val="1"/>
        <c:ser>
          <c:idx val="0"/>
          <c:order val="0"/>
          <c:dLbls>
            <c:dLbl>
              <c:idx val="0"/>
              <c:layout>
                <c:manualLayout>
                  <c:x val="3.7555565566455264E-2"/>
                  <c:y val="8.5658162930910854E-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BA9-48C1-A685-158F6F67BB64}"/>
                </c:ext>
              </c:extLst>
            </c:dLbl>
            <c:dLbl>
              <c:idx val="1"/>
              <c:layout>
                <c:manualLayout>
                  <c:x val="7.1756916703839463E-2"/>
                  <c:y val="-0.1369590251728227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13E-4AA6-89E9-7ECA5DBB5FBD}"/>
                </c:ext>
              </c:extLst>
            </c:dLbl>
            <c:dLbl>
              <c:idx val="3"/>
              <c:layout>
                <c:manualLayout>
                  <c:x val="7.1946983357420368E-3"/>
                  <c:y val="-4.218924094538058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BA9-48C1-A685-158F6F67BB64}"/>
                </c:ext>
              </c:extLst>
            </c:dLbl>
            <c:dLbl>
              <c:idx val="4"/>
              <c:layout>
                <c:manualLayout>
                  <c:x val="-0.14446182823650019"/>
                  <c:y val="-5.371772650257072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BA9-48C1-A685-158F6F67BB64}"/>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Millions'!$A$28:$A$31,'Summary - Millions'!$A$38)</c:f>
              <c:strCache>
                <c:ptCount val="5"/>
                <c:pt idx="0">
                  <c:v>General Government</c:v>
                </c:pt>
                <c:pt idx="1">
                  <c:v>Health and Human Services</c:v>
                </c:pt>
                <c:pt idx="2">
                  <c:v>Agencies of Education</c:v>
                </c:pt>
                <c:pt idx="3">
                  <c:v>Public Safety and Criminal Justice</c:v>
                </c:pt>
                <c:pt idx="4">
                  <c:v>Other</c:v>
                </c:pt>
              </c:strCache>
            </c:strRef>
          </c:cat>
          <c:val>
            <c:numRef>
              <c:f>('Summary - Millions'!$P$28:$P$31,'Summary - Millions'!$P$38)</c:f>
              <c:numCache>
                <c:formatCode>_(* #,##0_);_(* \(#,##0\);_(* "-"_);_(@_)</c:formatCode>
                <c:ptCount val="5"/>
                <c:pt idx="0" formatCode="_(&quot;$&quot;* #,##0_);_(&quot;$&quot;* \(#,##0\);_(&quot;$&quot;* &quot;-&quot;??_);_(@_)">
                  <c:v>4028.6347450000003</c:v>
                </c:pt>
                <c:pt idx="1">
                  <c:v>33643.256981999999</c:v>
                </c:pt>
                <c:pt idx="2">
                  <c:v>65714.937963231263</c:v>
                </c:pt>
                <c:pt idx="3">
                  <c:v>12072.254833999999</c:v>
                </c:pt>
                <c:pt idx="4">
                  <c:v>2854.513445</c:v>
                </c:pt>
              </c:numCache>
            </c:numRef>
          </c:val>
          <c:extLst>
            <c:ext xmlns:c16="http://schemas.microsoft.com/office/drawing/2014/chart" uri="{C3380CC4-5D6E-409C-BE32-E72D297353CC}">
              <c16:uniqueId val="{00000001-313E-4AA6-89E9-7ECA5DBB5FBD}"/>
            </c:ext>
          </c:extLst>
        </c:ser>
        <c:dLbls>
          <c:showLegendKey val="0"/>
          <c:showVal val="0"/>
          <c:showCatName val="0"/>
          <c:showSerName val="0"/>
          <c:showPercent val="0"/>
          <c:showBubbleSize val="0"/>
          <c:showLeaderLines val="1"/>
        </c:dLbls>
        <c:firstSliceAng val="128"/>
      </c:pieChart>
    </c:plotArea>
    <c:plotVisOnly val="1"/>
    <c:dispBlanksAs val="gap"/>
    <c:showDLblsOverMax val="0"/>
  </c:chart>
  <c:spPr>
    <a:ln>
      <a:noFill/>
    </a:ln>
  </c:spPr>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Education Appropriations - All Funds</a:t>
            </a:r>
          </a:p>
        </c:rich>
      </c:tx>
      <c:overlay val="0"/>
    </c:title>
    <c:autoTitleDeleted val="0"/>
    <c:plotArea>
      <c:layout>
        <c:manualLayout>
          <c:layoutTarget val="inner"/>
          <c:xMode val="edge"/>
          <c:yMode val="edge"/>
          <c:x val="0.1772899553734657"/>
          <c:y val="0.13219962759015094"/>
          <c:w val="0.66760550419271159"/>
          <c:h val="0.85249343832020996"/>
        </c:manualLayout>
      </c:layout>
      <c:pieChart>
        <c:varyColors val="1"/>
        <c:ser>
          <c:idx val="0"/>
          <c:order val="0"/>
          <c:dLbls>
            <c:dLbl>
              <c:idx val="1"/>
              <c:layout>
                <c:manualLayout>
                  <c:x val="-2.9721869479839261E-3"/>
                  <c:y val="-0.1132971052649597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6C3-47FD-AA0D-B5A641B99C12}"/>
                </c:ext>
              </c:extLst>
            </c:dLbl>
            <c:dLbl>
              <c:idx val="3"/>
              <c:layout>
                <c:manualLayout>
                  <c:x val="-1.049165421214855E-2"/>
                  <c:y val="-9.25218906381882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6C3-47FD-AA0D-B5A641B99C12}"/>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Millions'!$A$67:$A$68,'Summary - Millions'!$A$73:$A$74)</c:f>
              <c:strCache>
                <c:ptCount val="3"/>
                <c:pt idx="0">
                  <c:v>Public Education</c:v>
                </c:pt>
                <c:pt idx="1">
                  <c:v>Benefits</c:v>
                </c:pt>
                <c:pt idx="2">
                  <c:v>Higher Education</c:v>
                </c:pt>
              </c:strCache>
            </c:strRef>
          </c:cat>
          <c:val>
            <c:numRef>
              <c:f>('Summary - Millions'!$G$67:$G$68,'Summary - Millions'!$G$73:$G$74)</c:f>
              <c:numCache>
                <c:formatCode>_(* #,##0_);_(* \(#,##0\);_(* "-"_);_(@_)</c:formatCode>
                <c:ptCount val="3"/>
                <c:pt idx="0" formatCode="_(&quot;$&quot;* #,##0_);_(&quot;$&quot;* \(#,##0\);_(&quot;$&quot;* &quot;-&quot;_);_(@_)">
                  <c:v>64726.286180000003</c:v>
                </c:pt>
                <c:pt idx="1">
                  <c:v>7132.9472139999989</c:v>
                </c:pt>
                <c:pt idx="2">
                  <c:v>24042.687464000002</c:v>
                </c:pt>
              </c:numCache>
            </c:numRef>
          </c:val>
          <c:extLst>
            <c:ext xmlns:c16="http://schemas.microsoft.com/office/drawing/2014/chart" uri="{C3380CC4-5D6E-409C-BE32-E72D297353CC}">
              <c16:uniqueId val="{00000002-76C3-47FD-AA0D-B5A641B99C12}"/>
            </c:ext>
          </c:extLst>
        </c:ser>
        <c:dLbls>
          <c:showLegendKey val="0"/>
          <c:showVal val="0"/>
          <c:showCatName val="0"/>
          <c:showSerName val="0"/>
          <c:showPercent val="0"/>
          <c:showBubbleSize val="0"/>
          <c:showLeaderLines val="1"/>
        </c:dLbls>
        <c:firstSliceAng val="215"/>
      </c:pieChart>
    </c:plotArea>
    <c:plotVisOnly val="1"/>
    <c:dispBlanksAs val="gap"/>
    <c:showDLblsOverMax val="0"/>
  </c:chart>
  <c:spPr>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Education Appropriations -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16533857622741019"/>
          <c:y val="0.14533458547039418"/>
          <c:w val="0.64522281008760685"/>
          <c:h val="0.82900848403123939"/>
        </c:manualLayout>
      </c:layout>
      <c:pieChart>
        <c:varyColors val="1"/>
        <c:ser>
          <c:idx val="0"/>
          <c:order val="0"/>
          <c:dLbls>
            <c:dLbl>
              <c:idx val="1"/>
              <c:layout>
                <c:manualLayout>
                  <c:x val="-4.4208244181284505E-3"/>
                  <c:y val="-8.703932132322468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B46-4961-A191-3F13AE745306}"/>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Millions'!$A$67:$A$68,'Summary - Millions'!$A$73:$A$74)</c:f>
              <c:strCache>
                <c:ptCount val="3"/>
                <c:pt idx="0">
                  <c:v>Public Education</c:v>
                </c:pt>
                <c:pt idx="1">
                  <c:v>Benefits</c:v>
                </c:pt>
                <c:pt idx="2">
                  <c:v>Higher Education</c:v>
                </c:pt>
              </c:strCache>
            </c:strRef>
          </c:cat>
          <c:val>
            <c:numRef>
              <c:f>('Summary - Millions'!$P$67:$P$68,'Summary - Millions'!$P$73:$P$74)</c:f>
              <c:numCache>
                <c:formatCode>_(* #,##0_);_(* \(#,##0\);_(* "-"_);_(@_)</c:formatCode>
                <c:ptCount val="3"/>
                <c:pt idx="0" formatCode="_(&quot;$&quot;* #,##0_);_(&quot;$&quot;* \(#,##0\);_(&quot;$&quot;* &quot;-&quot;_);_(@_)">
                  <c:v>44798.583156000001</c:v>
                </c:pt>
                <c:pt idx="1">
                  <c:v>6052.1229559999992</c:v>
                </c:pt>
                <c:pt idx="2">
                  <c:v>14864.231851231261</c:v>
                </c:pt>
              </c:numCache>
            </c:numRef>
          </c:val>
          <c:extLst>
            <c:ext xmlns:c16="http://schemas.microsoft.com/office/drawing/2014/chart" uri="{C3380CC4-5D6E-409C-BE32-E72D297353CC}">
              <c16:uniqueId val="{00000000-4854-4217-BEC7-32097110032A}"/>
            </c:ext>
          </c:extLst>
        </c:ser>
        <c:dLbls>
          <c:showLegendKey val="0"/>
          <c:showVal val="0"/>
          <c:showCatName val="0"/>
          <c:showSerName val="0"/>
          <c:showPercent val="0"/>
          <c:showBubbleSize val="0"/>
          <c:showLeaderLines val="1"/>
        </c:dLbls>
        <c:firstSliceAng val="210"/>
      </c:pieChart>
    </c:plotArea>
    <c:plotVisOnly val="1"/>
    <c:dispBlanksAs val="gap"/>
    <c:showDLblsOverMax val="0"/>
  </c:chart>
  <c:spPr>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by Sector - All Funds</a:t>
            </a:r>
          </a:p>
        </c:rich>
      </c:tx>
      <c:overlay val="0"/>
    </c:title>
    <c:autoTitleDeleted val="0"/>
    <c:plotArea>
      <c:layout>
        <c:manualLayout>
          <c:layoutTarget val="inner"/>
          <c:xMode val="edge"/>
          <c:yMode val="edge"/>
          <c:x val="0.20493586160720234"/>
          <c:y val="0.17734791180844861"/>
          <c:w val="0.58717825517523503"/>
          <c:h val="0.75407509107241688"/>
        </c:manualLayout>
      </c:layout>
      <c:pieChart>
        <c:varyColors val="1"/>
        <c:ser>
          <c:idx val="0"/>
          <c:order val="0"/>
          <c:dLbls>
            <c:dLbl>
              <c:idx val="1"/>
              <c:layout>
                <c:manualLayout>
                  <c:x val="-3.714026203935826E-2"/>
                  <c:y val="6.327121335538388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3DF-41D1-93BA-6BCB8BBAB7D5}"/>
                </c:ext>
              </c:extLst>
            </c:dLbl>
            <c:dLbl>
              <c:idx val="5"/>
              <c:layout>
                <c:manualLayout>
                  <c:x val="6.3188839524330742E-2"/>
                  <c:y val="4.231728087280625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DF-41D1-93BA-6BCB8BBAB7D5}"/>
                </c:ext>
              </c:extLst>
            </c:dLbl>
            <c:dLbl>
              <c:idx val="7"/>
              <c:layout>
                <c:manualLayout>
                  <c:x val="1.3018809804134042E-2"/>
                  <c:y val="2.126000707591801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3DF-41D1-93BA-6BCB8BBAB7D5}"/>
                </c:ext>
              </c:extLst>
            </c:dLbl>
            <c:spPr>
              <a:noFill/>
              <a:ln>
                <a:noFill/>
              </a:ln>
              <a:effectLst/>
            </c:spPr>
            <c:txPr>
              <a:bodyPr/>
              <a:lstStyle/>
              <a:p>
                <a:pPr>
                  <a:defRPr sz="7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Millions'!$A$139,'Summary - Millions'!$A$146,'Summary - Millions'!$A$160,'Summary - Millions'!$A$169,'Summary - Millions'!$A$177,'Summary - Millions'!$A$181,'Summary - Millions'!$A$232,'Summary - Millions'!$A$245,'Summary - Millions'!$A$253)</c:f>
              <c:strCache>
                <c:ptCount val="9"/>
                <c:pt idx="0">
                  <c:v>General Academic Institutions</c:v>
                </c:pt>
                <c:pt idx="1">
                  <c:v>University System Offices</c:v>
                </c:pt>
                <c:pt idx="2">
                  <c:v>Health-Related Institutions (Incl BCM)</c:v>
                </c:pt>
                <c:pt idx="3">
                  <c:v>TAMU Agencies</c:v>
                </c:pt>
                <c:pt idx="4">
                  <c:v>Technical Colleges</c:v>
                </c:pt>
                <c:pt idx="5">
                  <c:v>State Colleges</c:v>
                </c:pt>
                <c:pt idx="6">
                  <c:v>Public Community Colleges</c:v>
                </c:pt>
                <c:pt idx="7">
                  <c:v>Higher Education Coordinating Board</c:v>
                </c:pt>
                <c:pt idx="8">
                  <c:v>Other</c:v>
                </c:pt>
              </c:strCache>
            </c:strRef>
          </c:cat>
          <c:val>
            <c:numRef>
              <c:f>('Summary - Millions'!$G$139,'Summary - Millions'!$G$146,'Summary - Millions'!$G$160,'Summary - Millions'!$G$169,'Summary - Millions'!$G$177,'Summary - Millions'!$G$181,'Summary - Millions'!$G$232,'Summary - Millions'!$G$245,'Summary - Millions'!$G$253)</c:f>
              <c:numCache>
                <c:formatCode>_(* #,##0_);_(* \(#,##0\);_(* "-"_);_(@_)</c:formatCode>
                <c:ptCount val="9"/>
                <c:pt idx="0">
                  <c:v>8075.0311239999992</c:v>
                </c:pt>
                <c:pt idx="1">
                  <c:v>126.56677199999999</c:v>
                </c:pt>
                <c:pt idx="2">
                  <c:v>3805.5715789999999</c:v>
                </c:pt>
                <c:pt idx="3">
                  <c:v>4629.6485240000002</c:v>
                </c:pt>
                <c:pt idx="4">
                  <c:v>227.76820499999999</c:v>
                </c:pt>
                <c:pt idx="5">
                  <c:v>96.720247999999998</c:v>
                </c:pt>
                <c:pt idx="6">
                  <c:v>2235.8804580000005</c:v>
                </c:pt>
                <c:pt idx="7">
                  <c:v>1692.2528780000002</c:v>
                </c:pt>
                <c:pt idx="8">
                  <c:v>3153.2476760000004</c:v>
                </c:pt>
              </c:numCache>
            </c:numRef>
          </c:val>
          <c:extLst>
            <c:ext xmlns:c16="http://schemas.microsoft.com/office/drawing/2014/chart" uri="{C3380CC4-5D6E-409C-BE32-E72D297353CC}">
              <c16:uniqueId val="{00000000-F6D2-4075-B1E2-292781924E0B}"/>
            </c:ext>
          </c:extLst>
        </c:ser>
        <c:dLbls>
          <c:showLegendKey val="0"/>
          <c:showVal val="0"/>
          <c:showCatName val="0"/>
          <c:showSerName val="0"/>
          <c:showPercent val="0"/>
          <c:showBubbleSize val="0"/>
          <c:showLeaderLines val="1"/>
        </c:dLbls>
        <c:firstSliceAng val="188"/>
      </c:pieChart>
    </c:plotArea>
    <c:plotVisOnly val="1"/>
    <c:dispBlanksAs val="gap"/>
    <c:showDLblsOverMax val="0"/>
  </c:chart>
  <c:spPr>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by Sector -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976790548197449"/>
          <c:y val="0.19434992306781868"/>
          <c:w val="0.54888962910006123"/>
          <c:h val="0.70647027947737573"/>
        </c:manualLayout>
      </c:layout>
      <c:pieChart>
        <c:varyColors val="1"/>
        <c:ser>
          <c:idx val="0"/>
          <c:order val="0"/>
          <c:dLbls>
            <c:dLbl>
              <c:idx val="1"/>
              <c:layout>
                <c:manualLayout>
                  <c:x val="-1.9367356039365385E-2"/>
                  <c:y val="-2.3610520537269532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CAB-4E09-B093-A61166318157}"/>
                </c:ext>
              </c:extLst>
            </c:dLbl>
            <c:dLbl>
              <c:idx val="3"/>
              <c:layout>
                <c:manualLayout>
                  <c:x val="1.3366844694775922E-2"/>
                  <c:y val="-4.41319924857066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CAB-4E09-B093-A61166318157}"/>
                </c:ext>
              </c:extLst>
            </c:dLbl>
            <c:dLbl>
              <c:idx val="4"/>
              <c:layout>
                <c:manualLayout>
                  <c:x val="4.653439439332463E-2"/>
                  <c:y val="9.5011446527798801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CAB-4E09-B093-A61166318157}"/>
                </c:ext>
              </c:extLst>
            </c:dLbl>
            <c:dLbl>
              <c:idx val="5"/>
              <c:layout>
                <c:manualLayout>
                  <c:x val="6.9740429122104722E-2"/>
                  <c:y val="0.1254819850477673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CAB-4E09-B093-A61166318157}"/>
                </c:ext>
              </c:extLst>
            </c:dLbl>
            <c:dLbl>
              <c:idx val="7"/>
              <c:layout>
                <c:manualLayout>
                  <c:x val="6.2921982090479237E-2"/>
                  <c:y val="-4.710387707521797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CAB-4E09-B093-A61166318157}"/>
                </c:ext>
              </c:extLst>
            </c:dLbl>
            <c:spPr>
              <a:noFill/>
              <a:ln>
                <a:noFill/>
              </a:ln>
              <a:effectLst/>
            </c:spPr>
            <c:txPr>
              <a:bodyPr/>
              <a:lstStyle/>
              <a:p>
                <a:pPr>
                  <a:defRPr sz="7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Millions'!$A$139,'Summary - Millions'!$A$146,'Summary - Millions'!$A$160,'Summary - Millions'!$A$169,'Summary - Millions'!$A$177,'Summary - Millions'!$A$181,'Summary - Millions'!$A$232,'Summary - Millions'!$A$245,'Summary - Millions'!$A$253)</c:f>
              <c:strCache>
                <c:ptCount val="9"/>
                <c:pt idx="0">
                  <c:v>General Academic Institutions</c:v>
                </c:pt>
                <c:pt idx="1">
                  <c:v>University System Offices</c:v>
                </c:pt>
                <c:pt idx="2">
                  <c:v>Health-Related Institutions (Incl BCM)</c:v>
                </c:pt>
                <c:pt idx="3">
                  <c:v>TAMU Agencies</c:v>
                </c:pt>
                <c:pt idx="4">
                  <c:v>Technical Colleges</c:v>
                </c:pt>
                <c:pt idx="5">
                  <c:v>State Colleges</c:v>
                </c:pt>
                <c:pt idx="6">
                  <c:v>Public Community Colleges</c:v>
                </c:pt>
                <c:pt idx="7">
                  <c:v>Higher Education Coordinating Board</c:v>
                </c:pt>
                <c:pt idx="8">
                  <c:v>Other</c:v>
                </c:pt>
              </c:strCache>
            </c:strRef>
          </c:cat>
          <c:val>
            <c:numRef>
              <c:f>('Summary - Millions'!$P$139,'Summary - Millions'!$P$146,'Summary - Millions'!$P$160,'Summary - Millions'!$P$169,'Summary - Millions'!$P$177,'Summary - Millions'!$P$181,'Summary - Millions'!$P$232,'Summary - Millions'!$P$245,'Summary - Millions'!$P$253)</c:f>
              <c:numCache>
                <c:formatCode>_(* #,##0_);_(* \(#,##0\);_(* "-"_);_(@_)</c:formatCode>
                <c:ptCount val="9"/>
                <c:pt idx="0">
                  <c:v>5887.4094692312592</c:v>
                </c:pt>
                <c:pt idx="1">
                  <c:v>124.03229599999999</c:v>
                </c:pt>
                <c:pt idx="2">
                  <c:v>3483.0517289999998</c:v>
                </c:pt>
                <c:pt idx="3">
                  <c:v>470.77505399999995</c:v>
                </c:pt>
                <c:pt idx="4">
                  <c:v>214.26177999999999</c:v>
                </c:pt>
                <c:pt idx="5">
                  <c:v>82.990763000000001</c:v>
                </c:pt>
                <c:pt idx="6">
                  <c:v>2235.8804580000005</c:v>
                </c:pt>
                <c:pt idx="7">
                  <c:v>1548.3303020000001</c:v>
                </c:pt>
                <c:pt idx="8">
                  <c:v>817.5</c:v>
                </c:pt>
              </c:numCache>
            </c:numRef>
          </c:val>
          <c:extLst>
            <c:ext xmlns:c16="http://schemas.microsoft.com/office/drawing/2014/chart" uri="{C3380CC4-5D6E-409C-BE32-E72D297353CC}">
              <c16:uniqueId val="{00000000-7ECC-4559-A922-D8D6AD2D19F2}"/>
            </c:ext>
          </c:extLst>
        </c:ser>
        <c:dLbls>
          <c:showLegendKey val="0"/>
          <c:showVal val="0"/>
          <c:showCatName val="0"/>
          <c:showSerName val="0"/>
          <c:showPercent val="0"/>
          <c:showBubbleSize val="0"/>
          <c:showLeaderLines val="1"/>
        </c:dLbls>
        <c:firstSliceAng val="170"/>
      </c:pieChart>
    </c:plotArea>
    <c:plotVisOnly val="1"/>
    <c:dispBlanksAs val="gap"/>
    <c:showDLblsOverMax val="0"/>
  </c:chart>
  <c:spPr>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by</a:t>
            </a:r>
            <a:r>
              <a:rPr lang="en-US" sz="1200" baseline="0">
                <a:latin typeface="Tahoma" pitchFamily="34" charset="0"/>
                <a:ea typeface="Tahoma" pitchFamily="34" charset="0"/>
                <a:cs typeface="Tahoma" pitchFamily="34" charset="0"/>
              </a:rPr>
              <a:t> System </a:t>
            </a:r>
            <a:r>
              <a:rPr lang="en-US" sz="1200">
                <a:latin typeface="Tahoma" pitchFamily="34" charset="0"/>
                <a:ea typeface="Tahoma" pitchFamily="34" charset="0"/>
                <a:cs typeface="Tahoma" pitchFamily="34" charset="0"/>
              </a:rPr>
              <a:t>- All Funds</a:t>
            </a:r>
          </a:p>
        </c:rich>
      </c:tx>
      <c:overlay val="0"/>
    </c:title>
    <c:autoTitleDeleted val="0"/>
    <c:plotArea>
      <c:layout>
        <c:manualLayout>
          <c:layoutTarget val="inner"/>
          <c:xMode val="edge"/>
          <c:yMode val="edge"/>
          <c:x val="0.20493586160720234"/>
          <c:y val="0.17734791180844861"/>
          <c:w val="0.58717825517523503"/>
          <c:h val="0.75407509107241688"/>
        </c:manualLayout>
      </c:layout>
      <c:pieChart>
        <c:varyColors val="1"/>
        <c:ser>
          <c:idx val="0"/>
          <c:order val="0"/>
          <c:dLbls>
            <c:dLbl>
              <c:idx val="0"/>
              <c:layout>
                <c:manualLayout>
                  <c:x val="0.13398276427679068"/>
                  <c:y val="-0.1631986712242160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DF4-48E8-AD76-770A745D1E64}"/>
                </c:ext>
              </c:extLst>
            </c:dLbl>
            <c:dLbl>
              <c:idx val="2"/>
              <c:layout>
                <c:manualLayout>
                  <c:x val="0.14136132469160878"/>
                  <c:y val="6.0269080970982755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8753788226650751"/>
                      <c:h val="0.14377268738056934"/>
                    </c:manualLayout>
                  </c15:layout>
                </c:ext>
                <c:ext xmlns:c16="http://schemas.microsoft.com/office/drawing/2014/chart" uri="{C3380CC4-5D6E-409C-BE32-E72D297353CC}">
                  <c16:uniqueId val="{00000001-FDF4-48E8-AD76-770A745D1E64}"/>
                </c:ext>
              </c:extLst>
            </c:dLbl>
            <c:dLbl>
              <c:idx val="3"/>
              <c:layout>
                <c:manualLayout>
                  <c:x val="4.1617042795722717E-2"/>
                  <c:y val="0.1289566694844600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4599748982153244"/>
                      <c:h val="0.17561525948131507"/>
                    </c:manualLayout>
                  </c15:layout>
                </c:ext>
                <c:ext xmlns:c16="http://schemas.microsoft.com/office/drawing/2014/chart" uri="{C3380CC4-5D6E-409C-BE32-E72D297353CC}">
                  <c16:uniqueId val="{00000002-FDF4-48E8-AD76-770A745D1E64}"/>
                </c:ext>
              </c:extLst>
            </c:dLbl>
            <c:dLbl>
              <c:idx val="4"/>
              <c:layout>
                <c:manualLayout>
                  <c:x val="2.2352254641142471E-2"/>
                  <c:y val="0.12477453885810269"/>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DF4-48E8-AD76-770A745D1E64}"/>
                </c:ext>
              </c:extLst>
            </c:dLbl>
            <c:dLbl>
              <c:idx val="5"/>
              <c:layout>
                <c:manualLayout>
                  <c:x val="1.8087313426899791E-2"/>
                  <c:y val="0.1931965465778663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FDF4-48E8-AD76-770A745D1E64}"/>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Millions'!$A$278:$A$284</c:f>
              <c:strCache>
                <c:ptCount val="7"/>
                <c:pt idx="0">
                  <c:v>University of Texas System Administration </c:v>
                </c:pt>
                <c:pt idx="1">
                  <c:v>Texas A&amp;M University System Administrative and General Offices</c:v>
                </c:pt>
                <c:pt idx="2">
                  <c:v>University of Houston System Administration</c:v>
                </c:pt>
                <c:pt idx="3">
                  <c:v>University of North Texas System Administration</c:v>
                </c:pt>
                <c:pt idx="4">
                  <c:v>Texas Tech University System Administration</c:v>
                </c:pt>
                <c:pt idx="5">
                  <c:v>Texas State-System Administration</c:v>
                </c:pt>
                <c:pt idx="6">
                  <c:v>Non-System</c:v>
                </c:pt>
              </c:strCache>
            </c:strRef>
          </c:cat>
          <c:val>
            <c:numRef>
              <c:f>'Summary - Millions'!$G$278:$G$284</c:f>
              <c:numCache>
                <c:formatCode>_(* #,##0_);_(* \(#,##0\);_(* "-"_);_(@_)</c:formatCode>
                <c:ptCount val="7"/>
                <c:pt idx="0" formatCode="_(&quot;$&quot;* #,##0_);_(&quot;$&quot;* \(#,##0\);_(&quot;$&quot;* &quot;-&quot;??_);_(@_)">
                  <c:v>2790.7265360000001</c:v>
                </c:pt>
                <c:pt idx="1">
                  <c:v>2130.5958180000002</c:v>
                </c:pt>
                <c:pt idx="2">
                  <c:v>911.55168400000002</c:v>
                </c:pt>
                <c:pt idx="3">
                  <c:v>465.69934000000001</c:v>
                </c:pt>
                <c:pt idx="4">
                  <c:v>598.09189700000002</c:v>
                </c:pt>
                <c:pt idx="5">
                  <c:v>769.42904199999998</c:v>
                </c:pt>
                <c:pt idx="6">
                  <c:v>535.50357899999995</c:v>
                </c:pt>
              </c:numCache>
            </c:numRef>
          </c:val>
          <c:extLst>
            <c:ext xmlns:c16="http://schemas.microsoft.com/office/drawing/2014/chart" uri="{C3380CC4-5D6E-409C-BE32-E72D297353CC}">
              <c16:uniqueId val="{00000000-D6F8-4CA9-BD6E-10C3C3A83C0D}"/>
            </c:ext>
          </c:extLst>
        </c:ser>
        <c:dLbls>
          <c:showLegendKey val="0"/>
          <c:showVal val="0"/>
          <c:showCatName val="0"/>
          <c:showSerName val="0"/>
          <c:showPercent val="0"/>
          <c:showBubbleSize val="0"/>
          <c:showLeaderLines val="1"/>
        </c:dLbls>
        <c:firstSliceAng val="140"/>
      </c:pieChart>
    </c:plotArea>
    <c:plotVisOnly val="1"/>
    <c:dispBlanksAs val="gap"/>
    <c:showDLblsOverMax val="0"/>
  </c:chart>
  <c:spPr>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by</a:t>
            </a:r>
            <a:r>
              <a:rPr lang="en-US" sz="1200" baseline="0">
                <a:latin typeface="Tahoma" pitchFamily="34" charset="0"/>
                <a:ea typeface="Tahoma" pitchFamily="34" charset="0"/>
                <a:cs typeface="Tahoma" pitchFamily="34" charset="0"/>
              </a:rPr>
              <a:t> System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layout>
        <c:manualLayout>
          <c:xMode val="edge"/>
          <c:yMode val="edge"/>
          <c:x val="0.10035087719298245"/>
          <c:y val="2.4464823949585768E-2"/>
        </c:manualLayout>
      </c:layout>
      <c:overlay val="0"/>
    </c:title>
    <c:autoTitleDeleted val="0"/>
    <c:plotArea>
      <c:layout>
        <c:manualLayout>
          <c:layoutTarget val="inner"/>
          <c:xMode val="edge"/>
          <c:yMode val="edge"/>
          <c:x val="0.14791109505138725"/>
          <c:y val="0.16984238489011377"/>
          <c:w val="0.58062486428189286"/>
          <c:h val="0.74731637909297211"/>
        </c:manualLayout>
      </c:layout>
      <c:pieChart>
        <c:varyColors val="1"/>
        <c:ser>
          <c:idx val="0"/>
          <c:order val="0"/>
          <c:dLbls>
            <c:dLbl>
              <c:idx val="0"/>
              <c:layout>
                <c:manualLayout>
                  <c:x val="0.14076029799839984"/>
                  <c:y val="-0.1761062787911166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079-477A-8BA7-8A77BEE5ABE4}"/>
                </c:ext>
              </c:extLst>
            </c:dLbl>
            <c:dLbl>
              <c:idx val="1"/>
              <c:layout>
                <c:manualLayout>
                  <c:x val="0.21509899453934778"/>
                  <c:y val="0.2235901904403539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079-477A-8BA7-8A77BEE5ABE4}"/>
                </c:ext>
              </c:extLst>
            </c:dLbl>
            <c:dLbl>
              <c:idx val="2"/>
              <c:layout>
                <c:manualLayout>
                  <c:x val="0.19862085421140538"/>
                  <c:y val="7.1355897049966033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7671338177288962"/>
                      <c:h val="0.14295612127874616"/>
                    </c:manualLayout>
                  </c15:layout>
                </c:ext>
                <c:ext xmlns:c16="http://schemas.microsoft.com/office/drawing/2014/chart" uri="{C3380CC4-5D6E-409C-BE32-E72D297353CC}">
                  <c16:uniqueId val="{00000002-E079-477A-8BA7-8A77BEE5ABE4}"/>
                </c:ext>
              </c:extLst>
            </c:dLbl>
            <c:dLbl>
              <c:idx val="3"/>
              <c:layout>
                <c:manualLayout>
                  <c:x val="0.11649574903615517"/>
                  <c:y val="0.1703259022768339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079-477A-8BA7-8A77BEE5ABE4}"/>
                </c:ext>
              </c:extLst>
            </c:dLbl>
            <c:dLbl>
              <c:idx val="4"/>
              <c:layout>
                <c:manualLayout>
                  <c:x val="3.7351216265430934E-2"/>
                  <c:y val="0.20153011099709889"/>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079-477A-8BA7-8A77BEE5ABE4}"/>
                </c:ext>
              </c:extLst>
            </c:dLbl>
            <c:dLbl>
              <c:idx val="5"/>
              <c:layout>
                <c:manualLayout>
                  <c:x val="1.5377957693543456E-2"/>
                  <c:y val="0.1657231763432215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079-477A-8BA7-8A77BEE5ABE4}"/>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Millions'!$A$278:$A$284</c:f>
              <c:strCache>
                <c:ptCount val="7"/>
                <c:pt idx="0">
                  <c:v>University of Texas System Administration </c:v>
                </c:pt>
                <c:pt idx="1">
                  <c:v>Texas A&amp;M University System Administrative and General Offices</c:v>
                </c:pt>
                <c:pt idx="2">
                  <c:v>University of Houston System Administration</c:v>
                </c:pt>
                <c:pt idx="3">
                  <c:v>University of North Texas System Administration</c:v>
                </c:pt>
                <c:pt idx="4">
                  <c:v>Texas Tech University System Administration</c:v>
                </c:pt>
                <c:pt idx="5">
                  <c:v>Texas State-System Administration</c:v>
                </c:pt>
                <c:pt idx="6">
                  <c:v>Non-System</c:v>
                </c:pt>
              </c:strCache>
            </c:strRef>
          </c:cat>
          <c:val>
            <c:numRef>
              <c:f>'Summary - Millions'!$P$278:$P$284</c:f>
              <c:numCache>
                <c:formatCode>_(* #,##0_);_(* \(#,##0\);_(* "-"_);_(@_)</c:formatCode>
                <c:ptCount val="7"/>
                <c:pt idx="0" formatCode="_(&quot;$&quot;* #,##0_);_(&quot;$&quot;* \(#,##0\);_(&quot;$&quot;* &quot;-&quot;??_);_(@_)">
                  <c:v>1986.3567442312624</c:v>
                </c:pt>
                <c:pt idx="1">
                  <c:v>1622.3399429999999</c:v>
                </c:pt>
                <c:pt idx="2">
                  <c:v>672.68366000000003</c:v>
                </c:pt>
                <c:pt idx="3">
                  <c:v>322.05497400000002</c:v>
                </c:pt>
                <c:pt idx="4">
                  <c:v>453.33874700000001</c:v>
                </c:pt>
                <c:pt idx="5">
                  <c:v>561.760898</c:v>
                </c:pt>
                <c:pt idx="6">
                  <c:v>392.90679899999998</c:v>
                </c:pt>
              </c:numCache>
            </c:numRef>
          </c:val>
          <c:extLst>
            <c:ext xmlns:c16="http://schemas.microsoft.com/office/drawing/2014/chart" uri="{C3380CC4-5D6E-409C-BE32-E72D297353CC}">
              <c16:uniqueId val="{00000000-B2A8-47F3-9BEA-82E6729D2B6C}"/>
            </c:ext>
          </c:extLst>
        </c:ser>
        <c:dLbls>
          <c:showLegendKey val="0"/>
          <c:showVal val="0"/>
          <c:showCatName val="0"/>
          <c:showSerName val="0"/>
          <c:showPercent val="0"/>
          <c:showBubbleSize val="0"/>
          <c:showLeaderLines val="1"/>
        </c:dLbls>
        <c:firstSliceAng val="140"/>
      </c:pieChart>
    </c:plotArea>
    <c:plotVisOnly val="1"/>
    <c:dispBlanksAs val="gap"/>
    <c:showDLblsOverMax val="0"/>
  </c:chart>
  <c:spPr>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for Research and</a:t>
            </a:r>
            <a:r>
              <a:rPr lang="en-US" sz="1200" baseline="0">
                <a:latin typeface="Tahoma" pitchFamily="34" charset="0"/>
                <a:ea typeface="Tahoma" pitchFamily="34" charset="0"/>
                <a:cs typeface="Tahoma" pitchFamily="34" charset="0"/>
              </a:rPr>
              <a:t> Emerging Research Institutions </a:t>
            </a:r>
            <a:r>
              <a:rPr lang="en-US" sz="1200">
                <a:latin typeface="Tahoma" pitchFamily="34" charset="0"/>
                <a:ea typeface="Tahoma" pitchFamily="34" charset="0"/>
                <a:cs typeface="Tahoma" pitchFamily="34" charset="0"/>
              </a:rPr>
              <a:t>- All Funds</a:t>
            </a:r>
          </a:p>
        </c:rich>
      </c:tx>
      <c:overlay val="0"/>
    </c:title>
    <c:autoTitleDeleted val="0"/>
    <c:plotArea>
      <c:layout>
        <c:manualLayout>
          <c:layoutTarget val="inner"/>
          <c:xMode val="edge"/>
          <c:yMode val="edge"/>
          <c:x val="0.24612643237121351"/>
          <c:y val="0.21835552372532521"/>
          <c:w val="0.58717825517523503"/>
          <c:h val="0.75407509107241688"/>
        </c:manualLayout>
      </c:layout>
      <c:pieChart>
        <c:varyColors val="1"/>
        <c:ser>
          <c:idx val="0"/>
          <c:order val="0"/>
          <c:dLbls>
            <c:dLbl>
              <c:idx val="0"/>
              <c:layout>
                <c:manualLayout>
                  <c:x val="0.21244103512240461"/>
                  <c:y val="-4.879001713278652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BF0-4B97-BD32-DCFEF260AC7F}"/>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Millions'!$A$319:$A$320</c:f>
              <c:strCache>
                <c:ptCount val="2"/>
                <c:pt idx="0">
                  <c:v>Research and Emerging Research</c:v>
                </c:pt>
                <c:pt idx="1">
                  <c:v>All Other General Academics</c:v>
                </c:pt>
              </c:strCache>
            </c:strRef>
          </c:cat>
          <c:val>
            <c:numRef>
              <c:f>'Summary - Millions'!$G$319:$G$320</c:f>
              <c:numCache>
                <c:formatCode>_(* #,##0_);_(* \(#,##0\);_(* "-"_);_(@_)</c:formatCode>
                <c:ptCount val="2"/>
                <c:pt idx="0">
                  <c:v>5176.206698</c:v>
                </c:pt>
                <c:pt idx="1">
                  <c:v>2609.1257019999998</c:v>
                </c:pt>
              </c:numCache>
            </c:numRef>
          </c:val>
          <c:extLst>
            <c:ext xmlns:c16="http://schemas.microsoft.com/office/drawing/2014/chart" uri="{C3380CC4-5D6E-409C-BE32-E72D297353CC}">
              <c16:uniqueId val="{00000001-5BF0-4B97-BD32-DCFEF260AC7F}"/>
            </c:ext>
          </c:extLst>
        </c:ser>
        <c:dLbls>
          <c:showLegendKey val="0"/>
          <c:showVal val="0"/>
          <c:showCatName val="0"/>
          <c:showSerName val="0"/>
          <c:showPercent val="0"/>
          <c:showBubbleSize val="0"/>
          <c:showLeaderLines val="1"/>
        </c:dLbls>
        <c:firstSliceAng val="140"/>
      </c:pieChart>
    </c:plotArea>
    <c:plotVisOnly val="1"/>
    <c:dispBlanksAs val="gap"/>
    <c:showDLblsOverMax val="0"/>
  </c:chart>
  <c:spPr>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a:t>
            </a:r>
            <a:r>
              <a:rPr lang="en-US" sz="1200" baseline="0">
                <a:latin typeface="Tahoma" pitchFamily="34" charset="0"/>
                <a:ea typeface="Tahoma" pitchFamily="34" charset="0"/>
                <a:cs typeface="Tahoma" pitchFamily="34" charset="0"/>
              </a:rPr>
              <a:t> for Research and Emerging Research Institutions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342085844560817"/>
          <c:y val="0.21885758283717655"/>
          <c:w val="0.58062486428189286"/>
          <c:h val="0.74731637909297211"/>
        </c:manualLayout>
      </c:layout>
      <c:pieChart>
        <c:varyColors val="1"/>
        <c:ser>
          <c:idx val="0"/>
          <c:order val="0"/>
          <c:dLbls>
            <c:dLbl>
              <c:idx val="0"/>
              <c:layout>
                <c:manualLayout>
                  <c:x val="0.23023488322058164"/>
                  <c:y val="-8.259224179636376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5A1-4564-A76A-B6E2C33A796E}"/>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Millions'!$A$319:$A$320</c:f>
              <c:strCache>
                <c:ptCount val="2"/>
                <c:pt idx="0">
                  <c:v>Research and Emerging Research</c:v>
                </c:pt>
                <c:pt idx="1">
                  <c:v>All Other General Academics</c:v>
                </c:pt>
              </c:strCache>
            </c:strRef>
          </c:cat>
          <c:val>
            <c:numRef>
              <c:f>'Summary - Millions'!$P$319:$P$320</c:f>
              <c:numCache>
                <c:formatCode>_(* #,##0_);_(* \(#,##0\);_(* "-"_);_(@_)</c:formatCode>
                <c:ptCount val="2"/>
                <c:pt idx="0">
                  <c:v>3705.2156002312618</c:v>
                </c:pt>
                <c:pt idx="1">
                  <c:v>1964.4559250000002</c:v>
                </c:pt>
              </c:numCache>
            </c:numRef>
          </c:val>
          <c:extLst>
            <c:ext xmlns:c16="http://schemas.microsoft.com/office/drawing/2014/chart" uri="{C3380CC4-5D6E-409C-BE32-E72D297353CC}">
              <c16:uniqueId val="{00000001-C5A1-4564-A76A-B6E2C33A796E}"/>
            </c:ext>
          </c:extLst>
        </c:ser>
        <c:dLbls>
          <c:showLegendKey val="0"/>
          <c:showVal val="0"/>
          <c:showCatName val="0"/>
          <c:showSerName val="0"/>
          <c:showPercent val="0"/>
          <c:showBubbleSize val="0"/>
          <c:showLeaderLines val="1"/>
        </c:dLbls>
        <c:firstSliceAng val="140"/>
      </c:pieChart>
    </c:plotArea>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Education Appropriations - All Funds</a:t>
            </a:r>
          </a:p>
        </c:rich>
      </c:tx>
      <c:overlay val="0"/>
    </c:title>
    <c:autoTitleDeleted val="0"/>
    <c:plotArea>
      <c:layout>
        <c:manualLayout>
          <c:layoutTarget val="inner"/>
          <c:xMode val="edge"/>
          <c:yMode val="edge"/>
          <c:x val="0.18577693833869005"/>
          <c:y val="0.13634038864408005"/>
          <c:w val="0.66760550419271159"/>
          <c:h val="0.85249343832020996"/>
        </c:manualLayout>
      </c:layout>
      <c:pieChart>
        <c:varyColors val="1"/>
        <c:ser>
          <c:idx val="0"/>
          <c:order val="0"/>
          <c:dLbls>
            <c:dLbl>
              <c:idx val="0"/>
              <c:layout>
                <c:manualLayout>
                  <c:x val="0.11414191165951752"/>
                  <c:y val="0.271234354950264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B08-45F6-AF36-C16932E3DC38}"/>
                </c:ext>
              </c:extLst>
            </c:dLbl>
            <c:dLbl>
              <c:idx val="1"/>
              <c:layout>
                <c:manualLayout>
                  <c:x val="2.7977012439951644E-2"/>
                  <c:y val="-2.927588306824764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B08-45F6-AF36-C16932E3DC38}"/>
                </c:ext>
              </c:extLst>
            </c:dLbl>
            <c:dLbl>
              <c:idx val="3"/>
              <c:layout>
                <c:manualLayout>
                  <c:x val="-5.2986444507201358E-2"/>
                  <c:y val="-0.13666674631399689"/>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B08-45F6-AF36-C16932E3DC38}"/>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Dollars'!$A$67:$A$68,'Summary - Dollars'!$A$73:$A$74)</c:f>
              <c:strCache>
                <c:ptCount val="3"/>
                <c:pt idx="0">
                  <c:v>Public Education</c:v>
                </c:pt>
                <c:pt idx="1">
                  <c:v>Benefits</c:v>
                </c:pt>
                <c:pt idx="2">
                  <c:v>Higher Education</c:v>
                </c:pt>
              </c:strCache>
            </c:strRef>
          </c:cat>
          <c:val>
            <c:numRef>
              <c:f>('Summary - Dollars'!$G$67:$G$68,'Summary - Dollars'!$G$73:$G$74)</c:f>
              <c:numCache>
                <c:formatCode>_(* #,##0_);_(* \(#,##0\);_(* "-"_);_(@_)</c:formatCode>
                <c:ptCount val="3"/>
                <c:pt idx="0" formatCode="_(&quot;$&quot;* #,##0_);_(&quot;$&quot;* \(#,##0\);_(&quot;$&quot;* &quot;-&quot;_);_(@_)">
                  <c:v>64726286180</c:v>
                </c:pt>
                <c:pt idx="1">
                  <c:v>7132947214</c:v>
                </c:pt>
                <c:pt idx="2">
                  <c:v>24042687464</c:v>
                </c:pt>
              </c:numCache>
            </c:numRef>
          </c:val>
          <c:extLst>
            <c:ext xmlns:c16="http://schemas.microsoft.com/office/drawing/2014/chart" uri="{C3380CC4-5D6E-409C-BE32-E72D297353CC}">
              <c16:uniqueId val="{00000000-0CF2-476A-8C11-B18EC261D1A2}"/>
            </c:ext>
          </c:extLst>
        </c:ser>
        <c:dLbls>
          <c:showLegendKey val="0"/>
          <c:showVal val="0"/>
          <c:showCatName val="0"/>
          <c:showSerName val="0"/>
          <c:showPercent val="0"/>
          <c:showBubbleSize val="0"/>
          <c:showLeaderLines val="1"/>
        </c:dLbls>
        <c:firstSliceAng val="215"/>
      </c:pieChart>
    </c:plotArea>
    <c:plotVisOnly val="1"/>
    <c:dispBlanksAs val="gap"/>
    <c:showDLblsOverMax val="0"/>
  </c:chart>
  <c:spPr>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for South Texas</a:t>
            </a:r>
            <a:r>
              <a:rPr lang="en-US" sz="1200" baseline="0">
                <a:latin typeface="Tahoma" pitchFamily="34" charset="0"/>
                <a:ea typeface="Tahoma" pitchFamily="34" charset="0"/>
                <a:cs typeface="Tahoma" pitchFamily="34" charset="0"/>
              </a:rPr>
              <a:t> Border Institutions </a:t>
            </a:r>
            <a:r>
              <a:rPr lang="en-US" sz="1200">
                <a:latin typeface="Tahoma" pitchFamily="34" charset="0"/>
                <a:ea typeface="Tahoma" pitchFamily="34" charset="0"/>
                <a:cs typeface="Tahoma" pitchFamily="34" charset="0"/>
              </a:rPr>
              <a:t>- All Funds</a:t>
            </a:r>
          </a:p>
        </c:rich>
      </c:tx>
      <c:overlay val="0"/>
    </c:title>
    <c:autoTitleDeleted val="0"/>
    <c:plotArea>
      <c:layout>
        <c:manualLayout>
          <c:layoutTarget val="inner"/>
          <c:xMode val="edge"/>
          <c:yMode val="edge"/>
          <c:x val="0.21910909663840408"/>
          <c:y val="0.23308080316890428"/>
          <c:w val="0.62094977749354163"/>
          <c:h val="0.73259326978039674"/>
        </c:manualLayout>
      </c:layout>
      <c:pieChart>
        <c:varyColors val="1"/>
        <c:ser>
          <c:idx val="0"/>
          <c:order val="0"/>
          <c:dLbls>
            <c:dLbl>
              <c:idx val="0"/>
              <c:layout>
                <c:manualLayout>
                  <c:x val="-0.1786100206112311"/>
                  <c:y val="2.1847047419652527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709-4C6A-B730-793544D102CC}"/>
                </c:ext>
              </c:extLst>
            </c:dLbl>
            <c:dLbl>
              <c:idx val="1"/>
              <c:layout>
                <c:manualLayout>
                  <c:x val="0.25213711237540098"/>
                  <c:y val="3.707983186686385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51F-4569-B5F5-15443E28CCE4}"/>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Millions'!$A$356:$A$357</c:f>
              <c:strCache>
                <c:ptCount val="2"/>
                <c:pt idx="0">
                  <c:v>South Texas Border Institutions</c:v>
                </c:pt>
                <c:pt idx="1">
                  <c:v>All Other General Academics</c:v>
                </c:pt>
              </c:strCache>
            </c:strRef>
          </c:cat>
          <c:val>
            <c:numRef>
              <c:f>'Summary - Millions'!$G$356:$G$357</c:f>
              <c:numCache>
                <c:formatCode>_(* #,##0_);_(* \(#,##0\);_(* "-"_);_(@_)</c:formatCode>
                <c:ptCount val="2"/>
                <c:pt idx="0">
                  <c:v>1390.4398130000002</c:v>
                </c:pt>
                <c:pt idx="1">
                  <c:v>6684.591311000001</c:v>
                </c:pt>
              </c:numCache>
            </c:numRef>
          </c:val>
          <c:extLst>
            <c:ext xmlns:c16="http://schemas.microsoft.com/office/drawing/2014/chart" uri="{C3380CC4-5D6E-409C-BE32-E72D297353CC}">
              <c16:uniqueId val="{00000001-D51F-4569-B5F5-15443E28CCE4}"/>
            </c:ext>
          </c:extLst>
        </c:ser>
        <c:dLbls>
          <c:showLegendKey val="0"/>
          <c:showVal val="0"/>
          <c:showCatName val="0"/>
          <c:showSerName val="0"/>
          <c:showPercent val="0"/>
          <c:showBubbleSize val="0"/>
          <c:showLeaderLines val="1"/>
        </c:dLbls>
        <c:firstSliceAng val="60"/>
      </c:pieChart>
    </c:plotArea>
    <c:plotVisOnly val="1"/>
    <c:dispBlanksAs val="gap"/>
    <c:showDLblsOverMax val="0"/>
  </c:chart>
  <c:spPr>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a:t>
            </a:r>
            <a:r>
              <a:rPr lang="en-US" sz="1200" baseline="0">
                <a:latin typeface="Tahoma" pitchFamily="34" charset="0"/>
                <a:ea typeface="Tahoma" pitchFamily="34" charset="0"/>
                <a:cs typeface="Tahoma" pitchFamily="34" charset="0"/>
              </a:rPr>
              <a:t> for </a:t>
            </a:r>
            <a:r>
              <a:rPr lang="en-US" sz="1200" b="1" i="0" u="none" strike="noStrike" baseline="0">
                <a:effectLst/>
              </a:rPr>
              <a:t>South Texas Border</a:t>
            </a:r>
            <a:r>
              <a:rPr lang="en-US" sz="1200" baseline="0">
                <a:latin typeface="Tahoma" pitchFamily="34" charset="0"/>
                <a:ea typeface="Tahoma" pitchFamily="34" charset="0"/>
                <a:cs typeface="Tahoma" pitchFamily="34" charset="0"/>
              </a:rPr>
              <a:t> Institutions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342085844560817"/>
          <c:y val="0.21885758283717655"/>
          <c:w val="0.58062486428189286"/>
          <c:h val="0.74731637909297211"/>
        </c:manualLayout>
      </c:layout>
      <c:pieChart>
        <c:varyColors val="1"/>
        <c:ser>
          <c:idx val="0"/>
          <c:order val="0"/>
          <c:dLbls>
            <c:dLbl>
              <c:idx val="0"/>
              <c:layout>
                <c:manualLayout>
                  <c:x val="-0.17813601718156161"/>
                  <c:y val="-7.6799663001986627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840-44FD-8680-DAA423DCBE3F}"/>
                </c:ext>
              </c:extLst>
            </c:dLbl>
            <c:dLbl>
              <c:idx val="1"/>
              <c:layout>
                <c:manualLayout>
                  <c:x val="0.24031103557855335"/>
                  <c:y val="5.110415911392246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DB4-4616-8D06-E14E35A42B13}"/>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Millions'!$A$356:$A$357</c:f>
              <c:strCache>
                <c:ptCount val="2"/>
                <c:pt idx="0">
                  <c:v>South Texas Border Institutions</c:v>
                </c:pt>
                <c:pt idx="1">
                  <c:v>All Other General Academics</c:v>
                </c:pt>
              </c:strCache>
            </c:strRef>
          </c:cat>
          <c:val>
            <c:numRef>
              <c:f>'Summary - Millions'!$P$356:$P$357</c:f>
              <c:numCache>
                <c:formatCode>_(* #,##0_);_(* \(#,##0\);_(* "-"_);_(@_)</c:formatCode>
                <c:ptCount val="2"/>
                <c:pt idx="0">
                  <c:v>1053.7511880000002</c:v>
                </c:pt>
                <c:pt idx="1">
                  <c:v>4833.6582812312627</c:v>
                </c:pt>
              </c:numCache>
            </c:numRef>
          </c:val>
          <c:extLst>
            <c:ext xmlns:c16="http://schemas.microsoft.com/office/drawing/2014/chart" uri="{C3380CC4-5D6E-409C-BE32-E72D297353CC}">
              <c16:uniqueId val="{00000001-CDB4-4616-8D06-E14E35A42B13}"/>
            </c:ext>
          </c:extLst>
        </c:ser>
        <c:dLbls>
          <c:showLegendKey val="0"/>
          <c:showVal val="0"/>
          <c:showCatName val="0"/>
          <c:showSerName val="0"/>
          <c:showPercent val="0"/>
          <c:showBubbleSize val="0"/>
          <c:showLeaderLines val="1"/>
        </c:dLbls>
        <c:firstSliceAng val="60"/>
      </c:pieChart>
    </c:plotArea>
    <c:plotVisOnly val="1"/>
    <c:dispBlanksAs val="gap"/>
    <c:showDLblsOverMax val="0"/>
  </c:chart>
  <c:spPr>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for Non-Formula</a:t>
            </a:r>
            <a:r>
              <a:rPr lang="en-US" sz="1200" baseline="0">
                <a:latin typeface="Tahoma" pitchFamily="34" charset="0"/>
                <a:ea typeface="Tahoma" pitchFamily="34" charset="0"/>
                <a:cs typeface="Tahoma" pitchFamily="34" charset="0"/>
              </a:rPr>
              <a:t> Items </a:t>
            </a:r>
            <a:r>
              <a:rPr lang="en-US" sz="1200">
                <a:latin typeface="Tahoma" pitchFamily="34" charset="0"/>
                <a:ea typeface="Tahoma" pitchFamily="34" charset="0"/>
                <a:cs typeface="Tahoma" pitchFamily="34" charset="0"/>
              </a:rPr>
              <a:t>- All Funds</a:t>
            </a:r>
          </a:p>
        </c:rich>
      </c:tx>
      <c:overlay val="0"/>
    </c:title>
    <c:autoTitleDeleted val="0"/>
    <c:plotArea>
      <c:layout>
        <c:manualLayout>
          <c:layoutTarget val="inner"/>
          <c:xMode val="edge"/>
          <c:yMode val="edge"/>
          <c:x val="0.24612643237121351"/>
          <c:y val="0.21835552372532521"/>
          <c:w val="0.58717825517523503"/>
          <c:h val="0.75407509107241688"/>
        </c:manualLayout>
      </c:layout>
      <c:pieChart>
        <c:varyColors val="1"/>
        <c:ser>
          <c:idx val="0"/>
          <c:order val="0"/>
          <c:dLbls>
            <c:dLbl>
              <c:idx val="0"/>
              <c:layout>
                <c:manualLayout>
                  <c:x val="0.13140399112564161"/>
                  <c:y val="-0.1631986712242160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5A3-455D-B781-656757D1EB10}"/>
                </c:ext>
              </c:extLst>
            </c:dLbl>
            <c:dLbl>
              <c:idx val="1"/>
              <c:layout>
                <c:manualLayout>
                  <c:x val="0.37070110243933702"/>
                  <c:y val="5.239836408688963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08A-41A7-93BB-E4EB9901DCAB}"/>
                </c:ext>
              </c:extLst>
            </c:dLbl>
            <c:dLbl>
              <c:idx val="2"/>
              <c:layout>
                <c:manualLayout>
                  <c:x val="-0.12795908317503107"/>
                  <c:y val="0.2227142776880489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08A-41A7-93BB-E4EB9901DCAB}"/>
                </c:ext>
              </c:extLst>
            </c:dLbl>
            <c:dLbl>
              <c:idx val="3"/>
              <c:layout>
                <c:manualLayout>
                  <c:x val="-1.0339240472156518E-2"/>
                  <c:y val="-0.2041191016039465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08A-41A7-93BB-E4EB9901DCAB}"/>
                </c:ext>
              </c:extLst>
            </c:dLbl>
            <c:dLbl>
              <c:idx val="4"/>
              <c:layout>
                <c:manualLayout>
                  <c:x val="2.245108056506253E-2"/>
                  <c:y val="-5.505158886736975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08A-41A7-93BB-E4EB9901DCAB}"/>
                </c:ext>
              </c:extLst>
            </c:dLbl>
            <c:dLbl>
              <c:idx val="5"/>
              <c:layout>
                <c:manualLayout>
                  <c:x val="7.6527420939864581E-3"/>
                  <c:y val="0.14094219347455875"/>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5373312517219212"/>
                      <c:h val="0.19804642319984656"/>
                    </c:manualLayout>
                  </c15:layout>
                </c:ext>
                <c:ext xmlns:c16="http://schemas.microsoft.com/office/drawing/2014/chart" uri="{C3380CC4-5D6E-409C-BE32-E72D297353CC}">
                  <c16:uniqueId val="{00000004-608A-41A7-93BB-E4EB9901DCAB}"/>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Millions'!$A$421,'Summary - Millions'!$A$425,'Summary - Millions'!$A$437,'Summary - Millions'!$A$442,'Summary - Millions'!$A$446,'Summary - Millions'!$A$455)</c:f>
              <c:strCache>
                <c:ptCount val="6"/>
                <c:pt idx="0">
                  <c:v>Total General Academic Institutions</c:v>
                </c:pt>
                <c:pt idx="1">
                  <c:v>University System Offices</c:v>
                </c:pt>
                <c:pt idx="2">
                  <c:v>Total Health-Related Institutions</c:v>
                </c:pt>
                <c:pt idx="3">
                  <c:v>Total Technical Colleges</c:v>
                </c:pt>
                <c:pt idx="4">
                  <c:v>Total State Colleges</c:v>
                </c:pt>
                <c:pt idx="5">
                  <c:v>Public Community Colleges</c:v>
                </c:pt>
              </c:strCache>
            </c:strRef>
          </c:cat>
          <c:val>
            <c:numRef>
              <c:f>('Summary - Millions'!$G$421,'Summary - Millions'!$G$425,'Summary - Millions'!$G$437,'Summary - Millions'!$G$442,'Summary - Millions'!$G$446,'Summary - Millions'!$G$455)</c:f>
              <c:numCache>
                <c:formatCode>_(* #,##0_);_(* \(#,##0\);_(* "-"_);_(@_)</c:formatCode>
                <c:ptCount val="6"/>
                <c:pt idx="0">
                  <c:v>804.60710500000005</c:v>
                </c:pt>
                <c:pt idx="1">
                  <c:v>1.7685249999999999</c:v>
                </c:pt>
                <c:pt idx="2">
                  <c:v>324.527064</c:v>
                </c:pt>
                <c:pt idx="3">
                  <c:v>5.287077</c:v>
                </c:pt>
                <c:pt idx="4">
                  <c:v>12.778731000000001</c:v>
                </c:pt>
                <c:pt idx="5">
                  <c:v>15.461362999999999</c:v>
                </c:pt>
              </c:numCache>
            </c:numRef>
          </c:val>
          <c:extLst>
            <c:ext xmlns:c16="http://schemas.microsoft.com/office/drawing/2014/chart" uri="{C3380CC4-5D6E-409C-BE32-E72D297353CC}">
              <c16:uniqueId val="{00000001-B5A3-455D-B781-656757D1EB10}"/>
            </c:ext>
          </c:extLst>
        </c:ser>
        <c:dLbls>
          <c:showLegendKey val="0"/>
          <c:showVal val="0"/>
          <c:showCatName val="0"/>
          <c:showSerName val="0"/>
          <c:showPercent val="0"/>
          <c:showBubbleSize val="0"/>
          <c:showLeaderLines val="1"/>
        </c:dLbls>
        <c:firstSliceAng val="90"/>
      </c:pieChart>
    </c:plotArea>
    <c:plotVisOnly val="1"/>
    <c:dispBlanksAs val="gap"/>
    <c:showDLblsOverMax val="0"/>
  </c:chart>
  <c:spPr>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a:t>
            </a:r>
            <a:r>
              <a:rPr lang="en-US" sz="1200" baseline="0">
                <a:latin typeface="Tahoma" pitchFamily="34" charset="0"/>
                <a:ea typeface="Tahoma" pitchFamily="34" charset="0"/>
                <a:cs typeface="Tahoma" pitchFamily="34" charset="0"/>
              </a:rPr>
              <a:t> for Non-Formula</a:t>
            </a:r>
            <a:r>
              <a:rPr lang="en-US" sz="1200" b="1" i="0" u="none" strike="noStrike" baseline="0">
                <a:effectLst/>
              </a:rPr>
              <a:t> Items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342085844560817"/>
          <c:y val="0.21885758283717655"/>
          <c:w val="0.58062486428189286"/>
          <c:h val="0.74731637909297211"/>
        </c:manualLayout>
      </c:layout>
      <c:pieChart>
        <c:varyColors val="1"/>
        <c:ser>
          <c:idx val="0"/>
          <c:order val="0"/>
          <c:dLbls>
            <c:dLbl>
              <c:idx val="0"/>
              <c:layout>
                <c:manualLayout>
                  <c:x val="0.18772624422191397"/>
                  <c:y val="-0.1767704547462692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913-48F1-8F04-ECED72774503}"/>
                </c:ext>
              </c:extLst>
            </c:dLbl>
            <c:dLbl>
              <c:idx val="1"/>
              <c:layout>
                <c:manualLayout>
                  <c:x val="0.39879330823894982"/>
                  <c:y val="6.669403280219338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A19-4777-B4DA-4399752E4401}"/>
                </c:ext>
              </c:extLst>
            </c:dLbl>
            <c:dLbl>
              <c:idx val="2"/>
              <c:layout>
                <c:manualLayout>
                  <c:x val="-0.13690041312521412"/>
                  <c:y val="0.2123332804051840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A19-4777-B4DA-4399752E4401}"/>
                </c:ext>
              </c:extLst>
            </c:dLbl>
            <c:dLbl>
              <c:idx val="3"/>
              <c:layout>
                <c:manualLayout>
                  <c:x val="2.5981049579099184E-2"/>
                  <c:y val="-0.1591192973315409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A19-4777-B4DA-4399752E4401}"/>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Millions'!$A$421,'Summary - Millions'!$A$425,'Summary - Millions'!$A$437,'Summary - Millions'!$A$442,'Summary - Millions'!$A$446,'Summary - Millions'!$A$455)</c:f>
              <c:strCache>
                <c:ptCount val="6"/>
                <c:pt idx="0">
                  <c:v>Total General Academic Institutions</c:v>
                </c:pt>
                <c:pt idx="1">
                  <c:v>University System Offices</c:v>
                </c:pt>
                <c:pt idx="2">
                  <c:v>Total Health-Related Institutions</c:v>
                </c:pt>
                <c:pt idx="3">
                  <c:v>Total Technical Colleges</c:v>
                </c:pt>
                <c:pt idx="4">
                  <c:v>Total State Colleges</c:v>
                </c:pt>
                <c:pt idx="5">
                  <c:v>Public Community Colleges</c:v>
                </c:pt>
              </c:strCache>
            </c:strRef>
          </c:cat>
          <c:val>
            <c:numRef>
              <c:f>('Summary - Millions'!$P$421,'Summary - Millions'!$P$425,'Summary - Millions'!$P$437,'Summary - Millions'!$P$442,'Summary - Millions'!$P$446,'Summary - Millions'!$P$455)</c:f>
              <c:numCache>
                <c:formatCode>_(* #,##0_);_(* \(#,##0\);_(* "-"_);_(@_)</c:formatCode>
                <c:ptCount val="6"/>
                <c:pt idx="0">
                  <c:v>804.60710500000005</c:v>
                </c:pt>
                <c:pt idx="1">
                  <c:v>1.7685249999999999</c:v>
                </c:pt>
                <c:pt idx="2">
                  <c:v>324.527064</c:v>
                </c:pt>
                <c:pt idx="3">
                  <c:v>5.287077</c:v>
                </c:pt>
                <c:pt idx="4">
                  <c:v>12.778731000000001</c:v>
                </c:pt>
                <c:pt idx="5">
                  <c:v>15.461362999999999</c:v>
                </c:pt>
              </c:numCache>
            </c:numRef>
          </c:val>
          <c:extLst>
            <c:ext xmlns:c16="http://schemas.microsoft.com/office/drawing/2014/chart" uri="{C3380CC4-5D6E-409C-BE32-E72D297353CC}">
              <c16:uniqueId val="{00000001-6913-48F1-8F04-ECED72774503}"/>
            </c:ext>
          </c:extLst>
        </c:ser>
        <c:dLbls>
          <c:showLegendKey val="0"/>
          <c:showVal val="0"/>
          <c:showCatName val="0"/>
          <c:showSerName val="0"/>
          <c:showPercent val="0"/>
          <c:showBubbleSize val="0"/>
          <c:showLeaderLines val="1"/>
        </c:dLbls>
        <c:firstSliceAng val="90"/>
      </c:pieChart>
    </c:plotArea>
    <c:plotVisOnly val="1"/>
    <c:dispBlanksAs val="gap"/>
    <c:showDLblsOverMax val="0"/>
  </c:chart>
  <c:spPr>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for</a:t>
            </a:r>
            <a:r>
              <a:rPr lang="en-US" sz="1200" baseline="0">
                <a:latin typeface="Tahoma" pitchFamily="34" charset="0"/>
                <a:ea typeface="Tahoma" pitchFamily="34" charset="0"/>
                <a:cs typeface="Tahoma" pitchFamily="34" charset="0"/>
              </a:rPr>
              <a:t> Institutional Enhancement </a:t>
            </a:r>
            <a:r>
              <a:rPr lang="en-US" sz="1200">
                <a:latin typeface="Tahoma" pitchFamily="34" charset="0"/>
                <a:ea typeface="Tahoma" pitchFamily="34" charset="0"/>
                <a:cs typeface="Tahoma" pitchFamily="34" charset="0"/>
              </a:rPr>
              <a:t>- All Funds</a:t>
            </a:r>
          </a:p>
        </c:rich>
      </c:tx>
      <c:overlay val="0"/>
    </c:title>
    <c:autoTitleDeleted val="0"/>
    <c:plotArea>
      <c:layout>
        <c:manualLayout>
          <c:layoutTarget val="inner"/>
          <c:xMode val="edge"/>
          <c:yMode val="edge"/>
          <c:x val="0.21235479243145644"/>
          <c:y val="0.18925299469109394"/>
          <c:w val="0.63783553801091064"/>
          <c:h val="0.75251500090667411"/>
        </c:manualLayout>
      </c:layout>
      <c:pieChart>
        <c:varyColors val="1"/>
        <c:ser>
          <c:idx val="0"/>
          <c:order val="0"/>
          <c:dLbls>
            <c:dLbl>
              <c:idx val="0"/>
              <c:layout>
                <c:manualLayout>
                  <c:x val="9.9961216850831276E-3"/>
                  <c:y val="6.895801272592133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96C-4ACB-A5D2-9231161F6FFF}"/>
                </c:ext>
              </c:extLst>
            </c:dLbl>
            <c:dLbl>
              <c:idx val="1"/>
              <c:layout>
                <c:manualLayout>
                  <c:x val="-1.2213679002311321E-2"/>
                  <c:y val="0"/>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96C-4ACB-A5D2-9231161F6FFF}"/>
                </c:ext>
              </c:extLst>
            </c:dLbl>
            <c:dLbl>
              <c:idx val="2"/>
              <c:layout>
                <c:manualLayout>
                  <c:x val="0.12125362371764324"/>
                  <c:y val="0.1000834359599946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96C-4ACB-A5D2-9231161F6FFF}"/>
                </c:ext>
              </c:extLst>
            </c:dLbl>
            <c:dLbl>
              <c:idx val="3"/>
              <c:layout>
                <c:manualLayout>
                  <c:x val="2.1574904385918608E-2"/>
                  <c:y val="3.12587786964487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6C-4ACB-A5D2-9231161F6FFF}"/>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Millions'!$A$515,'Summary - Millions'!$A$527,'Summary - Millions'!$A$532,'Summary - Millions'!$A$536)</c:f>
              <c:strCache>
                <c:ptCount val="4"/>
                <c:pt idx="0">
                  <c:v>Total General Academic Institutions</c:v>
                </c:pt>
                <c:pt idx="1">
                  <c:v>Total Health-Related Institutions</c:v>
                </c:pt>
                <c:pt idx="2">
                  <c:v>Total Technical Colleges</c:v>
                </c:pt>
                <c:pt idx="3">
                  <c:v>Total State Colleges</c:v>
                </c:pt>
              </c:strCache>
            </c:strRef>
          </c:cat>
          <c:val>
            <c:numRef>
              <c:f>('Summary - Millions'!$G$515,'Summary - Millions'!$G$527,'Summary - Millions'!$G$532,'Summary - Millions'!$G$536)</c:f>
              <c:numCache>
                <c:formatCode>_(* #,##0_);_(* \(#,##0\);_(* "-"_);_(@_)</c:formatCode>
                <c:ptCount val="4"/>
                <c:pt idx="0">
                  <c:v>282.11807399999987</c:v>
                </c:pt>
                <c:pt idx="1">
                  <c:v>42.480485999999999</c:v>
                </c:pt>
                <c:pt idx="2">
                  <c:v>5.287077</c:v>
                </c:pt>
                <c:pt idx="3">
                  <c:v>8.8476739999999996</c:v>
                </c:pt>
              </c:numCache>
            </c:numRef>
          </c:val>
          <c:extLst>
            <c:ext xmlns:c16="http://schemas.microsoft.com/office/drawing/2014/chart" uri="{C3380CC4-5D6E-409C-BE32-E72D297353CC}">
              <c16:uniqueId val="{00000000-704E-4681-937B-9FE62B186AB2}"/>
            </c:ext>
          </c:extLst>
        </c:ser>
        <c:dLbls>
          <c:showLegendKey val="0"/>
          <c:showVal val="0"/>
          <c:showCatName val="0"/>
          <c:showSerName val="0"/>
          <c:showPercent val="0"/>
          <c:showBubbleSize val="0"/>
          <c:showLeaderLines val="1"/>
        </c:dLbls>
        <c:firstSliceAng val="90"/>
      </c:pieChart>
    </c:plotArea>
    <c:plotVisOnly val="1"/>
    <c:dispBlanksAs val="gap"/>
    <c:showDLblsOverMax val="0"/>
  </c:chart>
  <c:spPr>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a:t>
            </a:r>
            <a:r>
              <a:rPr lang="en-US" sz="1200" baseline="0">
                <a:latin typeface="Tahoma" pitchFamily="34" charset="0"/>
                <a:ea typeface="Tahoma" pitchFamily="34" charset="0"/>
                <a:cs typeface="Tahoma" pitchFamily="34" charset="0"/>
              </a:rPr>
              <a:t> for </a:t>
            </a:r>
            <a:r>
              <a:rPr lang="en-US" sz="1200" b="1" i="0" u="none" strike="noStrike" baseline="0">
                <a:effectLst/>
              </a:rPr>
              <a:t>Institutional Enhancement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342085844560817"/>
          <c:y val="0.21885758283717655"/>
          <c:w val="0.58062486428189286"/>
          <c:h val="0.74731637909297211"/>
        </c:manualLayout>
      </c:layout>
      <c:pieChart>
        <c:varyColors val="1"/>
        <c:ser>
          <c:idx val="0"/>
          <c:order val="0"/>
          <c:dLbls>
            <c:dLbl>
              <c:idx val="0"/>
              <c:layout>
                <c:manualLayout>
                  <c:x val="1.6775705887120403E-2"/>
                  <c:y val="0.136662315509189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040-4CAE-8C80-5C6D9955CD9D}"/>
                </c:ext>
              </c:extLst>
            </c:dLbl>
            <c:dLbl>
              <c:idx val="1"/>
              <c:layout>
                <c:manualLayout>
                  <c:x val="-4.281095504392117E-2"/>
                  <c:y val="-1.305087213837720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040-4CAE-8C80-5C6D9955CD9D}"/>
                </c:ext>
              </c:extLst>
            </c:dLbl>
            <c:dLbl>
              <c:idx val="2"/>
              <c:layout>
                <c:manualLayout>
                  <c:x val="0.13181513830961153"/>
                  <c:y val="8.766661379403592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040-4CAE-8C80-5C6D9955CD9D}"/>
                </c:ext>
              </c:extLst>
            </c:dLbl>
            <c:dLbl>
              <c:idx val="3"/>
              <c:layout>
                <c:manualLayout>
                  <c:x val="4.7940951441193813E-2"/>
                  <c:y val="0.1057945586262130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040-4CAE-8C80-5C6D9955CD9D}"/>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Millions'!$A$515,'Summary - Millions'!$A$527,'Summary - Millions'!$A$532,'Summary - Millions'!$A$536)</c:f>
              <c:strCache>
                <c:ptCount val="4"/>
                <c:pt idx="0">
                  <c:v>Total General Academic Institutions</c:v>
                </c:pt>
                <c:pt idx="1">
                  <c:v>Total Health-Related Institutions</c:v>
                </c:pt>
                <c:pt idx="2">
                  <c:v>Total Technical Colleges</c:v>
                </c:pt>
                <c:pt idx="3">
                  <c:v>Total State Colleges</c:v>
                </c:pt>
              </c:strCache>
            </c:strRef>
          </c:cat>
          <c:val>
            <c:numRef>
              <c:f>('Summary - Millions'!$P$515,'Summary - Millions'!$P$527,'Summary - Millions'!$P$532,'Summary - Millions'!$P$536)</c:f>
              <c:numCache>
                <c:formatCode>_(* #,##0_);_(* \(#,##0\);_(* "-"_);_(@_)</c:formatCode>
                <c:ptCount val="4"/>
                <c:pt idx="0">
                  <c:v>282.11807399999987</c:v>
                </c:pt>
                <c:pt idx="1">
                  <c:v>42.480485999999999</c:v>
                </c:pt>
                <c:pt idx="2">
                  <c:v>5.287077</c:v>
                </c:pt>
                <c:pt idx="3">
                  <c:v>8.8476739999999996</c:v>
                </c:pt>
              </c:numCache>
            </c:numRef>
          </c:val>
          <c:extLst>
            <c:ext xmlns:c16="http://schemas.microsoft.com/office/drawing/2014/chart" uri="{C3380CC4-5D6E-409C-BE32-E72D297353CC}">
              <c16:uniqueId val="{00000000-561C-4BE3-9F30-48DE4CB3ED9B}"/>
            </c:ext>
          </c:extLst>
        </c:ser>
        <c:dLbls>
          <c:showLegendKey val="0"/>
          <c:showVal val="0"/>
          <c:showCatName val="0"/>
          <c:showSerName val="0"/>
          <c:showPercent val="0"/>
          <c:showBubbleSize val="0"/>
          <c:showLeaderLines val="1"/>
        </c:dLbls>
        <c:firstSliceAng val="90"/>
      </c:pieChart>
    </c:plotArea>
    <c:plotVisOnly val="1"/>
    <c:dispBlanksAs val="gap"/>
    <c:showDLblsOverMax val="0"/>
  </c:chart>
  <c:spPr>
    <a:ln>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for</a:t>
            </a:r>
            <a:r>
              <a:rPr lang="en-US" sz="1200" baseline="0">
                <a:latin typeface="Tahoma" pitchFamily="34" charset="0"/>
                <a:ea typeface="Tahoma" pitchFamily="34" charset="0"/>
                <a:cs typeface="Tahoma" pitchFamily="34" charset="0"/>
              </a:rPr>
              <a:t> Tuition Revenue Bonds </a:t>
            </a:r>
            <a:r>
              <a:rPr lang="en-US" sz="1200">
                <a:latin typeface="Tahoma" pitchFamily="34" charset="0"/>
                <a:ea typeface="Tahoma" pitchFamily="34" charset="0"/>
                <a:cs typeface="Tahoma" pitchFamily="34" charset="0"/>
              </a:rPr>
              <a:t>- All Funds</a:t>
            </a:r>
          </a:p>
        </c:rich>
      </c:tx>
      <c:overlay val="0"/>
    </c:title>
    <c:autoTitleDeleted val="0"/>
    <c:plotArea>
      <c:layout>
        <c:manualLayout>
          <c:layoutTarget val="inner"/>
          <c:xMode val="edge"/>
          <c:yMode val="edge"/>
          <c:x val="0.24612643237121351"/>
          <c:y val="0.21835552372532521"/>
          <c:w val="0.58717825517523503"/>
          <c:h val="0.75407509107241688"/>
        </c:manualLayout>
      </c:layout>
      <c:pieChart>
        <c:varyColors val="1"/>
        <c:ser>
          <c:idx val="0"/>
          <c:order val="0"/>
          <c:dLbls>
            <c:dLbl>
              <c:idx val="0"/>
              <c:layout>
                <c:manualLayout>
                  <c:x val="0.12829653245513387"/>
                  <c:y val="-0.1755009547992789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AB9-4C3D-BE0A-89C14216AC54}"/>
                </c:ext>
              </c:extLst>
            </c:dLbl>
            <c:dLbl>
              <c:idx val="1"/>
              <c:layout>
                <c:manualLayout>
                  <c:x val="-6.4172949662513433E-3"/>
                  <c:y val="2.8905522982667665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AB9-4C3D-BE0A-89C14216AC54}"/>
                </c:ext>
              </c:extLst>
            </c:dLbl>
            <c:dLbl>
              <c:idx val="3"/>
              <c:layout>
                <c:manualLayout>
                  <c:x val="2.9583781364275006E-2"/>
                  <c:y val="-0.1113195216252188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889-4F39-8615-82DE860937C7}"/>
                </c:ext>
              </c:extLst>
            </c:dLbl>
            <c:dLbl>
              <c:idx val="4"/>
              <c:layout>
                <c:manualLayout>
                  <c:x val="2.5596275853524555E-2"/>
                  <c:y val="8.322446404342802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889-4F39-8615-82DE860937C7}"/>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Millions'!$A$600,'Summary - Millions'!$A$607,'Summary - Millions'!$A$619,'Summary - Millions'!$A$625,'Summary - Millions'!$A$629)</c:f>
              <c:strCache>
                <c:ptCount val="5"/>
                <c:pt idx="0">
                  <c:v>General Academic Institutions</c:v>
                </c:pt>
                <c:pt idx="1">
                  <c:v>University System Offices</c:v>
                </c:pt>
                <c:pt idx="2">
                  <c:v>Health-Related Institutions</c:v>
                </c:pt>
                <c:pt idx="3">
                  <c:v>Technical Colleges</c:v>
                </c:pt>
                <c:pt idx="4">
                  <c:v>State Colleges</c:v>
                </c:pt>
              </c:strCache>
            </c:strRef>
          </c:cat>
          <c:val>
            <c:numRef>
              <c:f>('Summary - Millions'!$G$600,'Summary - Millions'!$G$607,'Summary - Millions'!$G$619,'Summary - Millions'!$G$625,'Summary - Millions'!$G$629)</c:f>
              <c:numCache>
                <c:formatCode>_(* #,##0_);_(* \(#,##0\);_(* "-"_);_(@_)</c:formatCode>
                <c:ptCount val="5"/>
                <c:pt idx="0">
                  <c:v>663.27971999999988</c:v>
                </c:pt>
                <c:pt idx="1">
                  <c:v>18.148166</c:v>
                </c:pt>
                <c:pt idx="2">
                  <c:v>312.16328399999998</c:v>
                </c:pt>
                <c:pt idx="3">
                  <c:v>4.133375</c:v>
                </c:pt>
                <c:pt idx="4">
                  <c:v>7.0086760000000004</c:v>
                </c:pt>
              </c:numCache>
            </c:numRef>
          </c:val>
          <c:extLst>
            <c:ext xmlns:c16="http://schemas.microsoft.com/office/drawing/2014/chart" uri="{C3380CC4-5D6E-409C-BE32-E72D297353CC}">
              <c16:uniqueId val="{00000002-1AB9-4C3D-BE0A-89C14216AC54}"/>
            </c:ext>
          </c:extLst>
        </c:ser>
        <c:dLbls>
          <c:showLegendKey val="0"/>
          <c:showVal val="0"/>
          <c:showCatName val="0"/>
          <c:showSerName val="0"/>
          <c:showPercent val="0"/>
          <c:showBubbleSize val="0"/>
          <c:showLeaderLines val="1"/>
        </c:dLbls>
        <c:firstSliceAng val="80"/>
      </c:pieChart>
    </c:plotArea>
    <c:plotVisOnly val="1"/>
    <c:dispBlanksAs val="gap"/>
    <c:showDLblsOverMax val="0"/>
  </c:chart>
  <c:spPr>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a:t>
            </a:r>
            <a:r>
              <a:rPr lang="en-US" sz="1200" baseline="0">
                <a:latin typeface="Tahoma" pitchFamily="34" charset="0"/>
                <a:ea typeface="Tahoma" pitchFamily="34" charset="0"/>
                <a:cs typeface="Tahoma" pitchFamily="34" charset="0"/>
              </a:rPr>
              <a:t> for </a:t>
            </a:r>
            <a:r>
              <a:rPr lang="en-US" sz="1200" b="1" i="0" u="none" strike="noStrike" baseline="0">
                <a:effectLst/>
              </a:rPr>
              <a:t>Tuition Revenue Bonds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342085844560817"/>
          <c:y val="0.21885758283717655"/>
          <c:w val="0.58062486428189286"/>
          <c:h val="0.74731637909297211"/>
        </c:manualLayout>
      </c:layout>
      <c:pieChart>
        <c:varyColors val="1"/>
        <c:ser>
          <c:idx val="0"/>
          <c:order val="0"/>
          <c:dLbls>
            <c:dLbl>
              <c:idx val="0"/>
              <c:layout>
                <c:manualLayout>
                  <c:x val="0.15365713219072333"/>
                  <c:y val="-0.1913762910901059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7A3-422C-9546-1FB4F98FD841}"/>
                </c:ext>
              </c:extLst>
            </c:dLbl>
            <c:dLbl>
              <c:idx val="1"/>
              <c:layout>
                <c:manualLayout>
                  <c:x val="-4.9094951226975415E-2"/>
                  <c:y val="1.21138172607972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C06-4A21-B5ED-DC10E7BB6EAA}"/>
                </c:ext>
              </c:extLst>
            </c:dLbl>
            <c:dLbl>
              <c:idx val="3"/>
              <c:layout>
                <c:manualLayout>
                  <c:x val="7.1240676767199959E-2"/>
                  <c:y val="-0.1328221199596312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C06-4A21-B5ED-DC10E7BB6EAA}"/>
                </c:ext>
              </c:extLst>
            </c:dLbl>
            <c:dLbl>
              <c:idx val="4"/>
              <c:layout>
                <c:manualLayout>
                  <c:x val="3.9012549028816686E-2"/>
                  <c:y val="0.1529040545086567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C06-4A21-B5ED-DC10E7BB6EAA}"/>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Millions'!$A$600,'Summary - Millions'!$A$607,'Summary - Millions'!$A$619,'Summary - Millions'!$A$625,'Summary - Millions'!$A$629)</c:f>
              <c:strCache>
                <c:ptCount val="5"/>
                <c:pt idx="0">
                  <c:v>General Academic Institutions</c:v>
                </c:pt>
                <c:pt idx="1">
                  <c:v>University System Offices</c:v>
                </c:pt>
                <c:pt idx="2">
                  <c:v>Health-Related Institutions</c:v>
                </c:pt>
                <c:pt idx="3">
                  <c:v>Technical Colleges</c:v>
                </c:pt>
                <c:pt idx="4">
                  <c:v>State Colleges</c:v>
                </c:pt>
              </c:strCache>
            </c:strRef>
          </c:cat>
          <c:val>
            <c:numRef>
              <c:f>('Summary - Millions'!$P$600,'Summary - Millions'!$P$607,'Summary - Millions'!$P$619,'Summary - Millions'!$P$625,'Summary - Millions'!$P$629)</c:f>
              <c:numCache>
                <c:formatCode>_(* #,##0_);_(* \(#,##0\);_(* "-"_);_(@_)</c:formatCode>
                <c:ptCount val="5"/>
                <c:pt idx="0">
                  <c:v>663.27971999999988</c:v>
                </c:pt>
                <c:pt idx="1">
                  <c:v>18.148166</c:v>
                </c:pt>
                <c:pt idx="2">
                  <c:v>312.16328399999998</c:v>
                </c:pt>
                <c:pt idx="3">
                  <c:v>4.133375</c:v>
                </c:pt>
                <c:pt idx="4">
                  <c:v>7.0086760000000004</c:v>
                </c:pt>
              </c:numCache>
            </c:numRef>
          </c:val>
          <c:extLst>
            <c:ext xmlns:c16="http://schemas.microsoft.com/office/drawing/2014/chart" uri="{C3380CC4-5D6E-409C-BE32-E72D297353CC}">
              <c16:uniqueId val="{00000001-A7A3-422C-9546-1FB4F98FD841}"/>
            </c:ext>
          </c:extLst>
        </c:ser>
        <c:dLbls>
          <c:showLegendKey val="0"/>
          <c:showVal val="0"/>
          <c:showCatName val="0"/>
          <c:showSerName val="0"/>
          <c:showPercent val="0"/>
          <c:showBubbleSize val="0"/>
          <c:showLeaderLines val="1"/>
        </c:dLbls>
        <c:firstSliceAng val="75"/>
      </c:pieChart>
    </c:plotArea>
    <c:plotVisOnly val="1"/>
    <c:dispBlanksAs val="gap"/>
    <c:showDLblsOverMax val="0"/>
  </c:chart>
  <c:spPr>
    <a:ln>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Tobacco Settlement Earnings Appropriations - All Funds</a:t>
            </a:r>
          </a:p>
        </c:rich>
      </c:tx>
      <c:overlay val="0"/>
    </c:title>
    <c:autoTitleDeleted val="0"/>
    <c:plotArea>
      <c:layout>
        <c:manualLayout>
          <c:layoutTarget val="inner"/>
          <c:xMode val="edge"/>
          <c:yMode val="edge"/>
          <c:x val="0.18161770324214108"/>
          <c:y val="0.20605324015026222"/>
          <c:w val="0.58717825517523503"/>
          <c:h val="0.75407509107241688"/>
        </c:manualLayout>
      </c:layout>
      <c:pieChart>
        <c:varyColors val="1"/>
        <c:ser>
          <c:idx val="0"/>
          <c:order val="0"/>
          <c:dLbls>
            <c:dLbl>
              <c:idx val="0"/>
              <c:layout>
                <c:manualLayout>
                  <c:x val="2.5233391881667285E-2"/>
                  <c:y val="8.639948646845667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59C-4ABC-A893-73303149202E}"/>
                </c:ext>
              </c:extLst>
            </c:dLbl>
            <c:dLbl>
              <c:idx val="1"/>
              <c:layout>
                <c:manualLayout>
                  <c:x val="0.26454747729956474"/>
                  <c:y val="-3.3710194363164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386-4D1D-8EF6-AF01EA3760E0}"/>
                </c:ext>
              </c:extLst>
            </c:dLbl>
            <c:dLbl>
              <c:idx val="2"/>
              <c:layout>
                <c:manualLayout>
                  <c:x val="1.246869809379255E-2"/>
                  <c:y val="-0.1564721312915202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59C-4ABC-A893-73303149202E}"/>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Millions'!$A$655,'Summary - Millions'!$A$668,'Summary - Millions'!$A$671)</c:f>
              <c:strCache>
                <c:ptCount val="3"/>
                <c:pt idx="0">
                  <c:v>General Academic Institutions</c:v>
                </c:pt>
                <c:pt idx="1">
                  <c:v>Health-Related Institutions (Incl. BCM)</c:v>
                </c:pt>
                <c:pt idx="2">
                  <c:v>Texas Higher Education Coordinating Board Trusteed Funds</c:v>
                </c:pt>
              </c:strCache>
            </c:strRef>
          </c:cat>
          <c:val>
            <c:numRef>
              <c:f>('Summary - Millions'!$G$655,'Summary - Millions'!$G$668,'Summary - Millions'!$G$671)</c:f>
              <c:numCache>
                <c:formatCode>_(* #,##0_);_(* \(#,##0\);_(* "-"_);_(@_)</c:formatCode>
                <c:ptCount val="3"/>
                <c:pt idx="0">
                  <c:v>2.512</c:v>
                </c:pt>
                <c:pt idx="1">
                  <c:v>215.51046200000002</c:v>
                </c:pt>
                <c:pt idx="2">
                  <c:v>5.900722</c:v>
                </c:pt>
              </c:numCache>
            </c:numRef>
          </c:val>
          <c:extLst>
            <c:ext xmlns:c16="http://schemas.microsoft.com/office/drawing/2014/chart" uri="{C3380CC4-5D6E-409C-BE32-E72D297353CC}">
              <c16:uniqueId val="{00000002-259C-4ABC-A893-73303149202E}"/>
            </c:ext>
          </c:extLst>
        </c:ser>
        <c:dLbls>
          <c:showLegendKey val="0"/>
          <c:showVal val="0"/>
          <c:showCatName val="0"/>
          <c:showSerName val="0"/>
          <c:showPercent val="0"/>
          <c:showBubbleSize val="0"/>
          <c:showLeaderLines val="1"/>
        </c:dLbls>
        <c:firstSliceAng val="80"/>
      </c:pieChart>
    </c:plotArea>
    <c:plotVisOnly val="1"/>
    <c:dispBlanksAs val="gap"/>
    <c:showDLblsOverMax val="0"/>
  </c:chart>
  <c:spPr>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State Appropriations- General Revenue</a:t>
            </a:r>
          </a:p>
        </c:rich>
      </c:tx>
      <c:overlay val="0"/>
    </c:title>
    <c:autoTitleDeleted val="0"/>
    <c:plotArea>
      <c:layout>
        <c:manualLayout>
          <c:layoutTarget val="inner"/>
          <c:xMode val="edge"/>
          <c:yMode val="edge"/>
          <c:x val="0.11993334166562512"/>
          <c:y val="0.10738012237634381"/>
          <c:w val="0.64620863572617082"/>
          <c:h val="0.81257327863957129"/>
        </c:manualLayout>
      </c:layout>
      <c:barChart>
        <c:barDir val="col"/>
        <c:grouping val="stacked"/>
        <c:varyColors val="0"/>
        <c:ser>
          <c:idx val="2"/>
          <c:order val="0"/>
          <c:tx>
            <c:strRef>
              <c:f>'Biennia History'!$A$30</c:f>
              <c:strCache>
                <c:ptCount val="1"/>
                <c:pt idx="0">
                  <c:v>Agencies of Education</c:v>
                </c:pt>
              </c:strCache>
            </c:strRef>
          </c:tx>
          <c:invertIfNegative val="0"/>
          <c:cat>
            <c:strRef>
              <c:f>'Biennia History'!$G$27:$K$27</c:f>
              <c:strCache>
                <c:ptCount val="5"/>
                <c:pt idx="0">
                  <c:v>2012 - 2013</c:v>
                </c:pt>
                <c:pt idx="1">
                  <c:v>2014 - 2015</c:v>
                </c:pt>
                <c:pt idx="2">
                  <c:v>2016 - 2017</c:v>
                </c:pt>
                <c:pt idx="3">
                  <c:v>2018 - 2019</c:v>
                </c:pt>
                <c:pt idx="4">
                  <c:v>2020 - 2021</c:v>
                </c:pt>
              </c:strCache>
            </c:strRef>
          </c:cat>
          <c:val>
            <c:numRef>
              <c:f>'Biennia History'!$G$30:$K$30</c:f>
              <c:numCache>
                <c:formatCode>_(* #,##0_);_(* \(#,##0\);_(* "-"_);_(@_)</c:formatCode>
                <c:ptCount val="5"/>
                <c:pt idx="0">
                  <c:v>47907553941</c:v>
                </c:pt>
                <c:pt idx="1">
                  <c:v>50760395559</c:v>
                </c:pt>
                <c:pt idx="2">
                  <c:v>55999139575</c:v>
                </c:pt>
                <c:pt idx="3">
                  <c:v>56459796949</c:v>
                </c:pt>
                <c:pt idx="4">
                  <c:v>65714937963.231262</c:v>
                </c:pt>
              </c:numCache>
            </c:numRef>
          </c:val>
          <c:extLst>
            <c:ext xmlns:c16="http://schemas.microsoft.com/office/drawing/2014/chart" uri="{C3380CC4-5D6E-409C-BE32-E72D297353CC}">
              <c16:uniqueId val="{00000000-E1B4-4883-82A4-10BADAD69F2F}"/>
            </c:ext>
          </c:extLst>
        </c:ser>
        <c:ser>
          <c:idx val="1"/>
          <c:order val="1"/>
          <c:tx>
            <c:strRef>
              <c:f>'Biennia History'!$A$29</c:f>
              <c:strCache>
                <c:ptCount val="1"/>
                <c:pt idx="0">
                  <c:v>Health and Human Services</c:v>
                </c:pt>
              </c:strCache>
            </c:strRef>
          </c:tx>
          <c:invertIfNegative val="0"/>
          <c:cat>
            <c:strRef>
              <c:f>'Biennia History'!$G$27:$K$27</c:f>
              <c:strCache>
                <c:ptCount val="5"/>
                <c:pt idx="0">
                  <c:v>2012 - 2013</c:v>
                </c:pt>
                <c:pt idx="1">
                  <c:v>2014 - 2015</c:v>
                </c:pt>
                <c:pt idx="2">
                  <c:v>2016 - 2017</c:v>
                </c:pt>
                <c:pt idx="3">
                  <c:v>2018 - 2019</c:v>
                </c:pt>
                <c:pt idx="4">
                  <c:v>2020 - 2021</c:v>
                </c:pt>
              </c:strCache>
            </c:strRef>
          </c:cat>
          <c:val>
            <c:numRef>
              <c:f>'Biennia History'!$G$29:$K$29</c:f>
              <c:numCache>
                <c:formatCode>_(* #,##0_);_(* \(#,##0\);_(* "-"_);_(@_)</c:formatCode>
                <c:ptCount val="5"/>
                <c:pt idx="0">
                  <c:v>23392615817</c:v>
                </c:pt>
                <c:pt idx="1">
                  <c:v>29652528294</c:v>
                </c:pt>
                <c:pt idx="2">
                  <c:v>32201003386</c:v>
                </c:pt>
                <c:pt idx="3">
                  <c:v>32888403404</c:v>
                </c:pt>
                <c:pt idx="4">
                  <c:v>33643256982</c:v>
                </c:pt>
              </c:numCache>
            </c:numRef>
          </c:val>
          <c:extLst>
            <c:ext xmlns:c16="http://schemas.microsoft.com/office/drawing/2014/chart" uri="{C3380CC4-5D6E-409C-BE32-E72D297353CC}">
              <c16:uniqueId val="{00000001-E1B4-4883-82A4-10BADAD69F2F}"/>
            </c:ext>
          </c:extLst>
        </c:ser>
        <c:ser>
          <c:idx val="3"/>
          <c:order val="2"/>
          <c:tx>
            <c:strRef>
              <c:f>'Biennia History'!$A$31</c:f>
              <c:strCache>
                <c:ptCount val="1"/>
                <c:pt idx="0">
                  <c:v>Public Safety and Criminal Justice</c:v>
                </c:pt>
              </c:strCache>
            </c:strRef>
          </c:tx>
          <c:invertIfNegative val="0"/>
          <c:cat>
            <c:strRef>
              <c:f>'Biennia History'!$G$27:$K$27</c:f>
              <c:strCache>
                <c:ptCount val="5"/>
                <c:pt idx="0">
                  <c:v>2012 - 2013</c:v>
                </c:pt>
                <c:pt idx="1">
                  <c:v>2014 - 2015</c:v>
                </c:pt>
                <c:pt idx="2">
                  <c:v>2016 - 2017</c:v>
                </c:pt>
                <c:pt idx="3">
                  <c:v>2018 - 2019</c:v>
                </c:pt>
                <c:pt idx="4">
                  <c:v>2020 - 2021</c:v>
                </c:pt>
              </c:strCache>
            </c:strRef>
          </c:cat>
          <c:val>
            <c:numRef>
              <c:f>'Biennia History'!$G$31:$K$31</c:f>
              <c:numCache>
                <c:formatCode>_(* #,##0_);_(* \(#,##0\);_(* "-"_);_(@_)</c:formatCode>
                <c:ptCount val="5"/>
                <c:pt idx="0">
                  <c:v>8340954006</c:v>
                </c:pt>
                <c:pt idx="1">
                  <c:v>9110999778</c:v>
                </c:pt>
                <c:pt idx="2">
                  <c:v>11409022796</c:v>
                </c:pt>
                <c:pt idx="3">
                  <c:v>11411358100</c:v>
                </c:pt>
                <c:pt idx="4">
                  <c:v>12072254834</c:v>
                </c:pt>
              </c:numCache>
            </c:numRef>
          </c:val>
          <c:extLst>
            <c:ext xmlns:c16="http://schemas.microsoft.com/office/drawing/2014/chart" uri="{C3380CC4-5D6E-409C-BE32-E72D297353CC}">
              <c16:uniqueId val="{00000002-E1B4-4883-82A4-10BADAD69F2F}"/>
            </c:ext>
          </c:extLst>
        </c:ser>
        <c:ser>
          <c:idx val="4"/>
          <c:order val="3"/>
          <c:tx>
            <c:strRef>
              <c:f>'Biennia History'!$A$38</c:f>
              <c:strCache>
                <c:ptCount val="1"/>
                <c:pt idx="0">
                  <c:v>Other</c:v>
                </c:pt>
              </c:strCache>
            </c:strRef>
          </c:tx>
          <c:invertIfNegative val="0"/>
          <c:cat>
            <c:strRef>
              <c:f>'Biennia History'!$G$27:$K$27</c:f>
              <c:strCache>
                <c:ptCount val="5"/>
                <c:pt idx="0">
                  <c:v>2012 - 2013</c:v>
                </c:pt>
                <c:pt idx="1">
                  <c:v>2014 - 2015</c:v>
                </c:pt>
                <c:pt idx="2">
                  <c:v>2016 - 2017</c:v>
                </c:pt>
                <c:pt idx="3">
                  <c:v>2018 - 2019</c:v>
                </c:pt>
                <c:pt idx="4">
                  <c:v>2020 - 2021</c:v>
                </c:pt>
              </c:strCache>
            </c:strRef>
          </c:cat>
          <c:val>
            <c:numRef>
              <c:f>'Biennia History'!$G$38:$K$38</c:f>
              <c:numCache>
                <c:formatCode>_(* #,##0_);_(* \(#,##0\);_(* "-"_);_(@_)</c:formatCode>
                <c:ptCount val="5"/>
                <c:pt idx="0">
                  <c:v>5010082763</c:v>
                </c:pt>
                <c:pt idx="1">
                  <c:v>2922236432</c:v>
                </c:pt>
                <c:pt idx="2">
                  <c:v>3477047347</c:v>
                </c:pt>
                <c:pt idx="3">
                  <c:v>2629921051</c:v>
                </c:pt>
                <c:pt idx="4">
                  <c:v>2854513445</c:v>
                </c:pt>
              </c:numCache>
            </c:numRef>
          </c:val>
          <c:extLst>
            <c:ext xmlns:c16="http://schemas.microsoft.com/office/drawing/2014/chart" uri="{C3380CC4-5D6E-409C-BE32-E72D297353CC}">
              <c16:uniqueId val="{00000003-E1B4-4883-82A4-10BADAD69F2F}"/>
            </c:ext>
          </c:extLst>
        </c:ser>
        <c:ser>
          <c:idx val="0"/>
          <c:order val="4"/>
          <c:tx>
            <c:strRef>
              <c:f>'Biennia History'!$A$28</c:f>
              <c:strCache>
                <c:ptCount val="1"/>
                <c:pt idx="0">
                  <c:v>General Government</c:v>
                </c:pt>
              </c:strCache>
            </c:strRef>
          </c:tx>
          <c:invertIfNegative val="0"/>
          <c:cat>
            <c:strRef>
              <c:f>'Biennia History'!$G$27:$K$27</c:f>
              <c:strCache>
                <c:ptCount val="5"/>
                <c:pt idx="0">
                  <c:v>2012 - 2013</c:v>
                </c:pt>
                <c:pt idx="1">
                  <c:v>2014 - 2015</c:v>
                </c:pt>
                <c:pt idx="2">
                  <c:v>2016 - 2017</c:v>
                </c:pt>
                <c:pt idx="3">
                  <c:v>2018 - 2019</c:v>
                </c:pt>
                <c:pt idx="4">
                  <c:v>2020 - 2021</c:v>
                </c:pt>
              </c:strCache>
            </c:strRef>
          </c:cat>
          <c:val>
            <c:numRef>
              <c:f>'Biennia History'!$G$28:$K$28</c:f>
              <c:numCache>
                <c:formatCode>_("$"* #,##0_);_("$"* \(#,##0\);_("$"* "-"??_);_(@_)</c:formatCode>
                <c:ptCount val="5"/>
                <c:pt idx="0">
                  <c:v>2092669626</c:v>
                </c:pt>
                <c:pt idx="1">
                  <c:v>2530802062</c:v>
                </c:pt>
                <c:pt idx="2">
                  <c:v>2918841469</c:v>
                </c:pt>
                <c:pt idx="3">
                  <c:v>3273756822</c:v>
                </c:pt>
                <c:pt idx="4">
                  <c:v>4028634745</c:v>
                </c:pt>
              </c:numCache>
            </c:numRef>
          </c:val>
          <c:extLst>
            <c:ext xmlns:c16="http://schemas.microsoft.com/office/drawing/2014/chart" uri="{C3380CC4-5D6E-409C-BE32-E72D297353CC}">
              <c16:uniqueId val="{00000004-E1B4-4883-82A4-10BADAD69F2F}"/>
            </c:ext>
          </c:extLst>
        </c:ser>
        <c:dLbls>
          <c:showLegendKey val="0"/>
          <c:showVal val="0"/>
          <c:showCatName val="0"/>
          <c:showSerName val="0"/>
          <c:showPercent val="0"/>
          <c:showBubbleSize val="0"/>
        </c:dLbls>
        <c:gapWidth val="150"/>
        <c:overlap val="100"/>
        <c:axId val="-619933744"/>
        <c:axId val="-619952240"/>
      </c:barChart>
      <c:catAx>
        <c:axId val="-619933744"/>
        <c:scaling>
          <c:orientation val="minMax"/>
        </c:scaling>
        <c:delete val="0"/>
        <c:axPos val="b"/>
        <c:numFmt formatCode="General" sourceLinked="1"/>
        <c:majorTickMark val="out"/>
        <c:minorTickMark val="none"/>
        <c:tickLblPos val="nextTo"/>
        <c:crossAx val="-619952240"/>
        <c:crosses val="autoZero"/>
        <c:auto val="1"/>
        <c:lblAlgn val="ctr"/>
        <c:lblOffset val="100"/>
        <c:noMultiLvlLbl val="0"/>
      </c:catAx>
      <c:valAx>
        <c:axId val="-619952240"/>
        <c:scaling>
          <c:orientation val="minMax"/>
        </c:scaling>
        <c:delete val="0"/>
        <c:axPos val="l"/>
        <c:majorGridlines/>
        <c:numFmt formatCode="_(* #,##0_);_(* \(#,##0\);_(* &quot;-&quot;_);_(@_)" sourceLinked="1"/>
        <c:majorTickMark val="out"/>
        <c:minorTickMark val="none"/>
        <c:tickLblPos val="nextTo"/>
        <c:crossAx val="-619933744"/>
        <c:crosses val="autoZero"/>
        <c:crossBetween val="between"/>
        <c:dispUnits>
          <c:builtInUnit val="billions"/>
          <c:dispUnitsLbl>
            <c:layout>
              <c:manualLayout>
                <c:xMode val="edge"/>
                <c:yMode val="edge"/>
                <c:x val="5.2382341096251768E-4"/>
                <c:y val="0.42306038370590671"/>
              </c:manualLayout>
            </c:layout>
          </c:dispUnitsLbl>
        </c:dispUnits>
      </c:valAx>
    </c:plotArea>
    <c:legend>
      <c:legendPos val="r"/>
      <c:layout>
        <c:manualLayout>
          <c:xMode val="edge"/>
          <c:yMode val="edge"/>
          <c:x val="0.78257495590828929"/>
          <c:y val="0.17524422450289689"/>
          <c:w val="0.1986125808348031"/>
          <c:h val="0.66802532036436624"/>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Education Appropriations -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16533857622741019"/>
          <c:y val="0.14533458547039418"/>
          <c:w val="0.64522281008760685"/>
          <c:h val="0.82900848403123939"/>
        </c:manualLayout>
      </c:layout>
      <c:pieChart>
        <c:varyColors val="1"/>
        <c:ser>
          <c:idx val="0"/>
          <c:order val="0"/>
          <c:dLbls>
            <c:dLbl>
              <c:idx val="1"/>
              <c:layout>
                <c:manualLayout>
                  <c:x val="4.1662573183798318E-2"/>
                  <c:y val="1.31771572031756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639-4D01-A2BD-8FD678CC7673}"/>
                </c:ext>
              </c:extLst>
            </c:dLbl>
            <c:dLbl>
              <c:idx val="3"/>
              <c:layout>
                <c:manualLayout>
                  <c:x val="-0.10197252786894305"/>
                  <c:y val="-0.15515527950310559"/>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639-4D01-A2BD-8FD678CC7673}"/>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Dollars'!$A$67:$A$68,'Summary - Dollars'!$A$73:$A$74)</c:f>
              <c:strCache>
                <c:ptCount val="3"/>
                <c:pt idx="0">
                  <c:v>Public Education</c:v>
                </c:pt>
                <c:pt idx="1">
                  <c:v>Benefits</c:v>
                </c:pt>
                <c:pt idx="2">
                  <c:v>Higher Education</c:v>
                </c:pt>
              </c:strCache>
            </c:strRef>
          </c:cat>
          <c:val>
            <c:numRef>
              <c:f>('Summary - Dollars'!$P$67:$P$68,'Summary - Dollars'!$P$73:$P$74)</c:f>
              <c:numCache>
                <c:formatCode>_(* #,##0_);_(* \(#,##0\);_(* "-"_);_(@_)</c:formatCode>
                <c:ptCount val="3"/>
                <c:pt idx="0" formatCode="_(&quot;$&quot;* #,##0_);_(&quot;$&quot;* \(#,##0\);_(&quot;$&quot;* &quot;-&quot;_);_(@_)">
                  <c:v>44798583156</c:v>
                </c:pt>
                <c:pt idx="1">
                  <c:v>6052122956</c:v>
                </c:pt>
                <c:pt idx="2">
                  <c:v>14864231851.231262</c:v>
                </c:pt>
              </c:numCache>
            </c:numRef>
          </c:val>
          <c:extLst>
            <c:ext xmlns:c16="http://schemas.microsoft.com/office/drawing/2014/chart" uri="{C3380CC4-5D6E-409C-BE32-E72D297353CC}">
              <c16:uniqueId val="{00000000-28B2-4985-9B00-2F2F47B39F95}"/>
            </c:ext>
          </c:extLst>
        </c:ser>
        <c:dLbls>
          <c:showLegendKey val="0"/>
          <c:showVal val="0"/>
          <c:showCatName val="0"/>
          <c:showSerName val="0"/>
          <c:showPercent val="0"/>
          <c:showBubbleSize val="0"/>
          <c:showLeaderLines val="1"/>
        </c:dLbls>
        <c:firstSliceAng val="210"/>
      </c:pieChart>
    </c:plotArea>
    <c:plotVisOnly val="1"/>
    <c:dispBlanksAs val="gap"/>
    <c:showDLblsOverMax val="0"/>
  </c:chart>
  <c:spPr>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Education Appropriations -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16533857622741019"/>
          <c:y val="0.14533458547039418"/>
          <c:w val="0.64522281008760685"/>
          <c:h val="0.82900848403123939"/>
        </c:manualLayout>
      </c:layout>
      <c:pieChart>
        <c:varyColors val="1"/>
        <c:dLbls>
          <c:showLegendKey val="0"/>
          <c:showVal val="0"/>
          <c:showCatName val="0"/>
          <c:showSerName val="0"/>
          <c:showPercent val="0"/>
          <c:showBubbleSize val="0"/>
          <c:showLeaderLines val="0"/>
        </c:dLbls>
        <c:firstSliceAng val="210"/>
      </c:pieChart>
    </c:plotArea>
    <c:plotVisOnly val="1"/>
    <c:dispBlanksAs val="gap"/>
    <c:showDLblsOverMax val="0"/>
  </c:chart>
  <c:spPr>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baseline="0">
                <a:latin typeface="Tahoma" pitchFamily="34" charset="0"/>
                <a:ea typeface="Tahoma" pitchFamily="34" charset="0"/>
                <a:cs typeface="Tahoma" pitchFamily="34" charset="0"/>
              </a:rPr>
              <a:t>Higher Education Appropriations by System - All Funds</a:t>
            </a:r>
            <a:endParaRPr lang="en-US" sz="1200">
              <a:latin typeface="Tahoma" pitchFamily="34" charset="0"/>
              <a:ea typeface="Tahoma" pitchFamily="34" charset="0"/>
              <a:cs typeface="Tahoma" pitchFamily="34" charset="0"/>
            </a:endParaRPr>
          </a:p>
        </c:rich>
      </c:tx>
      <c:layout>
        <c:manualLayout>
          <c:xMode val="edge"/>
          <c:yMode val="edge"/>
          <c:x val="6.0472090988626423E-2"/>
          <c:y val="2.032520325203252E-2"/>
        </c:manualLayout>
      </c:layout>
      <c:overlay val="0"/>
    </c:title>
    <c:autoTitleDeleted val="0"/>
    <c:plotArea>
      <c:layout>
        <c:manualLayout>
          <c:layoutTarget val="inner"/>
          <c:xMode val="edge"/>
          <c:yMode val="edge"/>
          <c:x val="0.15759895013123359"/>
          <c:y val="0.10323956138975192"/>
          <c:w val="0.64620863572617082"/>
          <c:h val="0.81257327863957129"/>
        </c:manualLayout>
      </c:layout>
      <c:barChart>
        <c:barDir val="col"/>
        <c:grouping val="stacked"/>
        <c:varyColors val="0"/>
        <c:ser>
          <c:idx val="4"/>
          <c:order val="0"/>
          <c:tx>
            <c:strRef>
              <c:f>'Biennia History'!$A$278</c:f>
              <c:strCache>
                <c:ptCount val="1"/>
                <c:pt idx="0">
                  <c:v>University of Texas System Administration </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History'!$B$278:$F$278</c:f>
              <c:numCache>
                <c:formatCode>_("$"* #,##0_);_("$"* \(#,##0\);_("$"* "-"??_);_(@_)</c:formatCode>
                <c:ptCount val="5"/>
                <c:pt idx="0">
                  <c:v>2185016957</c:v>
                </c:pt>
                <c:pt idx="1">
                  <c:v>2409183516</c:v>
                </c:pt>
                <c:pt idx="2">
                  <c:v>2666133682</c:v>
                </c:pt>
                <c:pt idx="3">
                  <c:v>2688935936</c:v>
                </c:pt>
                <c:pt idx="4">
                  <c:v>2790726536</c:v>
                </c:pt>
              </c:numCache>
            </c:numRef>
          </c:val>
          <c:extLst>
            <c:ext xmlns:c16="http://schemas.microsoft.com/office/drawing/2014/chart" uri="{C3380CC4-5D6E-409C-BE32-E72D297353CC}">
              <c16:uniqueId val="{00000000-4B08-4253-BE6D-A21977B2AC12}"/>
            </c:ext>
          </c:extLst>
        </c:ser>
        <c:ser>
          <c:idx val="5"/>
          <c:order val="1"/>
          <c:tx>
            <c:strRef>
              <c:f>'Biennia History'!$A$279</c:f>
              <c:strCache>
                <c:ptCount val="1"/>
                <c:pt idx="0">
                  <c:v>Texas A&amp;M University System Administrative and General Offices</c:v>
                </c:pt>
              </c:strCache>
            </c:strRef>
          </c:tx>
          <c:invertIfNegative val="0"/>
          <c:val>
            <c:numRef>
              <c:f>'Biennia History'!$B$279:$F$279</c:f>
              <c:numCache>
                <c:formatCode>_(* #,##0_);_(* \(#,##0\);_(* "-"_);_(@_)</c:formatCode>
                <c:ptCount val="5"/>
                <c:pt idx="0">
                  <c:v>1537315330</c:v>
                </c:pt>
                <c:pt idx="1">
                  <c:v>1687111077</c:v>
                </c:pt>
                <c:pt idx="2">
                  <c:v>1892781073</c:v>
                </c:pt>
                <c:pt idx="3">
                  <c:v>2006042990</c:v>
                </c:pt>
                <c:pt idx="4">
                  <c:v>2130595818</c:v>
                </c:pt>
              </c:numCache>
            </c:numRef>
          </c:val>
          <c:extLst>
            <c:ext xmlns:c16="http://schemas.microsoft.com/office/drawing/2014/chart" uri="{C3380CC4-5D6E-409C-BE32-E72D297353CC}">
              <c16:uniqueId val="{00000001-4B08-4253-BE6D-A21977B2AC12}"/>
            </c:ext>
          </c:extLst>
        </c:ser>
        <c:ser>
          <c:idx val="6"/>
          <c:order val="2"/>
          <c:tx>
            <c:strRef>
              <c:f>'Biennia History'!$A$280</c:f>
              <c:strCache>
                <c:ptCount val="1"/>
                <c:pt idx="0">
                  <c:v>University of Houston System Administration</c:v>
                </c:pt>
              </c:strCache>
            </c:strRef>
          </c:tx>
          <c:invertIfNegative val="0"/>
          <c:val>
            <c:numRef>
              <c:f>'Biennia History'!$B$280:$F$280</c:f>
              <c:numCache>
                <c:formatCode>_(* #,##0_);_(* \(#,##0\);_(* "-"_);_(@_)</c:formatCode>
                <c:ptCount val="5"/>
                <c:pt idx="0">
                  <c:v>669245090</c:v>
                </c:pt>
                <c:pt idx="1">
                  <c:v>728120730</c:v>
                </c:pt>
                <c:pt idx="2">
                  <c:v>787882592</c:v>
                </c:pt>
                <c:pt idx="3">
                  <c:v>842523842</c:v>
                </c:pt>
                <c:pt idx="4">
                  <c:v>911551684</c:v>
                </c:pt>
              </c:numCache>
            </c:numRef>
          </c:val>
          <c:extLst>
            <c:ext xmlns:c16="http://schemas.microsoft.com/office/drawing/2014/chart" uri="{C3380CC4-5D6E-409C-BE32-E72D297353CC}">
              <c16:uniqueId val="{00000002-4B08-4253-BE6D-A21977B2AC12}"/>
            </c:ext>
          </c:extLst>
        </c:ser>
        <c:ser>
          <c:idx val="8"/>
          <c:order val="3"/>
          <c:tx>
            <c:strRef>
              <c:f>'Biennia History'!$A$282</c:f>
              <c:strCache>
                <c:ptCount val="1"/>
                <c:pt idx="0">
                  <c:v>Texas Tech University System Administration</c:v>
                </c:pt>
              </c:strCache>
            </c:strRef>
          </c:tx>
          <c:invertIfNegative val="0"/>
          <c:val>
            <c:numRef>
              <c:f>'Biennia History'!$B$282:$F$282</c:f>
              <c:numCache>
                <c:formatCode>_(* #,##0_);_(* \(#,##0\);_(* "-"_);_(@_)</c:formatCode>
                <c:ptCount val="5"/>
                <c:pt idx="0">
                  <c:v>462091121</c:v>
                </c:pt>
                <c:pt idx="1">
                  <c:v>517121981</c:v>
                </c:pt>
                <c:pt idx="2">
                  <c:v>547982243</c:v>
                </c:pt>
                <c:pt idx="3">
                  <c:v>570525728</c:v>
                </c:pt>
                <c:pt idx="4">
                  <c:v>598091897</c:v>
                </c:pt>
              </c:numCache>
            </c:numRef>
          </c:val>
          <c:extLst>
            <c:ext xmlns:c16="http://schemas.microsoft.com/office/drawing/2014/chart" uri="{C3380CC4-5D6E-409C-BE32-E72D297353CC}">
              <c16:uniqueId val="{00000003-4B08-4253-BE6D-A21977B2AC12}"/>
            </c:ext>
          </c:extLst>
        </c:ser>
        <c:ser>
          <c:idx val="9"/>
          <c:order val="4"/>
          <c:tx>
            <c:strRef>
              <c:f>'Biennia History'!$A$283</c:f>
              <c:strCache>
                <c:ptCount val="1"/>
                <c:pt idx="0">
                  <c:v>Texas State-System Administration</c:v>
                </c:pt>
              </c:strCache>
            </c:strRef>
          </c:tx>
          <c:invertIfNegative val="0"/>
          <c:val>
            <c:numRef>
              <c:f>'Biennia History'!$B$283:$F$283</c:f>
              <c:numCache>
                <c:formatCode>_(* #,##0_);_(* \(#,##0\);_(* "-"_);_(@_)</c:formatCode>
                <c:ptCount val="5"/>
                <c:pt idx="0">
                  <c:v>613877091</c:v>
                </c:pt>
                <c:pt idx="1">
                  <c:v>647311298</c:v>
                </c:pt>
                <c:pt idx="2">
                  <c:v>720791280</c:v>
                </c:pt>
                <c:pt idx="3">
                  <c:v>741884947</c:v>
                </c:pt>
                <c:pt idx="4">
                  <c:v>769429042</c:v>
                </c:pt>
              </c:numCache>
            </c:numRef>
          </c:val>
          <c:extLst>
            <c:ext xmlns:c16="http://schemas.microsoft.com/office/drawing/2014/chart" uri="{C3380CC4-5D6E-409C-BE32-E72D297353CC}">
              <c16:uniqueId val="{00000004-4B08-4253-BE6D-A21977B2AC12}"/>
            </c:ext>
          </c:extLst>
        </c:ser>
        <c:ser>
          <c:idx val="10"/>
          <c:order val="5"/>
          <c:tx>
            <c:strRef>
              <c:f>'Biennia History'!$A$284</c:f>
              <c:strCache>
                <c:ptCount val="1"/>
                <c:pt idx="0">
                  <c:v>Non-System</c:v>
                </c:pt>
              </c:strCache>
            </c:strRef>
          </c:tx>
          <c:invertIfNegative val="0"/>
          <c:val>
            <c:numRef>
              <c:f>'Biennia History'!$B$284:$F$284</c:f>
              <c:numCache>
                <c:formatCode>_(* #,##0_);_(* \(#,##0\);_(* "-"_);_(@_)</c:formatCode>
                <c:ptCount val="5"/>
                <c:pt idx="0">
                  <c:v>480616071</c:v>
                </c:pt>
                <c:pt idx="1">
                  <c:v>501317882</c:v>
                </c:pt>
                <c:pt idx="2">
                  <c:v>509265845</c:v>
                </c:pt>
                <c:pt idx="3">
                  <c:v>530516395</c:v>
                </c:pt>
                <c:pt idx="4">
                  <c:v>535503579</c:v>
                </c:pt>
              </c:numCache>
            </c:numRef>
          </c:val>
          <c:extLst>
            <c:ext xmlns:c16="http://schemas.microsoft.com/office/drawing/2014/chart" uri="{C3380CC4-5D6E-409C-BE32-E72D297353CC}">
              <c16:uniqueId val="{00000005-4B08-4253-BE6D-A21977B2AC12}"/>
            </c:ext>
          </c:extLst>
        </c:ser>
        <c:ser>
          <c:idx val="0"/>
          <c:order val="6"/>
          <c:tx>
            <c:strRef>
              <c:f>'Biennia History'!$A$63</c:f>
              <c:strCache>
                <c:ptCount val="1"/>
                <c:pt idx="0">
                  <c:v>Texas Education Agency</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6-4B08-4253-BE6D-A21977B2AC12}"/>
            </c:ext>
          </c:extLst>
        </c:ser>
        <c:ser>
          <c:idx val="7"/>
          <c:order val="7"/>
          <c:tx>
            <c:strRef>
              <c:f>'Biennia History'!$A$281</c:f>
              <c:strCache>
                <c:ptCount val="1"/>
                <c:pt idx="0">
                  <c:v>University of North Texas System Administration</c:v>
                </c:pt>
              </c:strCache>
            </c:strRef>
          </c:tx>
          <c:invertIfNegative val="0"/>
          <c:val>
            <c:numRef>
              <c:f>'Biennia History'!$B$281:$F$281</c:f>
              <c:numCache>
                <c:formatCode>_(* #,##0_);_(* \(#,##0\);_(* "-"_);_(@_)</c:formatCode>
                <c:ptCount val="5"/>
                <c:pt idx="0">
                  <c:v>369634220</c:v>
                </c:pt>
                <c:pt idx="1">
                  <c:v>394975363</c:v>
                </c:pt>
                <c:pt idx="2">
                  <c:v>405461461</c:v>
                </c:pt>
                <c:pt idx="3">
                  <c:v>442580559</c:v>
                </c:pt>
                <c:pt idx="4">
                  <c:v>465699340</c:v>
                </c:pt>
              </c:numCache>
            </c:numRef>
          </c:val>
          <c:extLst>
            <c:ext xmlns:c16="http://schemas.microsoft.com/office/drawing/2014/chart" uri="{C3380CC4-5D6E-409C-BE32-E72D297353CC}">
              <c16:uniqueId val="{00000007-4B08-4253-BE6D-A21977B2AC12}"/>
            </c:ext>
          </c:extLst>
        </c:ser>
        <c:ser>
          <c:idx val="1"/>
          <c:order val="8"/>
          <c:tx>
            <c:strRef>
              <c:f>'Biennia History'!$A$64</c:f>
              <c:strCache>
                <c:ptCount val="1"/>
                <c:pt idx="0">
                  <c:v>State Board for Educator Certification</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8-4B08-4253-BE6D-A21977B2AC12}"/>
            </c:ext>
          </c:extLst>
        </c:ser>
        <c:ser>
          <c:idx val="2"/>
          <c:order val="9"/>
          <c:tx>
            <c:strRef>
              <c:f>'Biennia History'!$A$65</c:f>
              <c:strCache>
                <c:ptCount val="1"/>
                <c:pt idx="0">
                  <c:v>Texas State School for the Blind and Visually Impaired</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9-4B08-4253-BE6D-A21977B2AC12}"/>
            </c:ext>
          </c:extLst>
        </c:ser>
        <c:ser>
          <c:idx val="3"/>
          <c:order val="10"/>
          <c:tx>
            <c:strRef>
              <c:f>'Biennia History'!$A$66</c:f>
              <c:strCache>
                <c:ptCount val="1"/>
                <c:pt idx="0">
                  <c:v>Texas State School for the Deaf</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A-4B08-4253-BE6D-A21977B2AC12}"/>
            </c:ext>
          </c:extLst>
        </c:ser>
        <c:dLbls>
          <c:showLegendKey val="0"/>
          <c:showVal val="0"/>
          <c:showCatName val="0"/>
          <c:showSerName val="0"/>
          <c:showPercent val="0"/>
          <c:showBubbleSize val="0"/>
        </c:dLbls>
        <c:gapWidth val="154"/>
        <c:overlap val="100"/>
        <c:axId val="-619953328"/>
        <c:axId val="-619946800"/>
      </c:barChart>
      <c:catAx>
        <c:axId val="-619953328"/>
        <c:scaling>
          <c:orientation val="minMax"/>
        </c:scaling>
        <c:delete val="0"/>
        <c:axPos val="b"/>
        <c:numFmt formatCode="General" sourceLinked="1"/>
        <c:majorTickMark val="out"/>
        <c:minorTickMark val="none"/>
        <c:tickLblPos val="nextTo"/>
        <c:crossAx val="-619946800"/>
        <c:crosses val="autoZero"/>
        <c:auto val="1"/>
        <c:lblAlgn val="ctr"/>
        <c:lblOffset val="100"/>
        <c:noMultiLvlLbl val="0"/>
      </c:catAx>
      <c:valAx>
        <c:axId val="-619946800"/>
        <c:scaling>
          <c:orientation val="minMax"/>
        </c:scaling>
        <c:delete val="0"/>
        <c:axPos val="l"/>
        <c:majorGridlines/>
        <c:numFmt formatCode="_(&quot;$&quot;* #,##0_);_(&quot;$&quot;* \(#,##0\);_(&quot;$&quot;* &quot;-&quot;??_);_(@_)" sourceLinked="1"/>
        <c:majorTickMark val="out"/>
        <c:minorTickMark val="none"/>
        <c:tickLblPos val="nextTo"/>
        <c:crossAx val="-619953328"/>
        <c:crosses val="autoZero"/>
        <c:crossBetween val="between"/>
        <c:dispUnits>
          <c:builtInUnit val="billions"/>
          <c:dispUnitsLbl>
            <c:layout>
              <c:manualLayout>
                <c:xMode val="edge"/>
                <c:yMode val="edge"/>
                <c:x val="5.6140697954449807E-2"/>
                <c:y val="0.42306048192574058"/>
              </c:manualLayout>
            </c:layout>
          </c:dispUnitsLbl>
        </c:dispUnits>
      </c:valAx>
    </c:plotArea>
    <c:legend>
      <c:legendPos val="r"/>
      <c:layout>
        <c:manualLayout>
          <c:xMode val="edge"/>
          <c:yMode val="edge"/>
          <c:x val="0.82"/>
          <c:y val="3.7814480507009793E-2"/>
          <c:w val="0.17777777777777778"/>
          <c:h val="0.94837046283848647"/>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by</a:t>
            </a:r>
            <a:r>
              <a:rPr lang="en-US" sz="1200" baseline="0">
                <a:latin typeface="Tahoma" pitchFamily="34" charset="0"/>
                <a:ea typeface="Tahoma" pitchFamily="34" charset="0"/>
                <a:cs typeface="Tahoma" pitchFamily="34" charset="0"/>
              </a:rPr>
              <a:t> System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342085844560817"/>
          <c:y val="0.16984226329846083"/>
          <c:w val="0.58062486428189286"/>
          <c:h val="0.74731637909297211"/>
        </c:manualLayout>
      </c:layout>
      <c:pieChart>
        <c:varyColors val="1"/>
        <c:dLbls>
          <c:showLegendKey val="0"/>
          <c:showVal val="0"/>
          <c:showCatName val="0"/>
          <c:showSerName val="0"/>
          <c:showPercent val="0"/>
          <c:showBubbleSize val="0"/>
          <c:showLeaderLines val="0"/>
        </c:dLbls>
        <c:firstSliceAng val="140"/>
      </c:pieChart>
    </c:plotArea>
    <c:plotVisOnly val="1"/>
    <c:dispBlanksAs val="gap"/>
    <c:showDLblsOverMax val="0"/>
  </c:chart>
  <c:spPr>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b="1" i="0" baseline="0">
                <a:effectLst/>
              </a:rPr>
              <a:t>Higher Education Appropriations for Research and Emerging Research Institutions - All Funds</a:t>
            </a:r>
            <a:endParaRPr lang="en-US" sz="1200">
              <a:effectLst/>
            </a:endParaRPr>
          </a:p>
        </c:rich>
      </c:tx>
      <c:layout>
        <c:manualLayout>
          <c:xMode val="edge"/>
          <c:yMode val="edge"/>
          <c:x val="0.11472863505663343"/>
          <c:y val="0"/>
        </c:manualLayout>
      </c:layout>
      <c:overlay val="0"/>
    </c:title>
    <c:autoTitleDeleted val="0"/>
    <c:plotArea>
      <c:layout>
        <c:manualLayout>
          <c:layoutTarget val="inner"/>
          <c:xMode val="edge"/>
          <c:yMode val="edge"/>
          <c:x val="0.16857404972375237"/>
          <c:y val="0.13420914406506487"/>
          <c:w val="0.64412258216590967"/>
          <c:h val="0.78403082696241932"/>
        </c:manualLayout>
      </c:layout>
      <c:barChart>
        <c:barDir val="col"/>
        <c:grouping val="stacked"/>
        <c:varyColors val="0"/>
        <c:ser>
          <c:idx val="4"/>
          <c:order val="0"/>
          <c:tx>
            <c:strRef>
              <c:f>'Biennia History'!$A$319</c:f>
              <c:strCache>
                <c:ptCount val="1"/>
                <c:pt idx="0">
                  <c:v>Research and Emerging Research</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History'!$B$319:$F$319</c:f>
              <c:numCache>
                <c:formatCode>_(* #,##0_);_(* \(#,##0\);_(* "-"_);_(@_)</c:formatCode>
                <c:ptCount val="5"/>
                <c:pt idx="0">
                  <c:v>3911251905</c:v>
                </c:pt>
                <c:pt idx="1">
                  <c:v>4320642277</c:v>
                </c:pt>
                <c:pt idx="2">
                  <c:v>4658519955</c:v>
                </c:pt>
                <c:pt idx="3">
                  <c:v>4811123587</c:v>
                </c:pt>
                <c:pt idx="4">
                  <c:v>5176206698</c:v>
                </c:pt>
              </c:numCache>
            </c:numRef>
          </c:val>
          <c:extLst>
            <c:ext xmlns:c16="http://schemas.microsoft.com/office/drawing/2014/chart" uri="{C3380CC4-5D6E-409C-BE32-E72D297353CC}">
              <c16:uniqueId val="{00000000-6EA0-4699-AB63-1FE2B6FFFCD7}"/>
            </c:ext>
          </c:extLst>
        </c:ser>
        <c:ser>
          <c:idx val="0"/>
          <c:order val="1"/>
          <c:tx>
            <c:strRef>
              <c:f>'Biennia History'!$A$63</c:f>
              <c:strCache>
                <c:ptCount val="1"/>
                <c:pt idx="0">
                  <c:v>Texas Education Agency</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1-6EA0-4699-AB63-1FE2B6FFFCD7}"/>
            </c:ext>
          </c:extLst>
        </c:ser>
        <c:ser>
          <c:idx val="1"/>
          <c:order val="2"/>
          <c:tx>
            <c:strRef>
              <c:f>'Biennia History'!$A$64</c:f>
              <c:strCache>
                <c:ptCount val="1"/>
                <c:pt idx="0">
                  <c:v>State Board for Educator Certification</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2-6EA0-4699-AB63-1FE2B6FFFCD7}"/>
            </c:ext>
          </c:extLst>
        </c:ser>
        <c:ser>
          <c:idx val="2"/>
          <c:order val="3"/>
          <c:tx>
            <c:strRef>
              <c:f>'Biennia History'!$A$65</c:f>
              <c:strCache>
                <c:ptCount val="1"/>
                <c:pt idx="0">
                  <c:v>Texas State School for the Blind and Visually Impaired</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3-6EA0-4699-AB63-1FE2B6FFFCD7}"/>
            </c:ext>
          </c:extLst>
        </c:ser>
        <c:ser>
          <c:idx val="3"/>
          <c:order val="4"/>
          <c:tx>
            <c:strRef>
              <c:f>'Biennia History'!$A$66</c:f>
              <c:strCache>
                <c:ptCount val="1"/>
                <c:pt idx="0">
                  <c:v>Texas State School for the Deaf</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4-6EA0-4699-AB63-1FE2B6FFFCD7}"/>
            </c:ext>
          </c:extLst>
        </c:ser>
        <c:ser>
          <c:idx val="5"/>
          <c:order val="5"/>
          <c:tx>
            <c:strRef>
              <c:f>'Biennia History'!$A$320</c:f>
              <c:strCache>
                <c:ptCount val="1"/>
                <c:pt idx="0">
                  <c:v>All Other General Academics</c:v>
                </c:pt>
              </c:strCache>
            </c:strRef>
          </c:tx>
          <c:invertIfNegative val="0"/>
          <c:val>
            <c:numRef>
              <c:f>'Biennia History'!$B$320:$F$320</c:f>
              <c:numCache>
                <c:formatCode>_(* #,##0_);_(* \(#,##0\);_(* "-"_);_(@_)</c:formatCode>
                <c:ptCount val="5"/>
                <c:pt idx="0">
                  <c:v>2314143297</c:v>
                </c:pt>
                <c:pt idx="1">
                  <c:v>2508884376</c:v>
                </c:pt>
                <c:pt idx="2">
                  <c:v>2420037335</c:v>
                </c:pt>
                <c:pt idx="3">
                  <c:v>2577324323</c:v>
                </c:pt>
                <c:pt idx="4">
                  <c:v>2609125702</c:v>
                </c:pt>
              </c:numCache>
            </c:numRef>
          </c:val>
          <c:extLst>
            <c:ext xmlns:c16="http://schemas.microsoft.com/office/drawing/2014/chart" uri="{C3380CC4-5D6E-409C-BE32-E72D297353CC}">
              <c16:uniqueId val="{00000005-6EA0-4699-AB63-1FE2B6FFFCD7}"/>
            </c:ext>
          </c:extLst>
        </c:ser>
        <c:dLbls>
          <c:showLegendKey val="0"/>
          <c:showVal val="0"/>
          <c:showCatName val="0"/>
          <c:showSerName val="0"/>
          <c:showPercent val="0"/>
          <c:showBubbleSize val="0"/>
        </c:dLbls>
        <c:gapWidth val="150"/>
        <c:overlap val="100"/>
        <c:axId val="-619954416"/>
        <c:axId val="-619947888"/>
      </c:barChart>
      <c:catAx>
        <c:axId val="-619954416"/>
        <c:scaling>
          <c:orientation val="minMax"/>
        </c:scaling>
        <c:delete val="0"/>
        <c:axPos val="b"/>
        <c:numFmt formatCode="General" sourceLinked="1"/>
        <c:majorTickMark val="out"/>
        <c:minorTickMark val="none"/>
        <c:tickLblPos val="nextTo"/>
        <c:crossAx val="-619947888"/>
        <c:crosses val="autoZero"/>
        <c:auto val="1"/>
        <c:lblAlgn val="ctr"/>
        <c:lblOffset val="100"/>
        <c:noMultiLvlLbl val="0"/>
      </c:catAx>
      <c:valAx>
        <c:axId val="-619947888"/>
        <c:scaling>
          <c:orientation val="minMax"/>
        </c:scaling>
        <c:delete val="0"/>
        <c:axPos val="l"/>
        <c:majorGridlines/>
        <c:numFmt formatCode="_(* #,##0_);_(* \(#,##0\);_(* &quot;-&quot;_);_(@_)" sourceLinked="1"/>
        <c:majorTickMark val="out"/>
        <c:minorTickMark val="none"/>
        <c:tickLblPos val="nextTo"/>
        <c:crossAx val="-619954416"/>
        <c:crosses val="autoZero"/>
        <c:crossBetween val="between"/>
        <c:dispUnits>
          <c:builtInUnit val="billions"/>
          <c:dispUnitsLbl>
            <c:layout>
              <c:manualLayout>
                <c:xMode val="edge"/>
                <c:yMode val="edge"/>
                <c:x val="8.7432560179439817E-2"/>
                <c:y val="0.42306037610332503"/>
              </c:manualLayout>
            </c:layout>
          </c:dispUnitsLbl>
        </c:dispUnits>
      </c:valAx>
    </c:plotArea>
    <c:legend>
      <c:legendPos val="r"/>
      <c:layout>
        <c:manualLayout>
          <c:xMode val="edge"/>
          <c:yMode val="edge"/>
          <c:x val="0.82773120493574481"/>
          <c:y val="0.27236476603023874"/>
          <c:w val="0.16392428507014398"/>
          <c:h val="0.45396375096478736"/>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a:t>
            </a:r>
            <a:r>
              <a:rPr lang="en-US" sz="1200" baseline="0">
                <a:latin typeface="Tahoma" pitchFamily="34" charset="0"/>
                <a:ea typeface="Tahoma" pitchFamily="34" charset="0"/>
                <a:cs typeface="Tahoma" pitchFamily="34" charset="0"/>
              </a:rPr>
              <a:t> for Research and Emerging Research Institutions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342085844560817"/>
          <c:y val="0.21885758283717655"/>
          <c:w val="0.58062486428189286"/>
          <c:h val="0.74731637909297211"/>
        </c:manualLayout>
      </c:layout>
      <c:pieChart>
        <c:varyColors val="1"/>
        <c:dLbls>
          <c:showLegendKey val="0"/>
          <c:showVal val="0"/>
          <c:showCatName val="0"/>
          <c:showSerName val="0"/>
          <c:showPercent val="0"/>
          <c:showBubbleSize val="0"/>
          <c:showLeaderLines val="0"/>
        </c:dLbls>
        <c:firstSliceAng val="140"/>
      </c:pieChart>
    </c:plotArea>
    <c:plotVisOnly val="1"/>
    <c:dispBlanksAs val="gap"/>
    <c:showDLblsOverMax val="0"/>
  </c:chart>
  <c:spPr>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200" b="1" i="0" u="none" strike="noStrike" kern="1200" baseline="0">
                <a:solidFill>
                  <a:sysClr val="windowText" lastClr="000000"/>
                </a:solidFill>
                <a:latin typeface="Tahoma" pitchFamily="34" charset="0"/>
                <a:ea typeface="Tahoma" pitchFamily="34" charset="0"/>
                <a:cs typeface="Tahoma" pitchFamily="34" charset="0"/>
              </a:defRPr>
            </a:pPr>
            <a:r>
              <a:rPr lang="en-US" sz="1200" b="1" i="0" baseline="0">
                <a:effectLst/>
              </a:rPr>
              <a:t>Higher Education Appropriations for South Texas Border Institutions - All Funds</a:t>
            </a:r>
            <a:endParaRPr lang="en-US" sz="1200">
              <a:effectLst/>
            </a:endParaRPr>
          </a:p>
        </c:rich>
      </c:tx>
      <c:layout>
        <c:manualLayout>
          <c:xMode val="edge"/>
          <c:yMode val="edge"/>
          <c:x val="0.11247148328754851"/>
          <c:y val="0"/>
        </c:manualLayout>
      </c:layout>
      <c:overlay val="0"/>
    </c:title>
    <c:autoTitleDeleted val="0"/>
    <c:plotArea>
      <c:layout>
        <c:manualLayout>
          <c:layoutTarget val="inner"/>
          <c:xMode val="edge"/>
          <c:yMode val="edge"/>
          <c:x val="0.15171405712978139"/>
          <c:y val="0.1424906204689782"/>
          <c:w val="0.66098258984989822"/>
          <c:h val="0.77447978530516792"/>
        </c:manualLayout>
      </c:layout>
      <c:barChart>
        <c:barDir val="col"/>
        <c:grouping val="stacked"/>
        <c:varyColors val="0"/>
        <c:ser>
          <c:idx val="5"/>
          <c:order val="0"/>
          <c:tx>
            <c:strRef>
              <c:f>'Biennia History'!$A$357</c:f>
              <c:strCache>
                <c:ptCount val="1"/>
                <c:pt idx="0">
                  <c:v>All Other General Academics</c:v>
                </c:pt>
              </c:strCache>
            </c:strRef>
          </c:tx>
          <c:invertIfNegative val="0"/>
          <c:cat>
            <c:strRef>
              <c:f>'Biennia History'!$B$344:$F$344</c:f>
              <c:strCache>
                <c:ptCount val="5"/>
                <c:pt idx="0">
                  <c:v>2012 - 2013</c:v>
                </c:pt>
                <c:pt idx="1">
                  <c:v>2014 - 2015</c:v>
                </c:pt>
                <c:pt idx="2">
                  <c:v>2016 - 2017</c:v>
                </c:pt>
                <c:pt idx="3">
                  <c:v>2018 - 2019</c:v>
                </c:pt>
                <c:pt idx="4">
                  <c:v>2020 - 2021</c:v>
                </c:pt>
              </c:strCache>
            </c:strRef>
          </c:cat>
          <c:val>
            <c:numRef>
              <c:f>'Biennia History'!$B$357:$F$357</c:f>
              <c:numCache>
                <c:formatCode>_(* #,##0_);_(* \(#,##0\);_(* "-"_);_(@_)</c:formatCode>
                <c:ptCount val="5"/>
                <c:pt idx="0">
                  <c:v>5115760625</c:v>
                </c:pt>
                <c:pt idx="1">
                  <c:v>5634736920</c:v>
                </c:pt>
                <c:pt idx="2">
                  <c:v>6063144982</c:v>
                </c:pt>
                <c:pt idx="3">
                  <c:v>6348307830</c:v>
                </c:pt>
                <c:pt idx="4">
                  <c:v>6684591311</c:v>
                </c:pt>
              </c:numCache>
            </c:numRef>
          </c:val>
          <c:extLst>
            <c:ext xmlns:c16="http://schemas.microsoft.com/office/drawing/2014/chart" uri="{C3380CC4-5D6E-409C-BE32-E72D297353CC}">
              <c16:uniqueId val="{00000000-C1E7-4E96-A6E5-A492981FDD50}"/>
            </c:ext>
          </c:extLst>
        </c:ser>
        <c:ser>
          <c:idx val="4"/>
          <c:order val="1"/>
          <c:tx>
            <c:strRef>
              <c:f>'Biennia History'!$A$356</c:f>
              <c:strCache>
                <c:ptCount val="1"/>
                <c:pt idx="0">
                  <c:v>South Texas Border Institutions</c:v>
                </c:pt>
              </c:strCache>
            </c:strRef>
          </c:tx>
          <c:invertIfNegative val="0"/>
          <c:cat>
            <c:strRef>
              <c:f>'Biennia History'!$B$344:$F$344</c:f>
              <c:strCache>
                <c:ptCount val="5"/>
                <c:pt idx="0">
                  <c:v>2012 - 2013</c:v>
                </c:pt>
                <c:pt idx="1">
                  <c:v>2014 - 2015</c:v>
                </c:pt>
                <c:pt idx="2">
                  <c:v>2016 - 2017</c:v>
                </c:pt>
                <c:pt idx="3">
                  <c:v>2018 - 2019</c:v>
                </c:pt>
                <c:pt idx="4">
                  <c:v>2020 - 2021</c:v>
                </c:pt>
              </c:strCache>
            </c:strRef>
          </c:cat>
          <c:val>
            <c:numRef>
              <c:f>'Biennia History'!$B$356:$F$356</c:f>
              <c:numCache>
                <c:formatCode>_(* #,##0_);_(* \(#,##0\);_(* "-"_);_(@_)</c:formatCode>
                <c:ptCount val="5"/>
                <c:pt idx="0">
                  <c:v>1109634577</c:v>
                </c:pt>
                <c:pt idx="1">
                  <c:v>1194789733</c:v>
                </c:pt>
                <c:pt idx="2">
                  <c:v>1368717444</c:v>
                </c:pt>
                <c:pt idx="3">
                  <c:v>1329021466</c:v>
                </c:pt>
                <c:pt idx="4">
                  <c:v>1390439813</c:v>
                </c:pt>
              </c:numCache>
            </c:numRef>
          </c:val>
          <c:extLst>
            <c:ext xmlns:c16="http://schemas.microsoft.com/office/drawing/2014/chart" uri="{C3380CC4-5D6E-409C-BE32-E72D297353CC}">
              <c16:uniqueId val="{00000001-C1E7-4E96-A6E5-A492981FDD50}"/>
            </c:ext>
          </c:extLst>
        </c:ser>
        <c:ser>
          <c:idx val="0"/>
          <c:order val="2"/>
          <c:tx>
            <c:strRef>
              <c:f>'Biennia History'!$A$63</c:f>
              <c:strCache>
                <c:ptCount val="1"/>
                <c:pt idx="0">
                  <c:v>Texas Education Agency</c:v>
                </c:pt>
              </c:strCache>
            </c:strRef>
          </c:tx>
          <c:invertIfNegative val="0"/>
          <c:cat>
            <c:strRef>
              <c:f>'Biennia History'!$B$344:$F$344</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2-C1E7-4E96-A6E5-A492981FDD50}"/>
            </c:ext>
          </c:extLst>
        </c:ser>
        <c:ser>
          <c:idx val="1"/>
          <c:order val="3"/>
          <c:tx>
            <c:strRef>
              <c:f>'Biennia History'!$A$64</c:f>
              <c:strCache>
                <c:ptCount val="1"/>
                <c:pt idx="0">
                  <c:v>State Board for Educator Certification</c:v>
                </c:pt>
              </c:strCache>
            </c:strRef>
          </c:tx>
          <c:invertIfNegative val="0"/>
          <c:cat>
            <c:strRef>
              <c:f>'Biennia History'!$B$344:$F$344</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3-C1E7-4E96-A6E5-A492981FDD50}"/>
            </c:ext>
          </c:extLst>
        </c:ser>
        <c:ser>
          <c:idx val="2"/>
          <c:order val="4"/>
          <c:tx>
            <c:strRef>
              <c:f>'Biennia History'!$A$65</c:f>
              <c:strCache>
                <c:ptCount val="1"/>
                <c:pt idx="0">
                  <c:v>Texas State School for the Blind and Visually Impaired</c:v>
                </c:pt>
              </c:strCache>
            </c:strRef>
          </c:tx>
          <c:invertIfNegative val="0"/>
          <c:cat>
            <c:strRef>
              <c:f>'Biennia History'!$B$344:$F$344</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4-C1E7-4E96-A6E5-A492981FDD50}"/>
            </c:ext>
          </c:extLst>
        </c:ser>
        <c:ser>
          <c:idx val="3"/>
          <c:order val="5"/>
          <c:tx>
            <c:strRef>
              <c:f>'Biennia History'!$A$66</c:f>
              <c:strCache>
                <c:ptCount val="1"/>
                <c:pt idx="0">
                  <c:v>Texas State School for the Deaf</c:v>
                </c:pt>
              </c:strCache>
            </c:strRef>
          </c:tx>
          <c:invertIfNegative val="0"/>
          <c:cat>
            <c:strRef>
              <c:f>'Biennia History'!$B$344:$F$344</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5-C1E7-4E96-A6E5-A492981FDD50}"/>
            </c:ext>
          </c:extLst>
        </c:ser>
        <c:dLbls>
          <c:showLegendKey val="0"/>
          <c:showVal val="0"/>
          <c:showCatName val="0"/>
          <c:showSerName val="0"/>
          <c:showPercent val="0"/>
          <c:showBubbleSize val="0"/>
        </c:dLbls>
        <c:gapWidth val="150"/>
        <c:overlap val="100"/>
        <c:axId val="-619938640"/>
        <c:axId val="-619940816"/>
      </c:barChart>
      <c:catAx>
        <c:axId val="-619938640"/>
        <c:scaling>
          <c:orientation val="minMax"/>
        </c:scaling>
        <c:delete val="0"/>
        <c:axPos val="b"/>
        <c:numFmt formatCode="General" sourceLinked="1"/>
        <c:majorTickMark val="out"/>
        <c:minorTickMark val="none"/>
        <c:tickLblPos val="nextTo"/>
        <c:crossAx val="-619940816"/>
        <c:crosses val="autoZero"/>
        <c:auto val="1"/>
        <c:lblAlgn val="ctr"/>
        <c:lblOffset val="100"/>
        <c:noMultiLvlLbl val="0"/>
      </c:catAx>
      <c:valAx>
        <c:axId val="-619940816"/>
        <c:scaling>
          <c:orientation val="minMax"/>
        </c:scaling>
        <c:delete val="0"/>
        <c:axPos val="l"/>
        <c:majorGridlines/>
        <c:numFmt formatCode="_(* #,##0_);_(* \(#,##0\);_(* &quot;-&quot;_);_(@_)" sourceLinked="1"/>
        <c:majorTickMark val="out"/>
        <c:minorTickMark val="none"/>
        <c:tickLblPos val="nextTo"/>
        <c:crossAx val="-619938640"/>
        <c:crosses val="autoZero"/>
        <c:crossBetween val="between"/>
        <c:dispUnits>
          <c:builtInUnit val="billions"/>
          <c:dispUnitsLbl>
            <c:layout>
              <c:manualLayout>
                <c:xMode val="edge"/>
                <c:yMode val="edge"/>
                <c:x val="7.8860111128904897E-2"/>
                <c:y val="0.42306045774915385"/>
              </c:manualLayout>
            </c:layout>
          </c:dispUnitsLbl>
        </c:dispUnits>
      </c:valAx>
    </c:plotArea>
    <c:legend>
      <c:legendPos val="r"/>
      <c:layout>
        <c:manualLayout>
          <c:xMode val="edge"/>
          <c:yMode val="edge"/>
          <c:x val="0.82773120493574481"/>
          <c:y val="0.27236476603023874"/>
          <c:w val="0.16392428507014398"/>
          <c:h val="0.45396375096478736"/>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200" b="1" i="0" u="none" strike="noStrike" kern="1200" baseline="0">
                <a:solidFill>
                  <a:sysClr val="windowText" lastClr="000000"/>
                </a:solidFill>
                <a:latin typeface="Tahoma" pitchFamily="34" charset="0"/>
                <a:ea typeface="Tahoma" pitchFamily="34" charset="0"/>
                <a:cs typeface="Tahoma" pitchFamily="34" charset="0"/>
              </a:defRPr>
            </a:pPr>
            <a:r>
              <a:rPr lang="en-US" sz="1200" b="1" i="0" baseline="0">
                <a:effectLst/>
              </a:rPr>
              <a:t>Non-Formula Item Appropriations by Sector - All Funds</a:t>
            </a:r>
            <a:endParaRPr lang="en-US" sz="1200">
              <a:effectLst/>
            </a:endParaRPr>
          </a:p>
        </c:rich>
      </c:tx>
      <c:layout>
        <c:manualLayout>
          <c:xMode val="edge"/>
          <c:yMode val="edge"/>
          <c:x val="0.14317326288161347"/>
          <c:y val="3.343781553647289E-2"/>
        </c:manualLayout>
      </c:layout>
      <c:overlay val="0"/>
    </c:title>
    <c:autoTitleDeleted val="0"/>
    <c:plotArea>
      <c:layout>
        <c:manualLayout>
          <c:layoutTarget val="inner"/>
          <c:xMode val="edge"/>
          <c:yMode val="edge"/>
          <c:x val="0.12759117281392457"/>
          <c:y val="0.14249051169072915"/>
          <c:w val="0.66098258984989822"/>
          <c:h val="0.77447978530516792"/>
        </c:manualLayout>
      </c:layout>
      <c:barChart>
        <c:barDir val="col"/>
        <c:grouping val="stacked"/>
        <c:varyColors val="0"/>
        <c:ser>
          <c:idx val="5"/>
          <c:order val="0"/>
          <c:tx>
            <c:strRef>
              <c:f>'Biennia History'!$A$421</c:f>
              <c:strCache>
                <c:ptCount val="1"/>
                <c:pt idx="0">
                  <c:v>Total General Academic Institutions</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History'!$B$421:$F$421</c:f>
              <c:numCache>
                <c:formatCode>_(* #,##0_);_(* \(#,##0\);_(* "-"_);_(@_)</c:formatCode>
                <c:ptCount val="5"/>
                <c:pt idx="0">
                  <c:v>513289693</c:v>
                </c:pt>
                <c:pt idx="1">
                  <c:v>554048541</c:v>
                </c:pt>
                <c:pt idx="2">
                  <c:v>696717030</c:v>
                </c:pt>
                <c:pt idx="3">
                  <c:v>471040261</c:v>
                </c:pt>
                <c:pt idx="4">
                  <c:v>804607105</c:v>
                </c:pt>
              </c:numCache>
            </c:numRef>
          </c:val>
          <c:extLst>
            <c:ext xmlns:c16="http://schemas.microsoft.com/office/drawing/2014/chart" uri="{C3380CC4-5D6E-409C-BE32-E72D297353CC}">
              <c16:uniqueId val="{00000000-49C7-466C-B586-75345AF42513}"/>
            </c:ext>
          </c:extLst>
        </c:ser>
        <c:ser>
          <c:idx val="6"/>
          <c:order val="1"/>
          <c:tx>
            <c:strRef>
              <c:f>'Biennia History'!$A$437</c:f>
              <c:strCache>
                <c:ptCount val="1"/>
                <c:pt idx="0">
                  <c:v>Total Health-Related Institutions</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History'!$B$437:$F$437</c:f>
              <c:numCache>
                <c:formatCode>_(* #,##0_);_(* \(#,##0\);_(* "-"_);_(@_)</c:formatCode>
                <c:ptCount val="5"/>
                <c:pt idx="0">
                  <c:v>430766980</c:v>
                </c:pt>
                <c:pt idx="1">
                  <c:v>364691772</c:v>
                </c:pt>
                <c:pt idx="2">
                  <c:v>397520484</c:v>
                </c:pt>
                <c:pt idx="3">
                  <c:v>396599604</c:v>
                </c:pt>
                <c:pt idx="4">
                  <c:v>324527064</c:v>
                </c:pt>
              </c:numCache>
            </c:numRef>
          </c:val>
          <c:extLst>
            <c:ext xmlns:c16="http://schemas.microsoft.com/office/drawing/2014/chart" uri="{C3380CC4-5D6E-409C-BE32-E72D297353CC}">
              <c16:uniqueId val="{00000001-49C7-466C-B586-75345AF42513}"/>
            </c:ext>
          </c:extLst>
        </c:ser>
        <c:ser>
          <c:idx val="0"/>
          <c:order val="2"/>
          <c:tx>
            <c:strRef>
              <c:f>'Biennia History'!$A$63</c:f>
              <c:strCache>
                <c:ptCount val="1"/>
                <c:pt idx="0">
                  <c:v>Texas Education Agency</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2-49C7-466C-B586-75345AF42513}"/>
            </c:ext>
          </c:extLst>
        </c:ser>
        <c:ser>
          <c:idx val="4"/>
          <c:order val="3"/>
          <c:tx>
            <c:strRef>
              <c:f>'Biennia History'!$A$425</c:f>
              <c:strCache>
                <c:ptCount val="1"/>
                <c:pt idx="0">
                  <c:v>University System Offices</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History'!$B$425:$F$425</c:f>
              <c:numCache>
                <c:formatCode>_(* #,##0_);_(* \(#,##0\);_(* "-"_);_(@_)</c:formatCode>
                <c:ptCount val="5"/>
                <c:pt idx="0">
                  <c:v>6795320</c:v>
                </c:pt>
                <c:pt idx="1">
                  <c:v>7017320</c:v>
                </c:pt>
                <c:pt idx="2">
                  <c:v>9461887</c:v>
                </c:pt>
                <c:pt idx="3">
                  <c:v>1577069</c:v>
                </c:pt>
                <c:pt idx="4">
                  <c:v>1768525</c:v>
                </c:pt>
              </c:numCache>
            </c:numRef>
          </c:val>
          <c:extLst>
            <c:ext xmlns:c16="http://schemas.microsoft.com/office/drawing/2014/chart" uri="{C3380CC4-5D6E-409C-BE32-E72D297353CC}">
              <c16:uniqueId val="{00000003-49C7-466C-B586-75345AF42513}"/>
            </c:ext>
          </c:extLst>
        </c:ser>
        <c:ser>
          <c:idx val="1"/>
          <c:order val="4"/>
          <c:tx>
            <c:strRef>
              <c:f>'Biennia History'!$A$64</c:f>
              <c:strCache>
                <c:ptCount val="1"/>
                <c:pt idx="0">
                  <c:v>State Board for Educator Certification</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4-49C7-466C-B586-75345AF42513}"/>
            </c:ext>
          </c:extLst>
        </c:ser>
        <c:ser>
          <c:idx val="2"/>
          <c:order val="5"/>
          <c:tx>
            <c:strRef>
              <c:f>'Biennia History'!$A$65</c:f>
              <c:strCache>
                <c:ptCount val="1"/>
                <c:pt idx="0">
                  <c:v>Texas State School for the Blind and Visually Impaired</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5-49C7-466C-B586-75345AF42513}"/>
            </c:ext>
          </c:extLst>
        </c:ser>
        <c:ser>
          <c:idx val="3"/>
          <c:order val="6"/>
          <c:tx>
            <c:strRef>
              <c:f>'Biennia History'!$A$66</c:f>
              <c:strCache>
                <c:ptCount val="1"/>
                <c:pt idx="0">
                  <c:v>Texas State School for the Deaf</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6-49C7-466C-B586-75345AF42513}"/>
            </c:ext>
          </c:extLst>
        </c:ser>
        <c:ser>
          <c:idx val="7"/>
          <c:order val="7"/>
          <c:tx>
            <c:strRef>
              <c:f>'Biennia History'!$A$442</c:f>
              <c:strCache>
                <c:ptCount val="1"/>
                <c:pt idx="0">
                  <c:v>Total Technical Colleges</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History'!$B$442:$F$442</c:f>
              <c:numCache>
                <c:formatCode>_(* #,##0_);_(* \(#,##0\);_(* "-"_);_(@_)</c:formatCode>
                <c:ptCount val="5"/>
                <c:pt idx="0">
                  <c:v>9574010</c:v>
                </c:pt>
                <c:pt idx="1">
                  <c:v>7574010</c:v>
                </c:pt>
                <c:pt idx="2">
                  <c:v>7574010</c:v>
                </c:pt>
                <c:pt idx="3">
                  <c:v>5279998</c:v>
                </c:pt>
                <c:pt idx="4">
                  <c:v>5287077</c:v>
                </c:pt>
              </c:numCache>
            </c:numRef>
          </c:val>
          <c:extLst>
            <c:ext xmlns:c16="http://schemas.microsoft.com/office/drawing/2014/chart" uri="{C3380CC4-5D6E-409C-BE32-E72D297353CC}">
              <c16:uniqueId val="{00000007-49C7-466C-B586-75345AF42513}"/>
            </c:ext>
          </c:extLst>
        </c:ser>
        <c:ser>
          <c:idx val="8"/>
          <c:order val="8"/>
          <c:tx>
            <c:strRef>
              <c:f>'Biennia History'!$A$446</c:f>
              <c:strCache>
                <c:ptCount val="1"/>
                <c:pt idx="0">
                  <c:v>Total State Colleges</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History'!$B$446:$F$446</c:f>
              <c:numCache>
                <c:formatCode>_(* #,##0_);_(* \(#,##0\);_(* "-"_);_(@_)</c:formatCode>
                <c:ptCount val="5"/>
                <c:pt idx="0">
                  <c:v>11238954</c:v>
                </c:pt>
                <c:pt idx="1">
                  <c:v>10280953</c:v>
                </c:pt>
                <c:pt idx="2">
                  <c:v>12780954</c:v>
                </c:pt>
                <c:pt idx="3">
                  <c:v>9222690</c:v>
                </c:pt>
                <c:pt idx="4">
                  <c:v>12778731</c:v>
                </c:pt>
              </c:numCache>
            </c:numRef>
          </c:val>
          <c:extLst>
            <c:ext xmlns:c16="http://schemas.microsoft.com/office/drawing/2014/chart" uri="{C3380CC4-5D6E-409C-BE32-E72D297353CC}">
              <c16:uniqueId val="{00000008-49C7-466C-B586-75345AF42513}"/>
            </c:ext>
          </c:extLst>
        </c:ser>
        <c:ser>
          <c:idx val="9"/>
          <c:order val="9"/>
          <c:tx>
            <c:strRef>
              <c:f>'Biennia History'!$A$455</c:f>
              <c:strCache>
                <c:ptCount val="1"/>
                <c:pt idx="0">
                  <c:v>Public Community Colleges</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History'!$B$455:$F$455</c:f>
              <c:numCache>
                <c:formatCode>_(* #,##0_);_(* \(#,##0\);_(* "-"_);_(@_)</c:formatCode>
                <c:ptCount val="5"/>
                <c:pt idx="0">
                  <c:v>8068779</c:v>
                </c:pt>
                <c:pt idx="1">
                  <c:v>9377530</c:v>
                </c:pt>
                <c:pt idx="2">
                  <c:v>17612034</c:v>
                </c:pt>
                <c:pt idx="3">
                  <c:v>15145362</c:v>
                </c:pt>
                <c:pt idx="4">
                  <c:v>15461363</c:v>
                </c:pt>
              </c:numCache>
            </c:numRef>
          </c:val>
          <c:extLst>
            <c:ext xmlns:c16="http://schemas.microsoft.com/office/drawing/2014/chart" uri="{C3380CC4-5D6E-409C-BE32-E72D297353CC}">
              <c16:uniqueId val="{00000009-49C7-466C-B586-75345AF42513}"/>
            </c:ext>
          </c:extLst>
        </c:ser>
        <c:dLbls>
          <c:showLegendKey val="0"/>
          <c:showVal val="0"/>
          <c:showCatName val="0"/>
          <c:showSerName val="0"/>
          <c:showPercent val="0"/>
          <c:showBubbleSize val="0"/>
        </c:dLbls>
        <c:gapWidth val="150"/>
        <c:overlap val="100"/>
        <c:axId val="-619941904"/>
        <c:axId val="-619942992"/>
      </c:barChart>
      <c:catAx>
        <c:axId val="-619941904"/>
        <c:scaling>
          <c:orientation val="minMax"/>
        </c:scaling>
        <c:delete val="0"/>
        <c:axPos val="b"/>
        <c:numFmt formatCode="General" sourceLinked="1"/>
        <c:majorTickMark val="out"/>
        <c:minorTickMark val="none"/>
        <c:tickLblPos val="nextTo"/>
        <c:crossAx val="-619942992"/>
        <c:crosses val="autoZero"/>
        <c:auto val="1"/>
        <c:lblAlgn val="ctr"/>
        <c:lblOffset val="100"/>
        <c:noMultiLvlLbl val="0"/>
      </c:catAx>
      <c:valAx>
        <c:axId val="-619942992"/>
        <c:scaling>
          <c:orientation val="minMax"/>
        </c:scaling>
        <c:delete val="0"/>
        <c:axPos val="l"/>
        <c:majorGridlines/>
        <c:numFmt formatCode="_(* #,##0_);_(* \(#,##0\);_(* &quot;-&quot;_);_(@_)" sourceLinked="1"/>
        <c:majorTickMark val="out"/>
        <c:minorTickMark val="none"/>
        <c:tickLblPos val="nextTo"/>
        <c:crossAx val="-619941904"/>
        <c:crosses val="autoZero"/>
        <c:crossBetween val="between"/>
        <c:dispUnits>
          <c:builtInUnit val="millions"/>
          <c:dispUnitsLbl>
            <c:layout>
              <c:manualLayout>
                <c:xMode val="edge"/>
                <c:yMode val="edge"/>
                <c:x val="2.1842623290509743E-2"/>
                <c:y val="0.42306044214270577"/>
              </c:manualLayout>
            </c:layout>
          </c:dispUnitsLbl>
        </c:dispUnits>
      </c:valAx>
    </c:plotArea>
    <c:legend>
      <c:legendPos val="r"/>
      <c:layout>
        <c:manualLayout>
          <c:xMode val="edge"/>
          <c:yMode val="edge"/>
          <c:x val="0.81018735322558366"/>
          <c:y val="0.16787165671211488"/>
          <c:w val="0.18981264677441637"/>
          <c:h val="0.66459303940528092"/>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200" b="1" i="0" u="none" strike="noStrike" kern="1200" baseline="0">
                <a:solidFill>
                  <a:sysClr val="windowText" lastClr="000000"/>
                </a:solidFill>
                <a:latin typeface="Tahoma" pitchFamily="34" charset="0"/>
                <a:ea typeface="Tahoma" pitchFamily="34" charset="0"/>
                <a:cs typeface="Tahoma" pitchFamily="34" charset="0"/>
              </a:defRPr>
            </a:pPr>
            <a:r>
              <a:rPr lang="en-US" sz="1200" b="1" i="0" baseline="0">
                <a:effectLst/>
              </a:rPr>
              <a:t>Non-Formula Appropriations Institutional Enhancement - All Funds</a:t>
            </a:r>
            <a:endParaRPr lang="en-US" sz="1200">
              <a:effectLst/>
            </a:endParaRPr>
          </a:p>
        </c:rich>
      </c:tx>
      <c:layout>
        <c:manualLayout>
          <c:xMode val="edge"/>
          <c:yMode val="edge"/>
          <c:x val="9.9096158434741094E-2"/>
          <c:y val="9.0474332477327845E-3"/>
        </c:manualLayout>
      </c:layout>
      <c:overlay val="0"/>
    </c:title>
    <c:autoTitleDeleted val="0"/>
    <c:plotArea>
      <c:layout>
        <c:manualLayout>
          <c:layoutTarget val="inner"/>
          <c:xMode val="edge"/>
          <c:yMode val="edge"/>
          <c:x val="0.12318344504457604"/>
          <c:y val="0.15875066937114482"/>
          <c:w val="0.66539033860436869"/>
          <c:h val="0.75821978163376813"/>
        </c:manualLayout>
      </c:layout>
      <c:barChart>
        <c:barDir val="col"/>
        <c:grouping val="stacked"/>
        <c:varyColors val="0"/>
        <c:ser>
          <c:idx val="5"/>
          <c:order val="0"/>
          <c:tx>
            <c:strRef>
              <c:f>'Biennia History'!$A$515</c:f>
              <c:strCache>
                <c:ptCount val="1"/>
                <c:pt idx="0">
                  <c:v>Total General Academic Institutions</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History'!$B$515:$F$515</c:f>
              <c:numCache>
                <c:formatCode>_(* #,##0_);_(* \(#,##0\);_(* "-"_);_(@_)</c:formatCode>
                <c:ptCount val="5"/>
                <c:pt idx="0">
                  <c:v>220427243</c:v>
                </c:pt>
                <c:pt idx="1">
                  <c:v>237399735</c:v>
                </c:pt>
                <c:pt idx="2">
                  <c:v>236817077</c:v>
                </c:pt>
                <c:pt idx="3">
                  <c:v>163250074</c:v>
                </c:pt>
                <c:pt idx="4">
                  <c:v>282118074</c:v>
                </c:pt>
              </c:numCache>
            </c:numRef>
          </c:val>
          <c:extLst>
            <c:ext xmlns:c16="http://schemas.microsoft.com/office/drawing/2014/chart" uri="{C3380CC4-5D6E-409C-BE32-E72D297353CC}">
              <c16:uniqueId val="{00000000-AFD0-4AB0-A6F5-8AD6564A3A4F}"/>
            </c:ext>
          </c:extLst>
        </c:ser>
        <c:ser>
          <c:idx val="6"/>
          <c:order val="1"/>
          <c:tx>
            <c:strRef>
              <c:f>'Biennia History'!$A$527</c:f>
              <c:strCache>
                <c:ptCount val="1"/>
                <c:pt idx="0">
                  <c:v>Total Health-Related Institutions</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History'!$B$527:$F$527</c:f>
              <c:numCache>
                <c:formatCode>_(* #,##0_);_(* \(#,##0\);_(* "-"_);_(@_)</c:formatCode>
                <c:ptCount val="5"/>
                <c:pt idx="0">
                  <c:v>60343701</c:v>
                </c:pt>
                <c:pt idx="1">
                  <c:v>44334408</c:v>
                </c:pt>
                <c:pt idx="2">
                  <c:v>42818736</c:v>
                </c:pt>
                <c:pt idx="3">
                  <c:v>40877062</c:v>
                </c:pt>
                <c:pt idx="4">
                  <c:v>42480486</c:v>
                </c:pt>
              </c:numCache>
            </c:numRef>
          </c:val>
          <c:extLst>
            <c:ext xmlns:c16="http://schemas.microsoft.com/office/drawing/2014/chart" uri="{C3380CC4-5D6E-409C-BE32-E72D297353CC}">
              <c16:uniqueId val="{00000001-AFD0-4AB0-A6F5-8AD6564A3A4F}"/>
            </c:ext>
          </c:extLst>
        </c:ser>
        <c:ser>
          <c:idx val="0"/>
          <c:order val="2"/>
          <c:tx>
            <c:strRef>
              <c:f>'Biennia History'!$A$63</c:f>
              <c:strCache>
                <c:ptCount val="1"/>
                <c:pt idx="0">
                  <c:v>Texas Education Agency</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2-AFD0-4AB0-A6F5-8AD6564A3A4F}"/>
            </c:ext>
          </c:extLst>
        </c:ser>
        <c:ser>
          <c:idx val="4"/>
          <c:order val="3"/>
          <c:tx>
            <c:strRef>
              <c:f>'Biennia History'!$A$532</c:f>
              <c:strCache>
                <c:ptCount val="1"/>
                <c:pt idx="0">
                  <c:v>Total Technical Colleges</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History'!$B$532:$F$532</c:f>
              <c:numCache>
                <c:formatCode>_(* #,##0_);_(* \(#,##0\);_(* "-"_);_(@_)</c:formatCode>
                <c:ptCount val="5"/>
                <c:pt idx="0">
                  <c:v>7574010</c:v>
                </c:pt>
                <c:pt idx="1">
                  <c:v>7574010</c:v>
                </c:pt>
                <c:pt idx="2">
                  <c:v>7574010</c:v>
                </c:pt>
                <c:pt idx="3">
                  <c:v>5279998</c:v>
                </c:pt>
                <c:pt idx="4">
                  <c:v>5287077</c:v>
                </c:pt>
              </c:numCache>
            </c:numRef>
          </c:val>
          <c:extLst>
            <c:ext xmlns:c16="http://schemas.microsoft.com/office/drawing/2014/chart" uri="{C3380CC4-5D6E-409C-BE32-E72D297353CC}">
              <c16:uniqueId val="{00000003-AFD0-4AB0-A6F5-8AD6564A3A4F}"/>
            </c:ext>
          </c:extLst>
        </c:ser>
        <c:ser>
          <c:idx val="1"/>
          <c:order val="4"/>
          <c:tx>
            <c:strRef>
              <c:f>'Biennia History'!$A$64</c:f>
              <c:strCache>
                <c:ptCount val="1"/>
                <c:pt idx="0">
                  <c:v>State Board for Educator Certification</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4-AFD0-4AB0-A6F5-8AD6564A3A4F}"/>
            </c:ext>
          </c:extLst>
        </c:ser>
        <c:ser>
          <c:idx val="2"/>
          <c:order val="5"/>
          <c:tx>
            <c:strRef>
              <c:f>'Biennia History'!$A$65</c:f>
              <c:strCache>
                <c:ptCount val="1"/>
                <c:pt idx="0">
                  <c:v>Texas State School for the Blind and Visually Impaired</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5-AFD0-4AB0-A6F5-8AD6564A3A4F}"/>
            </c:ext>
          </c:extLst>
        </c:ser>
        <c:ser>
          <c:idx val="3"/>
          <c:order val="6"/>
          <c:tx>
            <c:strRef>
              <c:f>'Biennia History'!$A$66</c:f>
              <c:strCache>
                <c:ptCount val="1"/>
                <c:pt idx="0">
                  <c:v>Texas State School for the Deaf</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6-AFD0-4AB0-A6F5-8AD6564A3A4F}"/>
            </c:ext>
          </c:extLst>
        </c:ser>
        <c:ser>
          <c:idx val="7"/>
          <c:order val="7"/>
          <c:tx>
            <c:strRef>
              <c:f>'Biennia History'!$A$536</c:f>
              <c:strCache>
                <c:ptCount val="1"/>
                <c:pt idx="0">
                  <c:v>Total State Colleges</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History'!$B$536:$F$536</c:f>
              <c:numCache>
                <c:formatCode>_(* #,##0_);_(* \(#,##0\);_(* "-"_);_(@_)</c:formatCode>
                <c:ptCount val="5"/>
                <c:pt idx="0">
                  <c:v>5737816</c:v>
                </c:pt>
                <c:pt idx="1">
                  <c:v>8737815</c:v>
                </c:pt>
                <c:pt idx="2">
                  <c:v>8737816</c:v>
                </c:pt>
                <c:pt idx="3">
                  <c:v>6256627</c:v>
                </c:pt>
                <c:pt idx="4">
                  <c:v>8847674</c:v>
                </c:pt>
              </c:numCache>
            </c:numRef>
          </c:val>
          <c:extLst>
            <c:ext xmlns:c16="http://schemas.microsoft.com/office/drawing/2014/chart" uri="{C3380CC4-5D6E-409C-BE32-E72D297353CC}">
              <c16:uniqueId val="{00000007-AFD0-4AB0-A6F5-8AD6564A3A4F}"/>
            </c:ext>
          </c:extLst>
        </c:ser>
        <c:dLbls>
          <c:showLegendKey val="0"/>
          <c:showVal val="0"/>
          <c:showCatName val="0"/>
          <c:showSerName val="0"/>
          <c:showPercent val="0"/>
          <c:showBubbleSize val="0"/>
        </c:dLbls>
        <c:gapWidth val="150"/>
        <c:overlap val="100"/>
        <c:axId val="-619941360"/>
        <c:axId val="-619940272"/>
      </c:barChart>
      <c:catAx>
        <c:axId val="-619941360"/>
        <c:scaling>
          <c:orientation val="minMax"/>
        </c:scaling>
        <c:delete val="0"/>
        <c:axPos val="b"/>
        <c:numFmt formatCode="General" sourceLinked="1"/>
        <c:majorTickMark val="out"/>
        <c:minorTickMark val="none"/>
        <c:tickLblPos val="nextTo"/>
        <c:crossAx val="-619940272"/>
        <c:crosses val="autoZero"/>
        <c:auto val="1"/>
        <c:lblAlgn val="ctr"/>
        <c:lblOffset val="100"/>
        <c:noMultiLvlLbl val="0"/>
      </c:catAx>
      <c:valAx>
        <c:axId val="-619940272"/>
        <c:scaling>
          <c:orientation val="minMax"/>
        </c:scaling>
        <c:delete val="0"/>
        <c:axPos val="l"/>
        <c:majorGridlines/>
        <c:numFmt formatCode="_(* #,##0_);_(* \(#,##0\);_(* &quot;-&quot;_);_(@_)" sourceLinked="1"/>
        <c:majorTickMark val="out"/>
        <c:minorTickMark val="none"/>
        <c:tickLblPos val="nextTo"/>
        <c:crossAx val="-619941360"/>
        <c:crosses val="autoZero"/>
        <c:crossBetween val="between"/>
        <c:dispUnits>
          <c:builtInUnit val="millions"/>
          <c:dispUnitsLbl>
            <c:layout>
              <c:manualLayout>
                <c:xMode val="edge"/>
                <c:yMode val="edge"/>
                <c:x val="2.1842623290509743E-2"/>
                <c:y val="0.42306044214270577"/>
              </c:manualLayout>
            </c:layout>
          </c:dispUnitsLbl>
        </c:dispUnits>
      </c:valAx>
    </c:plotArea>
    <c:legend>
      <c:legendPos val="r"/>
      <c:layout>
        <c:manualLayout>
          <c:xMode val="edge"/>
          <c:yMode val="edge"/>
          <c:x val="0.81018735322558366"/>
          <c:y val="0.16787165671211488"/>
          <c:w val="0.18981264677441637"/>
          <c:h val="0.66459303940528092"/>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200" b="1" i="0" u="none" strike="noStrike" kern="1200" baseline="0">
                <a:solidFill>
                  <a:sysClr val="windowText" lastClr="000000"/>
                </a:solidFill>
                <a:latin typeface="Tahoma" pitchFamily="34" charset="0"/>
                <a:ea typeface="Tahoma" pitchFamily="34" charset="0"/>
                <a:cs typeface="Tahoma" pitchFamily="34" charset="0"/>
              </a:defRPr>
            </a:pPr>
            <a:r>
              <a:rPr lang="en-US" sz="1200" b="1" i="0" baseline="0">
                <a:effectLst/>
              </a:rPr>
              <a:t>Tuition Revenue Bond Appropriations - All Funds</a:t>
            </a:r>
            <a:endParaRPr lang="en-US" sz="1200">
              <a:effectLst/>
            </a:endParaRPr>
          </a:p>
        </c:rich>
      </c:tx>
      <c:layout>
        <c:manualLayout>
          <c:xMode val="edge"/>
          <c:yMode val="edge"/>
          <c:x val="9.9096158434741094E-2"/>
          <c:y val="9.0474332477327845E-3"/>
        </c:manualLayout>
      </c:layout>
      <c:overlay val="0"/>
    </c:title>
    <c:autoTitleDeleted val="0"/>
    <c:plotArea>
      <c:layout>
        <c:manualLayout>
          <c:layoutTarget val="inner"/>
          <c:xMode val="edge"/>
          <c:yMode val="edge"/>
          <c:x val="0.11877573154595343"/>
          <c:y val="0.12171377411173516"/>
          <c:w val="0.66979805210299126"/>
          <c:h val="0.79525686294777775"/>
        </c:manualLayout>
      </c:layout>
      <c:barChart>
        <c:barDir val="col"/>
        <c:grouping val="stacked"/>
        <c:varyColors val="0"/>
        <c:ser>
          <c:idx val="5"/>
          <c:order val="0"/>
          <c:tx>
            <c:strRef>
              <c:f>'Biennia History'!$A$515</c:f>
              <c:strCache>
                <c:ptCount val="1"/>
                <c:pt idx="0">
                  <c:v>Total General Academic Institutions</c:v>
                </c:pt>
              </c:strCache>
            </c:strRef>
          </c:tx>
          <c:invertIfNegative val="0"/>
          <c:cat>
            <c:strRef>
              <c:f>'Biennia History'!$B$560:$F$560</c:f>
              <c:strCache>
                <c:ptCount val="5"/>
                <c:pt idx="0">
                  <c:v>2012 - 2013</c:v>
                </c:pt>
                <c:pt idx="1">
                  <c:v>2014 - 2015</c:v>
                </c:pt>
                <c:pt idx="2">
                  <c:v>2016 - 2017</c:v>
                </c:pt>
                <c:pt idx="3">
                  <c:v>2018 - 2019</c:v>
                </c:pt>
                <c:pt idx="4">
                  <c:v>2020 - 2021</c:v>
                </c:pt>
              </c:strCache>
            </c:strRef>
          </c:cat>
          <c:val>
            <c:numRef>
              <c:f>'Biennia History'!$B$515:$F$515</c:f>
              <c:numCache>
                <c:formatCode>_(* #,##0_);_(* \(#,##0\);_(* "-"_);_(@_)</c:formatCode>
                <c:ptCount val="5"/>
                <c:pt idx="0">
                  <c:v>220427243</c:v>
                </c:pt>
                <c:pt idx="1">
                  <c:v>237399735</c:v>
                </c:pt>
                <c:pt idx="2">
                  <c:v>236817077</c:v>
                </c:pt>
                <c:pt idx="3">
                  <c:v>163250074</c:v>
                </c:pt>
                <c:pt idx="4">
                  <c:v>282118074</c:v>
                </c:pt>
              </c:numCache>
            </c:numRef>
          </c:val>
          <c:extLst>
            <c:ext xmlns:c16="http://schemas.microsoft.com/office/drawing/2014/chart" uri="{C3380CC4-5D6E-409C-BE32-E72D297353CC}">
              <c16:uniqueId val="{00000000-C05D-4BDF-879F-CBC49D8042CF}"/>
            </c:ext>
          </c:extLst>
        </c:ser>
        <c:ser>
          <c:idx val="0"/>
          <c:order val="1"/>
          <c:tx>
            <c:strRef>
              <c:f>'Biennia History'!$A$63</c:f>
              <c:strCache>
                <c:ptCount val="1"/>
                <c:pt idx="0">
                  <c:v>Texas Education Agency</c:v>
                </c:pt>
              </c:strCache>
            </c:strRef>
          </c:tx>
          <c:invertIfNegative val="0"/>
          <c:cat>
            <c:strRef>
              <c:f>'Biennia History'!$B$560:$F$560</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1-C05D-4BDF-879F-CBC49D8042CF}"/>
            </c:ext>
          </c:extLst>
        </c:ser>
        <c:ser>
          <c:idx val="6"/>
          <c:order val="2"/>
          <c:tx>
            <c:strRef>
              <c:f>'Biennia History'!$A$527</c:f>
              <c:strCache>
                <c:ptCount val="1"/>
                <c:pt idx="0">
                  <c:v>Total Health-Related Institutions</c:v>
                </c:pt>
              </c:strCache>
            </c:strRef>
          </c:tx>
          <c:invertIfNegative val="0"/>
          <c:cat>
            <c:strRef>
              <c:f>'Biennia History'!$B$560:$F$560</c:f>
              <c:strCache>
                <c:ptCount val="5"/>
                <c:pt idx="0">
                  <c:v>2012 - 2013</c:v>
                </c:pt>
                <c:pt idx="1">
                  <c:v>2014 - 2015</c:v>
                </c:pt>
                <c:pt idx="2">
                  <c:v>2016 - 2017</c:v>
                </c:pt>
                <c:pt idx="3">
                  <c:v>2018 - 2019</c:v>
                </c:pt>
                <c:pt idx="4">
                  <c:v>2020 - 2021</c:v>
                </c:pt>
              </c:strCache>
            </c:strRef>
          </c:cat>
          <c:val>
            <c:numRef>
              <c:f>'Biennia History'!$B$527:$F$527</c:f>
              <c:numCache>
                <c:formatCode>_(* #,##0_);_(* \(#,##0\);_(* "-"_);_(@_)</c:formatCode>
                <c:ptCount val="5"/>
                <c:pt idx="0">
                  <c:v>60343701</c:v>
                </c:pt>
                <c:pt idx="1">
                  <c:v>44334408</c:v>
                </c:pt>
                <c:pt idx="2">
                  <c:v>42818736</c:v>
                </c:pt>
                <c:pt idx="3">
                  <c:v>40877062</c:v>
                </c:pt>
                <c:pt idx="4">
                  <c:v>42480486</c:v>
                </c:pt>
              </c:numCache>
            </c:numRef>
          </c:val>
          <c:extLst>
            <c:ext xmlns:c16="http://schemas.microsoft.com/office/drawing/2014/chart" uri="{C3380CC4-5D6E-409C-BE32-E72D297353CC}">
              <c16:uniqueId val="{00000002-C05D-4BDF-879F-CBC49D8042CF}"/>
            </c:ext>
          </c:extLst>
        </c:ser>
        <c:ser>
          <c:idx val="4"/>
          <c:order val="3"/>
          <c:tx>
            <c:strRef>
              <c:f>'Biennia History'!$A$532</c:f>
              <c:strCache>
                <c:ptCount val="1"/>
                <c:pt idx="0">
                  <c:v>Total Technical Colleges</c:v>
                </c:pt>
              </c:strCache>
            </c:strRef>
          </c:tx>
          <c:invertIfNegative val="0"/>
          <c:cat>
            <c:strRef>
              <c:f>'Biennia History'!$B$560:$F$560</c:f>
              <c:strCache>
                <c:ptCount val="5"/>
                <c:pt idx="0">
                  <c:v>2012 - 2013</c:v>
                </c:pt>
                <c:pt idx="1">
                  <c:v>2014 - 2015</c:v>
                </c:pt>
                <c:pt idx="2">
                  <c:v>2016 - 2017</c:v>
                </c:pt>
                <c:pt idx="3">
                  <c:v>2018 - 2019</c:v>
                </c:pt>
                <c:pt idx="4">
                  <c:v>2020 - 2021</c:v>
                </c:pt>
              </c:strCache>
            </c:strRef>
          </c:cat>
          <c:val>
            <c:numRef>
              <c:f>'Biennia History'!$B$532:$F$532</c:f>
              <c:numCache>
                <c:formatCode>_(* #,##0_);_(* \(#,##0\);_(* "-"_);_(@_)</c:formatCode>
                <c:ptCount val="5"/>
                <c:pt idx="0">
                  <c:v>7574010</c:v>
                </c:pt>
                <c:pt idx="1">
                  <c:v>7574010</c:v>
                </c:pt>
                <c:pt idx="2">
                  <c:v>7574010</c:v>
                </c:pt>
                <c:pt idx="3">
                  <c:v>5279998</c:v>
                </c:pt>
                <c:pt idx="4">
                  <c:v>5287077</c:v>
                </c:pt>
              </c:numCache>
            </c:numRef>
          </c:val>
          <c:extLst>
            <c:ext xmlns:c16="http://schemas.microsoft.com/office/drawing/2014/chart" uri="{C3380CC4-5D6E-409C-BE32-E72D297353CC}">
              <c16:uniqueId val="{00000003-C05D-4BDF-879F-CBC49D8042CF}"/>
            </c:ext>
          </c:extLst>
        </c:ser>
        <c:ser>
          <c:idx val="1"/>
          <c:order val="4"/>
          <c:tx>
            <c:strRef>
              <c:f>'Biennia History'!$A$64</c:f>
              <c:strCache>
                <c:ptCount val="1"/>
                <c:pt idx="0">
                  <c:v>State Board for Educator Certification</c:v>
                </c:pt>
              </c:strCache>
            </c:strRef>
          </c:tx>
          <c:invertIfNegative val="0"/>
          <c:cat>
            <c:strRef>
              <c:f>'Biennia History'!$B$560:$F$560</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4-C05D-4BDF-879F-CBC49D8042CF}"/>
            </c:ext>
          </c:extLst>
        </c:ser>
        <c:ser>
          <c:idx val="2"/>
          <c:order val="5"/>
          <c:tx>
            <c:strRef>
              <c:f>'Biennia History'!$A$65</c:f>
              <c:strCache>
                <c:ptCount val="1"/>
                <c:pt idx="0">
                  <c:v>Texas State School for the Blind and Visually Impaired</c:v>
                </c:pt>
              </c:strCache>
            </c:strRef>
          </c:tx>
          <c:invertIfNegative val="0"/>
          <c:cat>
            <c:strRef>
              <c:f>'Biennia History'!$B$560:$F$560</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5-C05D-4BDF-879F-CBC49D8042CF}"/>
            </c:ext>
          </c:extLst>
        </c:ser>
        <c:ser>
          <c:idx val="3"/>
          <c:order val="6"/>
          <c:tx>
            <c:strRef>
              <c:f>'Biennia History'!$A$66</c:f>
              <c:strCache>
                <c:ptCount val="1"/>
                <c:pt idx="0">
                  <c:v>Texas State School for the Deaf</c:v>
                </c:pt>
              </c:strCache>
            </c:strRef>
          </c:tx>
          <c:invertIfNegative val="0"/>
          <c:cat>
            <c:strRef>
              <c:f>'Biennia History'!$B$560:$F$560</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6-C05D-4BDF-879F-CBC49D8042CF}"/>
            </c:ext>
          </c:extLst>
        </c:ser>
        <c:ser>
          <c:idx val="7"/>
          <c:order val="7"/>
          <c:tx>
            <c:strRef>
              <c:f>'Biennia History'!$A$536</c:f>
              <c:strCache>
                <c:ptCount val="1"/>
                <c:pt idx="0">
                  <c:v>Total State Colleges</c:v>
                </c:pt>
              </c:strCache>
            </c:strRef>
          </c:tx>
          <c:invertIfNegative val="0"/>
          <c:cat>
            <c:strRef>
              <c:f>'Biennia History'!$B$560:$F$560</c:f>
              <c:strCache>
                <c:ptCount val="5"/>
                <c:pt idx="0">
                  <c:v>2012 - 2013</c:v>
                </c:pt>
                <c:pt idx="1">
                  <c:v>2014 - 2015</c:v>
                </c:pt>
                <c:pt idx="2">
                  <c:v>2016 - 2017</c:v>
                </c:pt>
                <c:pt idx="3">
                  <c:v>2018 - 2019</c:v>
                </c:pt>
                <c:pt idx="4">
                  <c:v>2020 - 2021</c:v>
                </c:pt>
              </c:strCache>
            </c:strRef>
          </c:cat>
          <c:val>
            <c:numRef>
              <c:f>'Biennia History'!$B$536:$F$536</c:f>
              <c:numCache>
                <c:formatCode>_(* #,##0_);_(* \(#,##0\);_(* "-"_);_(@_)</c:formatCode>
                <c:ptCount val="5"/>
                <c:pt idx="0">
                  <c:v>5737816</c:v>
                </c:pt>
                <c:pt idx="1">
                  <c:v>8737815</c:v>
                </c:pt>
                <c:pt idx="2">
                  <c:v>8737816</c:v>
                </c:pt>
                <c:pt idx="3">
                  <c:v>6256627</c:v>
                </c:pt>
                <c:pt idx="4">
                  <c:v>8847674</c:v>
                </c:pt>
              </c:numCache>
            </c:numRef>
          </c:val>
          <c:extLst>
            <c:ext xmlns:c16="http://schemas.microsoft.com/office/drawing/2014/chart" uri="{C3380CC4-5D6E-409C-BE32-E72D297353CC}">
              <c16:uniqueId val="{00000007-C05D-4BDF-879F-CBC49D8042CF}"/>
            </c:ext>
          </c:extLst>
        </c:ser>
        <c:ser>
          <c:idx val="8"/>
          <c:order val="8"/>
          <c:tx>
            <c:strRef>
              <c:f>'Biennia History'!$A$607</c:f>
              <c:strCache>
                <c:ptCount val="1"/>
                <c:pt idx="0">
                  <c:v>University System Offices</c:v>
                </c:pt>
              </c:strCache>
            </c:strRef>
          </c:tx>
          <c:invertIfNegative val="0"/>
          <c:cat>
            <c:strRef>
              <c:f>'Biennia History'!$B$560:$F$560</c:f>
              <c:strCache>
                <c:ptCount val="5"/>
                <c:pt idx="0">
                  <c:v>2012 - 2013</c:v>
                </c:pt>
                <c:pt idx="1">
                  <c:v>2014 - 2015</c:v>
                </c:pt>
                <c:pt idx="2">
                  <c:v>2016 - 2017</c:v>
                </c:pt>
                <c:pt idx="3">
                  <c:v>2018 - 2019</c:v>
                </c:pt>
                <c:pt idx="4">
                  <c:v>2020 - 2021</c:v>
                </c:pt>
              </c:strCache>
            </c:strRef>
          </c:cat>
          <c:val>
            <c:numRef>
              <c:f>'Biennia History'!$B$607:$F$607</c:f>
              <c:numCache>
                <c:formatCode>_(* #,##0_);_(* \(#,##0\);_(* "-"_);_(@_)</c:formatCode>
                <c:ptCount val="5"/>
                <c:pt idx="0">
                  <c:v>0</c:v>
                </c:pt>
                <c:pt idx="1">
                  <c:v>0</c:v>
                </c:pt>
                <c:pt idx="2">
                  <c:v>7953613</c:v>
                </c:pt>
                <c:pt idx="3">
                  <c:v>19438183</c:v>
                </c:pt>
                <c:pt idx="4">
                  <c:v>18148166</c:v>
                </c:pt>
              </c:numCache>
            </c:numRef>
          </c:val>
          <c:extLst>
            <c:ext xmlns:c16="http://schemas.microsoft.com/office/drawing/2014/chart" uri="{C3380CC4-5D6E-409C-BE32-E72D297353CC}">
              <c16:uniqueId val="{00000008-C05D-4BDF-879F-CBC49D8042CF}"/>
            </c:ext>
          </c:extLst>
        </c:ser>
        <c:dLbls>
          <c:showLegendKey val="0"/>
          <c:showVal val="0"/>
          <c:showCatName val="0"/>
          <c:showSerName val="0"/>
          <c:showPercent val="0"/>
          <c:showBubbleSize val="0"/>
        </c:dLbls>
        <c:gapWidth val="150"/>
        <c:overlap val="100"/>
        <c:axId val="-619938096"/>
        <c:axId val="-619945712"/>
      </c:barChart>
      <c:catAx>
        <c:axId val="-619938096"/>
        <c:scaling>
          <c:orientation val="minMax"/>
        </c:scaling>
        <c:delete val="0"/>
        <c:axPos val="b"/>
        <c:numFmt formatCode="General" sourceLinked="1"/>
        <c:majorTickMark val="out"/>
        <c:minorTickMark val="none"/>
        <c:tickLblPos val="nextTo"/>
        <c:crossAx val="-619945712"/>
        <c:crosses val="autoZero"/>
        <c:auto val="1"/>
        <c:lblAlgn val="ctr"/>
        <c:lblOffset val="100"/>
        <c:noMultiLvlLbl val="0"/>
      </c:catAx>
      <c:valAx>
        <c:axId val="-619945712"/>
        <c:scaling>
          <c:orientation val="minMax"/>
        </c:scaling>
        <c:delete val="0"/>
        <c:axPos val="l"/>
        <c:majorGridlines/>
        <c:numFmt formatCode="_(* #,##0_);_(* \(#,##0\);_(* &quot;-&quot;_);_(@_)" sourceLinked="1"/>
        <c:majorTickMark val="out"/>
        <c:minorTickMark val="none"/>
        <c:tickLblPos val="nextTo"/>
        <c:crossAx val="-619938096"/>
        <c:crosses val="autoZero"/>
        <c:crossBetween val="between"/>
        <c:dispUnits>
          <c:builtInUnit val="millions"/>
          <c:dispUnitsLbl>
            <c:layout>
              <c:manualLayout>
                <c:xMode val="edge"/>
                <c:yMode val="edge"/>
                <c:x val="2.1842623290509743E-2"/>
                <c:y val="0.42306044214270577"/>
              </c:manualLayout>
            </c:layout>
          </c:dispUnitsLbl>
        </c:dispUnits>
      </c:valAx>
    </c:plotArea>
    <c:legend>
      <c:legendPos val="r"/>
      <c:layout>
        <c:manualLayout>
          <c:xMode val="edge"/>
          <c:yMode val="edge"/>
          <c:x val="0.80577965770807569"/>
          <c:y val="0.16787169311697833"/>
          <c:w val="0.18981264677441637"/>
          <c:h val="0.61932548545883637"/>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200" b="1" i="0" u="none" strike="noStrike" kern="1200" baseline="0">
                <a:solidFill>
                  <a:sysClr val="windowText" lastClr="000000"/>
                </a:solidFill>
                <a:latin typeface="Tahoma" pitchFamily="34" charset="0"/>
                <a:ea typeface="Tahoma" pitchFamily="34" charset="0"/>
                <a:cs typeface="Tahoma" pitchFamily="34" charset="0"/>
              </a:defRPr>
            </a:pPr>
            <a:r>
              <a:rPr lang="en-US" sz="1200" b="1" i="0" baseline="0">
                <a:effectLst/>
              </a:rPr>
              <a:t>Tobacco Settlement Earnings - State Appropriations - All Funds</a:t>
            </a:r>
            <a:endParaRPr lang="en-US" sz="1200">
              <a:effectLst/>
            </a:endParaRPr>
          </a:p>
        </c:rich>
      </c:tx>
      <c:layout>
        <c:manualLayout>
          <c:xMode val="edge"/>
          <c:yMode val="edge"/>
          <c:x val="9.9096158434741094E-2"/>
          <c:y val="9.0474332477327845E-3"/>
        </c:manualLayout>
      </c:layout>
      <c:overlay val="0"/>
    </c:title>
    <c:autoTitleDeleted val="0"/>
    <c:plotArea>
      <c:layout>
        <c:manualLayout>
          <c:layoutTarget val="inner"/>
          <c:xMode val="edge"/>
          <c:yMode val="edge"/>
          <c:x val="0.11654980523094045"/>
          <c:y val="0.15036117114134806"/>
          <c:w val="0.66534618064227791"/>
          <c:h val="0.76609029983914045"/>
        </c:manualLayout>
      </c:layout>
      <c:barChart>
        <c:barDir val="col"/>
        <c:grouping val="stacked"/>
        <c:varyColors val="0"/>
        <c:ser>
          <c:idx val="6"/>
          <c:order val="0"/>
          <c:tx>
            <c:strRef>
              <c:f>'Biennia History'!$A$668</c:f>
              <c:strCache>
                <c:ptCount val="1"/>
                <c:pt idx="0">
                  <c:v>Health-Related Institutions (Incl. BCM)</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History'!$B$668:$F$668</c:f>
              <c:numCache>
                <c:formatCode>_(* #,##0_);_(* \(#,##0\);_(* "-"_);_(@_)</c:formatCode>
                <c:ptCount val="5"/>
                <c:pt idx="0">
                  <c:v>235780595</c:v>
                </c:pt>
                <c:pt idx="1">
                  <c:v>201954000</c:v>
                </c:pt>
                <c:pt idx="2">
                  <c:v>203226804</c:v>
                </c:pt>
                <c:pt idx="3">
                  <c:v>107595806</c:v>
                </c:pt>
                <c:pt idx="4">
                  <c:v>215510462</c:v>
                </c:pt>
              </c:numCache>
            </c:numRef>
          </c:val>
          <c:extLst>
            <c:ext xmlns:c16="http://schemas.microsoft.com/office/drawing/2014/chart" uri="{C3380CC4-5D6E-409C-BE32-E72D297353CC}">
              <c16:uniqueId val="{00000000-B3C6-4A78-9A9A-1665657AA13C}"/>
            </c:ext>
          </c:extLst>
        </c:ser>
        <c:ser>
          <c:idx val="4"/>
          <c:order val="1"/>
          <c:tx>
            <c:strRef>
              <c:f>'Biennia History'!$A$671</c:f>
              <c:strCache>
                <c:ptCount val="1"/>
                <c:pt idx="0">
                  <c:v>Texas Higher Education Coordinating Board Trusteed Funds</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History'!$B$671:$F$671</c:f>
              <c:numCache>
                <c:formatCode>_(* #,##0_);_(* \(#,##0\);_(* "-"_);_(@_)</c:formatCode>
                <c:ptCount val="5"/>
                <c:pt idx="0">
                  <c:v>12099612</c:v>
                </c:pt>
                <c:pt idx="1">
                  <c:v>8350000</c:v>
                </c:pt>
                <c:pt idx="2">
                  <c:v>15291278</c:v>
                </c:pt>
                <c:pt idx="3">
                  <c:v>18785328</c:v>
                </c:pt>
                <c:pt idx="4">
                  <c:v>5900722</c:v>
                </c:pt>
              </c:numCache>
            </c:numRef>
          </c:val>
          <c:extLst>
            <c:ext xmlns:c16="http://schemas.microsoft.com/office/drawing/2014/chart" uri="{C3380CC4-5D6E-409C-BE32-E72D297353CC}">
              <c16:uniqueId val="{00000001-B3C6-4A78-9A9A-1665657AA13C}"/>
            </c:ext>
          </c:extLst>
        </c:ser>
        <c:ser>
          <c:idx val="5"/>
          <c:order val="2"/>
          <c:tx>
            <c:strRef>
              <c:f>'Biennia History'!$A$655</c:f>
              <c:strCache>
                <c:ptCount val="1"/>
                <c:pt idx="0">
                  <c:v>General Academic Institutions</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History'!$B$655:$F$655</c:f>
              <c:numCache>
                <c:formatCode>_(* #,##0_);_(* \(#,##0\);_(* "-"_);_(@_)</c:formatCode>
                <c:ptCount val="5"/>
                <c:pt idx="0">
                  <c:v>2216000</c:v>
                </c:pt>
                <c:pt idx="1">
                  <c:v>2350000</c:v>
                </c:pt>
                <c:pt idx="2">
                  <c:v>4825750</c:v>
                </c:pt>
                <c:pt idx="3">
                  <c:v>2448000</c:v>
                </c:pt>
                <c:pt idx="4">
                  <c:v>2512000</c:v>
                </c:pt>
              </c:numCache>
            </c:numRef>
          </c:val>
          <c:extLst>
            <c:ext xmlns:c16="http://schemas.microsoft.com/office/drawing/2014/chart" uri="{C3380CC4-5D6E-409C-BE32-E72D297353CC}">
              <c16:uniqueId val="{00000002-B3C6-4A78-9A9A-1665657AA13C}"/>
            </c:ext>
          </c:extLst>
        </c:ser>
        <c:ser>
          <c:idx val="0"/>
          <c:order val="3"/>
          <c:tx>
            <c:strRef>
              <c:f>'Biennia History'!$A$63</c:f>
              <c:strCache>
                <c:ptCount val="1"/>
                <c:pt idx="0">
                  <c:v>Texas Education Agency</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3-B3C6-4A78-9A9A-1665657AA13C}"/>
            </c:ext>
          </c:extLst>
        </c:ser>
        <c:ser>
          <c:idx val="1"/>
          <c:order val="4"/>
          <c:tx>
            <c:strRef>
              <c:f>'Biennia History'!$A$64</c:f>
              <c:strCache>
                <c:ptCount val="1"/>
                <c:pt idx="0">
                  <c:v>State Board for Educator Certification</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4-B3C6-4A78-9A9A-1665657AA13C}"/>
            </c:ext>
          </c:extLst>
        </c:ser>
        <c:ser>
          <c:idx val="2"/>
          <c:order val="5"/>
          <c:tx>
            <c:strRef>
              <c:f>'Biennia History'!$A$65</c:f>
              <c:strCache>
                <c:ptCount val="1"/>
                <c:pt idx="0">
                  <c:v>Texas State School for the Blind and Visually Impaired</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5-B3C6-4A78-9A9A-1665657AA13C}"/>
            </c:ext>
          </c:extLst>
        </c:ser>
        <c:ser>
          <c:idx val="3"/>
          <c:order val="6"/>
          <c:tx>
            <c:strRef>
              <c:f>'Biennia History'!$A$66</c:f>
              <c:strCache>
                <c:ptCount val="1"/>
                <c:pt idx="0">
                  <c:v>Texas State School for the Deaf</c:v>
                </c:pt>
              </c:strCache>
            </c:strRef>
          </c:tx>
          <c:invertIfNegative val="0"/>
          <c:cat>
            <c:strRef>
              <c:f>'Biennia History'!$B$381:$F$381</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6-B3C6-4A78-9A9A-1665657AA13C}"/>
            </c:ext>
          </c:extLst>
        </c:ser>
        <c:dLbls>
          <c:showLegendKey val="0"/>
          <c:showVal val="0"/>
          <c:showCatName val="0"/>
          <c:showSerName val="0"/>
          <c:showPercent val="0"/>
          <c:showBubbleSize val="0"/>
        </c:dLbls>
        <c:gapWidth val="150"/>
        <c:overlap val="100"/>
        <c:axId val="-619929392"/>
        <c:axId val="-619937552"/>
      </c:barChart>
      <c:catAx>
        <c:axId val="-619929392"/>
        <c:scaling>
          <c:orientation val="minMax"/>
        </c:scaling>
        <c:delete val="0"/>
        <c:axPos val="b"/>
        <c:numFmt formatCode="General" sourceLinked="1"/>
        <c:majorTickMark val="out"/>
        <c:minorTickMark val="none"/>
        <c:tickLblPos val="nextTo"/>
        <c:crossAx val="-619937552"/>
        <c:crosses val="autoZero"/>
        <c:auto val="1"/>
        <c:lblAlgn val="ctr"/>
        <c:lblOffset val="100"/>
        <c:noMultiLvlLbl val="0"/>
      </c:catAx>
      <c:valAx>
        <c:axId val="-619937552"/>
        <c:scaling>
          <c:orientation val="minMax"/>
        </c:scaling>
        <c:delete val="0"/>
        <c:axPos val="l"/>
        <c:majorGridlines/>
        <c:numFmt formatCode="_(* #,##0_);_(* \(#,##0\);_(* &quot;-&quot;_);_(@_)" sourceLinked="1"/>
        <c:majorTickMark val="out"/>
        <c:minorTickMark val="none"/>
        <c:tickLblPos val="nextTo"/>
        <c:crossAx val="-619929392"/>
        <c:crosses val="autoZero"/>
        <c:crossBetween val="between"/>
        <c:dispUnits>
          <c:builtInUnit val="millions"/>
          <c:dispUnitsLbl>
            <c:layout>
              <c:manualLayout>
                <c:xMode val="edge"/>
                <c:yMode val="edge"/>
                <c:x val="2.1842623290509743E-2"/>
                <c:y val="0.42306044214270577"/>
              </c:manualLayout>
            </c:layout>
          </c:dispUnitsLbl>
        </c:dispUnits>
      </c:valAx>
    </c:plotArea>
    <c:legend>
      <c:legendPos val="r"/>
      <c:layout>
        <c:manualLayout>
          <c:xMode val="edge"/>
          <c:yMode val="edge"/>
          <c:x val="0.80350961138204968"/>
          <c:y val="0.25120497007710957"/>
          <c:w val="0.18981264677441637"/>
          <c:h val="0.56459299061909751"/>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by Sector - All Funds</a:t>
            </a:r>
          </a:p>
        </c:rich>
      </c:tx>
      <c:overlay val="0"/>
    </c:title>
    <c:autoTitleDeleted val="0"/>
    <c:plotArea>
      <c:layout>
        <c:manualLayout>
          <c:layoutTarget val="inner"/>
          <c:xMode val="edge"/>
          <c:yMode val="edge"/>
          <c:x val="0.20493586160720234"/>
          <c:y val="0.17734791180844861"/>
          <c:w val="0.58717825517523503"/>
          <c:h val="0.75407509107241688"/>
        </c:manualLayout>
      </c:layout>
      <c:pieChart>
        <c:varyColors val="1"/>
        <c:ser>
          <c:idx val="0"/>
          <c:order val="0"/>
          <c:dLbls>
            <c:dLbl>
              <c:idx val="1"/>
              <c:layout>
                <c:manualLayout>
                  <c:x val="-6.4621572576780584E-2"/>
                  <c:y val="4.2485329642331744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77D-48C0-ADDA-5E19A9D3CD21}"/>
                </c:ext>
              </c:extLst>
            </c:dLbl>
            <c:dLbl>
              <c:idx val="7"/>
              <c:layout>
                <c:manualLayout>
                  <c:x val="2.4118998909641292E-2"/>
                  <c:y val="3.938903544892177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77D-48C0-ADDA-5E19A9D3CD21}"/>
                </c:ext>
              </c:extLst>
            </c:dLbl>
            <c:spPr>
              <a:noFill/>
              <a:ln>
                <a:noFill/>
              </a:ln>
              <a:effectLst/>
            </c:spPr>
            <c:txPr>
              <a:bodyPr/>
              <a:lstStyle/>
              <a:p>
                <a:pPr>
                  <a:defRPr sz="7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Dollars'!$A$139,'Summary - Dollars'!$A$146,'Summary - Dollars'!$A$160,'Summary - Dollars'!$A$169,'Summary - Dollars'!$A$177,'Summary - Dollars'!$A$181,'Summary - Dollars'!$A$232,'Summary - Dollars'!$A$245,'Summary - Dollars'!$A$253)</c:f>
              <c:strCache>
                <c:ptCount val="9"/>
                <c:pt idx="0">
                  <c:v>General Academic Institutions</c:v>
                </c:pt>
                <c:pt idx="1">
                  <c:v>University System Offices</c:v>
                </c:pt>
                <c:pt idx="2">
                  <c:v>Health-Related Institutions (Incl BCM)</c:v>
                </c:pt>
                <c:pt idx="3">
                  <c:v>TAMU Agencies</c:v>
                </c:pt>
                <c:pt idx="4">
                  <c:v>Technical Colleges</c:v>
                </c:pt>
                <c:pt idx="5">
                  <c:v>State Colleges</c:v>
                </c:pt>
                <c:pt idx="6">
                  <c:v>Public Community Colleges</c:v>
                </c:pt>
                <c:pt idx="7">
                  <c:v>Higher Education Coordinating Board</c:v>
                </c:pt>
                <c:pt idx="8">
                  <c:v>Other</c:v>
                </c:pt>
              </c:strCache>
            </c:strRef>
          </c:cat>
          <c:val>
            <c:numRef>
              <c:f>('Summary - Dollars'!$G$139,'Summary - Dollars'!$G$146,'Summary - Dollars'!$G$160,'Summary - Dollars'!$G$169,'Summary - Dollars'!$G$177,'Summary - Dollars'!$G$181,'Summary - Dollars'!$G$232,'Summary - Dollars'!$G$245,'Summary - Dollars'!$G$253)</c:f>
              <c:numCache>
                <c:formatCode>_(* #,##0_);_(* \(#,##0\);_(* "-"_);_(@_)</c:formatCode>
                <c:ptCount val="9"/>
                <c:pt idx="0">
                  <c:v>8075031124</c:v>
                </c:pt>
                <c:pt idx="1">
                  <c:v>126566772</c:v>
                </c:pt>
                <c:pt idx="2">
                  <c:v>3805571579</c:v>
                </c:pt>
                <c:pt idx="3">
                  <c:v>4629648524</c:v>
                </c:pt>
                <c:pt idx="4">
                  <c:v>227768205</c:v>
                </c:pt>
                <c:pt idx="5">
                  <c:v>96720248</c:v>
                </c:pt>
                <c:pt idx="6">
                  <c:v>2235880458</c:v>
                </c:pt>
                <c:pt idx="7">
                  <c:v>1692252878</c:v>
                </c:pt>
                <c:pt idx="8">
                  <c:v>3153247676</c:v>
                </c:pt>
              </c:numCache>
            </c:numRef>
          </c:val>
          <c:extLst>
            <c:ext xmlns:c16="http://schemas.microsoft.com/office/drawing/2014/chart" uri="{C3380CC4-5D6E-409C-BE32-E72D297353CC}">
              <c16:uniqueId val="{00000000-9632-4F10-AF94-E0B2B55AEA78}"/>
            </c:ext>
          </c:extLst>
        </c:ser>
        <c:dLbls>
          <c:showLegendKey val="0"/>
          <c:showVal val="0"/>
          <c:showCatName val="0"/>
          <c:showSerName val="0"/>
          <c:showPercent val="0"/>
          <c:showBubbleSize val="0"/>
          <c:showLeaderLines val="1"/>
        </c:dLbls>
        <c:firstSliceAng val="188"/>
      </c:pieChart>
    </c:plotArea>
    <c:plotVisOnly val="1"/>
    <c:dispBlanksAs val="gap"/>
    <c:showDLblsOverMax val="0"/>
  </c:chart>
  <c:spPr>
    <a:ln>
      <a:noFill/>
    </a:ln>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State Appropriations - All Funds</a:t>
            </a:r>
          </a:p>
        </c:rich>
      </c:tx>
      <c:overlay val="0"/>
    </c:title>
    <c:autoTitleDeleted val="0"/>
    <c:plotArea>
      <c:layout>
        <c:manualLayout>
          <c:layoutTarget val="inner"/>
          <c:xMode val="edge"/>
          <c:yMode val="edge"/>
          <c:x val="0.16231560541077772"/>
          <c:y val="0.10738031577828472"/>
          <c:w val="0.64620863572617082"/>
          <c:h val="0.81257327863957129"/>
        </c:manualLayout>
      </c:layout>
      <c:barChart>
        <c:barDir val="col"/>
        <c:grouping val="stacked"/>
        <c:varyColors val="0"/>
        <c:ser>
          <c:idx val="2"/>
          <c:order val="0"/>
          <c:tx>
            <c:strRef>
              <c:f>'Biennia History'!$A$30</c:f>
              <c:strCache>
                <c:ptCount val="1"/>
                <c:pt idx="0">
                  <c:v>Agencies of Education</c:v>
                </c:pt>
              </c:strCache>
            </c:strRef>
          </c:tx>
          <c:invertIfNegative val="0"/>
          <c:cat>
            <c:strRef>
              <c:f>'Biennia History'!$B$27:$F$27</c:f>
              <c:strCache>
                <c:ptCount val="5"/>
                <c:pt idx="0">
                  <c:v>2012 - 2013</c:v>
                </c:pt>
                <c:pt idx="1">
                  <c:v>2014 - 2015</c:v>
                </c:pt>
                <c:pt idx="2">
                  <c:v>2016 - 2017</c:v>
                </c:pt>
                <c:pt idx="3">
                  <c:v>2018 - 2019</c:v>
                </c:pt>
                <c:pt idx="4">
                  <c:v>2020 - 2021</c:v>
                </c:pt>
              </c:strCache>
            </c:strRef>
          </c:cat>
          <c:val>
            <c:numRef>
              <c:f>'Biennia History'!$B$30:$F$30</c:f>
              <c:numCache>
                <c:formatCode>_(* #,##0_);_(* \(#,##0\);_(* "-"_);_(@_)</c:formatCode>
                <c:ptCount val="5"/>
                <c:pt idx="0">
                  <c:v>74862068675</c:v>
                </c:pt>
                <c:pt idx="1">
                  <c:v>74199044813</c:v>
                </c:pt>
                <c:pt idx="2">
                  <c:v>78560786017</c:v>
                </c:pt>
                <c:pt idx="3">
                  <c:v>81002275878</c:v>
                </c:pt>
                <c:pt idx="4">
                  <c:v>95901920858</c:v>
                </c:pt>
              </c:numCache>
            </c:numRef>
          </c:val>
          <c:extLst>
            <c:ext xmlns:c16="http://schemas.microsoft.com/office/drawing/2014/chart" uri="{C3380CC4-5D6E-409C-BE32-E72D297353CC}">
              <c16:uniqueId val="{00000000-BBC1-4F71-92BF-7C63BC0E640C}"/>
            </c:ext>
          </c:extLst>
        </c:ser>
        <c:ser>
          <c:idx val="1"/>
          <c:order val="1"/>
          <c:tx>
            <c:strRef>
              <c:f>'Biennia History'!$A$29</c:f>
              <c:strCache>
                <c:ptCount val="1"/>
                <c:pt idx="0">
                  <c:v>Health and Human Services</c:v>
                </c:pt>
              </c:strCache>
            </c:strRef>
          </c:tx>
          <c:invertIfNegative val="0"/>
          <c:cat>
            <c:strRef>
              <c:f>'Biennia History'!$B$27:$F$27</c:f>
              <c:strCache>
                <c:ptCount val="5"/>
                <c:pt idx="0">
                  <c:v>2012 - 2013</c:v>
                </c:pt>
                <c:pt idx="1">
                  <c:v>2014 - 2015</c:v>
                </c:pt>
                <c:pt idx="2">
                  <c:v>2016 - 2017</c:v>
                </c:pt>
                <c:pt idx="3">
                  <c:v>2018 - 2019</c:v>
                </c:pt>
                <c:pt idx="4">
                  <c:v>2020 - 2021</c:v>
                </c:pt>
              </c:strCache>
            </c:strRef>
          </c:cat>
          <c:val>
            <c:numRef>
              <c:f>'Biennia History'!$B$29:$F$29</c:f>
              <c:numCache>
                <c:formatCode>_(* #,##0_);_(* \(#,##0\);_(* "-"_);_(@_)</c:formatCode>
                <c:ptCount val="5"/>
                <c:pt idx="0">
                  <c:v>56067059761</c:v>
                </c:pt>
                <c:pt idx="1">
                  <c:v>73891925032</c:v>
                </c:pt>
                <c:pt idx="2">
                  <c:v>77199773745</c:v>
                </c:pt>
                <c:pt idx="3">
                  <c:v>78871657229</c:v>
                </c:pt>
                <c:pt idx="4">
                  <c:v>84303829071</c:v>
                </c:pt>
              </c:numCache>
            </c:numRef>
          </c:val>
          <c:extLst>
            <c:ext xmlns:c16="http://schemas.microsoft.com/office/drawing/2014/chart" uri="{C3380CC4-5D6E-409C-BE32-E72D297353CC}">
              <c16:uniqueId val="{00000001-BBC1-4F71-92BF-7C63BC0E640C}"/>
            </c:ext>
          </c:extLst>
        </c:ser>
        <c:ser>
          <c:idx val="4"/>
          <c:order val="2"/>
          <c:tx>
            <c:strRef>
              <c:f>'Biennia History'!$A$38</c:f>
              <c:strCache>
                <c:ptCount val="1"/>
                <c:pt idx="0">
                  <c:v>Other</c:v>
                </c:pt>
              </c:strCache>
            </c:strRef>
          </c:tx>
          <c:invertIfNegative val="0"/>
          <c:cat>
            <c:strRef>
              <c:f>'Biennia History'!$B$27:$F$27</c:f>
              <c:strCache>
                <c:ptCount val="5"/>
                <c:pt idx="0">
                  <c:v>2012 - 2013</c:v>
                </c:pt>
                <c:pt idx="1">
                  <c:v>2014 - 2015</c:v>
                </c:pt>
                <c:pt idx="2">
                  <c:v>2016 - 2017</c:v>
                </c:pt>
                <c:pt idx="3">
                  <c:v>2018 - 2019</c:v>
                </c:pt>
                <c:pt idx="4">
                  <c:v>2020 - 2021</c:v>
                </c:pt>
              </c:strCache>
            </c:strRef>
          </c:cat>
          <c:val>
            <c:numRef>
              <c:f>'Biennia History'!$B$38:$F$38</c:f>
              <c:numCache>
                <c:formatCode>_(* #,##0_);_(* \(#,##0\);_(* "-"_);_(@_)</c:formatCode>
                <c:ptCount val="5"/>
                <c:pt idx="0">
                  <c:v>32038478476</c:v>
                </c:pt>
                <c:pt idx="1">
                  <c:v>35807823155</c:v>
                </c:pt>
                <c:pt idx="2">
                  <c:v>34647964926</c:v>
                </c:pt>
                <c:pt idx="3">
                  <c:v>38189836658</c:v>
                </c:pt>
                <c:pt idx="4">
                  <c:v>48106499279</c:v>
                </c:pt>
              </c:numCache>
            </c:numRef>
          </c:val>
          <c:extLst>
            <c:ext xmlns:c16="http://schemas.microsoft.com/office/drawing/2014/chart" uri="{C3380CC4-5D6E-409C-BE32-E72D297353CC}">
              <c16:uniqueId val="{00000002-BBC1-4F71-92BF-7C63BC0E640C}"/>
            </c:ext>
          </c:extLst>
        </c:ser>
        <c:ser>
          <c:idx val="3"/>
          <c:order val="3"/>
          <c:tx>
            <c:strRef>
              <c:f>'Biennia History'!$A$31</c:f>
              <c:strCache>
                <c:ptCount val="1"/>
                <c:pt idx="0">
                  <c:v>Public Safety and Criminal Justice</c:v>
                </c:pt>
              </c:strCache>
            </c:strRef>
          </c:tx>
          <c:invertIfNegative val="0"/>
          <c:cat>
            <c:strRef>
              <c:f>'Biennia History'!$B$27:$F$27</c:f>
              <c:strCache>
                <c:ptCount val="5"/>
                <c:pt idx="0">
                  <c:v>2012 - 2013</c:v>
                </c:pt>
                <c:pt idx="1">
                  <c:v>2014 - 2015</c:v>
                </c:pt>
                <c:pt idx="2">
                  <c:v>2016 - 2017</c:v>
                </c:pt>
                <c:pt idx="3">
                  <c:v>2018 - 2019</c:v>
                </c:pt>
                <c:pt idx="4">
                  <c:v>2020 - 2021</c:v>
                </c:pt>
              </c:strCache>
            </c:strRef>
          </c:cat>
          <c:val>
            <c:numRef>
              <c:f>'Biennia History'!$B$31:$F$31</c:f>
              <c:numCache>
                <c:formatCode>_(* #,##0_);_(* \(#,##0\);_(* "-"_);_(@_)</c:formatCode>
                <c:ptCount val="5"/>
                <c:pt idx="0">
                  <c:v>11645081802</c:v>
                </c:pt>
                <c:pt idx="1">
                  <c:v>11682047599</c:v>
                </c:pt>
                <c:pt idx="2">
                  <c:v>12432622852</c:v>
                </c:pt>
                <c:pt idx="3">
                  <c:v>12305654059</c:v>
                </c:pt>
                <c:pt idx="4">
                  <c:v>12548895438</c:v>
                </c:pt>
              </c:numCache>
            </c:numRef>
          </c:val>
          <c:extLst>
            <c:ext xmlns:c16="http://schemas.microsoft.com/office/drawing/2014/chart" uri="{C3380CC4-5D6E-409C-BE32-E72D297353CC}">
              <c16:uniqueId val="{00000003-BBC1-4F71-92BF-7C63BC0E640C}"/>
            </c:ext>
          </c:extLst>
        </c:ser>
        <c:ser>
          <c:idx val="0"/>
          <c:order val="4"/>
          <c:tx>
            <c:strRef>
              <c:f>'Biennia History'!$A$28</c:f>
              <c:strCache>
                <c:ptCount val="1"/>
                <c:pt idx="0">
                  <c:v>General Government</c:v>
                </c:pt>
              </c:strCache>
            </c:strRef>
          </c:tx>
          <c:invertIfNegative val="0"/>
          <c:cat>
            <c:strRef>
              <c:f>'Biennia History'!$B$27:$F$27</c:f>
              <c:strCache>
                <c:ptCount val="5"/>
                <c:pt idx="0">
                  <c:v>2012 - 2013</c:v>
                </c:pt>
                <c:pt idx="1">
                  <c:v>2014 - 2015</c:v>
                </c:pt>
                <c:pt idx="2">
                  <c:v>2016 - 2017</c:v>
                </c:pt>
                <c:pt idx="3">
                  <c:v>2018 - 2019</c:v>
                </c:pt>
                <c:pt idx="4">
                  <c:v>2020 - 2021</c:v>
                </c:pt>
              </c:strCache>
            </c:strRef>
          </c:cat>
          <c:val>
            <c:numRef>
              <c:f>'Biennia History'!$B$28:$F$28</c:f>
              <c:numCache>
                <c:formatCode>_("$"* #,##0_);_("$"* \(#,##0\);_("$"* "-"??_);_(@_)</c:formatCode>
                <c:ptCount val="5"/>
                <c:pt idx="0">
                  <c:v>4492870315</c:v>
                </c:pt>
                <c:pt idx="1">
                  <c:v>4840290214</c:v>
                </c:pt>
                <c:pt idx="2">
                  <c:v>6252556685</c:v>
                </c:pt>
                <c:pt idx="3">
                  <c:v>6243090661</c:v>
                </c:pt>
                <c:pt idx="4">
                  <c:v>7452689424</c:v>
                </c:pt>
              </c:numCache>
            </c:numRef>
          </c:val>
          <c:extLst>
            <c:ext xmlns:c16="http://schemas.microsoft.com/office/drawing/2014/chart" uri="{C3380CC4-5D6E-409C-BE32-E72D297353CC}">
              <c16:uniqueId val="{00000004-BBC1-4F71-92BF-7C63BC0E640C}"/>
            </c:ext>
          </c:extLst>
        </c:ser>
        <c:dLbls>
          <c:showLegendKey val="0"/>
          <c:showVal val="0"/>
          <c:showCatName val="0"/>
          <c:showSerName val="0"/>
          <c:showPercent val="0"/>
          <c:showBubbleSize val="0"/>
        </c:dLbls>
        <c:gapWidth val="150"/>
        <c:overlap val="100"/>
        <c:axId val="-619933200"/>
        <c:axId val="-619937008"/>
      </c:barChart>
      <c:catAx>
        <c:axId val="-619933200"/>
        <c:scaling>
          <c:orientation val="minMax"/>
        </c:scaling>
        <c:delete val="0"/>
        <c:axPos val="b"/>
        <c:numFmt formatCode="General" sourceLinked="1"/>
        <c:majorTickMark val="out"/>
        <c:minorTickMark val="none"/>
        <c:tickLblPos val="nextTo"/>
        <c:crossAx val="-619937008"/>
        <c:crosses val="autoZero"/>
        <c:auto val="1"/>
        <c:lblAlgn val="ctr"/>
        <c:lblOffset val="100"/>
        <c:noMultiLvlLbl val="0"/>
      </c:catAx>
      <c:valAx>
        <c:axId val="-619937008"/>
        <c:scaling>
          <c:orientation val="minMax"/>
        </c:scaling>
        <c:delete val="0"/>
        <c:axPos val="l"/>
        <c:majorGridlines/>
        <c:numFmt formatCode="_(* #,##0_);_(* \(#,##0\);_(* &quot;-&quot;_);_(@_)" sourceLinked="1"/>
        <c:majorTickMark val="out"/>
        <c:minorTickMark val="none"/>
        <c:tickLblPos val="nextTo"/>
        <c:crossAx val="-619933200"/>
        <c:crosses val="autoZero"/>
        <c:crossBetween val="between"/>
        <c:dispUnits>
          <c:builtInUnit val="billions"/>
          <c:dispUnitsLbl>
            <c:layout>
              <c:manualLayout>
                <c:xMode val="edge"/>
                <c:yMode val="edge"/>
                <c:x val="5.6140697954449807E-2"/>
                <c:y val="0.42306048192574058"/>
              </c:manualLayout>
            </c:layout>
          </c:dispUnitsLbl>
        </c:dispUnits>
      </c:valAx>
    </c:plotArea>
    <c:legend>
      <c:legendPos val="r"/>
      <c:layout>
        <c:manualLayout>
          <c:xMode val="edge"/>
          <c:yMode val="edge"/>
          <c:x val="0.81434602415724888"/>
          <c:y val="0.1823893508638523"/>
          <c:w val="0.18352113011937551"/>
          <c:h val="0.62062125411893609"/>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Education Appropriations (Article III) - All Funds</a:t>
            </a:r>
          </a:p>
        </c:rich>
      </c:tx>
      <c:overlay val="0"/>
    </c:title>
    <c:autoTitleDeleted val="0"/>
    <c:plotArea>
      <c:layout>
        <c:manualLayout>
          <c:layoutTarget val="inner"/>
          <c:xMode val="edge"/>
          <c:yMode val="edge"/>
          <c:x val="0.16231560541077772"/>
          <c:y val="0.10738031577828472"/>
          <c:w val="0.64620863572617082"/>
          <c:h val="0.81257327863957129"/>
        </c:manualLayout>
      </c:layout>
      <c:barChart>
        <c:barDir val="col"/>
        <c:grouping val="stacked"/>
        <c:varyColors val="0"/>
        <c:ser>
          <c:idx val="5"/>
          <c:order val="0"/>
          <c:tx>
            <c:strRef>
              <c:f>'Biennia History'!$A$68</c:f>
              <c:strCache>
                <c:ptCount val="1"/>
                <c:pt idx="0">
                  <c:v>Tele-Communications Infrastructure Board</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History'!$B$68:$F$68</c:f>
            </c:numRef>
          </c:val>
          <c:extLst>
            <c:ext xmlns:c16="http://schemas.microsoft.com/office/drawing/2014/chart" uri="{C3380CC4-5D6E-409C-BE32-E72D297353CC}">
              <c16:uniqueId val="{00000000-9E39-48FD-B478-FAF4B14A3C10}"/>
            </c:ext>
          </c:extLst>
        </c:ser>
        <c:ser>
          <c:idx val="4"/>
          <c:order val="1"/>
          <c:tx>
            <c:strRef>
              <c:f>'Biennia History'!$A$67</c:f>
              <c:strCache>
                <c:ptCount val="1"/>
                <c:pt idx="0">
                  <c:v>Public Education</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History'!$B$67:$F$67</c:f>
              <c:numCache>
                <c:formatCode>_("$"* #,##0_);_("$"* \(#,##0\);_("$"* "-"_);_(@_)</c:formatCode>
                <c:ptCount val="5"/>
                <c:pt idx="0">
                  <c:v>49183670978</c:v>
                </c:pt>
                <c:pt idx="1">
                  <c:v>52833650862</c:v>
                </c:pt>
                <c:pt idx="2">
                  <c:v>54605895448</c:v>
                </c:pt>
                <c:pt idx="3">
                  <c:v>55488293566</c:v>
                </c:pt>
                <c:pt idx="4">
                  <c:v>64726286180</c:v>
                </c:pt>
              </c:numCache>
            </c:numRef>
          </c:val>
          <c:extLst>
            <c:ext xmlns:c16="http://schemas.microsoft.com/office/drawing/2014/chart" uri="{C3380CC4-5D6E-409C-BE32-E72D297353CC}">
              <c16:uniqueId val="{00000001-9E39-48FD-B478-FAF4B14A3C10}"/>
            </c:ext>
          </c:extLst>
        </c:ser>
        <c:ser>
          <c:idx val="0"/>
          <c:order val="2"/>
          <c:tx>
            <c:strRef>
              <c:f>'Biennia History'!$A$63</c:f>
              <c:strCache>
                <c:ptCount val="1"/>
                <c:pt idx="0">
                  <c:v>Texas Education Agency</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2-9E39-48FD-B478-FAF4B14A3C10}"/>
            </c:ext>
          </c:extLst>
        </c:ser>
        <c:ser>
          <c:idx val="1"/>
          <c:order val="3"/>
          <c:tx>
            <c:strRef>
              <c:f>'Biennia History'!$A$64</c:f>
              <c:strCache>
                <c:ptCount val="1"/>
                <c:pt idx="0">
                  <c:v>State Board for Educator Certification</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3-9E39-48FD-B478-FAF4B14A3C10}"/>
            </c:ext>
          </c:extLst>
        </c:ser>
        <c:ser>
          <c:idx val="7"/>
          <c:order val="4"/>
          <c:tx>
            <c:strRef>
              <c:f>'Biennia History'!$A$74</c:f>
              <c:strCache>
                <c:ptCount val="1"/>
                <c:pt idx="0">
                  <c:v>Higher Education</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History'!$B$74:$F$74</c:f>
              <c:numCache>
                <c:formatCode>_(* #,##0_);_(* \(#,##0\);_(* "-"_);_(@_)</c:formatCode>
                <c:ptCount val="5"/>
                <c:pt idx="0">
                  <c:v>20971681524</c:v>
                </c:pt>
                <c:pt idx="1">
                  <c:v>16561101557</c:v>
                </c:pt>
                <c:pt idx="2">
                  <c:v>18583818723</c:v>
                </c:pt>
                <c:pt idx="3">
                  <c:v>18995547627</c:v>
                </c:pt>
                <c:pt idx="4">
                  <c:v>24042687464</c:v>
                </c:pt>
              </c:numCache>
            </c:numRef>
          </c:val>
          <c:extLst>
            <c:ext xmlns:c16="http://schemas.microsoft.com/office/drawing/2014/chart" uri="{C3380CC4-5D6E-409C-BE32-E72D297353CC}">
              <c16:uniqueId val="{00000004-9E39-48FD-B478-FAF4B14A3C10}"/>
            </c:ext>
          </c:extLst>
        </c:ser>
        <c:ser>
          <c:idx val="2"/>
          <c:order val="5"/>
          <c:tx>
            <c:strRef>
              <c:f>'Biennia History'!$A$65</c:f>
              <c:strCache>
                <c:ptCount val="1"/>
                <c:pt idx="0">
                  <c:v>Texas State School for the Blind and Visually Impaired</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5-9E39-48FD-B478-FAF4B14A3C10}"/>
            </c:ext>
          </c:extLst>
        </c:ser>
        <c:ser>
          <c:idx val="3"/>
          <c:order val="6"/>
          <c:tx>
            <c:strRef>
              <c:f>'Biennia History'!$A$66</c:f>
              <c:strCache>
                <c:ptCount val="1"/>
                <c:pt idx="0">
                  <c:v>Texas State School for the Deaf</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6-9E39-48FD-B478-FAF4B14A3C10}"/>
            </c:ext>
          </c:extLst>
        </c:ser>
        <c:ser>
          <c:idx val="6"/>
          <c:order val="7"/>
          <c:tx>
            <c:strRef>
              <c:f>'Biennia History'!$A$73</c:f>
              <c:strCache>
                <c:ptCount val="1"/>
                <c:pt idx="0">
                  <c:v>Benefits</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History'!$B$73:$F$73</c:f>
              <c:numCache>
                <c:formatCode>_(* #,##0_);_(* \(#,##0\);_(* "-"_);_(@_)</c:formatCode>
                <c:ptCount val="5"/>
                <c:pt idx="0">
                  <c:v>4706716173</c:v>
                </c:pt>
                <c:pt idx="1">
                  <c:v>4804292394</c:v>
                </c:pt>
                <c:pt idx="2">
                  <c:v>5371071846</c:v>
                </c:pt>
                <c:pt idx="3">
                  <c:v>6518434685</c:v>
                </c:pt>
                <c:pt idx="4">
                  <c:v>7132947214</c:v>
                </c:pt>
              </c:numCache>
            </c:numRef>
          </c:val>
          <c:extLst>
            <c:ext xmlns:c16="http://schemas.microsoft.com/office/drawing/2014/chart" uri="{C3380CC4-5D6E-409C-BE32-E72D297353CC}">
              <c16:uniqueId val="{00000007-9E39-48FD-B478-FAF4B14A3C10}"/>
            </c:ext>
          </c:extLst>
        </c:ser>
        <c:dLbls>
          <c:showLegendKey val="0"/>
          <c:showVal val="0"/>
          <c:showCatName val="0"/>
          <c:showSerName val="0"/>
          <c:showPercent val="0"/>
          <c:showBubbleSize val="0"/>
        </c:dLbls>
        <c:gapWidth val="150"/>
        <c:overlap val="100"/>
        <c:axId val="-619934832"/>
        <c:axId val="-619932656"/>
      </c:barChart>
      <c:catAx>
        <c:axId val="-619934832"/>
        <c:scaling>
          <c:orientation val="minMax"/>
        </c:scaling>
        <c:delete val="0"/>
        <c:axPos val="b"/>
        <c:numFmt formatCode="General" sourceLinked="1"/>
        <c:majorTickMark val="out"/>
        <c:minorTickMark val="none"/>
        <c:tickLblPos val="nextTo"/>
        <c:crossAx val="-619932656"/>
        <c:crosses val="autoZero"/>
        <c:auto val="1"/>
        <c:lblAlgn val="ctr"/>
        <c:lblOffset val="100"/>
        <c:noMultiLvlLbl val="0"/>
      </c:catAx>
      <c:valAx>
        <c:axId val="-619932656"/>
        <c:scaling>
          <c:orientation val="minMax"/>
        </c:scaling>
        <c:delete val="0"/>
        <c:axPos val="l"/>
        <c:majorGridlines/>
        <c:numFmt formatCode="_(&quot;$&quot;* #,##0_);_(&quot;$&quot;* \(#,##0\);_(&quot;$&quot;* &quot;-&quot;_);_(@_)" sourceLinked="1"/>
        <c:majorTickMark val="out"/>
        <c:minorTickMark val="none"/>
        <c:tickLblPos val="nextTo"/>
        <c:crossAx val="-619934832"/>
        <c:crosses val="autoZero"/>
        <c:crossBetween val="between"/>
        <c:dispUnits>
          <c:builtInUnit val="billions"/>
          <c:dispUnitsLbl>
            <c:layout>
              <c:manualLayout>
                <c:xMode val="edge"/>
                <c:yMode val="edge"/>
                <c:x val="5.6140697954449807E-2"/>
                <c:y val="0.42306048192574058"/>
              </c:manualLayout>
            </c:layout>
          </c:dispUnitsLbl>
        </c:dispUnits>
      </c:valAx>
    </c:plotArea>
    <c:legend>
      <c:legendPos val="r"/>
      <c:layout>
        <c:manualLayout>
          <c:xMode val="edge"/>
          <c:yMode val="edge"/>
          <c:x val="0.80876928867810705"/>
          <c:y val="0.12787466987187351"/>
          <c:w val="0.18269939672374744"/>
          <c:h val="0.7973589749879396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Education Appropriations (Article III) - General Revenue</a:t>
            </a:r>
          </a:p>
        </c:rich>
      </c:tx>
      <c:overlay val="0"/>
    </c:title>
    <c:autoTitleDeleted val="0"/>
    <c:plotArea>
      <c:layout>
        <c:manualLayout>
          <c:layoutTarget val="inner"/>
          <c:xMode val="edge"/>
          <c:yMode val="edge"/>
          <c:x val="0.16231560541077772"/>
          <c:y val="0.10738031577828472"/>
          <c:w val="0.64620863572617082"/>
          <c:h val="0.81257327863957129"/>
        </c:manualLayout>
      </c:layout>
      <c:barChart>
        <c:barDir val="col"/>
        <c:grouping val="stacked"/>
        <c:varyColors val="0"/>
        <c:ser>
          <c:idx val="5"/>
          <c:order val="0"/>
          <c:tx>
            <c:strRef>
              <c:f>'Biennia History'!$A$68</c:f>
              <c:strCache>
                <c:ptCount val="1"/>
                <c:pt idx="0">
                  <c:v>Tele-Communications Infrastructure Board</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History'!$G$68:$K$68</c:f>
            </c:numRef>
          </c:val>
          <c:extLst>
            <c:ext xmlns:c16="http://schemas.microsoft.com/office/drawing/2014/chart" uri="{C3380CC4-5D6E-409C-BE32-E72D297353CC}">
              <c16:uniqueId val="{00000000-8391-4388-9C21-048599F1441A}"/>
            </c:ext>
          </c:extLst>
        </c:ser>
        <c:ser>
          <c:idx val="4"/>
          <c:order val="1"/>
          <c:tx>
            <c:strRef>
              <c:f>'Biennia History'!$A$67</c:f>
              <c:strCache>
                <c:ptCount val="1"/>
                <c:pt idx="0">
                  <c:v>Public Education</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History'!$G$67:$K$67</c:f>
              <c:numCache>
                <c:formatCode>_("$"* #,##0_);_("$"* \(#,##0\);_("$"* "-"_);_(@_)</c:formatCode>
                <c:ptCount val="5"/>
                <c:pt idx="0">
                  <c:v>32292593951</c:v>
                </c:pt>
                <c:pt idx="1">
                  <c:v>34372558054</c:v>
                </c:pt>
                <c:pt idx="2">
                  <c:v>37543616890</c:v>
                </c:pt>
                <c:pt idx="3">
                  <c:v>36683711114</c:v>
                </c:pt>
                <c:pt idx="4">
                  <c:v>44798583156</c:v>
                </c:pt>
              </c:numCache>
            </c:numRef>
          </c:val>
          <c:extLst>
            <c:ext xmlns:c16="http://schemas.microsoft.com/office/drawing/2014/chart" uri="{C3380CC4-5D6E-409C-BE32-E72D297353CC}">
              <c16:uniqueId val="{00000001-8391-4388-9C21-048599F1441A}"/>
            </c:ext>
          </c:extLst>
        </c:ser>
        <c:ser>
          <c:idx val="7"/>
          <c:order val="2"/>
          <c:tx>
            <c:strRef>
              <c:f>'Biennia History'!$A$74</c:f>
              <c:strCache>
                <c:ptCount val="1"/>
                <c:pt idx="0">
                  <c:v>Higher Education</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History'!$G$74:$K$74</c:f>
              <c:numCache>
                <c:formatCode>_(* #,##0_);_(* \(#,##0\);_(* "-"_);_(@_)</c:formatCode>
                <c:ptCount val="5"/>
                <c:pt idx="0">
                  <c:v>11433158274</c:v>
                </c:pt>
                <c:pt idx="1">
                  <c:v>12164549551</c:v>
                </c:pt>
                <c:pt idx="2">
                  <c:v>13585391933</c:v>
                </c:pt>
                <c:pt idx="3">
                  <c:v>13837103705</c:v>
                </c:pt>
                <c:pt idx="4">
                  <c:v>14864231851.231262</c:v>
                </c:pt>
              </c:numCache>
            </c:numRef>
          </c:val>
          <c:extLst>
            <c:ext xmlns:c16="http://schemas.microsoft.com/office/drawing/2014/chart" uri="{C3380CC4-5D6E-409C-BE32-E72D297353CC}">
              <c16:uniqueId val="{00000002-8391-4388-9C21-048599F1441A}"/>
            </c:ext>
          </c:extLst>
        </c:ser>
        <c:ser>
          <c:idx val="0"/>
          <c:order val="3"/>
          <c:tx>
            <c:strRef>
              <c:f>'Biennia History'!$A$63</c:f>
              <c:strCache>
                <c:ptCount val="1"/>
                <c:pt idx="0">
                  <c:v>Texas Education Agency</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3-8391-4388-9C21-048599F1441A}"/>
            </c:ext>
          </c:extLst>
        </c:ser>
        <c:ser>
          <c:idx val="6"/>
          <c:order val="4"/>
          <c:tx>
            <c:strRef>
              <c:f>'Biennia History'!$A$73</c:f>
              <c:strCache>
                <c:ptCount val="1"/>
                <c:pt idx="0">
                  <c:v>Benefits</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History'!$G$73:$K$73</c:f>
              <c:numCache>
                <c:formatCode>_(* #,##0_);_(* \(#,##0\);_(* "-"_);_(@_)</c:formatCode>
                <c:ptCount val="5"/>
                <c:pt idx="0">
                  <c:v>4181801716</c:v>
                </c:pt>
                <c:pt idx="1">
                  <c:v>4223287954</c:v>
                </c:pt>
                <c:pt idx="2">
                  <c:v>4870130752</c:v>
                </c:pt>
                <c:pt idx="3">
                  <c:v>5938982130</c:v>
                </c:pt>
                <c:pt idx="4">
                  <c:v>6052122956</c:v>
                </c:pt>
              </c:numCache>
            </c:numRef>
          </c:val>
          <c:extLst>
            <c:ext xmlns:c16="http://schemas.microsoft.com/office/drawing/2014/chart" uri="{C3380CC4-5D6E-409C-BE32-E72D297353CC}">
              <c16:uniqueId val="{00000004-8391-4388-9C21-048599F1441A}"/>
            </c:ext>
          </c:extLst>
        </c:ser>
        <c:ser>
          <c:idx val="1"/>
          <c:order val="5"/>
          <c:tx>
            <c:strRef>
              <c:f>'Biennia History'!$A$64</c:f>
              <c:strCache>
                <c:ptCount val="1"/>
                <c:pt idx="0">
                  <c:v>State Board for Educator Certification</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5-8391-4388-9C21-048599F1441A}"/>
            </c:ext>
          </c:extLst>
        </c:ser>
        <c:ser>
          <c:idx val="2"/>
          <c:order val="6"/>
          <c:tx>
            <c:strRef>
              <c:f>'Biennia History'!$A$65</c:f>
              <c:strCache>
                <c:ptCount val="1"/>
                <c:pt idx="0">
                  <c:v>Texas State School for the Blind and Visually Impaired</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6-8391-4388-9C21-048599F1441A}"/>
            </c:ext>
          </c:extLst>
        </c:ser>
        <c:ser>
          <c:idx val="3"/>
          <c:order val="7"/>
          <c:tx>
            <c:strRef>
              <c:f>'Biennia History'!$A$66</c:f>
              <c:strCache>
                <c:ptCount val="1"/>
                <c:pt idx="0">
                  <c:v>Texas State School for the Deaf</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7-8391-4388-9C21-048599F1441A}"/>
            </c:ext>
          </c:extLst>
        </c:ser>
        <c:dLbls>
          <c:showLegendKey val="0"/>
          <c:showVal val="0"/>
          <c:showCatName val="0"/>
          <c:showSerName val="0"/>
          <c:showPercent val="0"/>
          <c:showBubbleSize val="0"/>
        </c:dLbls>
        <c:gapWidth val="150"/>
        <c:overlap val="100"/>
        <c:axId val="-619951152"/>
        <c:axId val="-619928848"/>
      </c:barChart>
      <c:catAx>
        <c:axId val="-619951152"/>
        <c:scaling>
          <c:orientation val="minMax"/>
        </c:scaling>
        <c:delete val="0"/>
        <c:axPos val="b"/>
        <c:numFmt formatCode="General" sourceLinked="1"/>
        <c:majorTickMark val="out"/>
        <c:minorTickMark val="none"/>
        <c:tickLblPos val="nextTo"/>
        <c:crossAx val="-619928848"/>
        <c:crosses val="autoZero"/>
        <c:auto val="1"/>
        <c:lblAlgn val="ctr"/>
        <c:lblOffset val="100"/>
        <c:noMultiLvlLbl val="0"/>
      </c:catAx>
      <c:valAx>
        <c:axId val="-619928848"/>
        <c:scaling>
          <c:orientation val="minMax"/>
        </c:scaling>
        <c:delete val="0"/>
        <c:axPos val="l"/>
        <c:majorGridlines/>
        <c:numFmt formatCode="_(&quot;$&quot;* #,##0_);_(&quot;$&quot;* \(#,##0\);_(&quot;$&quot;* &quot;-&quot;_);_(@_)" sourceLinked="1"/>
        <c:majorTickMark val="out"/>
        <c:minorTickMark val="none"/>
        <c:tickLblPos val="nextTo"/>
        <c:crossAx val="-619951152"/>
        <c:crosses val="autoZero"/>
        <c:crossBetween val="between"/>
        <c:dispUnits>
          <c:builtInUnit val="billions"/>
          <c:dispUnitsLbl>
            <c:layout>
              <c:manualLayout>
                <c:xMode val="edge"/>
                <c:yMode val="edge"/>
                <c:x val="5.6140697954449807E-2"/>
                <c:y val="0.42306048192574058"/>
              </c:manualLayout>
            </c:layout>
          </c:dispUnitsLbl>
        </c:dispUnits>
      </c:valAx>
    </c:plotArea>
    <c:legend>
      <c:legendPos val="r"/>
      <c:layout>
        <c:manualLayout>
          <c:xMode val="edge"/>
          <c:yMode val="edge"/>
          <c:x val="0.81098044336497743"/>
          <c:y val="0.13202835626855056"/>
          <c:w val="0.18269939672374744"/>
          <c:h val="0.78905160219458548"/>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State Appropriations</a:t>
            </a:r>
            <a:r>
              <a:rPr lang="en-US" sz="1200" baseline="0">
                <a:latin typeface="Tahoma" pitchFamily="34" charset="0"/>
                <a:ea typeface="Tahoma" pitchFamily="34" charset="0"/>
                <a:cs typeface="Tahoma" pitchFamily="34" charset="0"/>
              </a:rPr>
              <a:t> by Sector - All Funds</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13976041072447234"/>
          <c:y val="0.10738031577828472"/>
          <c:w val="0.64620863572617082"/>
          <c:h val="0.81257327863957129"/>
        </c:manualLayout>
      </c:layout>
      <c:barChart>
        <c:barDir val="col"/>
        <c:grouping val="stacked"/>
        <c:varyColors val="0"/>
        <c:ser>
          <c:idx val="4"/>
          <c:order val="0"/>
          <c:tx>
            <c:strRef>
              <c:f>'Biennia History'!$A$139</c:f>
              <c:strCache>
                <c:ptCount val="1"/>
                <c:pt idx="0">
                  <c:v>General Academic Institutions</c:v>
                </c:pt>
              </c:strCache>
            </c:strRef>
          </c:tx>
          <c:invertIfNegative val="0"/>
          <c:cat>
            <c:strRef>
              <c:f>'Biennia History'!$B$99:$F$99</c:f>
              <c:strCache>
                <c:ptCount val="5"/>
                <c:pt idx="0">
                  <c:v>2012 - 2013</c:v>
                </c:pt>
                <c:pt idx="1">
                  <c:v>2014 - 2015</c:v>
                </c:pt>
                <c:pt idx="2">
                  <c:v>2016 - 2017</c:v>
                </c:pt>
                <c:pt idx="3">
                  <c:v>2018 - 2019</c:v>
                </c:pt>
                <c:pt idx="4">
                  <c:v>2020 - 2021</c:v>
                </c:pt>
              </c:strCache>
            </c:strRef>
          </c:cat>
          <c:val>
            <c:numRef>
              <c:f>'Biennia History'!$B$139:$F$139</c:f>
              <c:numCache>
                <c:formatCode>_(* #,##0_);_(* \(#,##0\);_(* "-"_);_(@_)</c:formatCode>
                <c:ptCount val="5"/>
                <c:pt idx="0">
                  <c:v>6225395202</c:v>
                </c:pt>
                <c:pt idx="1">
                  <c:v>6829526653</c:v>
                </c:pt>
                <c:pt idx="2">
                  <c:v>7431862426</c:v>
                </c:pt>
                <c:pt idx="3">
                  <c:v>7677329296</c:v>
                </c:pt>
                <c:pt idx="4">
                  <c:v>8075031124</c:v>
                </c:pt>
              </c:numCache>
            </c:numRef>
          </c:val>
          <c:extLst>
            <c:ext xmlns:c16="http://schemas.microsoft.com/office/drawing/2014/chart" uri="{C3380CC4-5D6E-409C-BE32-E72D297353CC}">
              <c16:uniqueId val="{00000000-AEBC-495A-9F92-D3DEBFEC3C6D}"/>
            </c:ext>
          </c:extLst>
        </c:ser>
        <c:ser>
          <c:idx val="12"/>
          <c:order val="1"/>
          <c:tx>
            <c:strRef>
              <c:f>'Biennia History'!$A$181</c:f>
              <c:strCache>
                <c:ptCount val="1"/>
                <c:pt idx="0">
                  <c:v>State Colleges</c:v>
                </c:pt>
              </c:strCache>
            </c:strRef>
          </c:tx>
          <c:invertIfNegative val="0"/>
          <c:cat>
            <c:strRef>
              <c:f>'Biennia History'!$B$99:$F$99</c:f>
              <c:strCache>
                <c:ptCount val="5"/>
                <c:pt idx="0">
                  <c:v>2012 - 2013</c:v>
                </c:pt>
                <c:pt idx="1">
                  <c:v>2014 - 2015</c:v>
                </c:pt>
                <c:pt idx="2">
                  <c:v>2016 - 2017</c:v>
                </c:pt>
                <c:pt idx="3">
                  <c:v>2018 - 2019</c:v>
                </c:pt>
                <c:pt idx="4">
                  <c:v>2020 - 2021</c:v>
                </c:pt>
              </c:strCache>
            </c:strRef>
          </c:cat>
          <c:val>
            <c:numRef>
              <c:f>'Biennia History'!$B$181:$F$181</c:f>
              <c:numCache>
                <c:formatCode>_(* #,##0_);_(* \(#,##0\);_(* "-"_);_(@_)</c:formatCode>
                <c:ptCount val="5"/>
                <c:pt idx="0">
                  <c:v>74892919</c:v>
                </c:pt>
                <c:pt idx="1">
                  <c:v>75179497</c:v>
                </c:pt>
                <c:pt idx="2">
                  <c:v>73375802</c:v>
                </c:pt>
                <c:pt idx="3">
                  <c:v>75299858</c:v>
                </c:pt>
                <c:pt idx="4">
                  <c:v>96720248</c:v>
                </c:pt>
              </c:numCache>
            </c:numRef>
          </c:val>
          <c:extLst>
            <c:ext xmlns:c16="http://schemas.microsoft.com/office/drawing/2014/chart" uri="{C3380CC4-5D6E-409C-BE32-E72D297353CC}">
              <c16:uniqueId val="{00000001-AEBC-495A-9F92-D3DEBFEC3C6D}"/>
            </c:ext>
          </c:extLst>
        </c:ser>
        <c:ser>
          <c:idx val="6"/>
          <c:order val="2"/>
          <c:tx>
            <c:strRef>
              <c:f>'Biennia History'!$A$160</c:f>
              <c:strCache>
                <c:ptCount val="1"/>
                <c:pt idx="0">
                  <c:v>Health-Related Institutions (Incl BCM)</c:v>
                </c:pt>
              </c:strCache>
            </c:strRef>
          </c:tx>
          <c:invertIfNegative val="0"/>
          <c:cat>
            <c:strRef>
              <c:f>'Biennia History'!$B$99:$F$99</c:f>
              <c:strCache>
                <c:ptCount val="5"/>
                <c:pt idx="0">
                  <c:v>2012 - 2013</c:v>
                </c:pt>
                <c:pt idx="1">
                  <c:v>2014 - 2015</c:v>
                </c:pt>
                <c:pt idx="2">
                  <c:v>2016 - 2017</c:v>
                </c:pt>
                <c:pt idx="3">
                  <c:v>2018 - 2019</c:v>
                </c:pt>
                <c:pt idx="4">
                  <c:v>2020 - 2021</c:v>
                </c:pt>
              </c:strCache>
            </c:strRef>
          </c:cat>
          <c:val>
            <c:numRef>
              <c:f>'Biennia History'!$B$160:$F$160</c:f>
              <c:numCache>
                <c:formatCode>_(* #,##0_);_(* \(#,##0\);_(* "-"_);_(@_)</c:formatCode>
                <c:ptCount val="5"/>
                <c:pt idx="0">
                  <c:v>8419056002</c:v>
                </c:pt>
                <c:pt idx="1">
                  <c:v>3158944654</c:v>
                </c:pt>
                <c:pt idx="2">
                  <c:v>3391893001</c:v>
                </c:pt>
                <c:pt idx="3">
                  <c:v>3586916525</c:v>
                </c:pt>
                <c:pt idx="4">
                  <c:v>3805571579</c:v>
                </c:pt>
              </c:numCache>
            </c:numRef>
          </c:val>
          <c:extLst>
            <c:ext xmlns:c16="http://schemas.microsoft.com/office/drawing/2014/chart" uri="{C3380CC4-5D6E-409C-BE32-E72D297353CC}">
              <c16:uniqueId val="{00000002-AEBC-495A-9F92-D3DEBFEC3C6D}"/>
            </c:ext>
          </c:extLst>
        </c:ser>
        <c:ser>
          <c:idx val="9"/>
          <c:order val="3"/>
          <c:tx>
            <c:strRef>
              <c:f>'Biennia History'!$A$232</c:f>
              <c:strCache>
                <c:ptCount val="1"/>
                <c:pt idx="0">
                  <c:v>Public Community Colleges</c:v>
                </c:pt>
              </c:strCache>
            </c:strRef>
          </c:tx>
          <c:invertIfNegative val="0"/>
          <c:cat>
            <c:strRef>
              <c:f>'Biennia History'!$B$99:$F$99</c:f>
              <c:strCache>
                <c:ptCount val="5"/>
                <c:pt idx="0">
                  <c:v>2012 - 2013</c:v>
                </c:pt>
                <c:pt idx="1">
                  <c:v>2014 - 2015</c:v>
                </c:pt>
                <c:pt idx="2">
                  <c:v>2016 - 2017</c:v>
                </c:pt>
                <c:pt idx="3">
                  <c:v>2018 - 2019</c:v>
                </c:pt>
                <c:pt idx="4">
                  <c:v>2020 - 2021</c:v>
                </c:pt>
              </c:strCache>
            </c:strRef>
          </c:cat>
          <c:val>
            <c:numRef>
              <c:f>'Biennia History'!$B$232:$F$232</c:f>
              <c:numCache>
                <c:formatCode>_(* #,##0_);_(* \(#,##0\);_(* "-"_);_(@_)</c:formatCode>
                <c:ptCount val="5"/>
                <c:pt idx="0">
                  <c:v>1947779003</c:v>
                </c:pt>
                <c:pt idx="1">
                  <c:v>2072606651</c:v>
                </c:pt>
                <c:pt idx="2">
                  <c:v>2097422262</c:v>
                </c:pt>
                <c:pt idx="3">
                  <c:v>2159459114</c:v>
                </c:pt>
                <c:pt idx="4">
                  <c:v>2235880458</c:v>
                </c:pt>
              </c:numCache>
            </c:numRef>
          </c:val>
          <c:extLst>
            <c:ext xmlns:c16="http://schemas.microsoft.com/office/drawing/2014/chart" uri="{C3380CC4-5D6E-409C-BE32-E72D297353CC}">
              <c16:uniqueId val="{00000003-AEBC-495A-9F92-D3DEBFEC3C6D}"/>
            </c:ext>
          </c:extLst>
        </c:ser>
        <c:ser>
          <c:idx val="10"/>
          <c:order val="4"/>
          <c:tx>
            <c:strRef>
              <c:f>'Biennia History'!$A$245</c:f>
              <c:strCache>
                <c:ptCount val="1"/>
                <c:pt idx="0">
                  <c:v>Higher Education Coordinating Board</c:v>
                </c:pt>
              </c:strCache>
            </c:strRef>
          </c:tx>
          <c:invertIfNegative val="0"/>
          <c:cat>
            <c:strRef>
              <c:f>'Biennia History'!$B$99:$F$99</c:f>
              <c:strCache>
                <c:ptCount val="5"/>
                <c:pt idx="0">
                  <c:v>2012 - 2013</c:v>
                </c:pt>
                <c:pt idx="1">
                  <c:v>2014 - 2015</c:v>
                </c:pt>
                <c:pt idx="2">
                  <c:v>2016 - 2017</c:v>
                </c:pt>
                <c:pt idx="3">
                  <c:v>2018 - 2019</c:v>
                </c:pt>
                <c:pt idx="4">
                  <c:v>2020 - 2021</c:v>
                </c:pt>
              </c:strCache>
            </c:strRef>
          </c:cat>
          <c:val>
            <c:numRef>
              <c:f>'Biennia History'!$B$245:$F$245</c:f>
              <c:numCache>
                <c:formatCode>_(* #,##0_);_(* \(#,##0\);_(* "-"_);_(@_)</c:formatCode>
                <c:ptCount val="5"/>
                <c:pt idx="0">
                  <c:v>1290688327</c:v>
                </c:pt>
                <c:pt idx="1">
                  <c:v>1396222502</c:v>
                </c:pt>
                <c:pt idx="2">
                  <c:v>1906971664</c:v>
                </c:pt>
                <c:pt idx="3">
                  <c:v>1481261927</c:v>
                </c:pt>
                <c:pt idx="4">
                  <c:v>1692252878</c:v>
                </c:pt>
              </c:numCache>
            </c:numRef>
          </c:val>
          <c:extLst>
            <c:ext xmlns:c16="http://schemas.microsoft.com/office/drawing/2014/chart" uri="{C3380CC4-5D6E-409C-BE32-E72D297353CC}">
              <c16:uniqueId val="{00000004-AEBC-495A-9F92-D3DEBFEC3C6D}"/>
            </c:ext>
          </c:extLst>
        </c:ser>
        <c:ser>
          <c:idx val="7"/>
          <c:order val="5"/>
          <c:tx>
            <c:strRef>
              <c:f>'Biennia History'!$A$169</c:f>
              <c:strCache>
                <c:ptCount val="1"/>
                <c:pt idx="0">
                  <c:v>TAMU Agencies</c:v>
                </c:pt>
              </c:strCache>
            </c:strRef>
          </c:tx>
          <c:invertIfNegative val="0"/>
          <c:cat>
            <c:strRef>
              <c:f>'Biennia History'!$B$99:$F$99</c:f>
              <c:strCache>
                <c:ptCount val="5"/>
                <c:pt idx="0">
                  <c:v>2012 - 2013</c:v>
                </c:pt>
                <c:pt idx="1">
                  <c:v>2014 - 2015</c:v>
                </c:pt>
                <c:pt idx="2">
                  <c:v>2016 - 2017</c:v>
                </c:pt>
                <c:pt idx="3">
                  <c:v>2018 - 2019</c:v>
                </c:pt>
                <c:pt idx="4">
                  <c:v>2020 - 2021</c:v>
                </c:pt>
              </c:strCache>
            </c:strRef>
          </c:cat>
          <c:val>
            <c:numRef>
              <c:f>'Biennia History'!$B$169:$F$169</c:f>
              <c:numCache>
                <c:formatCode>_(* #,##0_);_(* \(#,##0\);_(* "-"_);_(@_)</c:formatCode>
                <c:ptCount val="5"/>
                <c:pt idx="0">
                  <c:v>1224347750</c:v>
                </c:pt>
                <c:pt idx="1">
                  <c:v>970370483</c:v>
                </c:pt>
                <c:pt idx="2">
                  <c:v>1041308623</c:v>
                </c:pt>
                <c:pt idx="3">
                  <c:v>1071778886</c:v>
                </c:pt>
                <c:pt idx="4">
                  <c:v>4629648524</c:v>
                </c:pt>
              </c:numCache>
            </c:numRef>
          </c:val>
          <c:extLst>
            <c:ext xmlns:c16="http://schemas.microsoft.com/office/drawing/2014/chart" uri="{C3380CC4-5D6E-409C-BE32-E72D297353CC}">
              <c16:uniqueId val="{00000005-AEBC-495A-9F92-D3DEBFEC3C6D}"/>
            </c:ext>
          </c:extLst>
        </c:ser>
        <c:ser>
          <c:idx val="0"/>
          <c:order val="6"/>
          <c:tx>
            <c:strRef>
              <c:f>'Biennia History'!$A$63</c:f>
              <c:strCache>
                <c:ptCount val="1"/>
                <c:pt idx="0">
                  <c:v>Texas Education Agency</c:v>
                </c:pt>
              </c:strCache>
            </c:strRef>
          </c:tx>
          <c:invertIfNegative val="0"/>
          <c:cat>
            <c:strRef>
              <c:f>'Biennia History'!$B$99:$F$99</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6-AEBC-495A-9F92-D3DEBFEC3C6D}"/>
            </c:ext>
          </c:extLst>
        </c:ser>
        <c:ser>
          <c:idx val="11"/>
          <c:order val="7"/>
          <c:tx>
            <c:strRef>
              <c:f>'Biennia History'!$A$253</c:f>
              <c:strCache>
                <c:ptCount val="1"/>
                <c:pt idx="0">
                  <c:v>Other</c:v>
                </c:pt>
              </c:strCache>
            </c:strRef>
          </c:tx>
          <c:invertIfNegative val="0"/>
          <c:cat>
            <c:strRef>
              <c:f>'Biennia History'!$B$99:$F$99</c:f>
              <c:strCache>
                <c:ptCount val="5"/>
                <c:pt idx="0">
                  <c:v>2012 - 2013</c:v>
                </c:pt>
                <c:pt idx="1">
                  <c:v>2014 - 2015</c:v>
                </c:pt>
                <c:pt idx="2">
                  <c:v>2016 - 2017</c:v>
                </c:pt>
                <c:pt idx="3">
                  <c:v>2018 - 2019</c:v>
                </c:pt>
                <c:pt idx="4">
                  <c:v>2020 - 2021</c:v>
                </c:pt>
              </c:strCache>
            </c:strRef>
          </c:cat>
          <c:val>
            <c:numRef>
              <c:f>'Biennia History'!$B$253:$F$253</c:f>
              <c:numCache>
                <c:formatCode>_(* #,##0_);_(* \(#,##0\);_(* "-"_);_(@_)</c:formatCode>
                <c:ptCount val="5"/>
                <c:pt idx="0">
                  <c:v>1516221334</c:v>
                </c:pt>
                <c:pt idx="1">
                  <c:v>1811663163</c:v>
                </c:pt>
                <c:pt idx="2">
                  <c:v>2330907595</c:v>
                </c:pt>
                <c:pt idx="3">
                  <c:v>2573293163</c:v>
                </c:pt>
                <c:pt idx="4">
                  <c:v>3153247676</c:v>
                </c:pt>
              </c:numCache>
            </c:numRef>
          </c:val>
          <c:extLst>
            <c:ext xmlns:c16="http://schemas.microsoft.com/office/drawing/2014/chart" uri="{C3380CC4-5D6E-409C-BE32-E72D297353CC}">
              <c16:uniqueId val="{00000007-AEBC-495A-9F92-D3DEBFEC3C6D}"/>
            </c:ext>
          </c:extLst>
        </c:ser>
        <c:ser>
          <c:idx val="8"/>
          <c:order val="8"/>
          <c:tx>
            <c:strRef>
              <c:f>'Biennia History'!$A$177</c:f>
              <c:strCache>
                <c:ptCount val="1"/>
                <c:pt idx="0">
                  <c:v>Technical Colleges</c:v>
                </c:pt>
              </c:strCache>
            </c:strRef>
          </c:tx>
          <c:invertIfNegative val="0"/>
          <c:cat>
            <c:strRef>
              <c:f>'Biennia History'!$B$99:$F$99</c:f>
              <c:strCache>
                <c:ptCount val="5"/>
                <c:pt idx="0">
                  <c:v>2012 - 2013</c:v>
                </c:pt>
                <c:pt idx="1">
                  <c:v>2014 - 2015</c:v>
                </c:pt>
                <c:pt idx="2">
                  <c:v>2016 - 2017</c:v>
                </c:pt>
                <c:pt idx="3">
                  <c:v>2018 - 2019</c:v>
                </c:pt>
                <c:pt idx="4">
                  <c:v>2020 - 2021</c:v>
                </c:pt>
              </c:strCache>
            </c:strRef>
          </c:cat>
          <c:val>
            <c:numRef>
              <c:f>'Biennia History'!$B$177:$F$177</c:f>
              <c:numCache>
                <c:formatCode>_(* #,##0_);_(* \(#,##0\);_(* "-"_);_(@_)</c:formatCode>
                <c:ptCount val="5"/>
                <c:pt idx="0">
                  <c:v>180900309</c:v>
                </c:pt>
                <c:pt idx="1">
                  <c:v>190972760</c:v>
                </c:pt>
                <c:pt idx="2">
                  <c:v>211641600</c:v>
                </c:pt>
                <c:pt idx="3">
                  <c:v>224527757</c:v>
                </c:pt>
                <c:pt idx="4">
                  <c:v>227768205</c:v>
                </c:pt>
              </c:numCache>
            </c:numRef>
          </c:val>
          <c:extLst>
            <c:ext xmlns:c16="http://schemas.microsoft.com/office/drawing/2014/chart" uri="{C3380CC4-5D6E-409C-BE32-E72D297353CC}">
              <c16:uniqueId val="{00000008-AEBC-495A-9F92-D3DEBFEC3C6D}"/>
            </c:ext>
          </c:extLst>
        </c:ser>
        <c:ser>
          <c:idx val="1"/>
          <c:order val="9"/>
          <c:tx>
            <c:strRef>
              <c:f>'Biennia History'!$A$64</c:f>
              <c:strCache>
                <c:ptCount val="1"/>
                <c:pt idx="0">
                  <c:v>State Board for Educator Certification</c:v>
                </c:pt>
              </c:strCache>
            </c:strRef>
          </c:tx>
          <c:invertIfNegative val="0"/>
          <c:cat>
            <c:strRef>
              <c:f>'Biennia History'!$B$99:$F$99</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9-AEBC-495A-9F92-D3DEBFEC3C6D}"/>
            </c:ext>
          </c:extLst>
        </c:ser>
        <c:ser>
          <c:idx val="2"/>
          <c:order val="10"/>
          <c:tx>
            <c:strRef>
              <c:f>'Biennia History'!$A$65</c:f>
              <c:strCache>
                <c:ptCount val="1"/>
                <c:pt idx="0">
                  <c:v>Texas State School for the Blind and Visually Impaired</c:v>
                </c:pt>
              </c:strCache>
            </c:strRef>
          </c:tx>
          <c:invertIfNegative val="0"/>
          <c:cat>
            <c:strRef>
              <c:f>'Biennia History'!$B$99:$F$99</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A-AEBC-495A-9F92-D3DEBFEC3C6D}"/>
            </c:ext>
          </c:extLst>
        </c:ser>
        <c:ser>
          <c:idx val="3"/>
          <c:order val="11"/>
          <c:tx>
            <c:strRef>
              <c:f>'Biennia History'!$A$66</c:f>
              <c:strCache>
                <c:ptCount val="1"/>
                <c:pt idx="0">
                  <c:v>Texas State School for the Deaf</c:v>
                </c:pt>
              </c:strCache>
            </c:strRef>
          </c:tx>
          <c:invertIfNegative val="0"/>
          <c:cat>
            <c:strRef>
              <c:f>'Biennia History'!$B$99:$F$99</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B-AEBC-495A-9F92-D3DEBFEC3C6D}"/>
            </c:ext>
          </c:extLst>
        </c:ser>
        <c:ser>
          <c:idx val="5"/>
          <c:order val="12"/>
          <c:tx>
            <c:strRef>
              <c:f>'Biennia History'!$A$146</c:f>
              <c:strCache>
                <c:ptCount val="1"/>
                <c:pt idx="0">
                  <c:v>University System Offices</c:v>
                </c:pt>
              </c:strCache>
            </c:strRef>
          </c:tx>
          <c:invertIfNegative val="0"/>
          <c:cat>
            <c:strRef>
              <c:f>'Biennia History'!$B$99:$F$99</c:f>
              <c:strCache>
                <c:ptCount val="5"/>
                <c:pt idx="0">
                  <c:v>2012 - 2013</c:v>
                </c:pt>
                <c:pt idx="1">
                  <c:v>2014 - 2015</c:v>
                </c:pt>
                <c:pt idx="2">
                  <c:v>2016 - 2017</c:v>
                </c:pt>
                <c:pt idx="3">
                  <c:v>2018 - 2019</c:v>
                </c:pt>
                <c:pt idx="4">
                  <c:v>2020 - 2021</c:v>
                </c:pt>
              </c:strCache>
            </c:strRef>
          </c:cat>
          <c:val>
            <c:numRef>
              <c:f>'Biennia History'!$B$146:$F$146</c:f>
              <c:numCache>
                <c:formatCode>_(* #,##0_);_(* \(#,##0\);_(* "-"_);_(@_)</c:formatCode>
                <c:ptCount val="5"/>
                <c:pt idx="0">
                  <c:v>92400678</c:v>
                </c:pt>
                <c:pt idx="1">
                  <c:v>55615194</c:v>
                </c:pt>
                <c:pt idx="2">
                  <c:v>98435750</c:v>
                </c:pt>
                <c:pt idx="3">
                  <c:v>145681101</c:v>
                </c:pt>
                <c:pt idx="4">
                  <c:v>126566772</c:v>
                </c:pt>
              </c:numCache>
            </c:numRef>
          </c:val>
          <c:extLst>
            <c:ext xmlns:c16="http://schemas.microsoft.com/office/drawing/2014/chart" uri="{C3380CC4-5D6E-409C-BE32-E72D297353CC}">
              <c16:uniqueId val="{0000000C-AEBC-495A-9F92-D3DEBFEC3C6D}"/>
            </c:ext>
          </c:extLst>
        </c:ser>
        <c:dLbls>
          <c:showLegendKey val="0"/>
          <c:showVal val="0"/>
          <c:showCatName val="0"/>
          <c:showSerName val="0"/>
          <c:showPercent val="0"/>
          <c:showBubbleSize val="0"/>
        </c:dLbls>
        <c:gapWidth val="150"/>
        <c:overlap val="100"/>
        <c:axId val="-619931024"/>
        <c:axId val="-619936464"/>
      </c:barChart>
      <c:catAx>
        <c:axId val="-619931024"/>
        <c:scaling>
          <c:orientation val="minMax"/>
        </c:scaling>
        <c:delete val="0"/>
        <c:axPos val="b"/>
        <c:numFmt formatCode="General" sourceLinked="1"/>
        <c:majorTickMark val="out"/>
        <c:minorTickMark val="none"/>
        <c:tickLblPos val="nextTo"/>
        <c:crossAx val="-619936464"/>
        <c:crosses val="autoZero"/>
        <c:auto val="1"/>
        <c:lblAlgn val="ctr"/>
        <c:lblOffset val="100"/>
        <c:noMultiLvlLbl val="0"/>
      </c:catAx>
      <c:valAx>
        <c:axId val="-619936464"/>
        <c:scaling>
          <c:orientation val="minMax"/>
        </c:scaling>
        <c:delete val="0"/>
        <c:axPos val="l"/>
        <c:majorGridlines/>
        <c:numFmt formatCode="_(* #,##0_);_(* \(#,##0\);_(* &quot;-&quot;_);_(@_)" sourceLinked="1"/>
        <c:majorTickMark val="out"/>
        <c:minorTickMark val="none"/>
        <c:tickLblPos val="nextTo"/>
        <c:crossAx val="-619931024"/>
        <c:crosses val="autoZero"/>
        <c:crossBetween val="between"/>
        <c:dispUnits>
          <c:builtInUnit val="billions"/>
          <c:dispUnitsLbl>
            <c:layout>
              <c:manualLayout>
                <c:xMode val="edge"/>
                <c:yMode val="edge"/>
                <c:x val="2.9074513074544336E-2"/>
                <c:y val="0.41890679552906351"/>
              </c:manualLayout>
            </c:layout>
          </c:dispUnitsLbl>
        </c:dispUnits>
      </c:valAx>
    </c:plotArea>
    <c:legend>
      <c:legendPos val="r"/>
      <c:layout>
        <c:manualLayout>
          <c:xMode val="edge"/>
          <c:yMode val="edge"/>
          <c:x val="0.79925642502907313"/>
          <c:y val="6.556937392171773E-2"/>
          <c:w val="0.19861077860476153"/>
          <c:h val="0.93443062607828231"/>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lgn="ctr" rtl="0">
              <a:defRPr lang="en-US" sz="1200" b="1" i="0" u="none" strike="noStrike" kern="1200" baseline="0">
                <a:solidFill>
                  <a:sysClr val="windowText" lastClr="000000"/>
                </a:solidFill>
                <a:latin typeface="Tahoma" pitchFamily="34" charset="0"/>
                <a:ea typeface="Tahoma" pitchFamily="34" charset="0"/>
                <a:cs typeface="Tahoma" pitchFamily="34" charset="0"/>
              </a:defRPr>
            </a:pPr>
            <a:r>
              <a:rPr lang="en-US" sz="1200" b="1" i="0" u="none" strike="noStrike" kern="1200" baseline="0">
                <a:solidFill>
                  <a:sysClr val="windowText" lastClr="000000"/>
                </a:solidFill>
                <a:latin typeface="Tahoma" pitchFamily="34" charset="0"/>
                <a:ea typeface="Tahoma" pitchFamily="34" charset="0"/>
                <a:cs typeface="Tahoma" pitchFamily="34" charset="0"/>
              </a:rPr>
              <a:t>Higher Education Appropriations by System - General Revenue</a:t>
            </a:r>
          </a:p>
        </c:rich>
      </c:tx>
      <c:layout>
        <c:manualLayout>
          <c:xMode val="edge"/>
          <c:yMode val="edge"/>
          <c:x val="7.911827956989248E-2"/>
          <c:y val="0"/>
        </c:manualLayout>
      </c:layout>
      <c:overlay val="0"/>
    </c:title>
    <c:autoTitleDeleted val="0"/>
    <c:plotArea>
      <c:layout>
        <c:manualLayout>
          <c:layoutTarget val="inner"/>
          <c:xMode val="edge"/>
          <c:yMode val="edge"/>
          <c:x val="0.16876725086783509"/>
          <c:y val="0.13338252282078125"/>
          <c:w val="0.63975700618067899"/>
          <c:h val="0.78358788295336468"/>
        </c:manualLayout>
      </c:layout>
      <c:barChart>
        <c:barDir val="col"/>
        <c:grouping val="stacked"/>
        <c:varyColors val="0"/>
        <c:ser>
          <c:idx val="4"/>
          <c:order val="0"/>
          <c:tx>
            <c:strRef>
              <c:f>'Biennia History'!$A$278</c:f>
              <c:strCache>
                <c:ptCount val="1"/>
                <c:pt idx="0">
                  <c:v>University of Texas System Administration </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History'!$G$278:$K$278</c:f>
              <c:numCache>
                <c:formatCode>_("$"* #,##0_);_("$"* \(#,##0\);_("$"* "-"??_);_(@_)</c:formatCode>
                <c:ptCount val="5"/>
                <c:pt idx="0">
                  <c:v>1566589641</c:v>
                </c:pt>
                <c:pt idx="1">
                  <c:v>1707020971</c:v>
                </c:pt>
                <c:pt idx="2">
                  <c:v>1914971557</c:v>
                </c:pt>
                <c:pt idx="3">
                  <c:v>1884554945</c:v>
                </c:pt>
                <c:pt idx="4">
                  <c:v>1986356744.2312622</c:v>
                </c:pt>
              </c:numCache>
            </c:numRef>
          </c:val>
          <c:extLst>
            <c:ext xmlns:c16="http://schemas.microsoft.com/office/drawing/2014/chart" uri="{C3380CC4-5D6E-409C-BE32-E72D297353CC}">
              <c16:uniqueId val="{00000000-F2D9-4A4C-96C0-710E6058039B}"/>
            </c:ext>
          </c:extLst>
        </c:ser>
        <c:ser>
          <c:idx val="5"/>
          <c:order val="1"/>
          <c:tx>
            <c:strRef>
              <c:f>'Biennia History'!$A$279</c:f>
              <c:strCache>
                <c:ptCount val="1"/>
                <c:pt idx="0">
                  <c:v>Texas A&amp;M University System Administrative and General Offices</c:v>
                </c:pt>
              </c:strCache>
            </c:strRef>
          </c:tx>
          <c:invertIfNegative val="0"/>
          <c:val>
            <c:numRef>
              <c:f>'Biennia History'!$G$279:$K$279</c:f>
              <c:numCache>
                <c:formatCode>_(* #,##0_);_(* \(#,##0\);_(* "-"_);_(@_)</c:formatCode>
                <c:ptCount val="5"/>
                <c:pt idx="0">
                  <c:v>1154512470</c:v>
                </c:pt>
                <c:pt idx="1">
                  <c:v>1252006953</c:v>
                </c:pt>
                <c:pt idx="2">
                  <c:v>1415608366</c:v>
                </c:pt>
                <c:pt idx="3">
                  <c:v>1493063960</c:v>
                </c:pt>
                <c:pt idx="4">
                  <c:v>1622339943</c:v>
                </c:pt>
              </c:numCache>
            </c:numRef>
          </c:val>
          <c:extLst>
            <c:ext xmlns:c16="http://schemas.microsoft.com/office/drawing/2014/chart" uri="{C3380CC4-5D6E-409C-BE32-E72D297353CC}">
              <c16:uniqueId val="{00000001-F2D9-4A4C-96C0-710E6058039B}"/>
            </c:ext>
          </c:extLst>
        </c:ser>
        <c:ser>
          <c:idx val="6"/>
          <c:order val="2"/>
          <c:tx>
            <c:strRef>
              <c:f>'Biennia History'!$A$280</c:f>
              <c:strCache>
                <c:ptCount val="1"/>
                <c:pt idx="0">
                  <c:v>University of Houston System Administration</c:v>
                </c:pt>
              </c:strCache>
            </c:strRef>
          </c:tx>
          <c:invertIfNegative val="0"/>
          <c:val>
            <c:numRef>
              <c:f>'Biennia History'!$G$280:$K$280</c:f>
              <c:numCache>
                <c:formatCode>_(* #,##0_);_(* \(#,##0\);_(* "-"_);_(@_)</c:formatCode>
                <c:ptCount val="5"/>
                <c:pt idx="0">
                  <c:v>466277213</c:v>
                </c:pt>
                <c:pt idx="1">
                  <c:v>506574094</c:v>
                </c:pt>
                <c:pt idx="2">
                  <c:v>552003680</c:v>
                </c:pt>
                <c:pt idx="3">
                  <c:v>596211658</c:v>
                </c:pt>
                <c:pt idx="4">
                  <c:v>672683660</c:v>
                </c:pt>
              </c:numCache>
            </c:numRef>
          </c:val>
          <c:extLst>
            <c:ext xmlns:c16="http://schemas.microsoft.com/office/drawing/2014/chart" uri="{C3380CC4-5D6E-409C-BE32-E72D297353CC}">
              <c16:uniqueId val="{00000002-F2D9-4A4C-96C0-710E6058039B}"/>
            </c:ext>
          </c:extLst>
        </c:ser>
        <c:ser>
          <c:idx val="8"/>
          <c:order val="3"/>
          <c:tx>
            <c:strRef>
              <c:f>'Biennia History'!$A$282</c:f>
              <c:strCache>
                <c:ptCount val="1"/>
                <c:pt idx="0">
                  <c:v>Texas Tech University System Administration</c:v>
                </c:pt>
              </c:strCache>
            </c:strRef>
          </c:tx>
          <c:invertIfNegative val="0"/>
          <c:val>
            <c:numRef>
              <c:f>'Biennia History'!$G$282:$K$282</c:f>
              <c:numCache>
                <c:formatCode>_(* #,##0_);_(* \(#,##0\);_(* "-"_);_(@_)</c:formatCode>
                <c:ptCount val="5"/>
                <c:pt idx="0">
                  <c:v>340819057</c:v>
                </c:pt>
                <c:pt idx="1">
                  <c:v>387937531</c:v>
                </c:pt>
                <c:pt idx="2">
                  <c:v>415085678</c:v>
                </c:pt>
                <c:pt idx="3">
                  <c:v>418427293</c:v>
                </c:pt>
                <c:pt idx="4">
                  <c:v>453338747</c:v>
                </c:pt>
              </c:numCache>
            </c:numRef>
          </c:val>
          <c:extLst>
            <c:ext xmlns:c16="http://schemas.microsoft.com/office/drawing/2014/chart" uri="{C3380CC4-5D6E-409C-BE32-E72D297353CC}">
              <c16:uniqueId val="{00000003-F2D9-4A4C-96C0-710E6058039B}"/>
            </c:ext>
          </c:extLst>
        </c:ser>
        <c:ser>
          <c:idx val="9"/>
          <c:order val="4"/>
          <c:tx>
            <c:strRef>
              <c:f>'Biennia History'!$A$283</c:f>
              <c:strCache>
                <c:ptCount val="1"/>
                <c:pt idx="0">
                  <c:v>Texas State-System Administration</c:v>
                </c:pt>
              </c:strCache>
            </c:strRef>
          </c:tx>
          <c:invertIfNegative val="0"/>
          <c:val>
            <c:numRef>
              <c:f>'Biennia History'!$G$283:$K$283</c:f>
              <c:numCache>
                <c:formatCode>_(* #,##0_);_(* \(#,##0\);_(* "-"_);_(@_)</c:formatCode>
                <c:ptCount val="5"/>
                <c:pt idx="0">
                  <c:v>409665075</c:v>
                </c:pt>
                <c:pt idx="1">
                  <c:v>443075248</c:v>
                </c:pt>
                <c:pt idx="2">
                  <c:v>516822599</c:v>
                </c:pt>
                <c:pt idx="3">
                  <c:v>530191511</c:v>
                </c:pt>
                <c:pt idx="4">
                  <c:v>561760898</c:v>
                </c:pt>
              </c:numCache>
            </c:numRef>
          </c:val>
          <c:extLst>
            <c:ext xmlns:c16="http://schemas.microsoft.com/office/drawing/2014/chart" uri="{C3380CC4-5D6E-409C-BE32-E72D297353CC}">
              <c16:uniqueId val="{00000004-F2D9-4A4C-96C0-710E6058039B}"/>
            </c:ext>
          </c:extLst>
        </c:ser>
        <c:ser>
          <c:idx val="10"/>
          <c:order val="5"/>
          <c:tx>
            <c:strRef>
              <c:f>'Biennia History'!$A$284</c:f>
              <c:strCache>
                <c:ptCount val="1"/>
                <c:pt idx="0">
                  <c:v>Non-System</c:v>
                </c:pt>
              </c:strCache>
            </c:strRef>
          </c:tx>
          <c:invertIfNegative val="0"/>
          <c:val>
            <c:numRef>
              <c:f>'Biennia History'!$G$284:$K$284</c:f>
              <c:numCache>
                <c:formatCode>_(* #,##0_);_(* \(#,##0\);_(* "-"_);_(@_)</c:formatCode>
                <c:ptCount val="5"/>
                <c:pt idx="0">
                  <c:v>343188598</c:v>
                </c:pt>
                <c:pt idx="1">
                  <c:v>357406379</c:v>
                </c:pt>
                <c:pt idx="2">
                  <c:v>366409380</c:v>
                </c:pt>
                <c:pt idx="3">
                  <c:v>391818904</c:v>
                </c:pt>
                <c:pt idx="4">
                  <c:v>392906799</c:v>
                </c:pt>
              </c:numCache>
            </c:numRef>
          </c:val>
          <c:extLst>
            <c:ext xmlns:c16="http://schemas.microsoft.com/office/drawing/2014/chart" uri="{C3380CC4-5D6E-409C-BE32-E72D297353CC}">
              <c16:uniqueId val="{00000005-F2D9-4A4C-96C0-710E6058039B}"/>
            </c:ext>
          </c:extLst>
        </c:ser>
        <c:ser>
          <c:idx val="0"/>
          <c:order val="6"/>
          <c:tx>
            <c:strRef>
              <c:f>'Biennia History'!$A$63</c:f>
              <c:strCache>
                <c:ptCount val="1"/>
                <c:pt idx="0">
                  <c:v>Texas Education Agency</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6-F2D9-4A4C-96C0-710E6058039B}"/>
            </c:ext>
          </c:extLst>
        </c:ser>
        <c:ser>
          <c:idx val="7"/>
          <c:order val="7"/>
          <c:tx>
            <c:strRef>
              <c:f>'Biennia History'!$A$281</c:f>
              <c:strCache>
                <c:ptCount val="1"/>
                <c:pt idx="0">
                  <c:v>University of North Texas System Administration</c:v>
                </c:pt>
              </c:strCache>
            </c:strRef>
          </c:tx>
          <c:invertIfNegative val="0"/>
          <c:val>
            <c:numRef>
              <c:f>'Biennia History'!$G$281:$K$281</c:f>
              <c:numCache>
                <c:formatCode>_(* #,##0_);_(* \(#,##0\);_(* "-"_);_(@_)</c:formatCode>
                <c:ptCount val="5"/>
                <c:pt idx="0">
                  <c:v>262240002</c:v>
                </c:pt>
                <c:pt idx="1">
                  <c:v>282943269</c:v>
                </c:pt>
                <c:pt idx="2">
                  <c:v>297287574</c:v>
                </c:pt>
                <c:pt idx="3">
                  <c:v>308369225</c:v>
                </c:pt>
                <c:pt idx="4">
                  <c:v>322054974</c:v>
                </c:pt>
              </c:numCache>
            </c:numRef>
          </c:val>
          <c:extLst>
            <c:ext xmlns:c16="http://schemas.microsoft.com/office/drawing/2014/chart" uri="{C3380CC4-5D6E-409C-BE32-E72D297353CC}">
              <c16:uniqueId val="{00000007-F2D9-4A4C-96C0-710E6058039B}"/>
            </c:ext>
          </c:extLst>
        </c:ser>
        <c:ser>
          <c:idx val="1"/>
          <c:order val="8"/>
          <c:tx>
            <c:strRef>
              <c:f>'Biennia History'!$A$64</c:f>
              <c:strCache>
                <c:ptCount val="1"/>
                <c:pt idx="0">
                  <c:v>State Board for Educator Certification</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8-F2D9-4A4C-96C0-710E6058039B}"/>
            </c:ext>
          </c:extLst>
        </c:ser>
        <c:ser>
          <c:idx val="2"/>
          <c:order val="9"/>
          <c:tx>
            <c:strRef>
              <c:f>'Biennia History'!$A$65</c:f>
              <c:strCache>
                <c:ptCount val="1"/>
                <c:pt idx="0">
                  <c:v>Texas State School for the Blind and Visually Impaired</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9-F2D9-4A4C-96C0-710E6058039B}"/>
            </c:ext>
          </c:extLst>
        </c:ser>
        <c:ser>
          <c:idx val="3"/>
          <c:order val="10"/>
          <c:tx>
            <c:strRef>
              <c:f>'Biennia History'!$A$66</c:f>
              <c:strCache>
                <c:ptCount val="1"/>
                <c:pt idx="0">
                  <c:v>Texas State School for the Deaf</c:v>
                </c:pt>
              </c:strCache>
            </c:strRef>
          </c:tx>
          <c:invertIfNegative val="0"/>
          <c:cat>
            <c:strRef>
              <c:f>'Biennia History'!$B$62:$F$62</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A-F2D9-4A4C-96C0-710E6058039B}"/>
            </c:ext>
          </c:extLst>
        </c:ser>
        <c:dLbls>
          <c:showLegendKey val="0"/>
          <c:showVal val="0"/>
          <c:showCatName val="0"/>
          <c:showSerName val="0"/>
          <c:showPercent val="0"/>
          <c:showBubbleSize val="0"/>
        </c:dLbls>
        <c:gapWidth val="150"/>
        <c:overlap val="100"/>
        <c:axId val="-619935920"/>
        <c:axId val="-619930480"/>
      </c:barChart>
      <c:catAx>
        <c:axId val="-619935920"/>
        <c:scaling>
          <c:orientation val="minMax"/>
        </c:scaling>
        <c:delete val="0"/>
        <c:axPos val="b"/>
        <c:numFmt formatCode="General" sourceLinked="1"/>
        <c:majorTickMark val="out"/>
        <c:minorTickMark val="none"/>
        <c:tickLblPos val="nextTo"/>
        <c:crossAx val="-619930480"/>
        <c:crosses val="autoZero"/>
        <c:auto val="1"/>
        <c:lblAlgn val="ctr"/>
        <c:lblOffset val="100"/>
        <c:noMultiLvlLbl val="0"/>
      </c:catAx>
      <c:valAx>
        <c:axId val="-619930480"/>
        <c:scaling>
          <c:orientation val="minMax"/>
        </c:scaling>
        <c:delete val="0"/>
        <c:axPos val="l"/>
        <c:majorGridlines/>
        <c:numFmt formatCode="_(&quot;$&quot;* #,##0_);_(&quot;$&quot;* \(#,##0\);_(&quot;$&quot;* &quot;-&quot;??_);_(@_)" sourceLinked="1"/>
        <c:majorTickMark val="out"/>
        <c:minorTickMark val="none"/>
        <c:tickLblPos val="nextTo"/>
        <c:crossAx val="-619935920"/>
        <c:crosses val="autoZero"/>
        <c:crossBetween val="between"/>
        <c:dispUnits>
          <c:builtInUnit val="billions"/>
          <c:dispUnitsLbl>
            <c:layout>
              <c:manualLayout>
                <c:xMode val="edge"/>
                <c:yMode val="edge"/>
                <c:x val="5.6140697954449807E-2"/>
                <c:y val="0.42306048192574058"/>
              </c:manualLayout>
            </c:layout>
          </c:dispUnitsLbl>
        </c:dispUnits>
      </c:valAx>
    </c:plotArea>
    <c:legend>
      <c:legendPos val="r"/>
      <c:layout>
        <c:manualLayout>
          <c:xMode val="edge"/>
          <c:yMode val="edge"/>
          <c:x val="0.81672085344170675"/>
          <c:y val="7.1798331131525898E-3"/>
          <c:w val="0.16856997713995428"/>
          <c:h val="0.9857401919509482"/>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b="1" i="0" baseline="0">
                <a:effectLst/>
              </a:rPr>
              <a:t>Higher Education Appropriations for Research and Emerging Research Institutions - General Revenue</a:t>
            </a:r>
            <a:endParaRPr lang="en-US" sz="1200">
              <a:effectLst/>
            </a:endParaRPr>
          </a:p>
        </c:rich>
      </c:tx>
      <c:layout>
        <c:manualLayout>
          <c:xMode val="edge"/>
          <c:yMode val="edge"/>
          <c:x val="0.11472863505663343"/>
          <c:y val="0"/>
        </c:manualLayout>
      </c:layout>
      <c:overlay val="0"/>
    </c:title>
    <c:autoTitleDeleted val="0"/>
    <c:plotArea>
      <c:layout>
        <c:manualLayout>
          <c:layoutTarget val="inner"/>
          <c:xMode val="edge"/>
          <c:yMode val="edge"/>
          <c:x val="0.16648792222522457"/>
          <c:y val="0.12605420274853629"/>
          <c:w val="0.64620863572617082"/>
          <c:h val="0.79218576827894782"/>
        </c:manualLayout>
      </c:layout>
      <c:barChart>
        <c:barDir val="col"/>
        <c:grouping val="stacked"/>
        <c:varyColors val="0"/>
        <c:ser>
          <c:idx val="4"/>
          <c:order val="0"/>
          <c:tx>
            <c:strRef>
              <c:f>'Biennia History'!$A$319</c:f>
              <c:strCache>
                <c:ptCount val="1"/>
                <c:pt idx="0">
                  <c:v>Research and Emerging Research</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History'!$G$319:$K$319</c:f>
              <c:numCache>
                <c:formatCode>_(* #,##0_);_(* \(#,##0\);_(* "-"_);_(@_)</c:formatCode>
                <c:ptCount val="5"/>
                <c:pt idx="0">
                  <c:v>2753026860</c:v>
                </c:pt>
                <c:pt idx="1">
                  <c:v>3047614260</c:v>
                </c:pt>
                <c:pt idx="2">
                  <c:v>3300068408</c:v>
                </c:pt>
                <c:pt idx="3">
                  <c:v>3354896549</c:v>
                </c:pt>
                <c:pt idx="4">
                  <c:v>3705215600.2312622</c:v>
                </c:pt>
              </c:numCache>
            </c:numRef>
          </c:val>
          <c:extLst>
            <c:ext xmlns:c16="http://schemas.microsoft.com/office/drawing/2014/chart" uri="{C3380CC4-5D6E-409C-BE32-E72D297353CC}">
              <c16:uniqueId val="{00000000-505B-4DF6-BB26-2A95D9B27076}"/>
            </c:ext>
          </c:extLst>
        </c:ser>
        <c:ser>
          <c:idx val="0"/>
          <c:order val="1"/>
          <c:tx>
            <c:strRef>
              <c:f>'Biennia History'!$A$63</c:f>
              <c:strCache>
                <c:ptCount val="1"/>
                <c:pt idx="0">
                  <c:v>Texas Education Agency</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1-505B-4DF6-BB26-2A95D9B27076}"/>
            </c:ext>
          </c:extLst>
        </c:ser>
        <c:ser>
          <c:idx val="1"/>
          <c:order val="2"/>
          <c:tx>
            <c:strRef>
              <c:f>'Biennia History'!$A$64</c:f>
              <c:strCache>
                <c:ptCount val="1"/>
                <c:pt idx="0">
                  <c:v>State Board for Educator Certification</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2-505B-4DF6-BB26-2A95D9B27076}"/>
            </c:ext>
          </c:extLst>
        </c:ser>
        <c:ser>
          <c:idx val="2"/>
          <c:order val="3"/>
          <c:tx>
            <c:strRef>
              <c:f>'Biennia History'!$A$65</c:f>
              <c:strCache>
                <c:ptCount val="1"/>
                <c:pt idx="0">
                  <c:v>Texas State School for the Blind and Visually Impaired</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3-505B-4DF6-BB26-2A95D9B27076}"/>
            </c:ext>
          </c:extLst>
        </c:ser>
        <c:ser>
          <c:idx val="3"/>
          <c:order val="4"/>
          <c:tx>
            <c:strRef>
              <c:f>'Biennia History'!$A$66</c:f>
              <c:strCache>
                <c:ptCount val="1"/>
                <c:pt idx="0">
                  <c:v>Texas State School for the Deaf</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4-505B-4DF6-BB26-2A95D9B27076}"/>
            </c:ext>
          </c:extLst>
        </c:ser>
        <c:ser>
          <c:idx val="5"/>
          <c:order val="5"/>
          <c:tx>
            <c:strRef>
              <c:f>'Biennia History'!$A$320</c:f>
              <c:strCache>
                <c:ptCount val="1"/>
                <c:pt idx="0">
                  <c:v>All Other General Academics</c:v>
                </c:pt>
              </c:strCache>
            </c:strRef>
          </c:tx>
          <c:invertIfNegative val="0"/>
          <c:cat>
            <c:strRef>
              <c:f>'Biennia History'!$G$62:$K$62</c:f>
              <c:strCache>
                <c:ptCount val="5"/>
                <c:pt idx="0">
                  <c:v>2012 - 2013</c:v>
                </c:pt>
                <c:pt idx="1">
                  <c:v>2014 - 2015</c:v>
                </c:pt>
                <c:pt idx="2">
                  <c:v>2016 - 2017</c:v>
                </c:pt>
                <c:pt idx="3">
                  <c:v>2018 - 2019</c:v>
                </c:pt>
                <c:pt idx="4">
                  <c:v>2020 - 2021</c:v>
                </c:pt>
              </c:strCache>
            </c:strRef>
          </c:cat>
          <c:val>
            <c:numRef>
              <c:f>'Biennia History'!$G$320:$K$320</c:f>
              <c:numCache>
                <c:formatCode>_(* #,##0_);_(* \(#,##0\);_(* "-"_);_(@_)</c:formatCode>
                <c:ptCount val="5"/>
                <c:pt idx="0">
                  <c:v>1700108518</c:v>
                </c:pt>
                <c:pt idx="1">
                  <c:v>1836084991</c:v>
                </c:pt>
                <c:pt idx="2">
                  <c:v>1805300858</c:v>
                </c:pt>
                <c:pt idx="3">
                  <c:v>1907453733</c:v>
                </c:pt>
                <c:pt idx="4">
                  <c:v>1964455925</c:v>
                </c:pt>
              </c:numCache>
            </c:numRef>
          </c:val>
          <c:extLst>
            <c:ext xmlns:c16="http://schemas.microsoft.com/office/drawing/2014/chart" uri="{C3380CC4-5D6E-409C-BE32-E72D297353CC}">
              <c16:uniqueId val="{00000005-505B-4DF6-BB26-2A95D9B27076}"/>
            </c:ext>
          </c:extLst>
        </c:ser>
        <c:dLbls>
          <c:showLegendKey val="0"/>
          <c:showVal val="0"/>
          <c:showCatName val="0"/>
          <c:showSerName val="0"/>
          <c:showPercent val="0"/>
          <c:showBubbleSize val="0"/>
        </c:dLbls>
        <c:gapWidth val="150"/>
        <c:overlap val="100"/>
        <c:axId val="-619935376"/>
        <c:axId val="-619934288"/>
      </c:barChart>
      <c:catAx>
        <c:axId val="-619935376"/>
        <c:scaling>
          <c:orientation val="minMax"/>
        </c:scaling>
        <c:delete val="0"/>
        <c:axPos val="b"/>
        <c:numFmt formatCode="General" sourceLinked="1"/>
        <c:majorTickMark val="out"/>
        <c:minorTickMark val="none"/>
        <c:tickLblPos val="nextTo"/>
        <c:crossAx val="-619934288"/>
        <c:crosses val="autoZero"/>
        <c:auto val="1"/>
        <c:lblAlgn val="ctr"/>
        <c:lblOffset val="100"/>
        <c:noMultiLvlLbl val="0"/>
      </c:catAx>
      <c:valAx>
        <c:axId val="-619934288"/>
        <c:scaling>
          <c:orientation val="minMax"/>
        </c:scaling>
        <c:delete val="0"/>
        <c:axPos val="l"/>
        <c:majorGridlines/>
        <c:numFmt formatCode="_(* #,##0_);_(* \(#,##0\);_(* &quot;-&quot;_);_(@_)" sourceLinked="1"/>
        <c:majorTickMark val="out"/>
        <c:minorTickMark val="none"/>
        <c:tickLblPos val="nextTo"/>
        <c:crossAx val="-619935376"/>
        <c:crosses val="autoZero"/>
        <c:crossBetween val="between"/>
        <c:dispUnits>
          <c:builtInUnit val="billions"/>
          <c:dispUnitsLbl>
            <c:layout>
              <c:manualLayout>
                <c:xMode val="edge"/>
                <c:yMode val="edge"/>
                <c:x val="8.7432560179439817E-2"/>
                <c:y val="0.42306037610332503"/>
              </c:manualLayout>
            </c:layout>
          </c:dispUnitsLbl>
        </c:dispUnits>
      </c:valAx>
    </c:plotArea>
    <c:legend>
      <c:legendPos val="r"/>
      <c:layout>
        <c:manualLayout>
          <c:xMode val="edge"/>
          <c:yMode val="edge"/>
          <c:x val="0.82773120493574481"/>
          <c:y val="0.27236476603023874"/>
          <c:w val="0.16392428507014398"/>
          <c:h val="0.45396375096478736"/>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200" b="1" i="0" u="none" strike="noStrike" kern="1200" baseline="0">
                <a:solidFill>
                  <a:sysClr val="windowText" lastClr="000000"/>
                </a:solidFill>
                <a:latin typeface="Tahoma" pitchFamily="34" charset="0"/>
                <a:ea typeface="Tahoma" pitchFamily="34" charset="0"/>
                <a:cs typeface="Tahoma" pitchFamily="34" charset="0"/>
              </a:defRPr>
            </a:pPr>
            <a:r>
              <a:rPr lang="en-US" sz="1200" b="1" i="0" baseline="0">
                <a:effectLst/>
              </a:rPr>
              <a:t>Higher Education Appropriations for South Texas Border Institutions - General Revenue</a:t>
            </a:r>
            <a:endParaRPr lang="en-US" sz="1200">
              <a:effectLst/>
            </a:endParaRPr>
          </a:p>
        </c:rich>
      </c:tx>
      <c:layout>
        <c:manualLayout>
          <c:xMode val="edge"/>
          <c:yMode val="edge"/>
          <c:x val="0.11247148328754851"/>
          <c:y val="0"/>
        </c:manualLayout>
      </c:layout>
      <c:overlay val="0"/>
    </c:title>
    <c:autoTitleDeleted val="0"/>
    <c:plotArea>
      <c:layout>
        <c:manualLayout>
          <c:layoutTarget val="inner"/>
          <c:xMode val="edge"/>
          <c:yMode val="edge"/>
          <c:x val="0.15171405712978139"/>
          <c:y val="0.1424906204689782"/>
          <c:w val="0.66098258984989822"/>
          <c:h val="0.77447978530516792"/>
        </c:manualLayout>
      </c:layout>
      <c:barChart>
        <c:barDir val="col"/>
        <c:grouping val="stacked"/>
        <c:varyColors val="0"/>
        <c:ser>
          <c:idx val="5"/>
          <c:order val="0"/>
          <c:tx>
            <c:strRef>
              <c:f>'Biennia History'!$A$357</c:f>
              <c:strCache>
                <c:ptCount val="1"/>
                <c:pt idx="0">
                  <c:v>All Other General Academics</c:v>
                </c:pt>
              </c:strCache>
            </c:strRef>
          </c:tx>
          <c:invertIfNegative val="0"/>
          <c:cat>
            <c:strRef>
              <c:f>'Biennia History'!$G$344:$K$344</c:f>
              <c:strCache>
                <c:ptCount val="5"/>
                <c:pt idx="0">
                  <c:v>2012 - 2013</c:v>
                </c:pt>
                <c:pt idx="1">
                  <c:v>2014 - 2015</c:v>
                </c:pt>
                <c:pt idx="2">
                  <c:v>2016 - 2017</c:v>
                </c:pt>
                <c:pt idx="3">
                  <c:v>2018 - 2019</c:v>
                </c:pt>
                <c:pt idx="4">
                  <c:v>2020 - 2021</c:v>
                </c:pt>
              </c:strCache>
            </c:strRef>
          </c:cat>
          <c:val>
            <c:numRef>
              <c:f>'Biennia History'!$G$357:$K$357</c:f>
              <c:numCache>
                <c:formatCode>_(* #,##0_);_(* \(#,##0\);_(* "-"_);_(@_)</c:formatCode>
                <c:ptCount val="5"/>
                <c:pt idx="0">
                  <c:v>3626772480</c:v>
                </c:pt>
                <c:pt idx="1">
                  <c:v>3993480714</c:v>
                </c:pt>
                <c:pt idx="2">
                  <c:v>4341862384</c:v>
                </c:pt>
                <c:pt idx="3">
                  <c:v>4491526998</c:v>
                </c:pt>
                <c:pt idx="4">
                  <c:v>4833658281.2312622</c:v>
                </c:pt>
              </c:numCache>
            </c:numRef>
          </c:val>
          <c:extLst>
            <c:ext xmlns:c16="http://schemas.microsoft.com/office/drawing/2014/chart" uri="{C3380CC4-5D6E-409C-BE32-E72D297353CC}">
              <c16:uniqueId val="{00000000-6A4E-4886-AD57-8A817B5EFA60}"/>
            </c:ext>
          </c:extLst>
        </c:ser>
        <c:ser>
          <c:idx val="4"/>
          <c:order val="1"/>
          <c:tx>
            <c:strRef>
              <c:f>'Biennia History'!$A$356</c:f>
              <c:strCache>
                <c:ptCount val="1"/>
                <c:pt idx="0">
                  <c:v>South Texas Border Institutions</c:v>
                </c:pt>
              </c:strCache>
            </c:strRef>
          </c:tx>
          <c:invertIfNegative val="0"/>
          <c:cat>
            <c:strRef>
              <c:f>'Biennia History'!$G$344:$K$344</c:f>
              <c:strCache>
                <c:ptCount val="5"/>
                <c:pt idx="0">
                  <c:v>2012 - 2013</c:v>
                </c:pt>
                <c:pt idx="1">
                  <c:v>2014 - 2015</c:v>
                </c:pt>
                <c:pt idx="2">
                  <c:v>2016 - 2017</c:v>
                </c:pt>
                <c:pt idx="3">
                  <c:v>2018 - 2019</c:v>
                </c:pt>
                <c:pt idx="4">
                  <c:v>2020 - 2021</c:v>
                </c:pt>
              </c:strCache>
            </c:strRef>
          </c:cat>
          <c:val>
            <c:numRef>
              <c:f>'Biennia History'!$G$356:$K$356</c:f>
              <c:numCache>
                <c:formatCode>_(* #,##0_);_(* \(#,##0\);_(* "-"_);_(@_)</c:formatCode>
                <c:ptCount val="5"/>
                <c:pt idx="0">
                  <c:v>826362898</c:v>
                </c:pt>
                <c:pt idx="1">
                  <c:v>890218537</c:v>
                </c:pt>
                <c:pt idx="2">
                  <c:v>1042710064</c:v>
                </c:pt>
                <c:pt idx="3">
                  <c:v>987899873</c:v>
                </c:pt>
                <c:pt idx="4">
                  <c:v>1053751188</c:v>
                </c:pt>
              </c:numCache>
            </c:numRef>
          </c:val>
          <c:extLst>
            <c:ext xmlns:c16="http://schemas.microsoft.com/office/drawing/2014/chart" uri="{C3380CC4-5D6E-409C-BE32-E72D297353CC}">
              <c16:uniqueId val="{00000001-6A4E-4886-AD57-8A817B5EFA60}"/>
            </c:ext>
          </c:extLst>
        </c:ser>
        <c:ser>
          <c:idx val="0"/>
          <c:order val="2"/>
          <c:tx>
            <c:strRef>
              <c:f>'Biennia History'!$A$63</c:f>
              <c:strCache>
                <c:ptCount val="1"/>
                <c:pt idx="0">
                  <c:v>Texas Education Agency</c:v>
                </c:pt>
              </c:strCache>
            </c:strRef>
          </c:tx>
          <c:invertIfNegative val="0"/>
          <c:cat>
            <c:strRef>
              <c:f>'Biennia History'!$G$344:$K$344</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2-6A4E-4886-AD57-8A817B5EFA60}"/>
            </c:ext>
          </c:extLst>
        </c:ser>
        <c:ser>
          <c:idx val="1"/>
          <c:order val="3"/>
          <c:tx>
            <c:strRef>
              <c:f>'Biennia History'!$A$64</c:f>
              <c:strCache>
                <c:ptCount val="1"/>
                <c:pt idx="0">
                  <c:v>State Board for Educator Certification</c:v>
                </c:pt>
              </c:strCache>
            </c:strRef>
          </c:tx>
          <c:invertIfNegative val="0"/>
          <c:cat>
            <c:strRef>
              <c:f>'Biennia History'!$G$344:$K$344</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3-6A4E-4886-AD57-8A817B5EFA60}"/>
            </c:ext>
          </c:extLst>
        </c:ser>
        <c:ser>
          <c:idx val="2"/>
          <c:order val="4"/>
          <c:tx>
            <c:strRef>
              <c:f>'Biennia History'!$A$65</c:f>
              <c:strCache>
                <c:ptCount val="1"/>
                <c:pt idx="0">
                  <c:v>Texas State School for the Blind and Visually Impaired</c:v>
                </c:pt>
              </c:strCache>
            </c:strRef>
          </c:tx>
          <c:invertIfNegative val="0"/>
          <c:cat>
            <c:strRef>
              <c:f>'Biennia History'!$G$344:$K$344</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4-6A4E-4886-AD57-8A817B5EFA60}"/>
            </c:ext>
          </c:extLst>
        </c:ser>
        <c:ser>
          <c:idx val="3"/>
          <c:order val="5"/>
          <c:tx>
            <c:strRef>
              <c:f>'Biennia History'!$A$66</c:f>
              <c:strCache>
                <c:ptCount val="1"/>
                <c:pt idx="0">
                  <c:v>Texas State School for the Deaf</c:v>
                </c:pt>
              </c:strCache>
            </c:strRef>
          </c:tx>
          <c:invertIfNegative val="0"/>
          <c:cat>
            <c:strRef>
              <c:f>'Biennia History'!$G$344:$K$344</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5-6A4E-4886-AD57-8A817B5EFA60}"/>
            </c:ext>
          </c:extLst>
        </c:ser>
        <c:dLbls>
          <c:showLegendKey val="0"/>
          <c:showVal val="0"/>
          <c:showCatName val="0"/>
          <c:showSerName val="0"/>
          <c:showPercent val="0"/>
          <c:showBubbleSize val="0"/>
        </c:dLbls>
        <c:gapWidth val="150"/>
        <c:overlap val="100"/>
        <c:axId val="-619944624"/>
        <c:axId val="-619947344"/>
      </c:barChart>
      <c:catAx>
        <c:axId val="-619944624"/>
        <c:scaling>
          <c:orientation val="minMax"/>
        </c:scaling>
        <c:delete val="0"/>
        <c:axPos val="b"/>
        <c:numFmt formatCode="General" sourceLinked="1"/>
        <c:majorTickMark val="out"/>
        <c:minorTickMark val="none"/>
        <c:tickLblPos val="nextTo"/>
        <c:crossAx val="-619947344"/>
        <c:crosses val="autoZero"/>
        <c:auto val="1"/>
        <c:lblAlgn val="ctr"/>
        <c:lblOffset val="100"/>
        <c:noMultiLvlLbl val="0"/>
      </c:catAx>
      <c:valAx>
        <c:axId val="-619947344"/>
        <c:scaling>
          <c:orientation val="minMax"/>
        </c:scaling>
        <c:delete val="0"/>
        <c:axPos val="l"/>
        <c:majorGridlines/>
        <c:numFmt formatCode="_(* #,##0_);_(* \(#,##0\);_(* &quot;-&quot;_);_(@_)" sourceLinked="1"/>
        <c:majorTickMark val="out"/>
        <c:minorTickMark val="none"/>
        <c:tickLblPos val="nextTo"/>
        <c:crossAx val="-619944624"/>
        <c:crosses val="autoZero"/>
        <c:crossBetween val="between"/>
        <c:dispUnits>
          <c:builtInUnit val="billions"/>
          <c:dispUnitsLbl>
            <c:layout>
              <c:manualLayout>
                <c:xMode val="edge"/>
                <c:yMode val="edge"/>
                <c:x val="7.8860111128904897E-2"/>
                <c:y val="0.42306045774915385"/>
              </c:manualLayout>
            </c:layout>
          </c:dispUnitsLbl>
        </c:dispUnits>
      </c:valAx>
    </c:plotArea>
    <c:legend>
      <c:legendPos val="r"/>
      <c:layout>
        <c:manualLayout>
          <c:xMode val="edge"/>
          <c:yMode val="edge"/>
          <c:x val="0.82773120493574481"/>
          <c:y val="0.27236476603023874"/>
          <c:w val="0.16392428507014398"/>
          <c:h val="0.45396375096478736"/>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State Appropriations</a:t>
            </a:r>
            <a:r>
              <a:rPr lang="en-US" sz="1200" baseline="0">
                <a:latin typeface="Tahoma" pitchFamily="34" charset="0"/>
                <a:ea typeface="Tahoma" pitchFamily="34" charset="0"/>
                <a:cs typeface="Tahoma" pitchFamily="34" charset="0"/>
              </a:rPr>
              <a:t> by Sector - General Revenue</a:t>
            </a:r>
            <a:endParaRPr lang="en-US" sz="1200">
              <a:latin typeface="Tahoma" pitchFamily="34" charset="0"/>
              <a:ea typeface="Tahoma" pitchFamily="34" charset="0"/>
              <a:cs typeface="Tahoma" pitchFamily="34" charset="0"/>
            </a:endParaRPr>
          </a:p>
        </c:rich>
      </c:tx>
      <c:layout>
        <c:manualLayout>
          <c:xMode val="edge"/>
          <c:yMode val="edge"/>
          <c:x val="0.14161197883051505"/>
          <c:y val="2.4922118380062305E-2"/>
        </c:manualLayout>
      </c:layout>
      <c:overlay val="0"/>
    </c:title>
    <c:autoTitleDeleted val="0"/>
    <c:plotArea>
      <c:layout>
        <c:manualLayout>
          <c:layoutTarget val="inner"/>
          <c:xMode val="edge"/>
          <c:yMode val="edge"/>
          <c:x val="0.12515709306828451"/>
          <c:y val="0.10738031577828472"/>
          <c:w val="0.64620863572617082"/>
          <c:h val="0.81257327863957129"/>
        </c:manualLayout>
      </c:layout>
      <c:barChart>
        <c:barDir val="col"/>
        <c:grouping val="stacked"/>
        <c:varyColors val="0"/>
        <c:ser>
          <c:idx val="4"/>
          <c:order val="0"/>
          <c:tx>
            <c:strRef>
              <c:f>'Biennia History'!$A$139</c:f>
              <c:strCache>
                <c:ptCount val="1"/>
                <c:pt idx="0">
                  <c:v>General Academic Institutions</c:v>
                </c:pt>
              </c:strCache>
            </c:strRef>
          </c:tx>
          <c:invertIfNegative val="0"/>
          <c:cat>
            <c:strRef>
              <c:f>'Biennia History'!$G$99:$K$99</c:f>
              <c:strCache>
                <c:ptCount val="5"/>
                <c:pt idx="0">
                  <c:v>2012 - 2013</c:v>
                </c:pt>
                <c:pt idx="1">
                  <c:v>2014 - 2015</c:v>
                </c:pt>
                <c:pt idx="2">
                  <c:v>2016 - 2017</c:v>
                </c:pt>
                <c:pt idx="3">
                  <c:v>2018 - 2019</c:v>
                </c:pt>
                <c:pt idx="4">
                  <c:v>2020 - 2021</c:v>
                </c:pt>
              </c:strCache>
            </c:strRef>
          </c:cat>
          <c:val>
            <c:numRef>
              <c:f>'Biennia History'!$G$139:$K$139</c:f>
              <c:numCache>
                <c:formatCode>_(* #,##0_);_(* \(#,##0\);_(* "-"_);_(@_)</c:formatCode>
                <c:ptCount val="5"/>
                <c:pt idx="0">
                  <c:v>4453135378</c:v>
                </c:pt>
                <c:pt idx="1">
                  <c:v>4883699251</c:v>
                </c:pt>
                <c:pt idx="2">
                  <c:v>5384572448</c:v>
                </c:pt>
                <c:pt idx="3">
                  <c:v>5479426871</c:v>
                </c:pt>
                <c:pt idx="4">
                  <c:v>5887409469.2312622</c:v>
                </c:pt>
              </c:numCache>
            </c:numRef>
          </c:val>
          <c:extLst>
            <c:ext xmlns:c16="http://schemas.microsoft.com/office/drawing/2014/chart" uri="{C3380CC4-5D6E-409C-BE32-E72D297353CC}">
              <c16:uniqueId val="{00000000-B339-45EF-83D3-B71BCB3464E3}"/>
            </c:ext>
          </c:extLst>
        </c:ser>
        <c:ser>
          <c:idx val="6"/>
          <c:order val="1"/>
          <c:tx>
            <c:strRef>
              <c:f>'Biennia History'!$A$160</c:f>
              <c:strCache>
                <c:ptCount val="1"/>
                <c:pt idx="0">
                  <c:v>Health-Related Institutions (Incl BCM)</c:v>
                </c:pt>
              </c:strCache>
            </c:strRef>
          </c:tx>
          <c:invertIfNegative val="0"/>
          <c:cat>
            <c:strRef>
              <c:f>'Biennia History'!$G$99:$K$99</c:f>
              <c:strCache>
                <c:ptCount val="5"/>
                <c:pt idx="0">
                  <c:v>2012 - 2013</c:v>
                </c:pt>
                <c:pt idx="1">
                  <c:v>2014 - 2015</c:v>
                </c:pt>
                <c:pt idx="2">
                  <c:v>2016 - 2017</c:v>
                </c:pt>
                <c:pt idx="3">
                  <c:v>2018 - 2019</c:v>
                </c:pt>
                <c:pt idx="4">
                  <c:v>2020 - 2021</c:v>
                </c:pt>
              </c:strCache>
            </c:strRef>
          </c:cat>
          <c:val>
            <c:numRef>
              <c:f>'Biennia History'!$G$160:$K$160</c:f>
              <c:numCache>
                <c:formatCode>_(* #,##0_);_(* \(#,##0\);_(* "-"_);_(@_)</c:formatCode>
                <c:ptCount val="5"/>
                <c:pt idx="0">
                  <c:v>2564580104</c:v>
                </c:pt>
                <c:pt idx="1">
                  <c:v>2886422460</c:v>
                </c:pt>
                <c:pt idx="2">
                  <c:v>3103581851</c:v>
                </c:pt>
                <c:pt idx="3">
                  <c:v>3273481002</c:v>
                </c:pt>
                <c:pt idx="4">
                  <c:v>3483051729</c:v>
                </c:pt>
              </c:numCache>
            </c:numRef>
          </c:val>
          <c:extLst>
            <c:ext xmlns:c16="http://schemas.microsoft.com/office/drawing/2014/chart" uri="{C3380CC4-5D6E-409C-BE32-E72D297353CC}">
              <c16:uniqueId val="{00000001-B339-45EF-83D3-B71BCB3464E3}"/>
            </c:ext>
          </c:extLst>
        </c:ser>
        <c:ser>
          <c:idx val="9"/>
          <c:order val="2"/>
          <c:tx>
            <c:strRef>
              <c:f>'Biennia History'!$A$232</c:f>
              <c:strCache>
                <c:ptCount val="1"/>
                <c:pt idx="0">
                  <c:v>Public Community Colleges</c:v>
                </c:pt>
              </c:strCache>
            </c:strRef>
          </c:tx>
          <c:invertIfNegative val="0"/>
          <c:cat>
            <c:strRef>
              <c:f>'Biennia History'!$G$99:$K$99</c:f>
              <c:strCache>
                <c:ptCount val="5"/>
                <c:pt idx="0">
                  <c:v>2012 - 2013</c:v>
                </c:pt>
                <c:pt idx="1">
                  <c:v>2014 - 2015</c:v>
                </c:pt>
                <c:pt idx="2">
                  <c:v>2016 - 2017</c:v>
                </c:pt>
                <c:pt idx="3">
                  <c:v>2018 - 2019</c:v>
                </c:pt>
                <c:pt idx="4">
                  <c:v>2020 - 2021</c:v>
                </c:pt>
              </c:strCache>
            </c:strRef>
          </c:cat>
          <c:val>
            <c:numRef>
              <c:f>'Biennia History'!$G$232:$K$232</c:f>
              <c:numCache>
                <c:formatCode>_(* #,##0_);_(* \(#,##0\);_(* "-"_);_(@_)</c:formatCode>
                <c:ptCount val="5"/>
                <c:pt idx="0">
                  <c:v>1947779003</c:v>
                </c:pt>
                <c:pt idx="1">
                  <c:v>2072606651</c:v>
                </c:pt>
                <c:pt idx="2">
                  <c:v>2097422262</c:v>
                </c:pt>
                <c:pt idx="3">
                  <c:v>2159459114</c:v>
                </c:pt>
                <c:pt idx="4">
                  <c:v>2235880458</c:v>
                </c:pt>
              </c:numCache>
            </c:numRef>
          </c:val>
          <c:extLst>
            <c:ext xmlns:c16="http://schemas.microsoft.com/office/drawing/2014/chart" uri="{C3380CC4-5D6E-409C-BE32-E72D297353CC}">
              <c16:uniqueId val="{00000002-B339-45EF-83D3-B71BCB3464E3}"/>
            </c:ext>
          </c:extLst>
        </c:ser>
        <c:ser>
          <c:idx val="10"/>
          <c:order val="3"/>
          <c:tx>
            <c:strRef>
              <c:f>'Biennia History'!$A$245</c:f>
              <c:strCache>
                <c:ptCount val="1"/>
                <c:pt idx="0">
                  <c:v>Higher Education Coordinating Board</c:v>
                </c:pt>
              </c:strCache>
            </c:strRef>
          </c:tx>
          <c:invertIfNegative val="0"/>
          <c:cat>
            <c:strRef>
              <c:f>'Biennia History'!$G$99:$K$99</c:f>
              <c:strCache>
                <c:ptCount val="5"/>
                <c:pt idx="0">
                  <c:v>2012 - 2013</c:v>
                </c:pt>
                <c:pt idx="1">
                  <c:v>2014 - 2015</c:v>
                </c:pt>
                <c:pt idx="2">
                  <c:v>2016 - 2017</c:v>
                </c:pt>
                <c:pt idx="3">
                  <c:v>2018 - 2019</c:v>
                </c:pt>
                <c:pt idx="4">
                  <c:v>2020 - 2021</c:v>
                </c:pt>
              </c:strCache>
            </c:strRef>
          </c:cat>
          <c:val>
            <c:numRef>
              <c:f>'Biennia History'!$G$245:$K$245</c:f>
              <c:numCache>
                <c:formatCode>_(* #,##0_);_(* \(#,##0\);_(* "-"_);_(@_)</c:formatCode>
                <c:ptCount val="5"/>
                <c:pt idx="0">
                  <c:v>1048704209</c:v>
                </c:pt>
                <c:pt idx="1">
                  <c:v>1157124450</c:v>
                </c:pt>
                <c:pt idx="2">
                  <c:v>1602723747</c:v>
                </c:pt>
                <c:pt idx="3">
                  <c:v>1305369660</c:v>
                </c:pt>
                <c:pt idx="4">
                  <c:v>1548330302</c:v>
                </c:pt>
              </c:numCache>
            </c:numRef>
          </c:val>
          <c:extLst>
            <c:ext xmlns:c16="http://schemas.microsoft.com/office/drawing/2014/chart" uri="{C3380CC4-5D6E-409C-BE32-E72D297353CC}">
              <c16:uniqueId val="{00000003-B339-45EF-83D3-B71BCB3464E3}"/>
            </c:ext>
          </c:extLst>
        </c:ser>
        <c:ser>
          <c:idx val="11"/>
          <c:order val="4"/>
          <c:tx>
            <c:strRef>
              <c:f>'Biennia History'!$A$253</c:f>
              <c:strCache>
                <c:ptCount val="1"/>
                <c:pt idx="0">
                  <c:v>Other</c:v>
                </c:pt>
              </c:strCache>
            </c:strRef>
          </c:tx>
          <c:invertIfNegative val="0"/>
          <c:cat>
            <c:strRef>
              <c:f>'Biennia History'!$G$99:$K$99</c:f>
              <c:strCache>
                <c:ptCount val="5"/>
                <c:pt idx="0">
                  <c:v>2012 - 2013</c:v>
                </c:pt>
                <c:pt idx="1">
                  <c:v>2014 - 2015</c:v>
                </c:pt>
                <c:pt idx="2">
                  <c:v>2016 - 2017</c:v>
                </c:pt>
                <c:pt idx="3">
                  <c:v>2018 - 2019</c:v>
                </c:pt>
                <c:pt idx="4">
                  <c:v>2020 - 2021</c:v>
                </c:pt>
              </c:strCache>
            </c:strRef>
          </c:cat>
          <c:val>
            <c:numRef>
              <c:f>'Biennia History'!$G$253:$K$253</c:f>
              <c:numCache>
                <c:formatCode>_(* #,##0_);_(* \(#,##0\);_(* "-"_);_(@_)</c:formatCode>
                <c:ptCount val="5"/>
                <c:pt idx="0">
                  <c:v>525000000</c:v>
                </c:pt>
                <c:pt idx="1">
                  <c:v>525000000</c:v>
                </c:pt>
                <c:pt idx="2">
                  <c:v>656250000</c:v>
                </c:pt>
                <c:pt idx="3">
                  <c:v>817500000</c:v>
                </c:pt>
                <c:pt idx="4">
                  <c:v>817500000</c:v>
                </c:pt>
              </c:numCache>
            </c:numRef>
          </c:val>
          <c:extLst>
            <c:ext xmlns:c16="http://schemas.microsoft.com/office/drawing/2014/chart" uri="{C3380CC4-5D6E-409C-BE32-E72D297353CC}">
              <c16:uniqueId val="{00000004-B339-45EF-83D3-B71BCB3464E3}"/>
            </c:ext>
          </c:extLst>
        </c:ser>
        <c:ser>
          <c:idx val="0"/>
          <c:order val="5"/>
          <c:tx>
            <c:strRef>
              <c:f>'Biennia History'!$A$63</c:f>
              <c:strCache>
                <c:ptCount val="1"/>
                <c:pt idx="0">
                  <c:v>Texas Education Agency</c:v>
                </c:pt>
              </c:strCache>
            </c:strRef>
          </c:tx>
          <c:invertIfNegative val="0"/>
          <c:cat>
            <c:strRef>
              <c:f>'Biennia History'!$G$99:$K$99</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5-B339-45EF-83D3-B71BCB3464E3}"/>
            </c:ext>
          </c:extLst>
        </c:ser>
        <c:ser>
          <c:idx val="7"/>
          <c:order val="6"/>
          <c:tx>
            <c:strRef>
              <c:f>'Biennia History'!$A$169</c:f>
              <c:strCache>
                <c:ptCount val="1"/>
                <c:pt idx="0">
                  <c:v>TAMU Agencies</c:v>
                </c:pt>
              </c:strCache>
            </c:strRef>
          </c:tx>
          <c:invertIfNegative val="0"/>
          <c:cat>
            <c:strRef>
              <c:f>'Biennia History'!$G$99:$K$99</c:f>
              <c:strCache>
                <c:ptCount val="5"/>
                <c:pt idx="0">
                  <c:v>2012 - 2013</c:v>
                </c:pt>
                <c:pt idx="1">
                  <c:v>2014 - 2015</c:v>
                </c:pt>
                <c:pt idx="2">
                  <c:v>2016 - 2017</c:v>
                </c:pt>
                <c:pt idx="3">
                  <c:v>2018 - 2019</c:v>
                </c:pt>
                <c:pt idx="4">
                  <c:v>2020 - 2021</c:v>
                </c:pt>
              </c:strCache>
            </c:strRef>
          </c:cat>
          <c:val>
            <c:numRef>
              <c:f>'Biennia History'!$G$169:$K$169</c:f>
              <c:numCache>
                <c:formatCode>_(* #,##0_);_(* \(#,##0\);_(* "-"_);_(@_)</c:formatCode>
                <c:ptCount val="5"/>
                <c:pt idx="0">
                  <c:v>606846265</c:v>
                </c:pt>
                <c:pt idx="1">
                  <c:v>383607401</c:v>
                </c:pt>
                <c:pt idx="2">
                  <c:v>424641126</c:v>
                </c:pt>
                <c:pt idx="3">
                  <c:v>425866987</c:v>
                </c:pt>
                <c:pt idx="4">
                  <c:v>470775054</c:v>
                </c:pt>
              </c:numCache>
            </c:numRef>
          </c:val>
          <c:extLst>
            <c:ext xmlns:c16="http://schemas.microsoft.com/office/drawing/2014/chart" uri="{C3380CC4-5D6E-409C-BE32-E72D297353CC}">
              <c16:uniqueId val="{00000006-B339-45EF-83D3-B71BCB3464E3}"/>
            </c:ext>
          </c:extLst>
        </c:ser>
        <c:ser>
          <c:idx val="8"/>
          <c:order val="7"/>
          <c:tx>
            <c:strRef>
              <c:f>'Biennia History'!$A$177</c:f>
              <c:strCache>
                <c:ptCount val="1"/>
                <c:pt idx="0">
                  <c:v>Technical Colleges</c:v>
                </c:pt>
              </c:strCache>
            </c:strRef>
          </c:tx>
          <c:invertIfNegative val="0"/>
          <c:cat>
            <c:strRef>
              <c:f>'Biennia History'!$G$99:$K$99</c:f>
              <c:strCache>
                <c:ptCount val="5"/>
                <c:pt idx="0">
                  <c:v>2012 - 2013</c:v>
                </c:pt>
                <c:pt idx="1">
                  <c:v>2014 - 2015</c:v>
                </c:pt>
                <c:pt idx="2">
                  <c:v>2016 - 2017</c:v>
                </c:pt>
                <c:pt idx="3">
                  <c:v>2018 - 2019</c:v>
                </c:pt>
                <c:pt idx="4">
                  <c:v>2020 - 2021</c:v>
                </c:pt>
              </c:strCache>
            </c:strRef>
          </c:cat>
          <c:val>
            <c:numRef>
              <c:f>'Biennia History'!$B$177:$F$177</c:f>
              <c:numCache>
                <c:formatCode>_(* #,##0_);_(* \(#,##0\);_(* "-"_);_(@_)</c:formatCode>
                <c:ptCount val="5"/>
                <c:pt idx="0">
                  <c:v>180900309</c:v>
                </c:pt>
                <c:pt idx="1">
                  <c:v>190972760</c:v>
                </c:pt>
                <c:pt idx="2">
                  <c:v>211641600</c:v>
                </c:pt>
                <c:pt idx="3">
                  <c:v>224527757</c:v>
                </c:pt>
                <c:pt idx="4">
                  <c:v>227768205</c:v>
                </c:pt>
              </c:numCache>
            </c:numRef>
          </c:val>
          <c:extLst>
            <c:ext xmlns:c16="http://schemas.microsoft.com/office/drawing/2014/chart" uri="{C3380CC4-5D6E-409C-BE32-E72D297353CC}">
              <c16:uniqueId val="{00000007-B339-45EF-83D3-B71BCB3464E3}"/>
            </c:ext>
          </c:extLst>
        </c:ser>
        <c:ser>
          <c:idx val="5"/>
          <c:order val="8"/>
          <c:tx>
            <c:strRef>
              <c:f>'Biennia History'!$A$146</c:f>
              <c:strCache>
                <c:ptCount val="1"/>
                <c:pt idx="0">
                  <c:v>University System Offices</c:v>
                </c:pt>
              </c:strCache>
            </c:strRef>
          </c:tx>
          <c:invertIfNegative val="0"/>
          <c:cat>
            <c:strRef>
              <c:f>'Biennia History'!$G$99:$K$99</c:f>
              <c:strCache>
                <c:ptCount val="5"/>
                <c:pt idx="0">
                  <c:v>2012 - 2013</c:v>
                </c:pt>
                <c:pt idx="1">
                  <c:v>2014 - 2015</c:v>
                </c:pt>
                <c:pt idx="2">
                  <c:v>2016 - 2017</c:v>
                </c:pt>
                <c:pt idx="3">
                  <c:v>2018 - 2019</c:v>
                </c:pt>
                <c:pt idx="4">
                  <c:v>2020 - 2021</c:v>
                </c:pt>
              </c:strCache>
            </c:strRef>
          </c:cat>
          <c:val>
            <c:numRef>
              <c:f>'Biennia History'!$G$146:$K$146</c:f>
              <c:numCache>
                <c:formatCode>_(* #,##0_);_(* \(#,##0\);_(* "-"_);_(@_)</c:formatCode>
                <c:ptCount val="5"/>
                <c:pt idx="0">
                  <c:v>90156678</c:v>
                </c:pt>
                <c:pt idx="1">
                  <c:v>53265194</c:v>
                </c:pt>
                <c:pt idx="2">
                  <c:v>93616386</c:v>
                </c:pt>
                <c:pt idx="3">
                  <c:v>143210625</c:v>
                </c:pt>
                <c:pt idx="4">
                  <c:v>124032296</c:v>
                </c:pt>
              </c:numCache>
            </c:numRef>
          </c:val>
          <c:extLst>
            <c:ext xmlns:c16="http://schemas.microsoft.com/office/drawing/2014/chart" uri="{C3380CC4-5D6E-409C-BE32-E72D297353CC}">
              <c16:uniqueId val="{00000008-B339-45EF-83D3-B71BCB3464E3}"/>
            </c:ext>
          </c:extLst>
        </c:ser>
        <c:ser>
          <c:idx val="12"/>
          <c:order val="9"/>
          <c:tx>
            <c:strRef>
              <c:f>'Biennia History'!$A$181</c:f>
              <c:strCache>
                <c:ptCount val="1"/>
                <c:pt idx="0">
                  <c:v>State Colleges</c:v>
                </c:pt>
              </c:strCache>
            </c:strRef>
          </c:tx>
          <c:invertIfNegative val="0"/>
          <c:cat>
            <c:strRef>
              <c:f>'Biennia History'!$G$99:$K$99</c:f>
              <c:strCache>
                <c:ptCount val="5"/>
                <c:pt idx="0">
                  <c:v>2012 - 2013</c:v>
                </c:pt>
                <c:pt idx="1">
                  <c:v>2014 - 2015</c:v>
                </c:pt>
                <c:pt idx="2">
                  <c:v>2016 - 2017</c:v>
                </c:pt>
                <c:pt idx="3">
                  <c:v>2018 - 2019</c:v>
                </c:pt>
                <c:pt idx="4">
                  <c:v>2020 - 2021</c:v>
                </c:pt>
              </c:strCache>
            </c:strRef>
          </c:cat>
          <c:val>
            <c:numRef>
              <c:f>'Biennia History'!$G$181:$K$181</c:f>
              <c:numCache>
                <c:formatCode>_(* #,##0_);_(* \(#,##0\);_(* "-"_);_(@_)</c:formatCode>
                <c:ptCount val="5"/>
                <c:pt idx="0">
                  <c:v>56378068</c:v>
                </c:pt>
                <c:pt idx="1">
                  <c:v>58224373</c:v>
                </c:pt>
                <c:pt idx="2">
                  <c:v>60341648</c:v>
                </c:pt>
                <c:pt idx="3">
                  <c:v>61880819</c:v>
                </c:pt>
                <c:pt idx="4">
                  <c:v>82990763</c:v>
                </c:pt>
              </c:numCache>
            </c:numRef>
          </c:val>
          <c:extLst>
            <c:ext xmlns:c16="http://schemas.microsoft.com/office/drawing/2014/chart" uri="{C3380CC4-5D6E-409C-BE32-E72D297353CC}">
              <c16:uniqueId val="{00000009-B339-45EF-83D3-B71BCB3464E3}"/>
            </c:ext>
          </c:extLst>
        </c:ser>
        <c:ser>
          <c:idx val="1"/>
          <c:order val="10"/>
          <c:tx>
            <c:strRef>
              <c:f>'Biennia History'!$A$64</c:f>
              <c:strCache>
                <c:ptCount val="1"/>
                <c:pt idx="0">
                  <c:v>State Board for Educator Certification</c:v>
                </c:pt>
              </c:strCache>
            </c:strRef>
          </c:tx>
          <c:invertIfNegative val="0"/>
          <c:cat>
            <c:strRef>
              <c:f>'Biennia History'!$G$99:$K$99</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A-B339-45EF-83D3-B71BCB3464E3}"/>
            </c:ext>
          </c:extLst>
        </c:ser>
        <c:ser>
          <c:idx val="2"/>
          <c:order val="11"/>
          <c:tx>
            <c:strRef>
              <c:f>'Biennia History'!$A$65</c:f>
              <c:strCache>
                <c:ptCount val="1"/>
                <c:pt idx="0">
                  <c:v>Texas State School for the Blind and Visually Impaired</c:v>
                </c:pt>
              </c:strCache>
            </c:strRef>
          </c:tx>
          <c:invertIfNegative val="0"/>
          <c:cat>
            <c:strRef>
              <c:f>'Biennia History'!$G$99:$K$99</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B-B339-45EF-83D3-B71BCB3464E3}"/>
            </c:ext>
          </c:extLst>
        </c:ser>
        <c:ser>
          <c:idx val="3"/>
          <c:order val="12"/>
          <c:tx>
            <c:strRef>
              <c:f>'Biennia History'!$A$66</c:f>
              <c:strCache>
                <c:ptCount val="1"/>
                <c:pt idx="0">
                  <c:v>Texas State School for the Deaf</c:v>
                </c:pt>
              </c:strCache>
            </c:strRef>
          </c:tx>
          <c:invertIfNegative val="0"/>
          <c:cat>
            <c:strRef>
              <c:f>'Biennia History'!$G$99:$K$99</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C-B339-45EF-83D3-B71BCB3464E3}"/>
            </c:ext>
          </c:extLst>
        </c:ser>
        <c:dLbls>
          <c:showLegendKey val="0"/>
          <c:showVal val="0"/>
          <c:showCatName val="0"/>
          <c:showSerName val="0"/>
          <c:showPercent val="0"/>
          <c:showBubbleSize val="0"/>
        </c:dLbls>
        <c:gapWidth val="150"/>
        <c:overlap val="100"/>
        <c:axId val="-619931568"/>
        <c:axId val="-619945168"/>
      </c:barChart>
      <c:catAx>
        <c:axId val="-619931568"/>
        <c:scaling>
          <c:orientation val="minMax"/>
        </c:scaling>
        <c:delete val="0"/>
        <c:axPos val="b"/>
        <c:numFmt formatCode="General" sourceLinked="1"/>
        <c:majorTickMark val="out"/>
        <c:minorTickMark val="none"/>
        <c:tickLblPos val="nextTo"/>
        <c:crossAx val="-619945168"/>
        <c:crosses val="autoZero"/>
        <c:auto val="1"/>
        <c:lblAlgn val="ctr"/>
        <c:lblOffset val="100"/>
        <c:noMultiLvlLbl val="0"/>
      </c:catAx>
      <c:valAx>
        <c:axId val="-619945168"/>
        <c:scaling>
          <c:orientation val="minMax"/>
        </c:scaling>
        <c:delete val="0"/>
        <c:axPos val="l"/>
        <c:majorGridlines/>
        <c:numFmt formatCode="_(* #,##0_);_(* \(#,##0\);_(* &quot;-&quot;_);_(@_)" sourceLinked="1"/>
        <c:majorTickMark val="out"/>
        <c:minorTickMark val="none"/>
        <c:tickLblPos val="nextTo"/>
        <c:crossAx val="-619931568"/>
        <c:crosses val="autoZero"/>
        <c:crossBetween val="between"/>
        <c:dispUnits>
          <c:builtInUnit val="billions"/>
          <c:dispUnitsLbl>
            <c:layout>
              <c:manualLayout>
                <c:xMode val="edge"/>
                <c:yMode val="edge"/>
                <c:x val="1.6796351275762657E-2"/>
                <c:y val="0.41890679552906351"/>
              </c:manualLayout>
            </c:layout>
          </c:dispUnitsLbl>
        </c:dispUnits>
      </c:valAx>
    </c:plotArea>
    <c:legend>
      <c:legendPos val="r"/>
      <c:layout>
        <c:manualLayout>
          <c:xMode val="edge"/>
          <c:yMode val="edge"/>
          <c:x val="0.79762850135536323"/>
          <c:y val="5.3108314731686576E-2"/>
          <c:w val="0.20023871606213159"/>
          <c:h val="0.94689168526831347"/>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200" b="1" i="0" u="none" strike="noStrike" kern="1200" baseline="0">
                <a:solidFill>
                  <a:sysClr val="windowText" lastClr="000000"/>
                </a:solidFill>
                <a:latin typeface="Tahoma" pitchFamily="34" charset="0"/>
                <a:ea typeface="Tahoma" pitchFamily="34" charset="0"/>
                <a:cs typeface="Tahoma" pitchFamily="34" charset="0"/>
              </a:defRPr>
            </a:pPr>
            <a:r>
              <a:rPr lang="en-US" sz="1200" b="1" i="0" baseline="0">
                <a:effectLst/>
              </a:rPr>
              <a:t>Non-Formula Item Appropriations by Sector - General Revenue</a:t>
            </a:r>
            <a:endParaRPr lang="en-US" sz="1200">
              <a:effectLst/>
            </a:endParaRPr>
          </a:p>
        </c:rich>
      </c:tx>
      <c:layout>
        <c:manualLayout>
          <c:xMode val="edge"/>
          <c:yMode val="edge"/>
          <c:x val="0.14317326288161347"/>
          <c:y val="3.343781553647289E-2"/>
        </c:manualLayout>
      </c:layout>
      <c:overlay val="0"/>
    </c:title>
    <c:autoTitleDeleted val="0"/>
    <c:plotArea>
      <c:layout>
        <c:manualLayout>
          <c:layoutTarget val="inner"/>
          <c:xMode val="edge"/>
          <c:yMode val="edge"/>
          <c:x val="0.12759117281392457"/>
          <c:y val="0.14249051169072915"/>
          <c:w val="0.66098258984989822"/>
          <c:h val="0.77447978530516792"/>
        </c:manualLayout>
      </c:layout>
      <c:barChart>
        <c:barDir val="col"/>
        <c:grouping val="stacked"/>
        <c:varyColors val="0"/>
        <c:ser>
          <c:idx val="5"/>
          <c:order val="0"/>
          <c:tx>
            <c:strRef>
              <c:f>'Biennia History'!$A$421</c:f>
              <c:strCache>
                <c:ptCount val="1"/>
                <c:pt idx="0">
                  <c:v>Total General Academic Institutions</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History'!$G$421:$K$421</c:f>
              <c:numCache>
                <c:formatCode>_(* #,##0_);_(* \(#,##0\);_(* "-"_);_(@_)</c:formatCode>
                <c:ptCount val="5"/>
                <c:pt idx="0">
                  <c:v>513289693</c:v>
                </c:pt>
                <c:pt idx="1">
                  <c:v>554048541</c:v>
                </c:pt>
                <c:pt idx="2">
                  <c:v>696717030</c:v>
                </c:pt>
                <c:pt idx="3">
                  <c:v>471040261</c:v>
                </c:pt>
                <c:pt idx="4">
                  <c:v>804607105</c:v>
                </c:pt>
              </c:numCache>
            </c:numRef>
          </c:val>
          <c:extLst>
            <c:ext xmlns:c16="http://schemas.microsoft.com/office/drawing/2014/chart" uri="{C3380CC4-5D6E-409C-BE32-E72D297353CC}">
              <c16:uniqueId val="{00000000-68F1-40D0-BD4A-43F1709BD693}"/>
            </c:ext>
          </c:extLst>
        </c:ser>
        <c:ser>
          <c:idx val="6"/>
          <c:order val="1"/>
          <c:tx>
            <c:strRef>
              <c:f>'Biennia History'!$A$437</c:f>
              <c:strCache>
                <c:ptCount val="1"/>
                <c:pt idx="0">
                  <c:v>Total Health-Related Institutions</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History'!$G$437:$K$437</c:f>
              <c:numCache>
                <c:formatCode>_(* #,##0_);_(* \(#,##0\);_(* "-"_);_(@_)</c:formatCode>
                <c:ptCount val="5"/>
                <c:pt idx="0">
                  <c:v>430766980</c:v>
                </c:pt>
                <c:pt idx="1">
                  <c:v>364691772</c:v>
                </c:pt>
                <c:pt idx="2">
                  <c:v>397520484</c:v>
                </c:pt>
                <c:pt idx="3">
                  <c:v>396599604</c:v>
                </c:pt>
                <c:pt idx="4">
                  <c:v>324527064</c:v>
                </c:pt>
              </c:numCache>
            </c:numRef>
          </c:val>
          <c:extLst>
            <c:ext xmlns:c16="http://schemas.microsoft.com/office/drawing/2014/chart" uri="{C3380CC4-5D6E-409C-BE32-E72D297353CC}">
              <c16:uniqueId val="{00000001-68F1-40D0-BD4A-43F1709BD693}"/>
            </c:ext>
          </c:extLst>
        </c:ser>
        <c:ser>
          <c:idx val="0"/>
          <c:order val="2"/>
          <c:tx>
            <c:strRef>
              <c:f>'Biennia History'!$A$63</c:f>
              <c:strCache>
                <c:ptCount val="1"/>
                <c:pt idx="0">
                  <c:v>Texas Education Agency</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2-68F1-40D0-BD4A-43F1709BD693}"/>
            </c:ext>
          </c:extLst>
        </c:ser>
        <c:ser>
          <c:idx val="4"/>
          <c:order val="3"/>
          <c:tx>
            <c:strRef>
              <c:f>'Biennia History'!$A$425</c:f>
              <c:strCache>
                <c:ptCount val="1"/>
                <c:pt idx="0">
                  <c:v>University System Offices</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History'!$G$425:$K$425</c:f>
              <c:numCache>
                <c:formatCode>_(* #,##0_);_(* \(#,##0\);_(* "-"_);_(@_)</c:formatCode>
                <c:ptCount val="5"/>
                <c:pt idx="0">
                  <c:v>6795320</c:v>
                </c:pt>
                <c:pt idx="1">
                  <c:v>7017320</c:v>
                </c:pt>
                <c:pt idx="2">
                  <c:v>9461887</c:v>
                </c:pt>
                <c:pt idx="3">
                  <c:v>1577069</c:v>
                </c:pt>
                <c:pt idx="4">
                  <c:v>1768525</c:v>
                </c:pt>
              </c:numCache>
            </c:numRef>
          </c:val>
          <c:extLst>
            <c:ext xmlns:c16="http://schemas.microsoft.com/office/drawing/2014/chart" uri="{C3380CC4-5D6E-409C-BE32-E72D297353CC}">
              <c16:uniqueId val="{00000003-68F1-40D0-BD4A-43F1709BD693}"/>
            </c:ext>
          </c:extLst>
        </c:ser>
        <c:ser>
          <c:idx val="1"/>
          <c:order val="4"/>
          <c:tx>
            <c:strRef>
              <c:f>'Biennia History'!$A$64</c:f>
              <c:strCache>
                <c:ptCount val="1"/>
                <c:pt idx="0">
                  <c:v>State Board for Educator Certification</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4-68F1-40D0-BD4A-43F1709BD693}"/>
            </c:ext>
          </c:extLst>
        </c:ser>
        <c:ser>
          <c:idx val="2"/>
          <c:order val="5"/>
          <c:tx>
            <c:strRef>
              <c:f>'Biennia History'!$A$65</c:f>
              <c:strCache>
                <c:ptCount val="1"/>
                <c:pt idx="0">
                  <c:v>Texas State School for the Blind and Visually Impaired</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5-68F1-40D0-BD4A-43F1709BD693}"/>
            </c:ext>
          </c:extLst>
        </c:ser>
        <c:ser>
          <c:idx val="3"/>
          <c:order val="6"/>
          <c:tx>
            <c:strRef>
              <c:f>'Biennia History'!$A$66</c:f>
              <c:strCache>
                <c:ptCount val="1"/>
                <c:pt idx="0">
                  <c:v>Texas State School for the Deaf</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6-68F1-40D0-BD4A-43F1709BD693}"/>
            </c:ext>
          </c:extLst>
        </c:ser>
        <c:ser>
          <c:idx val="7"/>
          <c:order val="7"/>
          <c:tx>
            <c:strRef>
              <c:f>'Biennia History'!$A$442</c:f>
              <c:strCache>
                <c:ptCount val="1"/>
                <c:pt idx="0">
                  <c:v>Total Technical Colleges</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History'!$G$442:$K$442</c:f>
              <c:numCache>
                <c:formatCode>_(* #,##0_);_(* \(#,##0\);_(* "-"_);_(@_)</c:formatCode>
                <c:ptCount val="5"/>
                <c:pt idx="0">
                  <c:v>9574010</c:v>
                </c:pt>
                <c:pt idx="1">
                  <c:v>7574010</c:v>
                </c:pt>
                <c:pt idx="2">
                  <c:v>7574010</c:v>
                </c:pt>
                <c:pt idx="3">
                  <c:v>5279998</c:v>
                </c:pt>
                <c:pt idx="4">
                  <c:v>5287077</c:v>
                </c:pt>
              </c:numCache>
            </c:numRef>
          </c:val>
          <c:extLst>
            <c:ext xmlns:c16="http://schemas.microsoft.com/office/drawing/2014/chart" uri="{C3380CC4-5D6E-409C-BE32-E72D297353CC}">
              <c16:uniqueId val="{00000007-68F1-40D0-BD4A-43F1709BD693}"/>
            </c:ext>
          </c:extLst>
        </c:ser>
        <c:ser>
          <c:idx val="8"/>
          <c:order val="8"/>
          <c:tx>
            <c:strRef>
              <c:f>'Biennia History'!$A$446</c:f>
              <c:strCache>
                <c:ptCount val="1"/>
                <c:pt idx="0">
                  <c:v>Total State Colleges</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History'!$G$446:$K$446</c:f>
              <c:numCache>
                <c:formatCode>_(* #,##0_);_(* \(#,##0\);_(* "-"_);_(@_)</c:formatCode>
                <c:ptCount val="5"/>
                <c:pt idx="0">
                  <c:v>11238954</c:v>
                </c:pt>
                <c:pt idx="1">
                  <c:v>10280953</c:v>
                </c:pt>
                <c:pt idx="2">
                  <c:v>12780954</c:v>
                </c:pt>
                <c:pt idx="3">
                  <c:v>9222690</c:v>
                </c:pt>
                <c:pt idx="4">
                  <c:v>12778731</c:v>
                </c:pt>
              </c:numCache>
            </c:numRef>
          </c:val>
          <c:extLst>
            <c:ext xmlns:c16="http://schemas.microsoft.com/office/drawing/2014/chart" uri="{C3380CC4-5D6E-409C-BE32-E72D297353CC}">
              <c16:uniqueId val="{00000008-68F1-40D0-BD4A-43F1709BD693}"/>
            </c:ext>
          </c:extLst>
        </c:ser>
        <c:ser>
          <c:idx val="9"/>
          <c:order val="9"/>
          <c:tx>
            <c:strRef>
              <c:f>'Biennia History'!$A$455</c:f>
              <c:strCache>
                <c:ptCount val="1"/>
                <c:pt idx="0">
                  <c:v>Public Community Colleges</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History'!$G$455:$K$455</c:f>
              <c:numCache>
                <c:formatCode>_(* #,##0_);_(* \(#,##0\);_(* "-"_);_(@_)</c:formatCode>
                <c:ptCount val="5"/>
                <c:pt idx="0">
                  <c:v>8068779</c:v>
                </c:pt>
                <c:pt idx="1">
                  <c:v>9377530</c:v>
                </c:pt>
                <c:pt idx="2">
                  <c:v>17612034</c:v>
                </c:pt>
                <c:pt idx="3">
                  <c:v>15145362</c:v>
                </c:pt>
                <c:pt idx="4">
                  <c:v>15461363</c:v>
                </c:pt>
              </c:numCache>
            </c:numRef>
          </c:val>
          <c:extLst>
            <c:ext xmlns:c16="http://schemas.microsoft.com/office/drawing/2014/chart" uri="{C3380CC4-5D6E-409C-BE32-E72D297353CC}">
              <c16:uniqueId val="{00000009-68F1-40D0-BD4A-43F1709BD693}"/>
            </c:ext>
          </c:extLst>
        </c:ser>
        <c:dLbls>
          <c:showLegendKey val="0"/>
          <c:showVal val="0"/>
          <c:showCatName val="0"/>
          <c:showSerName val="0"/>
          <c:showPercent val="0"/>
          <c:showBubbleSize val="0"/>
        </c:dLbls>
        <c:gapWidth val="150"/>
        <c:overlap val="100"/>
        <c:axId val="-619932112"/>
        <c:axId val="-619929936"/>
      </c:barChart>
      <c:catAx>
        <c:axId val="-619932112"/>
        <c:scaling>
          <c:orientation val="minMax"/>
        </c:scaling>
        <c:delete val="0"/>
        <c:axPos val="b"/>
        <c:numFmt formatCode="General" sourceLinked="1"/>
        <c:majorTickMark val="out"/>
        <c:minorTickMark val="none"/>
        <c:tickLblPos val="nextTo"/>
        <c:crossAx val="-619929936"/>
        <c:crosses val="autoZero"/>
        <c:auto val="1"/>
        <c:lblAlgn val="ctr"/>
        <c:lblOffset val="100"/>
        <c:noMultiLvlLbl val="0"/>
      </c:catAx>
      <c:valAx>
        <c:axId val="-619929936"/>
        <c:scaling>
          <c:orientation val="minMax"/>
        </c:scaling>
        <c:delete val="0"/>
        <c:axPos val="l"/>
        <c:majorGridlines/>
        <c:numFmt formatCode="_(* #,##0_);_(* \(#,##0\);_(* &quot;-&quot;_);_(@_)" sourceLinked="1"/>
        <c:majorTickMark val="out"/>
        <c:minorTickMark val="none"/>
        <c:tickLblPos val="nextTo"/>
        <c:crossAx val="-619932112"/>
        <c:crosses val="autoZero"/>
        <c:crossBetween val="between"/>
        <c:dispUnits>
          <c:builtInUnit val="millions"/>
          <c:dispUnitsLbl>
            <c:layout>
              <c:manualLayout>
                <c:xMode val="edge"/>
                <c:yMode val="edge"/>
                <c:x val="2.1842623290509743E-2"/>
                <c:y val="0.42306044214270577"/>
              </c:manualLayout>
            </c:layout>
          </c:dispUnitsLbl>
        </c:dispUnits>
      </c:valAx>
    </c:plotArea>
    <c:legend>
      <c:legendPos val="r"/>
      <c:layout>
        <c:manualLayout>
          <c:xMode val="edge"/>
          <c:yMode val="edge"/>
          <c:x val="0.81018735322558366"/>
          <c:y val="0.16787165671211488"/>
          <c:w val="0.18981264677441637"/>
          <c:h val="0.66459303940528092"/>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200" b="1" i="0" u="none" strike="noStrike" kern="1200" baseline="0">
                <a:solidFill>
                  <a:sysClr val="windowText" lastClr="000000"/>
                </a:solidFill>
                <a:latin typeface="Tahoma" pitchFamily="34" charset="0"/>
                <a:ea typeface="Tahoma" pitchFamily="34" charset="0"/>
                <a:cs typeface="Tahoma" pitchFamily="34" charset="0"/>
              </a:defRPr>
            </a:pPr>
            <a:r>
              <a:rPr lang="en-US" sz="1200" b="1" i="0" baseline="0">
                <a:effectLst/>
              </a:rPr>
              <a:t>Non-Formula Appropriations Institutional Enhancement - General Revenue</a:t>
            </a:r>
            <a:endParaRPr lang="en-US" sz="1200">
              <a:effectLst/>
            </a:endParaRPr>
          </a:p>
        </c:rich>
      </c:tx>
      <c:layout>
        <c:manualLayout>
          <c:xMode val="edge"/>
          <c:yMode val="edge"/>
          <c:x val="9.9096158434741094E-2"/>
          <c:y val="9.0474332477327845E-3"/>
        </c:manualLayout>
      </c:layout>
      <c:overlay val="0"/>
    </c:title>
    <c:autoTitleDeleted val="0"/>
    <c:plotArea>
      <c:layout>
        <c:manualLayout>
          <c:layoutTarget val="inner"/>
          <c:xMode val="edge"/>
          <c:yMode val="edge"/>
          <c:x val="0.12318344504457604"/>
          <c:y val="0.15875066937114482"/>
          <c:w val="0.66539033860436869"/>
          <c:h val="0.75821978163376813"/>
        </c:manualLayout>
      </c:layout>
      <c:barChart>
        <c:barDir val="col"/>
        <c:grouping val="stacked"/>
        <c:varyColors val="0"/>
        <c:ser>
          <c:idx val="5"/>
          <c:order val="0"/>
          <c:tx>
            <c:strRef>
              <c:f>'Biennia History'!$A$515</c:f>
              <c:strCache>
                <c:ptCount val="1"/>
                <c:pt idx="0">
                  <c:v>Total General Academic Institutions</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History'!$G$515:$K$515</c:f>
              <c:numCache>
                <c:formatCode>_(* #,##0_);_(* \(#,##0\);_(* "-"_);_(@_)</c:formatCode>
                <c:ptCount val="5"/>
                <c:pt idx="0">
                  <c:v>220427243</c:v>
                </c:pt>
                <c:pt idx="1">
                  <c:v>237399735</c:v>
                </c:pt>
                <c:pt idx="2">
                  <c:v>236817077</c:v>
                </c:pt>
                <c:pt idx="3">
                  <c:v>163250074</c:v>
                </c:pt>
                <c:pt idx="4">
                  <c:v>282118074</c:v>
                </c:pt>
              </c:numCache>
            </c:numRef>
          </c:val>
          <c:extLst>
            <c:ext xmlns:c16="http://schemas.microsoft.com/office/drawing/2014/chart" uri="{C3380CC4-5D6E-409C-BE32-E72D297353CC}">
              <c16:uniqueId val="{00000000-1690-4ECB-B586-8A72C3E0345E}"/>
            </c:ext>
          </c:extLst>
        </c:ser>
        <c:ser>
          <c:idx val="6"/>
          <c:order val="1"/>
          <c:tx>
            <c:strRef>
              <c:f>'Biennia History'!$A$527</c:f>
              <c:strCache>
                <c:ptCount val="1"/>
                <c:pt idx="0">
                  <c:v>Total Health-Related Institutions</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History'!$G$527:$K$527</c:f>
              <c:numCache>
                <c:formatCode>_(* #,##0_);_(* \(#,##0\);_(* "-"_);_(@_)</c:formatCode>
                <c:ptCount val="5"/>
                <c:pt idx="0">
                  <c:v>60343701</c:v>
                </c:pt>
                <c:pt idx="1">
                  <c:v>44334408</c:v>
                </c:pt>
                <c:pt idx="2">
                  <c:v>42818736</c:v>
                </c:pt>
                <c:pt idx="3">
                  <c:v>40877062</c:v>
                </c:pt>
                <c:pt idx="4">
                  <c:v>42480486</c:v>
                </c:pt>
              </c:numCache>
            </c:numRef>
          </c:val>
          <c:extLst>
            <c:ext xmlns:c16="http://schemas.microsoft.com/office/drawing/2014/chart" uri="{C3380CC4-5D6E-409C-BE32-E72D297353CC}">
              <c16:uniqueId val="{00000001-1690-4ECB-B586-8A72C3E0345E}"/>
            </c:ext>
          </c:extLst>
        </c:ser>
        <c:ser>
          <c:idx val="0"/>
          <c:order val="2"/>
          <c:tx>
            <c:strRef>
              <c:f>'Biennia History'!$A$63</c:f>
              <c:strCache>
                <c:ptCount val="1"/>
                <c:pt idx="0">
                  <c:v>Texas Education Agency</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2-1690-4ECB-B586-8A72C3E0345E}"/>
            </c:ext>
          </c:extLst>
        </c:ser>
        <c:ser>
          <c:idx val="4"/>
          <c:order val="3"/>
          <c:tx>
            <c:strRef>
              <c:f>'Biennia History'!$A$532</c:f>
              <c:strCache>
                <c:ptCount val="1"/>
                <c:pt idx="0">
                  <c:v>Total Technical Colleges</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History'!$G$532:$K$532</c:f>
              <c:numCache>
                <c:formatCode>_(* #,##0_);_(* \(#,##0\);_(* "-"_);_(@_)</c:formatCode>
                <c:ptCount val="5"/>
                <c:pt idx="0">
                  <c:v>7574010</c:v>
                </c:pt>
                <c:pt idx="1">
                  <c:v>7574010</c:v>
                </c:pt>
                <c:pt idx="2">
                  <c:v>7574010</c:v>
                </c:pt>
                <c:pt idx="3">
                  <c:v>5279998</c:v>
                </c:pt>
                <c:pt idx="4">
                  <c:v>5287077</c:v>
                </c:pt>
              </c:numCache>
            </c:numRef>
          </c:val>
          <c:extLst>
            <c:ext xmlns:c16="http://schemas.microsoft.com/office/drawing/2014/chart" uri="{C3380CC4-5D6E-409C-BE32-E72D297353CC}">
              <c16:uniqueId val="{00000003-1690-4ECB-B586-8A72C3E0345E}"/>
            </c:ext>
          </c:extLst>
        </c:ser>
        <c:ser>
          <c:idx val="1"/>
          <c:order val="4"/>
          <c:tx>
            <c:strRef>
              <c:f>'Biennia History'!$A$64</c:f>
              <c:strCache>
                <c:ptCount val="1"/>
                <c:pt idx="0">
                  <c:v>State Board for Educator Certification</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4-1690-4ECB-B586-8A72C3E0345E}"/>
            </c:ext>
          </c:extLst>
        </c:ser>
        <c:ser>
          <c:idx val="2"/>
          <c:order val="5"/>
          <c:tx>
            <c:strRef>
              <c:f>'Biennia History'!$A$65</c:f>
              <c:strCache>
                <c:ptCount val="1"/>
                <c:pt idx="0">
                  <c:v>Texas State School for the Blind and Visually Impaired</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5-1690-4ECB-B586-8A72C3E0345E}"/>
            </c:ext>
          </c:extLst>
        </c:ser>
        <c:ser>
          <c:idx val="3"/>
          <c:order val="6"/>
          <c:tx>
            <c:strRef>
              <c:f>'Biennia History'!$A$66</c:f>
              <c:strCache>
                <c:ptCount val="1"/>
                <c:pt idx="0">
                  <c:v>Texas State School for the Deaf</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6-1690-4ECB-B586-8A72C3E0345E}"/>
            </c:ext>
          </c:extLst>
        </c:ser>
        <c:ser>
          <c:idx val="7"/>
          <c:order val="7"/>
          <c:tx>
            <c:strRef>
              <c:f>'Biennia History'!$A$536</c:f>
              <c:strCache>
                <c:ptCount val="1"/>
                <c:pt idx="0">
                  <c:v>Total State Colleges</c:v>
                </c:pt>
              </c:strCache>
            </c:strRef>
          </c:tx>
          <c:invertIfNegative val="0"/>
          <c:cat>
            <c:strRef>
              <c:f>'Biennia History'!$G$381:$K$381</c:f>
              <c:strCache>
                <c:ptCount val="5"/>
                <c:pt idx="0">
                  <c:v>2012 - 2013</c:v>
                </c:pt>
                <c:pt idx="1">
                  <c:v>2014 - 2015</c:v>
                </c:pt>
                <c:pt idx="2">
                  <c:v>2016 - 2017</c:v>
                </c:pt>
                <c:pt idx="3">
                  <c:v>2018 - 2019</c:v>
                </c:pt>
                <c:pt idx="4">
                  <c:v>2020 - 2021</c:v>
                </c:pt>
              </c:strCache>
            </c:strRef>
          </c:cat>
          <c:val>
            <c:numRef>
              <c:f>'Biennia History'!$G$536:$K$536</c:f>
              <c:numCache>
                <c:formatCode>_(* #,##0_);_(* \(#,##0\);_(* "-"_);_(@_)</c:formatCode>
                <c:ptCount val="5"/>
                <c:pt idx="0">
                  <c:v>5737816</c:v>
                </c:pt>
                <c:pt idx="1">
                  <c:v>8737815</c:v>
                </c:pt>
                <c:pt idx="2">
                  <c:v>8737816</c:v>
                </c:pt>
                <c:pt idx="3">
                  <c:v>6256627</c:v>
                </c:pt>
                <c:pt idx="4">
                  <c:v>8847674</c:v>
                </c:pt>
              </c:numCache>
            </c:numRef>
          </c:val>
          <c:extLst>
            <c:ext xmlns:c16="http://schemas.microsoft.com/office/drawing/2014/chart" uri="{C3380CC4-5D6E-409C-BE32-E72D297353CC}">
              <c16:uniqueId val="{00000007-1690-4ECB-B586-8A72C3E0345E}"/>
            </c:ext>
          </c:extLst>
        </c:ser>
        <c:dLbls>
          <c:showLegendKey val="0"/>
          <c:showVal val="0"/>
          <c:showCatName val="0"/>
          <c:showSerName val="0"/>
          <c:showPercent val="0"/>
          <c:showBubbleSize val="0"/>
        </c:dLbls>
        <c:gapWidth val="150"/>
        <c:overlap val="100"/>
        <c:axId val="-619928304"/>
        <c:axId val="-619927216"/>
      </c:barChart>
      <c:catAx>
        <c:axId val="-619928304"/>
        <c:scaling>
          <c:orientation val="minMax"/>
        </c:scaling>
        <c:delete val="0"/>
        <c:axPos val="b"/>
        <c:numFmt formatCode="General" sourceLinked="1"/>
        <c:majorTickMark val="out"/>
        <c:minorTickMark val="none"/>
        <c:tickLblPos val="nextTo"/>
        <c:crossAx val="-619927216"/>
        <c:crosses val="autoZero"/>
        <c:auto val="1"/>
        <c:lblAlgn val="ctr"/>
        <c:lblOffset val="100"/>
        <c:noMultiLvlLbl val="0"/>
      </c:catAx>
      <c:valAx>
        <c:axId val="-619927216"/>
        <c:scaling>
          <c:orientation val="minMax"/>
        </c:scaling>
        <c:delete val="0"/>
        <c:axPos val="l"/>
        <c:majorGridlines/>
        <c:numFmt formatCode="_(* #,##0_);_(* \(#,##0\);_(* &quot;-&quot;_);_(@_)" sourceLinked="1"/>
        <c:majorTickMark val="out"/>
        <c:minorTickMark val="none"/>
        <c:tickLblPos val="nextTo"/>
        <c:crossAx val="-619928304"/>
        <c:crosses val="autoZero"/>
        <c:crossBetween val="between"/>
        <c:dispUnits>
          <c:builtInUnit val="millions"/>
          <c:dispUnitsLbl>
            <c:layout>
              <c:manualLayout>
                <c:xMode val="edge"/>
                <c:yMode val="edge"/>
                <c:x val="2.1842623290509743E-2"/>
                <c:y val="0.42306044214270577"/>
              </c:manualLayout>
            </c:layout>
          </c:dispUnitsLbl>
        </c:dispUnits>
      </c:valAx>
    </c:plotArea>
    <c:legend>
      <c:legendPos val="r"/>
      <c:layout>
        <c:manualLayout>
          <c:xMode val="edge"/>
          <c:yMode val="edge"/>
          <c:x val="0.81018735322558366"/>
          <c:y val="0.16787165671211488"/>
          <c:w val="0.18981264677441637"/>
          <c:h val="0.66459303940528092"/>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by Sector -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976790548197449"/>
          <c:y val="0.19434992306781868"/>
          <c:w val="0.54888962910006123"/>
          <c:h val="0.70647027947737573"/>
        </c:manualLayout>
      </c:layout>
      <c:pieChart>
        <c:varyColors val="1"/>
        <c:ser>
          <c:idx val="0"/>
          <c:order val="0"/>
          <c:dLbls>
            <c:dLbl>
              <c:idx val="0"/>
              <c:layout>
                <c:manualLayout>
                  <c:x val="0.14755789881353856"/>
                  <c:y val="-0.1439812173692816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CE8-4241-9C5B-8781D98D1996}"/>
                </c:ext>
              </c:extLst>
            </c:dLbl>
            <c:dLbl>
              <c:idx val="1"/>
              <c:layout>
                <c:manualLayout>
                  <c:x val="-7.2122880099384737E-2"/>
                  <c:y val="-3.088745216637927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CE8-4241-9C5B-8781D98D1996}"/>
                </c:ext>
              </c:extLst>
            </c:dLbl>
            <c:dLbl>
              <c:idx val="7"/>
              <c:layout>
                <c:manualLayout>
                  <c:x val="5.1167892293285923E-2"/>
                  <c:y val="1.201501731798350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CE8-4241-9C5B-8781D98D1996}"/>
                </c:ext>
              </c:extLst>
            </c:dLbl>
            <c:spPr>
              <a:noFill/>
              <a:ln>
                <a:noFill/>
              </a:ln>
              <a:effectLst/>
            </c:spPr>
            <c:txPr>
              <a:bodyPr/>
              <a:lstStyle/>
              <a:p>
                <a:pPr>
                  <a:defRPr sz="7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Dollars'!$A$139,'Summary - Dollars'!$A$146,'Summary - Dollars'!$A$160,'Summary - Dollars'!$A$169,'Summary - Dollars'!$A$177,'Summary - Dollars'!$A$181,'Summary - Dollars'!$A$232,'Summary - Dollars'!$A$245,'Summary - Dollars'!$A$253)</c:f>
              <c:strCache>
                <c:ptCount val="9"/>
                <c:pt idx="0">
                  <c:v>General Academic Institutions</c:v>
                </c:pt>
                <c:pt idx="1">
                  <c:v>University System Offices</c:v>
                </c:pt>
                <c:pt idx="2">
                  <c:v>Health-Related Institutions (Incl BCM)</c:v>
                </c:pt>
                <c:pt idx="3">
                  <c:v>TAMU Agencies</c:v>
                </c:pt>
                <c:pt idx="4">
                  <c:v>Technical Colleges</c:v>
                </c:pt>
                <c:pt idx="5">
                  <c:v>State Colleges</c:v>
                </c:pt>
                <c:pt idx="6">
                  <c:v>Public Community Colleges</c:v>
                </c:pt>
                <c:pt idx="7">
                  <c:v>Higher Education Coordinating Board</c:v>
                </c:pt>
                <c:pt idx="8">
                  <c:v>Other</c:v>
                </c:pt>
              </c:strCache>
            </c:strRef>
          </c:cat>
          <c:val>
            <c:numRef>
              <c:f>('Summary - Dollars'!$P$139,'Summary - Dollars'!$P$146,'Summary - Dollars'!$P$160,'Summary - Dollars'!$P$169,'Summary - Dollars'!$P$177,'Summary - Dollars'!$P$181,'Summary - Dollars'!$P$232,'Summary - Dollars'!$P$245,'Summary - Dollars'!$P$253)</c:f>
              <c:numCache>
                <c:formatCode>_(* #,##0_);_(* \(#,##0\);_(* "-"_);_(@_)</c:formatCode>
                <c:ptCount val="9"/>
                <c:pt idx="0">
                  <c:v>5887409469.2312622</c:v>
                </c:pt>
                <c:pt idx="1">
                  <c:v>124032296</c:v>
                </c:pt>
                <c:pt idx="2">
                  <c:v>3483051729</c:v>
                </c:pt>
                <c:pt idx="3">
                  <c:v>470775054</c:v>
                </c:pt>
                <c:pt idx="4">
                  <c:v>214261780</c:v>
                </c:pt>
                <c:pt idx="5">
                  <c:v>82990763</c:v>
                </c:pt>
                <c:pt idx="6">
                  <c:v>2235880458</c:v>
                </c:pt>
                <c:pt idx="7">
                  <c:v>1548330302</c:v>
                </c:pt>
                <c:pt idx="8">
                  <c:v>817500000</c:v>
                </c:pt>
              </c:numCache>
            </c:numRef>
          </c:val>
          <c:extLst>
            <c:ext xmlns:c16="http://schemas.microsoft.com/office/drawing/2014/chart" uri="{C3380CC4-5D6E-409C-BE32-E72D297353CC}">
              <c16:uniqueId val="{00000000-C335-43E9-9EE1-284672D8194E}"/>
            </c:ext>
          </c:extLst>
        </c:ser>
        <c:dLbls>
          <c:showLegendKey val="0"/>
          <c:showVal val="0"/>
          <c:showCatName val="0"/>
          <c:showSerName val="0"/>
          <c:showPercent val="0"/>
          <c:showBubbleSize val="0"/>
          <c:showLeaderLines val="1"/>
        </c:dLbls>
        <c:firstSliceAng val="170"/>
      </c:pieChart>
    </c:plotArea>
    <c:plotVisOnly val="1"/>
    <c:dispBlanksAs val="gap"/>
    <c:showDLblsOverMax val="0"/>
  </c:chart>
  <c:spPr>
    <a:ln>
      <a:noFill/>
    </a:ln>
  </c:sp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200" b="1" i="0" u="none" strike="noStrike" kern="1200" baseline="0">
                <a:solidFill>
                  <a:sysClr val="windowText" lastClr="000000"/>
                </a:solidFill>
                <a:latin typeface="Tahoma" pitchFamily="34" charset="0"/>
                <a:ea typeface="Tahoma" pitchFamily="34" charset="0"/>
                <a:cs typeface="Tahoma" pitchFamily="34" charset="0"/>
              </a:defRPr>
            </a:pPr>
            <a:r>
              <a:rPr lang="en-US" sz="1200" b="1" i="0" baseline="0">
                <a:effectLst/>
              </a:rPr>
              <a:t>Tuition Revenue Bond Appropriations - General Revenue</a:t>
            </a:r>
            <a:endParaRPr lang="en-US" sz="1200">
              <a:effectLst/>
            </a:endParaRPr>
          </a:p>
        </c:rich>
      </c:tx>
      <c:layout>
        <c:manualLayout>
          <c:xMode val="edge"/>
          <c:yMode val="edge"/>
          <c:x val="9.9096158434741094E-2"/>
          <c:y val="9.0474332477327845E-3"/>
        </c:manualLayout>
      </c:layout>
      <c:overlay val="0"/>
    </c:title>
    <c:autoTitleDeleted val="0"/>
    <c:plotArea>
      <c:layout>
        <c:manualLayout>
          <c:layoutTarget val="inner"/>
          <c:xMode val="edge"/>
          <c:yMode val="edge"/>
          <c:x val="0.11436801804733084"/>
          <c:y val="0.10525287409582512"/>
          <c:w val="0.66979805210299126"/>
          <c:h val="0.79525686294777775"/>
        </c:manualLayout>
      </c:layout>
      <c:barChart>
        <c:barDir val="col"/>
        <c:grouping val="stacked"/>
        <c:varyColors val="0"/>
        <c:ser>
          <c:idx val="5"/>
          <c:order val="0"/>
          <c:tx>
            <c:strRef>
              <c:f>'Biennia History'!$A$515</c:f>
              <c:strCache>
                <c:ptCount val="1"/>
                <c:pt idx="0">
                  <c:v>Total General Academic Institutions</c:v>
                </c:pt>
              </c:strCache>
            </c:strRef>
          </c:tx>
          <c:invertIfNegative val="0"/>
          <c:cat>
            <c:strRef>
              <c:f>'Biennia History'!$G$560:$K$560</c:f>
              <c:strCache>
                <c:ptCount val="5"/>
                <c:pt idx="0">
                  <c:v>2012 - 2013</c:v>
                </c:pt>
                <c:pt idx="1">
                  <c:v>2014 - 2015</c:v>
                </c:pt>
                <c:pt idx="2">
                  <c:v>2016 - 2017</c:v>
                </c:pt>
                <c:pt idx="3">
                  <c:v>2018 - 2019</c:v>
                </c:pt>
                <c:pt idx="4">
                  <c:v>2020 - 2021</c:v>
                </c:pt>
              </c:strCache>
            </c:strRef>
          </c:cat>
          <c:val>
            <c:numRef>
              <c:f>'Biennia History'!$G$515:$K$515</c:f>
              <c:numCache>
                <c:formatCode>_(* #,##0_);_(* \(#,##0\);_(* "-"_);_(@_)</c:formatCode>
                <c:ptCount val="5"/>
                <c:pt idx="0">
                  <c:v>220427243</c:v>
                </c:pt>
                <c:pt idx="1">
                  <c:v>237399735</c:v>
                </c:pt>
                <c:pt idx="2">
                  <c:v>236817077</c:v>
                </c:pt>
                <c:pt idx="3">
                  <c:v>163250074</c:v>
                </c:pt>
                <c:pt idx="4">
                  <c:v>282118074</c:v>
                </c:pt>
              </c:numCache>
            </c:numRef>
          </c:val>
          <c:extLst>
            <c:ext xmlns:c16="http://schemas.microsoft.com/office/drawing/2014/chart" uri="{C3380CC4-5D6E-409C-BE32-E72D297353CC}">
              <c16:uniqueId val="{00000000-61C2-4AC7-A6A2-7C8C130F4810}"/>
            </c:ext>
          </c:extLst>
        </c:ser>
        <c:ser>
          <c:idx val="6"/>
          <c:order val="1"/>
          <c:tx>
            <c:strRef>
              <c:f>'Biennia History'!$A$527</c:f>
              <c:strCache>
                <c:ptCount val="1"/>
                <c:pt idx="0">
                  <c:v>Total Health-Related Institutions</c:v>
                </c:pt>
              </c:strCache>
            </c:strRef>
          </c:tx>
          <c:invertIfNegative val="0"/>
          <c:cat>
            <c:strRef>
              <c:f>'Biennia History'!$G$560:$K$560</c:f>
              <c:strCache>
                <c:ptCount val="5"/>
                <c:pt idx="0">
                  <c:v>2012 - 2013</c:v>
                </c:pt>
                <c:pt idx="1">
                  <c:v>2014 - 2015</c:v>
                </c:pt>
                <c:pt idx="2">
                  <c:v>2016 - 2017</c:v>
                </c:pt>
                <c:pt idx="3">
                  <c:v>2018 - 2019</c:v>
                </c:pt>
                <c:pt idx="4">
                  <c:v>2020 - 2021</c:v>
                </c:pt>
              </c:strCache>
            </c:strRef>
          </c:cat>
          <c:val>
            <c:numRef>
              <c:f>'Biennia History'!$G$527:$K$527</c:f>
              <c:numCache>
                <c:formatCode>_(* #,##0_);_(* \(#,##0\);_(* "-"_);_(@_)</c:formatCode>
                <c:ptCount val="5"/>
                <c:pt idx="0">
                  <c:v>60343701</c:v>
                </c:pt>
                <c:pt idx="1">
                  <c:v>44334408</c:v>
                </c:pt>
                <c:pt idx="2">
                  <c:v>42818736</c:v>
                </c:pt>
                <c:pt idx="3">
                  <c:v>40877062</c:v>
                </c:pt>
                <c:pt idx="4">
                  <c:v>42480486</c:v>
                </c:pt>
              </c:numCache>
            </c:numRef>
          </c:val>
          <c:extLst>
            <c:ext xmlns:c16="http://schemas.microsoft.com/office/drawing/2014/chart" uri="{C3380CC4-5D6E-409C-BE32-E72D297353CC}">
              <c16:uniqueId val="{00000001-61C2-4AC7-A6A2-7C8C130F4810}"/>
            </c:ext>
          </c:extLst>
        </c:ser>
        <c:ser>
          <c:idx val="0"/>
          <c:order val="2"/>
          <c:tx>
            <c:strRef>
              <c:f>'Biennia History'!$A$63</c:f>
              <c:strCache>
                <c:ptCount val="1"/>
                <c:pt idx="0">
                  <c:v>Texas Education Agency</c:v>
                </c:pt>
              </c:strCache>
            </c:strRef>
          </c:tx>
          <c:invertIfNegative val="0"/>
          <c:cat>
            <c:strRef>
              <c:f>'Biennia History'!$G$560:$K$560</c:f>
              <c:strCache>
                <c:ptCount val="5"/>
                <c:pt idx="0">
                  <c:v>2012 - 2013</c:v>
                </c:pt>
                <c:pt idx="1">
                  <c:v>2014 - 2015</c:v>
                </c:pt>
                <c:pt idx="2">
                  <c:v>2016 - 2017</c:v>
                </c:pt>
                <c:pt idx="3">
                  <c:v>2018 - 2019</c:v>
                </c:pt>
                <c:pt idx="4">
                  <c:v>2020 - 2021</c:v>
                </c:pt>
              </c:strCache>
            </c:strRef>
          </c:cat>
          <c:val>
            <c:numRef>
              <c:f>'Biennia History'!$B$63:$F$63</c:f>
            </c:numRef>
          </c:val>
          <c:extLst>
            <c:ext xmlns:c16="http://schemas.microsoft.com/office/drawing/2014/chart" uri="{C3380CC4-5D6E-409C-BE32-E72D297353CC}">
              <c16:uniqueId val="{00000002-61C2-4AC7-A6A2-7C8C130F4810}"/>
            </c:ext>
          </c:extLst>
        </c:ser>
        <c:ser>
          <c:idx val="4"/>
          <c:order val="3"/>
          <c:tx>
            <c:strRef>
              <c:f>'Biennia History'!$A$532</c:f>
              <c:strCache>
                <c:ptCount val="1"/>
                <c:pt idx="0">
                  <c:v>Total Technical Colleges</c:v>
                </c:pt>
              </c:strCache>
            </c:strRef>
          </c:tx>
          <c:invertIfNegative val="0"/>
          <c:cat>
            <c:strRef>
              <c:f>'Biennia History'!$G$560:$K$560</c:f>
              <c:strCache>
                <c:ptCount val="5"/>
                <c:pt idx="0">
                  <c:v>2012 - 2013</c:v>
                </c:pt>
                <c:pt idx="1">
                  <c:v>2014 - 2015</c:v>
                </c:pt>
                <c:pt idx="2">
                  <c:v>2016 - 2017</c:v>
                </c:pt>
                <c:pt idx="3">
                  <c:v>2018 - 2019</c:v>
                </c:pt>
                <c:pt idx="4">
                  <c:v>2020 - 2021</c:v>
                </c:pt>
              </c:strCache>
            </c:strRef>
          </c:cat>
          <c:val>
            <c:numRef>
              <c:f>'Biennia History'!$G$532:$K$532</c:f>
              <c:numCache>
                <c:formatCode>_(* #,##0_);_(* \(#,##0\);_(* "-"_);_(@_)</c:formatCode>
                <c:ptCount val="5"/>
                <c:pt idx="0">
                  <c:v>7574010</c:v>
                </c:pt>
                <c:pt idx="1">
                  <c:v>7574010</c:v>
                </c:pt>
                <c:pt idx="2">
                  <c:v>7574010</c:v>
                </c:pt>
                <c:pt idx="3">
                  <c:v>5279998</c:v>
                </c:pt>
                <c:pt idx="4">
                  <c:v>5287077</c:v>
                </c:pt>
              </c:numCache>
            </c:numRef>
          </c:val>
          <c:extLst>
            <c:ext xmlns:c16="http://schemas.microsoft.com/office/drawing/2014/chart" uri="{C3380CC4-5D6E-409C-BE32-E72D297353CC}">
              <c16:uniqueId val="{00000003-61C2-4AC7-A6A2-7C8C130F4810}"/>
            </c:ext>
          </c:extLst>
        </c:ser>
        <c:ser>
          <c:idx val="1"/>
          <c:order val="4"/>
          <c:tx>
            <c:strRef>
              <c:f>'Biennia History'!$A$64</c:f>
              <c:strCache>
                <c:ptCount val="1"/>
                <c:pt idx="0">
                  <c:v>State Board for Educator Certification</c:v>
                </c:pt>
              </c:strCache>
            </c:strRef>
          </c:tx>
          <c:invertIfNegative val="0"/>
          <c:cat>
            <c:strRef>
              <c:f>'Biennia History'!$G$560:$K$560</c:f>
              <c:strCache>
                <c:ptCount val="5"/>
                <c:pt idx="0">
                  <c:v>2012 - 2013</c:v>
                </c:pt>
                <c:pt idx="1">
                  <c:v>2014 - 2015</c:v>
                </c:pt>
                <c:pt idx="2">
                  <c:v>2016 - 2017</c:v>
                </c:pt>
                <c:pt idx="3">
                  <c:v>2018 - 2019</c:v>
                </c:pt>
                <c:pt idx="4">
                  <c:v>2020 - 2021</c:v>
                </c:pt>
              </c:strCache>
            </c:strRef>
          </c:cat>
          <c:val>
            <c:numRef>
              <c:f>'Biennia History'!$B$64:$F$64</c:f>
            </c:numRef>
          </c:val>
          <c:extLst>
            <c:ext xmlns:c16="http://schemas.microsoft.com/office/drawing/2014/chart" uri="{C3380CC4-5D6E-409C-BE32-E72D297353CC}">
              <c16:uniqueId val="{00000004-61C2-4AC7-A6A2-7C8C130F4810}"/>
            </c:ext>
          </c:extLst>
        </c:ser>
        <c:ser>
          <c:idx val="2"/>
          <c:order val="5"/>
          <c:tx>
            <c:strRef>
              <c:f>'Biennia History'!$A$65</c:f>
              <c:strCache>
                <c:ptCount val="1"/>
                <c:pt idx="0">
                  <c:v>Texas State School for the Blind and Visually Impaired</c:v>
                </c:pt>
              </c:strCache>
            </c:strRef>
          </c:tx>
          <c:invertIfNegative val="0"/>
          <c:cat>
            <c:strRef>
              <c:f>'Biennia History'!$G$560:$K$560</c:f>
              <c:strCache>
                <c:ptCount val="5"/>
                <c:pt idx="0">
                  <c:v>2012 - 2013</c:v>
                </c:pt>
                <c:pt idx="1">
                  <c:v>2014 - 2015</c:v>
                </c:pt>
                <c:pt idx="2">
                  <c:v>2016 - 2017</c:v>
                </c:pt>
                <c:pt idx="3">
                  <c:v>2018 - 2019</c:v>
                </c:pt>
                <c:pt idx="4">
                  <c:v>2020 - 2021</c:v>
                </c:pt>
              </c:strCache>
            </c:strRef>
          </c:cat>
          <c:val>
            <c:numRef>
              <c:f>'Biennia History'!$B$65:$F$65</c:f>
            </c:numRef>
          </c:val>
          <c:extLst>
            <c:ext xmlns:c16="http://schemas.microsoft.com/office/drawing/2014/chart" uri="{C3380CC4-5D6E-409C-BE32-E72D297353CC}">
              <c16:uniqueId val="{00000005-61C2-4AC7-A6A2-7C8C130F4810}"/>
            </c:ext>
          </c:extLst>
        </c:ser>
        <c:ser>
          <c:idx val="3"/>
          <c:order val="6"/>
          <c:tx>
            <c:strRef>
              <c:f>'Biennia History'!$A$66</c:f>
              <c:strCache>
                <c:ptCount val="1"/>
                <c:pt idx="0">
                  <c:v>Texas State School for the Deaf</c:v>
                </c:pt>
              </c:strCache>
            </c:strRef>
          </c:tx>
          <c:invertIfNegative val="0"/>
          <c:cat>
            <c:strRef>
              <c:f>'Biennia History'!$G$560:$K$560</c:f>
              <c:strCache>
                <c:ptCount val="5"/>
                <c:pt idx="0">
                  <c:v>2012 - 2013</c:v>
                </c:pt>
                <c:pt idx="1">
                  <c:v>2014 - 2015</c:v>
                </c:pt>
                <c:pt idx="2">
                  <c:v>2016 - 2017</c:v>
                </c:pt>
                <c:pt idx="3">
                  <c:v>2018 - 2019</c:v>
                </c:pt>
                <c:pt idx="4">
                  <c:v>2020 - 2021</c:v>
                </c:pt>
              </c:strCache>
            </c:strRef>
          </c:cat>
          <c:val>
            <c:numRef>
              <c:f>'Biennia History'!$B$66:$F$66</c:f>
            </c:numRef>
          </c:val>
          <c:extLst>
            <c:ext xmlns:c16="http://schemas.microsoft.com/office/drawing/2014/chart" uri="{C3380CC4-5D6E-409C-BE32-E72D297353CC}">
              <c16:uniqueId val="{00000006-61C2-4AC7-A6A2-7C8C130F4810}"/>
            </c:ext>
          </c:extLst>
        </c:ser>
        <c:ser>
          <c:idx val="7"/>
          <c:order val="7"/>
          <c:tx>
            <c:strRef>
              <c:f>'Biennia History'!$A$536</c:f>
              <c:strCache>
                <c:ptCount val="1"/>
                <c:pt idx="0">
                  <c:v>Total State Colleges</c:v>
                </c:pt>
              </c:strCache>
            </c:strRef>
          </c:tx>
          <c:invertIfNegative val="0"/>
          <c:cat>
            <c:strRef>
              <c:f>'Biennia History'!$G$560:$K$560</c:f>
              <c:strCache>
                <c:ptCount val="5"/>
                <c:pt idx="0">
                  <c:v>2012 - 2013</c:v>
                </c:pt>
                <c:pt idx="1">
                  <c:v>2014 - 2015</c:v>
                </c:pt>
                <c:pt idx="2">
                  <c:v>2016 - 2017</c:v>
                </c:pt>
                <c:pt idx="3">
                  <c:v>2018 - 2019</c:v>
                </c:pt>
                <c:pt idx="4">
                  <c:v>2020 - 2021</c:v>
                </c:pt>
              </c:strCache>
            </c:strRef>
          </c:cat>
          <c:val>
            <c:numRef>
              <c:f>'Biennia History'!$G$536:$K$536</c:f>
              <c:numCache>
                <c:formatCode>_(* #,##0_);_(* \(#,##0\);_(* "-"_);_(@_)</c:formatCode>
                <c:ptCount val="5"/>
                <c:pt idx="0">
                  <c:v>5737816</c:v>
                </c:pt>
                <c:pt idx="1">
                  <c:v>8737815</c:v>
                </c:pt>
                <c:pt idx="2">
                  <c:v>8737816</c:v>
                </c:pt>
                <c:pt idx="3">
                  <c:v>6256627</c:v>
                </c:pt>
                <c:pt idx="4">
                  <c:v>8847674</c:v>
                </c:pt>
              </c:numCache>
            </c:numRef>
          </c:val>
          <c:extLst>
            <c:ext xmlns:c16="http://schemas.microsoft.com/office/drawing/2014/chart" uri="{C3380CC4-5D6E-409C-BE32-E72D297353CC}">
              <c16:uniqueId val="{00000007-61C2-4AC7-A6A2-7C8C130F4810}"/>
            </c:ext>
          </c:extLst>
        </c:ser>
        <c:ser>
          <c:idx val="8"/>
          <c:order val="8"/>
          <c:tx>
            <c:strRef>
              <c:f>'Biennia History'!$A$607</c:f>
              <c:strCache>
                <c:ptCount val="1"/>
                <c:pt idx="0">
                  <c:v>University System Offices</c:v>
                </c:pt>
              </c:strCache>
            </c:strRef>
          </c:tx>
          <c:invertIfNegative val="0"/>
          <c:cat>
            <c:strRef>
              <c:f>'Biennia History'!$G$560:$K$560</c:f>
              <c:strCache>
                <c:ptCount val="5"/>
                <c:pt idx="0">
                  <c:v>2012 - 2013</c:v>
                </c:pt>
                <c:pt idx="1">
                  <c:v>2014 - 2015</c:v>
                </c:pt>
                <c:pt idx="2">
                  <c:v>2016 - 2017</c:v>
                </c:pt>
                <c:pt idx="3">
                  <c:v>2018 - 2019</c:v>
                </c:pt>
                <c:pt idx="4">
                  <c:v>2020 - 2021</c:v>
                </c:pt>
              </c:strCache>
            </c:strRef>
          </c:cat>
          <c:val>
            <c:numRef>
              <c:f>'Biennia History'!$G$607:$K$607</c:f>
              <c:numCache>
                <c:formatCode>_(* #,##0_);_(* \(#,##0\);_(* "-"_);_(@_)</c:formatCode>
                <c:ptCount val="5"/>
                <c:pt idx="0">
                  <c:v>0</c:v>
                </c:pt>
                <c:pt idx="1">
                  <c:v>0</c:v>
                </c:pt>
                <c:pt idx="2">
                  <c:v>7953613</c:v>
                </c:pt>
                <c:pt idx="3">
                  <c:v>19438183</c:v>
                </c:pt>
                <c:pt idx="4">
                  <c:v>18148166</c:v>
                </c:pt>
              </c:numCache>
            </c:numRef>
          </c:val>
          <c:extLst>
            <c:ext xmlns:c16="http://schemas.microsoft.com/office/drawing/2014/chart" uri="{C3380CC4-5D6E-409C-BE32-E72D297353CC}">
              <c16:uniqueId val="{00000008-61C2-4AC7-A6A2-7C8C130F4810}"/>
            </c:ext>
          </c:extLst>
        </c:ser>
        <c:dLbls>
          <c:showLegendKey val="0"/>
          <c:showVal val="0"/>
          <c:showCatName val="0"/>
          <c:showSerName val="0"/>
          <c:showPercent val="0"/>
          <c:showBubbleSize val="0"/>
        </c:dLbls>
        <c:gapWidth val="150"/>
        <c:overlap val="100"/>
        <c:axId val="-619953872"/>
        <c:axId val="-619926128"/>
      </c:barChart>
      <c:catAx>
        <c:axId val="-619953872"/>
        <c:scaling>
          <c:orientation val="minMax"/>
        </c:scaling>
        <c:delete val="0"/>
        <c:axPos val="b"/>
        <c:numFmt formatCode="General" sourceLinked="1"/>
        <c:majorTickMark val="out"/>
        <c:minorTickMark val="none"/>
        <c:tickLblPos val="nextTo"/>
        <c:crossAx val="-619926128"/>
        <c:crosses val="autoZero"/>
        <c:auto val="1"/>
        <c:lblAlgn val="ctr"/>
        <c:lblOffset val="100"/>
        <c:noMultiLvlLbl val="0"/>
      </c:catAx>
      <c:valAx>
        <c:axId val="-619926128"/>
        <c:scaling>
          <c:orientation val="minMax"/>
        </c:scaling>
        <c:delete val="0"/>
        <c:axPos val="l"/>
        <c:majorGridlines/>
        <c:numFmt formatCode="_(* #,##0_);_(* \(#,##0\);_(* &quot;-&quot;_);_(@_)" sourceLinked="1"/>
        <c:majorTickMark val="out"/>
        <c:minorTickMark val="none"/>
        <c:tickLblPos val="nextTo"/>
        <c:crossAx val="-619953872"/>
        <c:crosses val="autoZero"/>
        <c:crossBetween val="between"/>
        <c:dispUnits>
          <c:builtInUnit val="millions"/>
          <c:dispUnitsLbl>
            <c:layout>
              <c:manualLayout>
                <c:xMode val="edge"/>
                <c:yMode val="edge"/>
                <c:x val="2.1842623290509743E-2"/>
                <c:y val="0.42306044214270577"/>
              </c:manualLayout>
            </c:layout>
          </c:dispUnitsLbl>
        </c:dispUnits>
      </c:valAx>
    </c:plotArea>
    <c:legend>
      <c:legendPos val="r"/>
      <c:layout>
        <c:manualLayout>
          <c:xMode val="edge"/>
          <c:yMode val="edge"/>
          <c:x val="0.81018735322558366"/>
          <c:y val="0.16787165671211488"/>
          <c:w val="0.18981262879330166"/>
          <c:h val="0.62689944366694417"/>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by</a:t>
            </a:r>
            <a:r>
              <a:rPr lang="en-US" sz="1200" baseline="0">
                <a:latin typeface="Tahoma" pitchFamily="34" charset="0"/>
                <a:ea typeface="Tahoma" pitchFamily="34" charset="0"/>
                <a:cs typeface="Tahoma" pitchFamily="34" charset="0"/>
              </a:rPr>
              <a:t> System </a:t>
            </a:r>
            <a:r>
              <a:rPr lang="en-US" sz="1200">
                <a:latin typeface="Tahoma" pitchFamily="34" charset="0"/>
                <a:ea typeface="Tahoma" pitchFamily="34" charset="0"/>
                <a:cs typeface="Tahoma" pitchFamily="34" charset="0"/>
              </a:rPr>
              <a:t>- All Funds</a:t>
            </a:r>
          </a:p>
        </c:rich>
      </c:tx>
      <c:overlay val="0"/>
    </c:title>
    <c:autoTitleDeleted val="0"/>
    <c:plotArea>
      <c:layout>
        <c:manualLayout>
          <c:layoutTarget val="inner"/>
          <c:xMode val="edge"/>
          <c:yMode val="edge"/>
          <c:x val="0.20493586160720234"/>
          <c:y val="0.17734791180844861"/>
          <c:w val="0.58717825517523503"/>
          <c:h val="0.75407509107241688"/>
        </c:manualLayout>
      </c:layout>
      <c:pieChart>
        <c:varyColors val="1"/>
        <c:ser>
          <c:idx val="0"/>
          <c:order val="0"/>
          <c:dLbls>
            <c:dLbl>
              <c:idx val="0"/>
              <c:layout>
                <c:manualLayout>
                  <c:x val="0.13309998055808561"/>
                  <c:y val="-0.173726814454666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484-408A-8645-E6654EAE4A6A}"/>
                </c:ext>
              </c:extLst>
            </c:dLbl>
            <c:dLbl>
              <c:idx val="1"/>
              <c:layout>
                <c:manualLayout>
                  <c:x val="0.16802128189263021"/>
                  <c:y val="0.2181267934572982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484-408A-8645-E6654EAE4A6A}"/>
                </c:ext>
              </c:extLst>
            </c:dLbl>
            <c:dLbl>
              <c:idx val="2"/>
              <c:layout>
                <c:manualLayout>
                  <c:x val="0.18193037478818863"/>
                  <c:y val="4.4932738320947387E-2"/>
                </c:manualLayout>
              </c:layout>
              <c:tx>
                <c:rich>
                  <a:bodyPr/>
                  <a:lstStyle/>
                  <a:p>
                    <a:fld id="{01934A7D-3291-4D58-90D6-6C895BE7B7FE}" type="CATEGORYNAME">
                      <a:rPr lang="en-US"/>
                      <a:pPr/>
                      <a:t>[CATEGORY NAME]</a:t>
                    </a:fld>
                    <a:r>
                      <a:rPr lang="en-US"/>
                      <a:t> </a:t>
                    </a:r>
                    <a:fld id="{9FD6B6E6-5C6D-47B9-8671-8E63CC1FDD99}" type="PERCENTAGE">
                      <a:rPr lang="en-US" baseline="0"/>
                      <a:pPr/>
                      <a:t>[PERCENTAGE]</a:t>
                    </a:fld>
                    <a:endParaRPr lang="en-US"/>
                  </a:p>
                </c:rich>
              </c:tx>
              <c:dLblPos val="bestFit"/>
              <c:showLegendKey val="0"/>
              <c:showVal val="0"/>
              <c:showCatName val="1"/>
              <c:showSerName val="0"/>
              <c:showPercent val="1"/>
              <c:showBubbleSize val="0"/>
              <c:extLst>
                <c:ext xmlns:c15="http://schemas.microsoft.com/office/drawing/2012/chart" uri="{CE6537A1-D6FC-4f65-9D91-7224C49458BB}">
                  <c15:layout>
                    <c:manualLayout>
                      <c:w val="0.27930037496187721"/>
                      <c:h val="0.13372682749651049"/>
                    </c:manualLayout>
                  </c15:layout>
                  <c15:dlblFieldTable/>
                  <c15:showDataLabelsRange val="0"/>
                </c:ext>
                <c:ext xmlns:c16="http://schemas.microsoft.com/office/drawing/2014/chart" uri="{C3380CC4-5D6E-409C-BE32-E72D297353CC}">
                  <c16:uniqueId val="{00000002-D484-408A-8645-E6654EAE4A6A}"/>
                </c:ext>
              </c:extLst>
            </c:dLbl>
            <c:dLbl>
              <c:idx val="3"/>
              <c:layout>
                <c:manualLayout>
                  <c:x val="4.0321895349460388E-2"/>
                  <c:y val="8.2023089932316079E-2"/>
                </c:manualLayout>
              </c:layout>
              <c:tx>
                <c:rich>
                  <a:bodyPr/>
                  <a:lstStyle/>
                  <a:p>
                    <a:fld id="{16157DDC-A1AB-4442-8BC5-896DAC817AE4}" type="CATEGORYNAME">
                      <a:rPr lang="en-US"/>
                      <a:pPr/>
                      <a:t>[CATEGORY NAME]</a:t>
                    </a:fld>
                    <a:r>
                      <a:rPr lang="en-US"/>
                      <a:t> </a:t>
                    </a:r>
                    <a:fld id="{B4518334-5C6B-40AD-8883-81F34E5B5D23}" type="PERCENTAGE">
                      <a:rPr lang="en-US" baseline="0"/>
                      <a:pPr/>
                      <a:t>[PERCENTAGE]</a:t>
                    </a:fld>
                    <a:endParaRPr lang="en-US"/>
                  </a:p>
                </c:rich>
              </c:tx>
              <c:dLblPos val="bestFit"/>
              <c:showLegendKey val="0"/>
              <c:showVal val="0"/>
              <c:showCatName val="1"/>
              <c:showSerName val="0"/>
              <c:showPercent val="1"/>
              <c:showBubbleSize val="0"/>
              <c:extLst>
                <c:ext xmlns:c15="http://schemas.microsoft.com/office/drawing/2012/chart" uri="{CE6537A1-D6FC-4f65-9D91-7224C49458BB}">
                  <c15:layout>
                    <c:manualLayout>
                      <c:w val="0.27157982455960145"/>
                      <c:h val="0.1501034707280707"/>
                    </c:manualLayout>
                  </c15:layout>
                  <c15:dlblFieldTable/>
                  <c15:showDataLabelsRange val="0"/>
                </c:ext>
                <c:ext xmlns:c16="http://schemas.microsoft.com/office/drawing/2014/chart" uri="{C3380CC4-5D6E-409C-BE32-E72D297353CC}">
                  <c16:uniqueId val="{00000003-D484-408A-8645-E6654EAE4A6A}"/>
                </c:ext>
              </c:extLst>
            </c:dLbl>
            <c:dLbl>
              <c:idx val="4"/>
              <c:layout>
                <c:manualLayout>
                  <c:x val="4.8603945419953665E-2"/>
                  <c:y val="3.689635418517657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484-408A-8645-E6654EAE4A6A}"/>
                </c:ext>
              </c:extLst>
            </c:dLbl>
            <c:dLbl>
              <c:idx val="5"/>
              <c:layout>
                <c:manualLayout>
                  <c:x val="5.7576921159022063E-2"/>
                  <c:y val="1.54855592554541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484-408A-8645-E6654EAE4A6A}"/>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Dollars'!$A$278:$A$284</c:f>
              <c:strCache>
                <c:ptCount val="7"/>
                <c:pt idx="0">
                  <c:v>University of Texas System Administration </c:v>
                </c:pt>
                <c:pt idx="1">
                  <c:v>Texas A&amp;M University System Administrative and General Offices</c:v>
                </c:pt>
                <c:pt idx="2">
                  <c:v>University of Houston System Administration</c:v>
                </c:pt>
                <c:pt idx="3">
                  <c:v>University of North Texas System Administration</c:v>
                </c:pt>
                <c:pt idx="4">
                  <c:v>Texas Tech University System Administration</c:v>
                </c:pt>
                <c:pt idx="5">
                  <c:v>Texas State-System Administration</c:v>
                </c:pt>
                <c:pt idx="6">
                  <c:v>Non-System</c:v>
                </c:pt>
              </c:strCache>
            </c:strRef>
          </c:cat>
          <c:val>
            <c:numRef>
              <c:f>'Summary - Dollars'!$G$278:$G$284</c:f>
              <c:numCache>
                <c:formatCode>_(* #,##0_);_(* \(#,##0\);_(* "-"_);_(@_)</c:formatCode>
                <c:ptCount val="7"/>
                <c:pt idx="0" formatCode="_(&quot;$&quot;* #,##0_);_(&quot;$&quot;* \(#,##0\);_(&quot;$&quot;* &quot;-&quot;??_);_(@_)">
                  <c:v>2790726536</c:v>
                </c:pt>
                <c:pt idx="1">
                  <c:v>2130595818</c:v>
                </c:pt>
                <c:pt idx="2">
                  <c:v>911551684</c:v>
                </c:pt>
                <c:pt idx="3">
                  <c:v>465699340</c:v>
                </c:pt>
                <c:pt idx="4">
                  <c:v>598091897</c:v>
                </c:pt>
                <c:pt idx="5">
                  <c:v>769429042</c:v>
                </c:pt>
                <c:pt idx="6">
                  <c:v>535503579</c:v>
                </c:pt>
              </c:numCache>
            </c:numRef>
          </c:val>
          <c:extLst>
            <c:ext xmlns:c16="http://schemas.microsoft.com/office/drawing/2014/chart" uri="{C3380CC4-5D6E-409C-BE32-E72D297353CC}">
              <c16:uniqueId val="{00000000-CA42-452E-A201-DF227CF9943E}"/>
            </c:ext>
          </c:extLst>
        </c:ser>
        <c:dLbls>
          <c:showLegendKey val="0"/>
          <c:showVal val="0"/>
          <c:showCatName val="0"/>
          <c:showSerName val="0"/>
          <c:showPercent val="0"/>
          <c:showBubbleSize val="0"/>
          <c:showLeaderLines val="1"/>
        </c:dLbls>
        <c:firstSliceAng val="140"/>
      </c:pieChart>
    </c:plotArea>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by</a:t>
            </a:r>
            <a:r>
              <a:rPr lang="en-US" sz="1200" baseline="0">
                <a:latin typeface="Tahoma" pitchFamily="34" charset="0"/>
                <a:ea typeface="Tahoma" pitchFamily="34" charset="0"/>
                <a:cs typeface="Tahoma" pitchFamily="34" charset="0"/>
              </a:rPr>
              <a:t> System </a:t>
            </a:r>
            <a:r>
              <a:rPr lang="en-US" sz="1200">
                <a:latin typeface="Tahoma" pitchFamily="34" charset="0"/>
                <a:ea typeface="Tahoma" pitchFamily="34" charset="0"/>
                <a:cs typeface="Tahoma" pitchFamily="34" charset="0"/>
              </a:rPr>
              <a:t>- General</a:t>
            </a:r>
            <a:r>
              <a:rPr lang="en-US" sz="1200" baseline="0">
                <a:latin typeface="Tahoma" pitchFamily="34" charset="0"/>
                <a:ea typeface="Tahoma" pitchFamily="34" charset="0"/>
                <a:cs typeface="Tahoma" pitchFamily="34" charset="0"/>
              </a:rPr>
              <a:t> Revenue</a:t>
            </a:r>
            <a:endParaRPr lang="en-US" sz="12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20342085844560817"/>
          <c:y val="0.16984226329846083"/>
          <c:w val="0.58062486428189286"/>
          <c:h val="0.74731637909297211"/>
        </c:manualLayout>
      </c:layout>
      <c:pieChart>
        <c:varyColors val="1"/>
        <c:ser>
          <c:idx val="0"/>
          <c:order val="0"/>
          <c:dLbls>
            <c:dLbl>
              <c:idx val="2"/>
              <c:layout>
                <c:manualLayout>
                  <c:x val="0.13954144808570582"/>
                  <c:y val="4.5169216177923299E-2"/>
                </c:manualLayout>
              </c:layout>
              <c:tx>
                <c:rich>
                  <a:bodyPr/>
                  <a:lstStyle/>
                  <a:p>
                    <a:fld id="{5593648F-6F58-4FD5-BD12-552542F9C8B4}" type="CATEGORYNAME">
                      <a:rPr lang="en-US"/>
                      <a:pPr/>
                      <a:t>[CATEGORY NAME]</a:t>
                    </a:fld>
                    <a:r>
                      <a:rPr lang="en-US"/>
                      <a:t> </a:t>
                    </a:r>
                    <a:fld id="{C5E73665-0350-404F-B4B9-1BB824D18439}" type="PERCENTAGE">
                      <a:rPr lang="en-US" baseline="0"/>
                      <a:pPr/>
                      <a:t>[PERCENTAGE]</a:t>
                    </a:fld>
                    <a:endParaRPr lang="en-US"/>
                  </a:p>
                </c:rich>
              </c:tx>
              <c:dLblPos val="bestFit"/>
              <c:showLegendKey val="0"/>
              <c:showVal val="0"/>
              <c:showCatName val="1"/>
              <c:showSerName val="0"/>
              <c:showPercent val="1"/>
              <c:showBubbleSize val="0"/>
              <c:extLst>
                <c:ext xmlns:c15="http://schemas.microsoft.com/office/drawing/2012/chart" uri="{CE6537A1-D6FC-4f65-9D91-7224C49458BB}">
                  <c15:layout>
                    <c:manualLayout>
                      <c:w val="0.28267796687047042"/>
                      <c:h val="0.13249242641068398"/>
                    </c:manualLayout>
                  </c15:layout>
                  <c15:dlblFieldTable/>
                  <c15:showDataLabelsRange val="0"/>
                </c:ext>
                <c:ext xmlns:c16="http://schemas.microsoft.com/office/drawing/2014/chart" uri="{C3380CC4-5D6E-409C-BE32-E72D297353CC}">
                  <c16:uniqueId val="{00000000-2294-4040-95D3-9D89AE1EAEAC}"/>
                </c:ext>
              </c:extLst>
            </c:dLbl>
            <c:dLbl>
              <c:idx val="3"/>
              <c:layout>
                <c:manualLayout>
                  <c:x val="1.1901725112883559E-2"/>
                  <c:y val="7.0258971852542915E-2"/>
                </c:manualLayout>
              </c:layout>
              <c:tx>
                <c:rich>
                  <a:bodyPr/>
                  <a:lstStyle/>
                  <a:p>
                    <a:fld id="{C309BD91-F695-4756-A26B-49648575EE78}" type="CATEGORYNAME">
                      <a:rPr lang="en-US"/>
                      <a:pPr/>
                      <a:t>[CATEGORY NAME]</a:t>
                    </a:fld>
                    <a:r>
                      <a:rPr lang="en-US"/>
                      <a:t> </a:t>
                    </a:r>
                    <a:fld id="{5BCB92A1-6525-4F1D-8559-E79391C2FBC1}" type="PERCENTAGE">
                      <a:rPr lang="en-US" baseline="0"/>
                      <a:pPr/>
                      <a:t>[PERCENTAGE]</a:t>
                    </a:fld>
                    <a:endParaRPr lang="en-US"/>
                  </a:p>
                </c:rich>
              </c:tx>
              <c:dLblPos val="bestFit"/>
              <c:showLegendKey val="0"/>
              <c:showVal val="0"/>
              <c:showCatName val="1"/>
              <c:showSerName val="0"/>
              <c:showPercent val="1"/>
              <c:showBubbleSize val="0"/>
              <c:extLst>
                <c:ext xmlns:c15="http://schemas.microsoft.com/office/drawing/2012/chart" uri="{CE6537A1-D6FC-4f65-9D91-7224C49458BB}">
                  <c15:layout>
                    <c:manualLayout>
                      <c:w val="0.31063502544626315"/>
                      <c:h val="0.1323076495674865"/>
                    </c:manualLayout>
                  </c15:layout>
                  <c15:dlblFieldTable/>
                  <c15:showDataLabelsRange val="0"/>
                </c:ext>
                <c:ext xmlns:c16="http://schemas.microsoft.com/office/drawing/2014/chart" uri="{C3380CC4-5D6E-409C-BE32-E72D297353CC}">
                  <c16:uniqueId val="{00000001-2294-4040-95D3-9D89AE1EAEAC}"/>
                </c:ext>
              </c:extLst>
            </c:dLbl>
            <c:dLbl>
              <c:idx val="4"/>
              <c:layout>
                <c:manualLayout>
                  <c:x val="5.9264031056192823E-2"/>
                  <c:y val="3.07123664163564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294-4040-95D3-9D89AE1EAEAC}"/>
                </c:ext>
              </c:extLst>
            </c:dLbl>
            <c:dLbl>
              <c:idx val="5"/>
              <c:layout>
                <c:manualLayout>
                  <c:x val="7.3193454013702169E-2"/>
                  <c:y val="-5.2509573184874401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294-4040-95D3-9D89AE1EAEAC}"/>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Dollars'!$A$278:$A$284</c:f>
              <c:strCache>
                <c:ptCount val="7"/>
                <c:pt idx="0">
                  <c:v>University of Texas System Administration </c:v>
                </c:pt>
                <c:pt idx="1">
                  <c:v>Texas A&amp;M University System Administrative and General Offices</c:v>
                </c:pt>
                <c:pt idx="2">
                  <c:v>University of Houston System Administration</c:v>
                </c:pt>
                <c:pt idx="3">
                  <c:v>University of North Texas System Administration</c:v>
                </c:pt>
                <c:pt idx="4">
                  <c:v>Texas Tech University System Administration</c:v>
                </c:pt>
                <c:pt idx="5">
                  <c:v>Texas State-System Administration</c:v>
                </c:pt>
                <c:pt idx="6">
                  <c:v>Non-System</c:v>
                </c:pt>
              </c:strCache>
            </c:strRef>
          </c:cat>
          <c:val>
            <c:numRef>
              <c:f>'Summary - Dollars'!$P$278:$P$284</c:f>
              <c:numCache>
                <c:formatCode>_(* #,##0_);_(* \(#,##0\);_(* "-"_);_(@_)</c:formatCode>
                <c:ptCount val="7"/>
                <c:pt idx="0" formatCode="_(&quot;$&quot;* #,##0_);_(&quot;$&quot;* \(#,##0\);_(&quot;$&quot;* &quot;-&quot;??_);_(@_)">
                  <c:v>1986356744.2312622</c:v>
                </c:pt>
                <c:pt idx="1">
                  <c:v>1622339943</c:v>
                </c:pt>
                <c:pt idx="2">
                  <c:v>672683660</c:v>
                </c:pt>
                <c:pt idx="3">
                  <c:v>322054974</c:v>
                </c:pt>
                <c:pt idx="4">
                  <c:v>453338747</c:v>
                </c:pt>
                <c:pt idx="5">
                  <c:v>561760898</c:v>
                </c:pt>
                <c:pt idx="6">
                  <c:v>392906799</c:v>
                </c:pt>
              </c:numCache>
            </c:numRef>
          </c:val>
          <c:extLst>
            <c:ext xmlns:c16="http://schemas.microsoft.com/office/drawing/2014/chart" uri="{C3380CC4-5D6E-409C-BE32-E72D297353CC}">
              <c16:uniqueId val="{00000000-091F-4E3D-A0CC-5079BAB48D8D}"/>
            </c:ext>
          </c:extLst>
        </c:ser>
        <c:dLbls>
          <c:showLegendKey val="0"/>
          <c:showVal val="0"/>
          <c:showCatName val="0"/>
          <c:showSerName val="0"/>
          <c:showPercent val="0"/>
          <c:showBubbleSize val="0"/>
          <c:showLeaderLines val="1"/>
        </c:dLbls>
        <c:firstSliceAng val="140"/>
      </c:pieChart>
    </c:plotArea>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Higher Education Appropriations for Research and</a:t>
            </a:r>
            <a:r>
              <a:rPr lang="en-US" sz="1200" baseline="0">
                <a:latin typeface="Tahoma" pitchFamily="34" charset="0"/>
                <a:ea typeface="Tahoma" pitchFamily="34" charset="0"/>
                <a:cs typeface="Tahoma" pitchFamily="34" charset="0"/>
              </a:rPr>
              <a:t> Emerging Research Institutions </a:t>
            </a:r>
            <a:r>
              <a:rPr lang="en-US" sz="1200">
                <a:latin typeface="Tahoma" pitchFamily="34" charset="0"/>
                <a:ea typeface="Tahoma" pitchFamily="34" charset="0"/>
                <a:cs typeface="Tahoma" pitchFamily="34" charset="0"/>
              </a:rPr>
              <a:t>- All Funds</a:t>
            </a:r>
          </a:p>
        </c:rich>
      </c:tx>
      <c:overlay val="0"/>
    </c:title>
    <c:autoTitleDeleted val="0"/>
    <c:plotArea>
      <c:layout>
        <c:manualLayout>
          <c:layoutTarget val="inner"/>
          <c:xMode val="edge"/>
          <c:yMode val="edge"/>
          <c:x val="0.24612643237121351"/>
          <c:y val="0.21835552372532521"/>
          <c:w val="0.58717825517523503"/>
          <c:h val="0.75407509107241688"/>
        </c:manualLayout>
      </c:layout>
      <c:pieChart>
        <c:varyColors val="1"/>
        <c:ser>
          <c:idx val="0"/>
          <c:order val="0"/>
          <c:dLbls>
            <c:dLbl>
              <c:idx val="0"/>
              <c:layout>
                <c:manualLayout>
                  <c:x val="0.21823093118517708"/>
                  <c:y val="-2.664354173596226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707-45A7-817D-72F4FA0D9920}"/>
                </c:ext>
              </c:extLst>
            </c:dLbl>
            <c:spPr>
              <a:noFill/>
              <a:ln>
                <a:noFill/>
              </a:ln>
              <a:effectLst/>
            </c:spPr>
            <c:txPr>
              <a:bodyPr/>
              <a:lstStyle/>
              <a:p>
                <a:pPr>
                  <a:defRPr sz="800">
                    <a:latin typeface="+mn-lt"/>
                    <a:ea typeface="Tahoma" pitchFamily="34" charset="0"/>
                    <a:cs typeface="Tahoma" pitchFamily="34" charset="0"/>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'Summary - Dollars'!$A$319:$A$320</c:f>
              <c:strCache>
                <c:ptCount val="2"/>
                <c:pt idx="0">
                  <c:v>Research and Emerging Research</c:v>
                </c:pt>
                <c:pt idx="1">
                  <c:v>All Other General Academics</c:v>
                </c:pt>
              </c:strCache>
            </c:strRef>
          </c:cat>
          <c:val>
            <c:numRef>
              <c:f>'Summary - Dollars'!$G$319:$G$320</c:f>
              <c:numCache>
                <c:formatCode>_(* #,##0_);_(* \(#,##0\);_(* "-"_);_(@_)</c:formatCode>
                <c:ptCount val="2"/>
                <c:pt idx="0">
                  <c:v>5176206698</c:v>
                </c:pt>
                <c:pt idx="1">
                  <c:v>2609125702</c:v>
                </c:pt>
              </c:numCache>
            </c:numRef>
          </c:val>
          <c:extLst>
            <c:ext xmlns:c16="http://schemas.microsoft.com/office/drawing/2014/chart" uri="{C3380CC4-5D6E-409C-BE32-E72D297353CC}">
              <c16:uniqueId val="{00000000-586A-4FD5-9466-E7519E60F673}"/>
            </c:ext>
          </c:extLst>
        </c:ser>
        <c:dLbls>
          <c:showLegendKey val="0"/>
          <c:showVal val="0"/>
          <c:showCatName val="0"/>
          <c:showSerName val="0"/>
          <c:showPercent val="0"/>
          <c:showBubbleSize val="0"/>
          <c:showLeaderLines val="1"/>
        </c:dLbls>
        <c:firstSliceAng val="140"/>
      </c:pieChart>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7.xml"/><Relationship Id="rId13" Type="http://schemas.openxmlformats.org/officeDocument/2006/relationships/chart" Target="../charts/chart32.xml"/><Relationship Id="rId18" Type="http://schemas.openxmlformats.org/officeDocument/2006/relationships/chart" Target="../charts/chart37.xml"/><Relationship Id="rId3" Type="http://schemas.openxmlformats.org/officeDocument/2006/relationships/chart" Target="../charts/chart22.xml"/><Relationship Id="rId7" Type="http://schemas.openxmlformats.org/officeDocument/2006/relationships/chart" Target="../charts/chart26.xml"/><Relationship Id="rId12" Type="http://schemas.openxmlformats.org/officeDocument/2006/relationships/chart" Target="../charts/chart31.xml"/><Relationship Id="rId17" Type="http://schemas.openxmlformats.org/officeDocument/2006/relationships/chart" Target="../charts/chart36.xml"/><Relationship Id="rId2" Type="http://schemas.openxmlformats.org/officeDocument/2006/relationships/chart" Target="../charts/chart21.xml"/><Relationship Id="rId16" Type="http://schemas.openxmlformats.org/officeDocument/2006/relationships/chart" Target="../charts/chart35.xml"/><Relationship Id="rId1" Type="http://schemas.openxmlformats.org/officeDocument/2006/relationships/chart" Target="../charts/chart20.xml"/><Relationship Id="rId6" Type="http://schemas.openxmlformats.org/officeDocument/2006/relationships/chart" Target="../charts/chart25.xml"/><Relationship Id="rId11" Type="http://schemas.openxmlformats.org/officeDocument/2006/relationships/chart" Target="../charts/chart30.xml"/><Relationship Id="rId5" Type="http://schemas.openxmlformats.org/officeDocument/2006/relationships/chart" Target="../charts/chart24.xml"/><Relationship Id="rId15" Type="http://schemas.openxmlformats.org/officeDocument/2006/relationships/chart" Target="../charts/chart34.xml"/><Relationship Id="rId10" Type="http://schemas.openxmlformats.org/officeDocument/2006/relationships/chart" Target="../charts/chart29.xml"/><Relationship Id="rId19" Type="http://schemas.openxmlformats.org/officeDocument/2006/relationships/chart" Target="../charts/chart38.xml"/><Relationship Id="rId4" Type="http://schemas.openxmlformats.org/officeDocument/2006/relationships/chart" Target="../charts/chart23.xml"/><Relationship Id="rId9" Type="http://schemas.openxmlformats.org/officeDocument/2006/relationships/chart" Target="../charts/chart28.xml"/><Relationship Id="rId14" Type="http://schemas.openxmlformats.org/officeDocument/2006/relationships/chart" Target="../charts/chart33.xml"/></Relationships>
</file>

<file path=xl/drawings/_rels/drawing7.xml.rels><?xml version="1.0" encoding="UTF-8" standalone="yes"?>
<Relationships xmlns="http://schemas.openxmlformats.org/package/2006/relationships"><Relationship Id="rId8" Type="http://schemas.openxmlformats.org/officeDocument/2006/relationships/chart" Target="../charts/chart46.xml"/><Relationship Id="rId13" Type="http://schemas.openxmlformats.org/officeDocument/2006/relationships/chart" Target="../charts/chart51.xml"/><Relationship Id="rId18" Type="http://schemas.openxmlformats.org/officeDocument/2006/relationships/chart" Target="../charts/chart56.xml"/><Relationship Id="rId3" Type="http://schemas.openxmlformats.org/officeDocument/2006/relationships/chart" Target="../charts/chart41.xml"/><Relationship Id="rId21" Type="http://schemas.openxmlformats.org/officeDocument/2006/relationships/chart" Target="../charts/chart59.xml"/><Relationship Id="rId7" Type="http://schemas.openxmlformats.org/officeDocument/2006/relationships/chart" Target="../charts/chart45.xml"/><Relationship Id="rId12" Type="http://schemas.openxmlformats.org/officeDocument/2006/relationships/chart" Target="../charts/chart50.xml"/><Relationship Id="rId17" Type="http://schemas.openxmlformats.org/officeDocument/2006/relationships/chart" Target="../charts/chart55.xml"/><Relationship Id="rId2" Type="http://schemas.openxmlformats.org/officeDocument/2006/relationships/chart" Target="../charts/chart40.xml"/><Relationship Id="rId16" Type="http://schemas.openxmlformats.org/officeDocument/2006/relationships/chart" Target="../charts/chart54.xml"/><Relationship Id="rId20" Type="http://schemas.openxmlformats.org/officeDocument/2006/relationships/chart" Target="../charts/chart58.xml"/><Relationship Id="rId1" Type="http://schemas.openxmlformats.org/officeDocument/2006/relationships/chart" Target="../charts/chart39.xml"/><Relationship Id="rId6" Type="http://schemas.openxmlformats.org/officeDocument/2006/relationships/chart" Target="../charts/chart44.xml"/><Relationship Id="rId11" Type="http://schemas.openxmlformats.org/officeDocument/2006/relationships/chart" Target="../charts/chart49.xml"/><Relationship Id="rId5" Type="http://schemas.openxmlformats.org/officeDocument/2006/relationships/chart" Target="../charts/chart43.xml"/><Relationship Id="rId15" Type="http://schemas.openxmlformats.org/officeDocument/2006/relationships/chart" Target="../charts/chart53.xml"/><Relationship Id="rId10" Type="http://schemas.openxmlformats.org/officeDocument/2006/relationships/chart" Target="../charts/chart48.xml"/><Relationship Id="rId19" Type="http://schemas.openxmlformats.org/officeDocument/2006/relationships/chart" Target="../charts/chart57.xml"/><Relationship Id="rId4" Type="http://schemas.openxmlformats.org/officeDocument/2006/relationships/chart" Target="../charts/chart42.xml"/><Relationship Id="rId9" Type="http://schemas.openxmlformats.org/officeDocument/2006/relationships/chart" Target="../charts/chart47.xml"/><Relationship Id="rId14" Type="http://schemas.openxmlformats.org/officeDocument/2006/relationships/chart" Target="../charts/chart52.xml"/><Relationship Id="rId22" Type="http://schemas.openxmlformats.org/officeDocument/2006/relationships/chart" Target="../charts/chart60.xml"/></Relationships>
</file>

<file path=xl/drawings/drawing1.xml><?xml version="1.0" encoding="utf-8"?>
<xdr:wsDr xmlns:xdr="http://schemas.openxmlformats.org/drawingml/2006/spreadsheetDrawing" xmlns:a="http://schemas.openxmlformats.org/drawingml/2006/main">
  <xdr:twoCellAnchor>
    <xdr:from>
      <xdr:col>0</xdr:col>
      <xdr:colOff>1998889</xdr:colOff>
      <xdr:row>4</xdr:row>
      <xdr:rowOff>9525</xdr:rowOff>
    </xdr:from>
    <xdr:to>
      <xdr:col>9</xdr:col>
      <xdr:colOff>676275</xdr:colOff>
      <xdr:row>23</xdr:row>
      <xdr:rowOff>27214</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57150</xdr:colOff>
      <xdr:row>4</xdr:row>
      <xdr:rowOff>85725</xdr:rowOff>
    </xdr:from>
    <xdr:to>
      <xdr:col>19</xdr:col>
      <xdr:colOff>601435</xdr:colOff>
      <xdr:row>23</xdr:row>
      <xdr:rowOff>34018</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1875064</xdr:colOff>
      <xdr:row>39</xdr:row>
      <xdr:rowOff>141515</xdr:rowOff>
    </xdr:from>
    <xdr:to>
      <xdr:col>9</xdr:col>
      <xdr:colOff>623098</xdr:colOff>
      <xdr:row>58</xdr:row>
      <xdr:rowOff>161926</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114300</xdr:colOff>
      <xdr:row>39</xdr:row>
      <xdr:rowOff>95250</xdr:rowOff>
    </xdr:from>
    <xdr:to>
      <xdr:col>19</xdr:col>
      <xdr:colOff>544286</xdr:colOff>
      <xdr:row>58</xdr:row>
      <xdr:rowOff>85725</xdr:rowOff>
    </xdr:to>
    <xdr:graphicFrame macro="">
      <xdr:nvGraphicFramePr>
        <xdr:cNvPr id="5" name="Chart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1922690</xdr:colOff>
      <xdr:row>76</xdr:row>
      <xdr:rowOff>85725</xdr:rowOff>
    </xdr:from>
    <xdr:to>
      <xdr:col>9</xdr:col>
      <xdr:colOff>647701</xdr:colOff>
      <xdr:row>95</xdr:row>
      <xdr:rowOff>66676</xdr:rowOff>
    </xdr:to>
    <xdr:graphicFrame macro="">
      <xdr:nvGraphicFramePr>
        <xdr:cNvPr id="6" name="Chart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76201</xdr:colOff>
      <xdr:row>76</xdr:row>
      <xdr:rowOff>85725</xdr:rowOff>
    </xdr:from>
    <xdr:to>
      <xdr:col>19</xdr:col>
      <xdr:colOff>514351</xdr:colOff>
      <xdr:row>95</xdr:row>
      <xdr:rowOff>104776</xdr:rowOff>
    </xdr:to>
    <xdr:graphicFrame macro="">
      <xdr:nvGraphicFramePr>
        <xdr:cNvPr id="7" name="Chart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1932215</xdr:colOff>
      <xdr:row>254</xdr:row>
      <xdr:rowOff>114299</xdr:rowOff>
    </xdr:from>
    <xdr:to>
      <xdr:col>9</xdr:col>
      <xdr:colOff>638176</xdr:colOff>
      <xdr:row>273</xdr:row>
      <xdr:rowOff>104775</xdr:rowOff>
    </xdr:to>
    <xdr:graphicFrame macro="">
      <xdr:nvGraphicFramePr>
        <xdr:cNvPr id="8" name="Chart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38099</xdr:colOff>
      <xdr:row>254</xdr:row>
      <xdr:rowOff>38100</xdr:rowOff>
    </xdr:from>
    <xdr:to>
      <xdr:col>19</xdr:col>
      <xdr:colOff>476250</xdr:colOff>
      <xdr:row>273</xdr:row>
      <xdr:rowOff>57151</xdr:rowOff>
    </xdr:to>
    <xdr:graphicFrame macro="">
      <xdr:nvGraphicFramePr>
        <xdr:cNvPr id="9" name="Chart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1932215</xdr:colOff>
      <xdr:row>285</xdr:row>
      <xdr:rowOff>66675</xdr:rowOff>
    </xdr:from>
    <xdr:to>
      <xdr:col>9</xdr:col>
      <xdr:colOff>600076</xdr:colOff>
      <xdr:row>304</xdr:row>
      <xdr:rowOff>104776</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95250</xdr:colOff>
      <xdr:row>285</xdr:row>
      <xdr:rowOff>76200</xdr:rowOff>
    </xdr:from>
    <xdr:to>
      <xdr:col>19</xdr:col>
      <xdr:colOff>458560</xdr:colOff>
      <xdr:row>304</xdr:row>
      <xdr:rowOff>85725</xdr:rowOff>
    </xdr:to>
    <xdr:graphicFrame macro="">
      <xdr:nvGraphicFramePr>
        <xdr:cNvPr id="11" name="Chart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1932214</xdr:colOff>
      <xdr:row>321</xdr:row>
      <xdr:rowOff>114299</xdr:rowOff>
    </xdr:from>
    <xdr:to>
      <xdr:col>9</xdr:col>
      <xdr:colOff>590550</xdr:colOff>
      <xdr:row>340</xdr:row>
      <xdr:rowOff>104775</xdr:rowOff>
    </xdr:to>
    <xdr:graphicFrame macro="">
      <xdr:nvGraphicFramePr>
        <xdr:cNvPr id="12" name="Chart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104775</xdr:colOff>
      <xdr:row>321</xdr:row>
      <xdr:rowOff>85724</xdr:rowOff>
    </xdr:from>
    <xdr:to>
      <xdr:col>19</xdr:col>
      <xdr:colOff>476250</xdr:colOff>
      <xdr:row>340</xdr:row>
      <xdr:rowOff>57150</xdr:rowOff>
    </xdr:to>
    <xdr:graphicFrame macro="">
      <xdr:nvGraphicFramePr>
        <xdr:cNvPr id="13" name="Chart 12">
          <a:extLst>
            <a:ext uri="{FF2B5EF4-FFF2-40B4-BE49-F238E27FC236}">
              <a16:creationId xmlns:a16="http://schemas.microsoft.com/office/drawing/2014/main" id="{00000000-0008-0000-01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1884589</xdr:colOff>
      <xdr:row>358</xdr:row>
      <xdr:rowOff>95250</xdr:rowOff>
    </xdr:from>
    <xdr:to>
      <xdr:col>9</xdr:col>
      <xdr:colOff>561975</xdr:colOff>
      <xdr:row>377</xdr:row>
      <xdr:rowOff>57151</xdr:rowOff>
    </xdr:to>
    <xdr:graphicFrame macro="">
      <xdr:nvGraphicFramePr>
        <xdr:cNvPr id="14" name="Chart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85725</xdr:colOff>
      <xdr:row>358</xdr:row>
      <xdr:rowOff>85724</xdr:rowOff>
    </xdr:from>
    <xdr:to>
      <xdr:col>19</xdr:col>
      <xdr:colOff>476250</xdr:colOff>
      <xdr:row>377</xdr:row>
      <xdr:rowOff>57150</xdr:rowOff>
    </xdr:to>
    <xdr:graphicFrame macro="">
      <xdr:nvGraphicFramePr>
        <xdr:cNvPr id="15" name="Chart 14">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1932214</xdr:colOff>
      <xdr:row>456</xdr:row>
      <xdr:rowOff>57150</xdr:rowOff>
    </xdr:from>
    <xdr:to>
      <xdr:col>9</xdr:col>
      <xdr:colOff>628650</xdr:colOff>
      <xdr:row>475</xdr:row>
      <xdr:rowOff>104776</xdr:rowOff>
    </xdr:to>
    <xdr:graphicFrame macro="">
      <xdr:nvGraphicFramePr>
        <xdr:cNvPr id="16" name="Chart 15">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95250</xdr:colOff>
      <xdr:row>456</xdr:row>
      <xdr:rowOff>133350</xdr:rowOff>
    </xdr:from>
    <xdr:to>
      <xdr:col>19</xdr:col>
      <xdr:colOff>495300</xdr:colOff>
      <xdr:row>475</xdr:row>
      <xdr:rowOff>66675</xdr:rowOff>
    </xdr:to>
    <xdr:graphicFrame macro="">
      <xdr:nvGraphicFramePr>
        <xdr:cNvPr id="17" name="Chart 16">
          <a:extLst>
            <a:ext uri="{FF2B5EF4-FFF2-40B4-BE49-F238E27FC236}">
              <a16:creationId xmlns:a16="http://schemas.microsoft.com/office/drawing/2014/main" id="{00000000-0008-0000-0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1913165</xdr:colOff>
      <xdr:row>537</xdr:row>
      <xdr:rowOff>57149</xdr:rowOff>
    </xdr:from>
    <xdr:to>
      <xdr:col>9</xdr:col>
      <xdr:colOff>581026</xdr:colOff>
      <xdr:row>556</xdr:row>
      <xdr:rowOff>66675</xdr:rowOff>
    </xdr:to>
    <xdr:graphicFrame macro="">
      <xdr:nvGraphicFramePr>
        <xdr:cNvPr id="18" name="Chart 17">
          <a:extLst>
            <a:ext uri="{FF2B5EF4-FFF2-40B4-BE49-F238E27FC236}">
              <a16:creationId xmlns:a16="http://schemas.microsoft.com/office/drawing/2014/main" id="{00000000-0008-0000-01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95250</xdr:colOff>
      <xdr:row>537</xdr:row>
      <xdr:rowOff>95249</xdr:rowOff>
    </xdr:from>
    <xdr:to>
      <xdr:col>19</xdr:col>
      <xdr:colOff>504825</xdr:colOff>
      <xdr:row>556</xdr:row>
      <xdr:rowOff>66675</xdr:rowOff>
    </xdr:to>
    <xdr:graphicFrame macro="">
      <xdr:nvGraphicFramePr>
        <xdr:cNvPr id="19" name="Chart 18">
          <a:extLst>
            <a:ext uri="{FF2B5EF4-FFF2-40B4-BE49-F238E27FC236}">
              <a16:creationId xmlns:a16="http://schemas.microsoft.com/office/drawing/2014/main" id="{00000000-0008-0000-0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1970314</xdr:colOff>
      <xdr:row>630</xdr:row>
      <xdr:rowOff>66674</xdr:rowOff>
    </xdr:from>
    <xdr:to>
      <xdr:col>9</xdr:col>
      <xdr:colOff>609600</xdr:colOff>
      <xdr:row>649</xdr:row>
      <xdr:rowOff>38100</xdr:rowOff>
    </xdr:to>
    <xdr:graphicFrame macro="">
      <xdr:nvGraphicFramePr>
        <xdr:cNvPr id="20" name="Chart 19">
          <a:extLst>
            <a:ext uri="{FF2B5EF4-FFF2-40B4-BE49-F238E27FC236}">
              <a16:creationId xmlns:a16="http://schemas.microsoft.com/office/drawing/2014/main" id="{00000000-0008-0000-0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0.94199</cdr:y>
    </cdr:from>
    <cdr:to>
      <cdr:x>1</cdr:x>
      <cdr:y>1</cdr:y>
    </cdr:to>
    <cdr:sp macro="" textlink="'Summary - Dollars'!$J$23">
      <cdr:nvSpPr>
        <cdr:cNvPr id="2" name="TextBox 1"/>
        <cdr:cNvSpPr txBox="1"/>
      </cdr:nvSpPr>
      <cdr:spPr>
        <a:xfrm xmlns:a="http://schemas.openxmlformats.org/drawingml/2006/main">
          <a:off x="0" y="4154261"/>
          <a:ext cx="3977259" cy="25581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9665DF3-6C74-458C-A3ED-E95BB1E65A2B}" type="TxLink">
            <a:rPr lang="en-US" sz="1000" b="0" i="0" u="none" strike="noStrike">
              <a:solidFill>
                <a:srgbClr val="000000"/>
              </a:solidFill>
              <a:latin typeface="Tahoma" pitchFamily="34" charset="0"/>
              <a:ea typeface="Tahoma" pitchFamily="34" charset="0"/>
              <a:cs typeface="Tahoma" pitchFamily="34" charset="0"/>
            </a:rPr>
            <a:pPr/>
            <a:t>Higher Education is 9.68 percent of Total State Appropriations </a:t>
          </a:fld>
          <a:endParaRPr lang="en-US" sz="1000">
            <a:latin typeface="Tahoma" pitchFamily="34" charset="0"/>
            <a:ea typeface="Tahoma" pitchFamily="34" charset="0"/>
            <a:cs typeface="Tahoma"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cdr:x>
      <cdr:y>0.94477</cdr:y>
    </cdr:from>
    <cdr:to>
      <cdr:x>1</cdr:x>
      <cdr:y>1</cdr:y>
    </cdr:to>
    <cdr:sp macro="" textlink="'Summary - Dollars'!$T$23">
      <cdr:nvSpPr>
        <cdr:cNvPr id="2" name="TextBox 1"/>
        <cdr:cNvSpPr txBox="1"/>
      </cdr:nvSpPr>
      <cdr:spPr>
        <a:xfrm xmlns:a="http://schemas.openxmlformats.org/drawingml/2006/main">
          <a:off x="0" y="4166507"/>
          <a:ext cx="4001861" cy="2435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5A04ECD-89FF-4379-BF23-9CC804ABE79C}" type="TxLink">
            <a:rPr lang="en-US" sz="1000" b="0" i="0" u="none" strike="noStrike">
              <a:solidFill>
                <a:srgbClr val="000000"/>
              </a:solidFill>
              <a:latin typeface="Tahoma" pitchFamily="34" charset="0"/>
              <a:ea typeface="Tahoma" pitchFamily="34" charset="0"/>
              <a:cs typeface="Tahoma" pitchFamily="34" charset="0"/>
            </a:rPr>
            <a:pPr/>
            <a:t>Higher Education is 12.56 percent of Total State Appropriations </a:t>
          </a:fld>
          <a:endParaRPr lang="en-US" sz="1000">
            <a:latin typeface="Tahoma" pitchFamily="34" charset="0"/>
            <a:ea typeface="Tahoma" pitchFamily="34" charset="0"/>
            <a:cs typeface="Tahom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2466975</xdr:colOff>
      <xdr:row>4</xdr:row>
      <xdr:rowOff>19050</xdr:rowOff>
    </xdr:from>
    <xdr:to>
      <xdr:col>9</xdr:col>
      <xdr:colOff>647700</xdr:colOff>
      <xdr:row>23</xdr:row>
      <xdr:rowOff>152401</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57149</xdr:colOff>
      <xdr:row>4</xdr:row>
      <xdr:rowOff>57150</xdr:rowOff>
    </xdr:from>
    <xdr:to>
      <xdr:col>19</xdr:col>
      <xdr:colOff>630009</xdr:colOff>
      <xdr:row>23</xdr:row>
      <xdr:rowOff>62593</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1932214</xdr:colOff>
      <xdr:row>39</xdr:row>
      <xdr:rowOff>114299</xdr:rowOff>
    </xdr:from>
    <xdr:to>
      <xdr:col>9</xdr:col>
      <xdr:colOff>647700</xdr:colOff>
      <xdr:row>58</xdr:row>
      <xdr:rowOff>104775</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85725</xdr:colOff>
      <xdr:row>39</xdr:row>
      <xdr:rowOff>114300</xdr:rowOff>
    </xdr:from>
    <xdr:to>
      <xdr:col>19</xdr:col>
      <xdr:colOff>639536</xdr:colOff>
      <xdr:row>58</xdr:row>
      <xdr:rowOff>114300</xdr:rowOff>
    </xdr:to>
    <xdr:graphicFrame macro="">
      <xdr:nvGraphicFramePr>
        <xdr:cNvPr id="5" name="Chart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1922690</xdr:colOff>
      <xdr:row>76</xdr:row>
      <xdr:rowOff>104775</xdr:rowOff>
    </xdr:from>
    <xdr:to>
      <xdr:col>9</xdr:col>
      <xdr:colOff>628650</xdr:colOff>
      <xdr:row>95</xdr:row>
      <xdr:rowOff>66675</xdr:rowOff>
    </xdr:to>
    <xdr:graphicFrame macro="">
      <xdr:nvGraphicFramePr>
        <xdr:cNvPr id="6" name="Chart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66676</xdr:colOff>
      <xdr:row>76</xdr:row>
      <xdr:rowOff>114300</xdr:rowOff>
    </xdr:from>
    <xdr:to>
      <xdr:col>19</xdr:col>
      <xdr:colOff>628651</xdr:colOff>
      <xdr:row>95</xdr:row>
      <xdr:rowOff>76201</xdr:rowOff>
    </xdr:to>
    <xdr:graphicFrame macro="">
      <xdr:nvGraphicFramePr>
        <xdr:cNvPr id="7" name="Chart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1865539</xdr:colOff>
      <xdr:row>254</xdr:row>
      <xdr:rowOff>112940</xdr:rowOff>
    </xdr:from>
    <xdr:to>
      <xdr:col>9</xdr:col>
      <xdr:colOff>613573</xdr:colOff>
      <xdr:row>273</xdr:row>
      <xdr:rowOff>133351</xdr:rowOff>
    </xdr:to>
    <xdr:graphicFrame macro="">
      <xdr:nvGraphicFramePr>
        <xdr:cNvPr id="8" name="Chart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123826</xdr:colOff>
      <xdr:row>254</xdr:row>
      <xdr:rowOff>85725</xdr:rowOff>
    </xdr:from>
    <xdr:to>
      <xdr:col>19</xdr:col>
      <xdr:colOff>571501</xdr:colOff>
      <xdr:row>273</xdr:row>
      <xdr:rowOff>123826</xdr:rowOff>
    </xdr:to>
    <xdr:graphicFrame macro="">
      <xdr:nvGraphicFramePr>
        <xdr:cNvPr id="9" name="Chart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1884589</xdr:colOff>
      <xdr:row>285</xdr:row>
      <xdr:rowOff>74840</xdr:rowOff>
    </xdr:from>
    <xdr:to>
      <xdr:col>9</xdr:col>
      <xdr:colOff>632623</xdr:colOff>
      <xdr:row>304</xdr:row>
      <xdr:rowOff>95251</xdr:rowOff>
    </xdr:to>
    <xdr:graphicFrame macro="">
      <xdr:nvGraphicFramePr>
        <xdr:cNvPr id="10" name="Chart 9">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76200</xdr:colOff>
      <xdr:row>285</xdr:row>
      <xdr:rowOff>76199</xdr:rowOff>
    </xdr:from>
    <xdr:to>
      <xdr:col>19</xdr:col>
      <xdr:colOff>495300</xdr:colOff>
      <xdr:row>304</xdr:row>
      <xdr:rowOff>85725</xdr:rowOff>
    </xdr:to>
    <xdr:graphicFrame macro="">
      <xdr:nvGraphicFramePr>
        <xdr:cNvPr id="11" name="Chart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1884589</xdr:colOff>
      <xdr:row>321</xdr:row>
      <xdr:rowOff>103415</xdr:rowOff>
    </xdr:from>
    <xdr:to>
      <xdr:col>9</xdr:col>
      <xdr:colOff>632623</xdr:colOff>
      <xdr:row>340</xdr:row>
      <xdr:rowOff>123826</xdr:rowOff>
    </xdr:to>
    <xdr:graphicFrame macro="">
      <xdr:nvGraphicFramePr>
        <xdr:cNvPr id="12" name="Chart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114300</xdr:colOff>
      <xdr:row>321</xdr:row>
      <xdr:rowOff>104775</xdr:rowOff>
    </xdr:from>
    <xdr:to>
      <xdr:col>19</xdr:col>
      <xdr:colOff>533400</xdr:colOff>
      <xdr:row>340</xdr:row>
      <xdr:rowOff>104776</xdr:rowOff>
    </xdr:to>
    <xdr:graphicFrame macro="">
      <xdr:nvGraphicFramePr>
        <xdr:cNvPr id="13" name="Chart 12">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1894114</xdr:colOff>
      <xdr:row>358</xdr:row>
      <xdr:rowOff>93890</xdr:rowOff>
    </xdr:from>
    <xdr:to>
      <xdr:col>9</xdr:col>
      <xdr:colOff>642148</xdr:colOff>
      <xdr:row>377</xdr:row>
      <xdr:rowOff>114301</xdr:rowOff>
    </xdr:to>
    <xdr:graphicFrame macro="">
      <xdr:nvGraphicFramePr>
        <xdr:cNvPr id="14" name="Chart 13">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66675</xdr:colOff>
      <xdr:row>358</xdr:row>
      <xdr:rowOff>114299</xdr:rowOff>
    </xdr:from>
    <xdr:to>
      <xdr:col>19</xdr:col>
      <xdr:colOff>561975</xdr:colOff>
      <xdr:row>377</xdr:row>
      <xdr:rowOff>104775</xdr:rowOff>
    </xdr:to>
    <xdr:graphicFrame macro="">
      <xdr:nvGraphicFramePr>
        <xdr:cNvPr id="15" name="Chart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1884589</xdr:colOff>
      <xdr:row>456</xdr:row>
      <xdr:rowOff>84365</xdr:rowOff>
    </xdr:from>
    <xdr:to>
      <xdr:col>9</xdr:col>
      <xdr:colOff>632623</xdr:colOff>
      <xdr:row>475</xdr:row>
      <xdr:rowOff>104776</xdr:rowOff>
    </xdr:to>
    <xdr:graphicFrame macro="">
      <xdr:nvGraphicFramePr>
        <xdr:cNvPr id="16" name="Chart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76200</xdr:colOff>
      <xdr:row>456</xdr:row>
      <xdr:rowOff>114300</xdr:rowOff>
    </xdr:from>
    <xdr:to>
      <xdr:col>19</xdr:col>
      <xdr:colOff>552450</xdr:colOff>
      <xdr:row>475</xdr:row>
      <xdr:rowOff>114301</xdr:rowOff>
    </xdr:to>
    <xdr:graphicFrame macro="">
      <xdr:nvGraphicFramePr>
        <xdr:cNvPr id="17" name="Chart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1865539</xdr:colOff>
      <xdr:row>537</xdr:row>
      <xdr:rowOff>84365</xdr:rowOff>
    </xdr:from>
    <xdr:to>
      <xdr:col>9</xdr:col>
      <xdr:colOff>613573</xdr:colOff>
      <xdr:row>556</xdr:row>
      <xdr:rowOff>104776</xdr:rowOff>
    </xdr:to>
    <xdr:graphicFrame macro="">
      <xdr:nvGraphicFramePr>
        <xdr:cNvPr id="18" name="Chart 17">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85725</xdr:colOff>
      <xdr:row>537</xdr:row>
      <xdr:rowOff>57150</xdr:rowOff>
    </xdr:from>
    <xdr:to>
      <xdr:col>19</xdr:col>
      <xdr:colOff>523875</xdr:colOff>
      <xdr:row>556</xdr:row>
      <xdr:rowOff>104776</xdr:rowOff>
    </xdr:to>
    <xdr:graphicFrame macro="">
      <xdr:nvGraphicFramePr>
        <xdr:cNvPr id="19" name="Chart 18">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1894114</xdr:colOff>
      <xdr:row>630</xdr:row>
      <xdr:rowOff>84365</xdr:rowOff>
    </xdr:from>
    <xdr:to>
      <xdr:col>9</xdr:col>
      <xdr:colOff>642148</xdr:colOff>
      <xdr:row>649</xdr:row>
      <xdr:rowOff>104776</xdr:rowOff>
    </xdr:to>
    <xdr:graphicFrame macro="">
      <xdr:nvGraphicFramePr>
        <xdr:cNvPr id="20" name="Chart 19">
          <a:extLst>
            <a:ext uri="{FF2B5EF4-FFF2-40B4-BE49-F238E27FC236}">
              <a16:creationId xmlns:a16="http://schemas.microsoft.com/office/drawing/2014/main" id="{00000000-0008-0000-0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0.92419</cdr:y>
    </cdr:from>
    <cdr:to>
      <cdr:x>1</cdr:x>
      <cdr:y>0.9822</cdr:y>
    </cdr:to>
    <cdr:sp macro="" textlink="'Summary - Millions'!$J$23">
      <cdr:nvSpPr>
        <cdr:cNvPr id="2" name="TextBox 1"/>
        <cdr:cNvSpPr txBox="1"/>
      </cdr:nvSpPr>
      <cdr:spPr>
        <a:xfrm xmlns:a="http://schemas.openxmlformats.org/drawingml/2006/main">
          <a:off x="0" y="2966568"/>
          <a:ext cx="6591300" cy="1862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9665DF3-6C74-458C-A3ED-E95BB1E65A2B}" type="TxLink">
            <a:rPr lang="en-US" sz="1000">
              <a:latin typeface="Tahoma" pitchFamily="34" charset="0"/>
              <a:ea typeface="Tahoma" pitchFamily="34" charset="0"/>
              <a:cs typeface="Tahoma" pitchFamily="34" charset="0"/>
            </a:rPr>
            <a:pPr/>
            <a:t>Higher Education is 9.68 percent of Total State Appropriations </a:t>
          </a:fld>
          <a:endParaRPr lang="en-US" sz="1000">
            <a:latin typeface="Tahoma" pitchFamily="34" charset="0"/>
            <a:ea typeface="Tahoma" pitchFamily="34" charset="0"/>
            <a:cs typeface="Tahoma"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cdr:x>
      <cdr:y>0.94477</cdr:y>
    </cdr:from>
    <cdr:to>
      <cdr:x>1</cdr:x>
      <cdr:y>1</cdr:y>
    </cdr:to>
    <cdr:sp macro="" textlink="'Summary - Millions'!$T$23">
      <cdr:nvSpPr>
        <cdr:cNvPr id="2" name="TextBox 1"/>
        <cdr:cNvSpPr txBox="1"/>
      </cdr:nvSpPr>
      <cdr:spPr>
        <a:xfrm xmlns:a="http://schemas.openxmlformats.org/drawingml/2006/main">
          <a:off x="0" y="4166507"/>
          <a:ext cx="4001861" cy="2435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5A04ECD-89FF-4379-BF23-9CC804ABE79C}" type="TxLink">
            <a:rPr lang="en-US" sz="1000">
              <a:latin typeface="Tahoma" pitchFamily="34" charset="0"/>
              <a:ea typeface="Tahoma" pitchFamily="34" charset="0"/>
              <a:cs typeface="Tahoma" pitchFamily="34" charset="0"/>
            </a:rPr>
            <a:pPr/>
            <a:t>Higher Education is 12.56 percent of Total State Appropriations </a:t>
          </a:fld>
          <a:endParaRPr lang="en-US" sz="1000">
            <a:latin typeface="Tahoma" pitchFamily="34" charset="0"/>
            <a:ea typeface="Tahoma" pitchFamily="34" charset="0"/>
            <a:cs typeface="Tahoma" pitchFamily="34"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6</xdr:col>
      <xdr:colOff>95250</xdr:colOff>
      <xdr:row>4</xdr:row>
      <xdr:rowOff>114300</xdr:rowOff>
    </xdr:from>
    <xdr:to>
      <xdr:col>10</xdr:col>
      <xdr:colOff>885825</xdr:colOff>
      <xdr:row>23</xdr:row>
      <xdr:rowOff>114300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847725</xdr:colOff>
      <xdr:row>39</xdr:row>
      <xdr:rowOff>76200</xdr:rowOff>
    </xdr:from>
    <xdr:to>
      <xdr:col>10</xdr:col>
      <xdr:colOff>876300</xdr:colOff>
      <xdr:row>58</xdr:row>
      <xdr:rowOff>66675</xdr:rowOff>
    </xdr:to>
    <xdr:graphicFrame macro="">
      <xdr:nvGraphicFramePr>
        <xdr:cNvPr id="5" name="Chart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2371725</xdr:colOff>
      <xdr:row>254</xdr:row>
      <xdr:rowOff>47626</xdr:rowOff>
    </xdr:from>
    <xdr:to>
      <xdr:col>5</xdr:col>
      <xdr:colOff>1038225</xdr:colOff>
      <xdr:row>273</xdr:row>
      <xdr:rowOff>95251</xdr:rowOff>
    </xdr:to>
    <xdr:graphicFrame macro="">
      <xdr:nvGraphicFramePr>
        <xdr:cNvPr id="8" name="Chart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933450</xdr:colOff>
      <xdr:row>254</xdr:row>
      <xdr:rowOff>95250</xdr:rowOff>
    </xdr:from>
    <xdr:to>
      <xdr:col>10</xdr:col>
      <xdr:colOff>923925</xdr:colOff>
      <xdr:row>273</xdr:row>
      <xdr:rowOff>114301</xdr:rowOff>
    </xdr:to>
    <xdr:graphicFrame macro="">
      <xdr:nvGraphicFramePr>
        <xdr:cNvPr id="9" name="Chart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2190750</xdr:colOff>
      <xdr:row>285</xdr:row>
      <xdr:rowOff>57150</xdr:rowOff>
    </xdr:from>
    <xdr:to>
      <xdr:col>5</xdr:col>
      <xdr:colOff>1047750</xdr:colOff>
      <xdr:row>304</xdr:row>
      <xdr:rowOff>95251</xdr:rowOff>
    </xdr:to>
    <xdr:graphicFrame macro="">
      <xdr:nvGraphicFramePr>
        <xdr:cNvPr id="10" name="Chart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809625</xdr:colOff>
      <xdr:row>285</xdr:row>
      <xdr:rowOff>76200</xdr:rowOff>
    </xdr:from>
    <xdr:to>
      <xdr:col>10</xdr:col>
      <xdr:colOff>838200</xdr:colOff>
      <xdr:row>304</xdr:row>
      <xdr:rowOff>85725</xdr:rowOff>
    </xdr:to>
    <xdr:graphicFrame macro="">
      <xdr:nvGraphicFramePr>
        <xdr:cNvPr id="11" name="Chart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2190750</xdr:colOff>
      <xdr:row>321</xdr:row>
      <xdr:rowOff>95249</xdr:rowOff>
    </xdr:from>
    <xdr:to>
      <xdr:col>5</xdr:col>
      <xdr:colOff>1038225</xdr:colOff>
      <xdr:row>340</xdr:row>
      <xdr:rowOff>85725</xdr:rowOff>
    </xdr:to>
    <xdr:graphicFrame macro="">
      <xdr:nvGraphicFramePr>
        <xdr:cNvPr id="12" name="Chart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2114550</xdr:colOff>
      <xdr:row>358</xdr:row>
      <xdr:rowOff>104775</xdr:rowOff>
    </xdr:from>
    <xdr:to>
      <xdr:col>5</xdr:col>
      <xdr:colOff>1047750</xdr:colOff>
      <xdr:row>377</xdr:row>
      <xdr:rowOff>66676</xdr:rowOff>
    </xdr:to>
    <xdr:graphicFrame macro="">
      <xdr:nvGraphicFramePr>
        <xdr:cNvPr id="14" name="Chart 13">
          <a:extLst>
            <a:ext uri="{FF2B5EF4-FFF2-40B4-BE49-F238E27FC236}">
              <a16:creationId xmlns:a16="http://schemas.microsoft.com/office/drawing/2014/main" id="{00000000-0008-0000-0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19049</xdr:colOff>
      <xdr:row>456</xdr:row>
      <xdr:rowOff>85725</xdr:rowOff>
    </xdr:from>
    <xdr:to>
      <xdr:col>5</xdr:col>
      <xdr:colOff>1123949</xdr:colOff>
      <xdr:row>475</xdr:row>
      <xdr:rowOff>133351</xdr:rowOff>
    </xdr:to>
    <xdr:graphicFrame macro="">
      <xdr:nvGraphicFramePr>
        <xdr:cNvPr id="16" name="Chart 15">
          <a:extLst>
            <a:ext uri="{FF2B5EF4-FFF2-40B4-BE49-F238E27FC236}">
              <a16:creationId xmlns:a16="http://schemas.microsoft.com/office/drawing/2014/main" id="{00000000-0008-0000-0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19050</xdr:colOff>
      <xdr:row>537</xdr:row>
      <xdr:rowOff>66674</xdr:rowOff>
    </xdr:from>
    <xdr:to>
      <xdr:col>5</xdr:col>
      <xdr:colOff>1123950</xdr:colOff>
      <xdr:row>556</xdr:row>
      <xdr:rowOff>76200</xdr:rowOff>
    </xdr:to>
    <xdr:graphicFrame macro="">
      <xdr:nvGraphicFramePr>
        <xdr:cNvPr id="18" name="Chart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57149</xdr:colOff>
      <xdr:row>630</xdr:row>
      <xdr:rowOff>57149</xdr:rowOff>
    </xdr:from>
    <xdr:to>
      <xdr:col>5</xdr:col>
      <xdr:colOff>1104899</xdr:colOff>
      <xdr:row>649</xdr:row>
      <xdr:rowOff>28575</xdr:rowOff>
    </xdr:to>
    <xdr:graphicFrame macro="">
      <xdr:nvGraphicFramePr>
        <xdr:cNvPr id="20" name="Chart 19">
          <a:extLst>
            <a:ext uri="{FF2B5EF4-FFF2-40B4-BE49-F238E27FC236}">
              <a16:creationId xmlns:a16="http://schemas.microsoft.com/office/drawing/2014/main" id="{00000000-0008-0000-0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4</xdr:row>
      <xdr:rowOff>76200</xdr:rowOff>
    </xdr:from>
    <xdr:to>
      <xdr:col>5</xdr:col>
      <xdr:colOff>1087211</xdr:colOff>
      <xdr:row>23</xdr:row>
      <xdr:rowOff>57150</xdr:rowOff>
    </xdr:to>
    <xdr:graphicFrame macro="">
      <xdr:nvGraphicFramePr>
        <xdr:cNvPr id="34" name="Chart 33">
          <a:extLst>
            <a:ext uri="{FF2B5EF4-FFF2-40B4-BE49-F238E27FC236}">
              <a16:creationId xmlns:a16="http://schemas.microsoft.com/office/drawing/2014/main" id="{00000000-0008-0000-03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19049</xdr:colOff>
      <xdr:row>39</xdr:row>
      <xdr:rowOff>114300</xdr:rowOff>
    </xdr:from>
    <xdr:to>
      <xdr:col>5</xdr:col>
      <xdr:colOff>1001485</xdr:colOff>
      <xdr:row>58</xdr:row>
      <xdr:rowOff>95250</xdr:rowOff>
    </xdr:to>
    <xdr:graphicFrame macro="">
      <xdr:nvGraphicFramePr>
        <xdr:cNvPr id="35" name="Chart 34">
          <a:extLst>
            <a:ext uri="{FF2B5EF4-FFF2-40B4-BE49-F238E27FC236}">
              <a16:creationId xmlns:a16="http://schemas.microsoft.com/office/drawing/2014/main" id="{00000000-0008-0000-03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142875</xdr:colOff>
      <xdr:row>39</xdr:row>
      <xdr:rowOff>114300</xdr:rowOff>
    </xdr:from>
    <xdr:to>
      <xdr:col>10</xdr:col>
      <xdr:colOff>981075</xdr:colOff>
      <xdr:row>58</xdr:row>
      <xdr:rowOff>95250</xdr:rowOff>
    </xdr:to>
    <xdr:graphicFrame macro="">
      <xdr:nvGraphicFramePr>
        <xdr:cNvPr id="36" name="Chart 35">
          <a:extLst>
            <a:ext uri="{FF2B5EF4-FFF2-40B4-BE49-F238E27FC236}">
              <a16:creationId xmlns:a16="http://schemas.microsoft.com/office/drawing/2014/main" id="{00000000-0008-0000-03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57150</xdr:colOff>
      <xdr:row>76</xdr:row>
      <xdr:rowOff>57150</xdr:rowOff>
    </xdr:from>
    <xdr:to>
      <xdr:col>5</xdr:col>
      <xdr:colOff>1030061</xdr:colOff>
      <xdr:row>95</xdr:row>
      <xdr:rowOff>38100</xdr:rowOff>
    </xdr:to>
    <xdr:graphicFrame macro="">
      <xdr:nvGraphicFramePr>
        <xdr:cNvPr id="37" name="Chart 36">
          <a:extLst>
            <a:ext uri="{FF2B5EF4-FFF2-40B4-BE49-F238E27FC236}">
              <a16:creationId xmlns:a16="http://schemas.microsoft.com/office/drawing/2014/main" id="{00000000-0008-0000-03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114301</xdr:colOff>
      <xdr:row>254</xdr:row>
      <xdr:rowOff>114300</xdr:rowOff>
    </xdr:from>
    <xdr:to>
      <xdr:col>10</xdr:col>
      <xdr:colOff>1114426</xdr:colOff>
      <xdr:row>273</xdr:row>
      <xdr:rowOff>104776</xdr:rowOff>
    </xdr:to>
    <xdr:graphicFrame macro="">
      <xdr:nvGraphicFramePr>
        <xdr:cNvPr id="38" name="Chart 37">
          <a:extLst>
            <a:ext uri="{FF2B5EF4-FFF2-40B4-BE49-F238E27FC236}">
              <a16:creationId xmlns:a16="http://schemas.microsoft.com/office/drawing/2014/main" id="{00000000-0008-0000-03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38101</xdr:colOff>
      <xdr:row>285</xdr:row>
      <xdr:rowOff>76200</xdr:rowOff>
    </xdr:from>
    <xdr:to>
      <xdr:col>10</xdr:col>
      <xdr:colOff>1076326</xdr:colOff>
      <xdr:row>304</xdr:row>
      <xdr:rowOff>114301</xdr:rowOff>
    </xdr:to>
    <xdr:graphicFrame macro="">
      <xdr:nvGraphicFramePr>
        <xdr:cNvPr id="39" name="Chart 38">
          <a:extLst>
            <a:ext uri="{FF2B5EF4-FFF2-40B4-BE49-F238E27FC236}">
              <a16:creationId xmlns:a16="http://schemas.microsoft.com/office/drawing/2014/main" id="{00000000-0008-0000-03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76200</xdr:colOff>
      <xdr:row>321</xdr:row>
      <xdr:rowOff>142875</xdr:rowOff>
    </xdr:from>
    <xdr:to>
      <xdr:col>10</xdr:col>
      <xdr:colOff>1096736</xdr:colOff>
      <xdr:row>340</xdr:row>
      <xdr:rowOff>133351</xdr:rowOff>
    </xdr:to>
    <xdr:graphicFrame macro="">
      <xdr:nvGraphicFramePr>
        <xdr:cNvPr id="40" name="Chart 39">
          <a:extLst>
            <a:ext uri="{FF2B5EF4-FFF2-40B4-BE49-F238E27FC236}">
              <a16:creationId xmlns:a16="http://schemas.microsoft.com/office/drawing/2014/main" id="{00000000-0008-0000-03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104775</xdr:colOff>
      <xdr:row>76</xdr:row>
      <xdr:rowOff>133350</xdr:rowOff>
    </xdr:from>
    <xdr:to>
      <xdr:col>10</xdr:col>
      <xdr:colOff>1009650</xdr:colOff>
      <xdr:row>95</xdr:row>
      <xdr:rowOff>114300</xdr:rowOff>
    </xdr:to>
    <xdr:graphicFrame macro="">
      <xdr:nvGraphicFramePr>
        <xdr:cNvPr id="41" name="Chart 40">
          <a:extLst>
            <a:ext uri="{FF2B5EF4-FFF2-40B4-BE49-F238E27FC236}">
              <a16:creationId xmlns:a16="http://schemas.microsoft.com/office/drawing/2014/main" id="{00000000-0008-0000-03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47625</xdr:colOff>
      <xdr:row>358</xdr:row>
      <xdr:rowOff>104775</xdr:rowOff>
    </xdr:from>
    <xdr:to>
      <xdr:col>10</xdr:col>
      <xdr:colOff>933450</xdr:colOff>
      <xdr:row>377</xdr:row>
      <xdr:rowOff>66676</xdr:rowOff>
    </xdr:to>
    <xdr:graphicFrame macro="">
      <xdr:nvGraphicFramePr>
        <xdr:cNvPr id="42" name="Chart 41">
          <a:extLst>
            <a:ext uri="{FF2B5EF4-FFF2-40B4-BE49-F238E27FC236}">
              <a16:creationId xmlns:a16="http://schemas.microsoft.com/office/drawing/2014/main" id="{00000000-0008-0000-03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180975</xdr:colOff>
      <xdr:row>456</xdr:row>
      <xdr:rowOff>104775</xdr:rowOff>
    </xdr:from>
    <xdr:to>
      <xdr:col>10</xdr:col>
      <xdr:colOff>1038225</xdr:colOff>
      <xdr:row>475</xdr:row>
      <xdr:rowOff>152401</xdr:rowOff>
    </xdr:to>
    <xdr:graphicFrame macro="">
      <xdr:nvGraphicFramePr>
        <xdr:cNvPr id="43" name="Chart 42">
          <a:extLst>
            <a:ext uri="{FF2B5EF4-FFF2-40B4-BE49-F238E27FC236}">
              <a16:creationId xmlns:a16="http://schemas.microsoft.com/office/drawing/2014/main" id="{00000000-0008-0000-03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142875</xdr:colOff>
      <xdr:row>537</xdr:row>
      <xdr:rowOff>66675</xdr:rowOff>
    </xdr:from>
    <xdr:to>
      <xdr:col>10</xdr:col>
      <xdr:colOff>1000125</xdr:colOff>
      <xdr:row>556</xdr:row>
      <xdr:rowOff>76201</xdr:rowOff>
    </xdr:to>
    <xdr:graphicFrame macro="">
      <xdr:nvGraphicFramePr>
        <xdr:cNvPr id="44" name="Chart 43">
          <a:extLst>
            <a:ext uri="{FF2B5EF4-FFF2-40B4-BE49-F238E27FC236}">
              <a16:creationId xmlns:a16="http://schemas.microsoft.com/office/drawing/2014/main" id="{00000000-0008-0000-03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8.xml><?xml version="1.0" encoding="utf-8"?>
<xdr:wsDr xmlns:xdr="http://schemas.openxmlformats.org/drawingml/2006/spreadsheetDrawing" xmlns:a="http://schemas.openxmlformats.org/drawingml/2006/main">
  <xdr:oneCellAnchor>
    <xdr:from>
      <xdr:col>3</xdr:col>
      <xdr:colOff>0</xdr:colOff>
      <xdr:row>9</xdr:row>
      <xdr:rowOff>0</xdr:rowOff>
    </xdr:from>
    <xdr:ext cx="166258" cy="264560"/>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311039"/>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3676650" y="2133600"/>
          <a:ext cx="166258" cy="3110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47785" cy="264560"/>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3676650" y="2133600"/>
          <a:ext cx="14778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7" name="TextBox 16">
          <a:extLst>
            <a:ext uri="{FF2B5EF4-FFF2-40B4-BE49-F238E27FC236}">
              <a16:creationId xmlns:a16="http://schemas.microsoft.com/office/drawing/2014/main" id="{00000000-0008-0000-0600-000011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20" name="TextBox 19">
          <a:extLst>
            <a:ext uri="{FF2B5EF4-FFF2-40B4-BE49-F238E27FC236}">
              <a16:creationId xmlns:a16="http://schemas.microsoft.com/office/drawing/2014/main" id="{00000000-0008-0000-0600-000014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22" name="TextBox 21">
          <a:extLst>
            <a:ext uri="{FF2B5EF4-FFF2-40B4-BE49-F238E27FC236}">
              <a16:creationId xmlns:a16="http://schemas.microsoft.com/office/drawing/2014/main" id="{00000000-0008-0000-0600-000016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28" name="TextBox 27">
          <a:extLst>
            <a:ext uri="{FF2B5EF4-FFF2-40B4-BE49-F238E27FC236}">
              <a16:creationId xmlns:a16="http://schemas.microsoft.com/office/drawing/2014/main" id="{00000000-0008-0000-0600-00001C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29" name="TextBox 28">
          <a:extLst>
            <a:ext uri="{FF2B5EF4-FFF2-40B4-BE49-F238E27FC236}">
              <a16:creationId xmlns:a16="http://schemas.microsoft.com/office/drawing/2014/main" id="{00000000-0008-0000-0600-00001D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30" name="TextBox 29">
          <a:extLst>
            <a:ext uri="{FF2B5EF4-FFF2-40B4-BE49-F238E27FC236}">
              <a16:creationId xmlns:a16="http://schemas.microsoft.com/office/drawing/2014/main" id="{00000000-0008-0000-0600-00001E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31" name="TextBox 30">
          <a:extLst>
            <a:ext uri="{FF2B5EF4-FFF2-40B4-BE49-F238E27FC236}">
              <a16:creationId xmlns:a16="http://schemas.microsoft.com/office/drawing/2014/main" id="{00000000-0008-0000-0600-00001F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32" name="TextBox 31">
          <a:extLst>
            <a:ext uri="{FF2B5EF4-FFF2-40B4-BE49-F238E27FC236}">
              <a16:creationId xmlns:a16="http://schemas.microsoft.com/office/drawing/2014/main" id="{00000000-0008-0000-0600-000020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33" name="TextBox 32">
          <a:extLst>
            <a:ext uri="{FF2B5EF4-FFF2-40B4-BE49-F238E27FC236}">
              <a16:creationId xmlns:a16="http://schemas.microsoft.com/office/drawing/2014/main" id="{00000000-0008-0000-0600-000021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34" name="TextBox 33">
          <a:extLst>
            <a:ext uri="{FF2B5EF4-FFF2-40B4-BE49-F238E27FC236}">
              <a16:creationId xmlns:a16="http://schemas.microsoft.com/office/drawing/2014/main" id="{00000000-0008-0000-0600-000022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35" name="TextBox 34">
          <a:extLst>
            <a:ext uri="{FF2B5EF4-FFF2-40B4-BE49-F238E27FC236}">
              <a16:creationId xmlns:a16="http://schemas.microsoft.com/office/drawing/2014/main" id="{00000000-0008-0000-0600-000023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36" name="TextBox 35">
          <a:extLst>
            <a:ext uri="{FF2B5EF4-FFF2-40B4-BE49-F238E27FC236}">
              <a16:creationId xmlns:a16="http://schemas.microsoft.com/office/drawing/2014/main" id="{00000000-0008-0000-0600-000024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37" name="TextBox 36">
          <a:extLst>
            <a:ext uri="{FF2B5EF4-FFF2-40B4-BE49-F238E27FC236}">
              <a16:creationId xmlns:a16="http://schemas.microsoft.com/office/drawing/2014/main" id="{00000000-0008-0000-0600-000025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38" name="TextBox 37">
          <a:extLst>
            <a:ext uri="{FF2B5EF4-FFF2-40B4-BE49-F238E27FC236}">
              <a16:creationId xmlns:a16="http://schemas.microsoft.com/office/drawing/2014/main" id="{00000000-0008-0000-0600-000026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39" name="TextBox 38">
          <a:extLst>
            <a:ext uri="{FF2B5EF4-FFF2-40B4-BE49-F238E27FC236}">
              <a16:creationId xmlns:a16="http://schemas.microsoft.com/office/drawing/2014/main" id="{00000000-0008-0000-0600-000027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40" name="TextBox 39">
          <a:extLst>
            <a:ext uri="{FF2B5EF4-FFF2-40B4-BE49-F238E27FC236}">
              <a16:creationId xmlns:a16="http://schemas.microsoft.com/office/drawing/2014/main" id="{00000000-0008-0000-0600-000028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41" name="TextBox 40">
          <a:extLst>
            <a:ext uri="{FF2B5EF4-FFF2-40B4-BE49-F238E27FC236}">
              <a16:creationId xmlns:a16="http://schemas.microsoft.com/office/drawing/2014/main" id="{00000000-0008-0000-0600-000029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42" name="TextBox 41">
          <a:extLst>
            <a:ext uri="{FF2B5EF4-FFF2-40B4-BE49-F238E27FC236}">
              <a16:creationId xmlns:a16="http://schemas.microsoft.com/office/drawing/2014/main" id="{00000000-0008-0000-0600-00002A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43" name="TextBox 42">
          <a:extLst>
            <a:ext uri="{FF2B5EF4-FFF2-40B4-BE49-F238E27FC236}">
              <a16:creationId xmlns:a16="http://schemas.microsoft.com/office/drawing/2014/main" id="{00000000-0008-0000-0600-00002B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44" name="TextBox 43">
          <a:extLst>
            <a:ext uri="{FF2B5EF4-FFF2-40B4-BE49-F238E27FC236}">
              <a16:creationId xmlns:a16="http://schemas.microsoft.com/office/drawing/2014/main" id="{00000000-0008-0000-0600-00002C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45" name="TextBox 44">
          <a:extLst>
            <a:ext uri="{FF2B5EF4-FFF2-40B4-BE49-F238E27FC236}">
              <a16:creationId xmlns:a16="http://schemas.microsoft.com/office/drawing/2014/main" id="{00000000-0008-0000-0600-00002D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46" name="TextBox 45">
          <a:extLst>
            <a:ext uri="{FF2B5EF4-FFF2-40B4-BE49-F238E27FC236}">
              <a16:creationId xmlns:a16="http://schemas.microsoft.com/office/drawing/2014/main" id="{00000000-0008-0000-0600-00002E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47" name="TextBox 46">
          <a:extLst>
            <a:ext uri="{FF2B5EF4-FFF2-40B4-BE49-F238E27FC236}">
              <a16:creationId xmlns:a16="http://schemas.microsoft.com/office/drawing/2014/main" id="{00000000-0008-0000-0600-00002F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48" name="TextBox 47">
          <a:extLst>
            <a:ext uri="{FF2B5EF4-FFF2-40B4-BE49-F238E27FC236}">
              <a16:creationId xmlns:a16="http://schemas.microsoft.com/office/drawing/2014/main" id="{00000000-0008-0000-0600-000030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49" name="TextBox 48">
          <a:extLst>
            <a:ext uri="{FF2B5EF4-FFF2-40B4-BE49-F238E27FC236}">
              <a16:creationId xmlns:a16="http://schemas.microsoft.com/office/drawing/2014/main" id="{00000000-0008-0000-0600-000031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50" name="TextBox 49">
          <a:extLst>
            <a:ext uri="{FF2B5EF4-FFF2-40B4-BE49-F238E27FC236}">
              <a16:creationId xmlns:a16="http://schemas.microsoft.com/office/drawing/2014/main" id="{00000000-0008-0000-0600-000032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51" name="TextBox 50">
          <a:extLst>
            <a:ext uri="{FF2B5EF4-FFF2-40B4-BE49-F238E27FC236}">
              <a16:creationId xmlns:a16="http://schemas.microsoft.com/office/drawing/2014/main" id="{00000000-0008-0000-0600-000033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52" name="TextBox 51">
          <a:extLst>
            <a:ext uri="{FF2B5EF4-FFF2-40B4-BE49-F238E27FC236}">
              <a16:creationId xmlns:a16="http://schemas.microsoft.com/office/drawing/2014/main" id="{00000000-0008-0000-0600-000034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53" name="TextBox 52">
          <a:extLst>
            <a:ext uri="{FF2B5EF4-FFF2-40B4-BE49-F238E27FC236}">
              <a16:creationId xmlns:a16="http://schemas.microsoft.com/office/drawing/2014/main" id="{00000000-0008-0000-0600-000035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54" name="TextBox 53">
          <a:extLst>
            <a:ext uri="{FF2B5EF4-FFF2-40B4-BE49-F238E27FC236}">
              <a16:creationId xmlns:a16="http://schemas.microsoft.com/office/drawing/2014/main" id="{00000000-0008-0000-0600-000036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55" name="TextBox 54">
          <a:extLst>
            <a:ext uri="{FF2B5EF4-FFF2-40B4-BE49-F238E27FC236}">
              <a16:creationId xmlns:a16="http://schemas.microsoft.com/office/drawing/2014/main" id="{00000000-0008-0000-0600-000037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56" name="TextBox 55">
          <a:extLst>
            <a:ext uri="{FF2B5EF4-FFF2-40B4-BE49-F238E27FC236}">
              <a16:creationId xmlns:a16="http://schemas.microsoft.com/office/drawing/2014/main" id="{00000000-0008-0000-0600-000038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57" name="TextBox 56">
          <a:extLst>
            <a:ext uri="{FF2B5EF4-FFF2-40B4-BE49-F238E27FC236}">
              <a16:creationId xmlns:a16="http://schemas.microsoft.com/office/drawing/2014/main" id="{00000000-0008-0000-0600-000039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58" name="TextBox 57">
          <a:extLst>
            <a:ext uri="{FF2B5EF4-FFF2-40B4-BE49-F238E27FC236}">
              <a16:creationId xmlns:a16="http://schemas.microsoft.com/office/drawing/2014/main" id="{00000000-0008-0000-0600-00003A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59" name="TextBox 58">
          <a:extLst>
            <a:ext uri="{FF2B5EF4-FFF2-40B4-BE49-F238E27FC236}">
              <a16:creationId xmlns:a16="http://schemas.microsoft.com/office/drawing/2014/main" id="{00000000-0008-0000-0600-00003B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311039"/>
    <xdr:sp macro="" textlink="">
      <xdr:nvSpPr>
        <xdr:cNvPr id="60" name="TextBox 59">
          <a:extLst>
            <a:ext uri="{FF2B5EF4-FFF2-40B4-BE49-F238E27FC236}">
              <a16:creationId xmlns:a16="http://schemas.microsoft.com/office/drawing/2014/main" id="{00000000-0008-0000-0600-00003C000000}"/>
            </a:ext>
          </a:extLst>
        </xdr:cNvPr>
        <xdr:cNvSpPr txBox="1"/>
      </xdr:nvSpPr>
      <xdr:spPr>
        <a:xfrm>
          <a:off x="3676650" y="2133600"/>
          <a:ext cx="166258" cy="3110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61" name="TextBox 60">
          <a:extLst>
            <a:ext uri="{FF2B5EF4-FFF2-40B4-BE49-F238E27FC236}">
              <a16:creationId xmlns:a16="http://schemas.microsoft.com/office/drawing/2014/main" id="{00000000-0008-0000-0600-00003D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62" name="TextBox 61">
          <a:extLst>
            <a:ext uri="{FF2B5EF4-FFF2-40B4-BE49-F238E27FC236}">
              <a16:creationId xmlns:a16="http://schemas.microsoft.com/office/drawing/2014/main" id="{00000000-0008-0000-0600-00003E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63" name="TextBox 62">
          <a:extLst>
            <a:ext uri="{FF2B5EF4-FFF2-40B4-BE49-F238E27FC236}">
              <a16:creationId xmlns:a16="http://schemas.microsoft.com/office/drawing/2014/main" id="{00000000-0008-0000-0600-00003F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64" name="TextBox 63">
          <a:extLst>
            <a:ext uri="{FF2B5EF4-FFF2-40B4-BE49-F238E27FC236}">
              <a16:creationId xmlns:a16="http://schemas.microsoft.com/office/drawing/2014/main" id="{00000000-0008-0000-0600-000040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65" name="TextBox 64">
          <a:extLst>
            <a:ext uri="{FF2B5EF4-FFF2-40B4-BE49-F238E27FC236}">
              <a16:creationId xmlns:a16="http://schemas.microsoft.com/office/drawing/2014/main" id="{00000000-0008-0000-0600-000041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66" name="TextBox 65">
          <a:extLst>
            <a:ext uri="{FF2B5EF4-FFF2-40B4-BE49-F238E27FC236}">
              <a16:creationId xmlns:a16="http://schemas.microsoft.com/office/drawing/2014/main" id="{00000000-0008-0000-0600-000042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67" name="TextBox 66">
          <a:extLst>
            <a:ext uri="{FF2B5EF4-FFF2-40B4-BE49-F238E27FC236}">
              <a16:creationId xmlns:a16="http://schemas.microsoft.com/office/drawing/2014/main" id="{00000000-0008-0000-0600-000043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68" name="TextBox 67">
          <a:extLst>
            <a:ext uri="{FF2B5EF4-FFF2-40B4-BE49-F238E27FC236}">
              <a16:creationId xmlns:a16="http://schemas.microsoft.com/office/drawing/2014/main" id="{00000000-0008-0000-0600-000044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69" name="TextBox 68">
          <a:extLst>
            <a:ext uri="{FF2B5EF4-FFF2-40B4-BE49-F238E27FC236}">
              <a16:creationId xmlns:a16="http://schemas.microsoft.com/office/drawing/2014/main" id="{00000000-0008-0000-0600-000045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70" name="TextBox 69">
          <a:extLst>
            <a:ext uri="{FF2B5EF4-FFF2-40B4-BE49-F238E27FC236}">
              <a16:creationId xmlns:a16="http://schemas.microsoft.com/office/drawing/2014/main" id="{00000000-0008-0000-0600-000046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71" name="TextBox 70">
          <a:extLst>
            <a:ext uri="{FF2B5EF4-FFF2-40B4-BE49-F238E27FC236}">
              <a16:creationId xmlns:a16="http://schemas.microsoft.com/office/drawing/2014/main" id="{00000000-0008-0000-0600-000047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72" name="TextBox 71">
          <a:extLst>
            <a:ext uri="{FF2B5EF4-FFF2-40B4-BE49-F238E27FC236}">
              <a16:creationId xmlns:a16="http://schemas.microsoft.com/office/drawing/2014/main" id="{00000000-0008-0000-0600-000048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311039"/>
    <xdr:sp macro="" textlink="">
      <xdr:nvSpPr>
        <xdr:cNvPr id="73" name="TextBox 72">
          <a:extLst>
            <a:ext uri="{FF2B5EF4-FFF2-40B4-BE49-F238E27FC236}">
              <a16:creationId xmlns:a16="http://schemas.microsoft.com/office/drawing/2014/main" id="{00000000-0008-0000-0600-000049000000}"/>
            </a:ext>
          </a:extLst>
        </xdr:cNvPr>
        <xdr:cNvSpPr txBox="1"/>
      </xdr:nvSpPr>
      <xdr:spPr>
        <a:xfrm>
          <a:off x="3676650" y="2133600"/>
          <a:ext cx="166258" cy="3110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74" name="TextBox 73">
          <a:extLst>
            <a:ext uri="{FF2B5EF4-FFF2-40B4-BE49-F238E27FC236}">
              <a16:creationId xmlns:a16="http://schemas.microsoft.com/office/drawing/2014/main" id="{00000000-0008-0000-0600-00004A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75" name="TextBox 74">
          <a:extLst>
            <a:ext uri="{FF2B5EF4-FFF2-40B4-BE49-F238E27FC236}">
              <a16:creationId xmlns:a16="http://schemas.microsoft.com/office/drawing/2014/main" id="{00000000-0008-0000-0600-00004B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76" name="TextBox 75">
          <a:extLst>
            <a:ext uri="{FF2B5EF4-FFF2-40B4-BE49-F238E27FC236}">
              <a16:creationId xmlns:a16="http://schemas.microsoft.com/office/drawing/2014/main" id="{00000000-0008-0000-0600-00004C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77" name="TextBox 76">
          <a:extLst>
            <a:ext uri="{FF2B5EF4-FFF2-40B4-BE49-F238E27FC236}">
              <a16:creationId xmlns:a16="http://schemas.microsoft.com/office/drawing/2014/main" id="{00000000-0008-0000-0600-00004D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78" name="TextBox 77">
          <a:extLst>
            <a:ext uri="{FF2B5EF4-FFF2-40B4-BE49-F238E27FC236}">
              <a16:creationId xmlns:a16="http://schemas.microsoft.com/office/drawing/2014/main" id="{00000000-0008-0000-0600-00004E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79" name="TextBox 78">
          <a:extLst>
            <a:ext uri="{FF2B5EF4-FFF2-40B4-BE49-F238E27FC236}">
              <a16:creationId xmlns:a16="http://schemas.microsoft.com/office/drawing/2014/main" id="{00000000-0008-0000-0600-00004F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80" name="TextBox 79">
          <a:extLst>
            <a:ext uri="{FF2B5EF4-FFF2-40B4-BE49-F238E27FC236}">
              <a16:creationId xmlns:a16="http://schemas.microsoft.com/office/drawing/2014/main" id="{00000000-0008-0000-0600-000050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81" name="TextBox 80">
          <a:extLst>
            <a:ext uri="{FF2B5EF4-FFF2-40B4-BE49-F238E27FC236}">
              <a16:creationId xmlns:a16="http://schemas.microsoft.com/office/drawing/2014/main" id="{00000000-0008-0000-0600-000051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82" name="TextBox 81">
          <a:extLst>
            <a:ext uri="{FF2B5EF4-FFF2-40B4-BE49-F238E27FC236}">
              <a16:creationId xmlns:a16="http://schemas.microsoft.com/office/drawing/2014/main" id="{00000000-0008-0000-0600-000052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83" name="TextBox 82">
          <a:extLst>
            <a:ext uri="{FF2B5EF4-FFF2-40B4-BE49-F238E27FC236}">
              <a16:creationId xmlns:a16="http://schemas.microsoft.com/office/drawing/2014/main" id="{00000000-0008-0000-0600-000053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84" name="TextBox 83">
          <a:extLst>
            <a:ext uri="{FF2B5EF4-FFF2-40B4-BE49-F238E27FC236}">
              <a16:creationId xmlns:a16="http://schemas.microsoft.com/office/drawing/2014/main" id="{00000000-0008-0000-0600-000054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85" name="TextBox 84">
          <a:extLst>
            <a:ext uri="{FF2B5EF4-FFF2-40B4-BE49-F238E27FC236}">
              <a16:creationId xmlns:a16="http://schemas.microsoft.com/office/drawing/2014/main" id="{00000000-0008-0000-0600-000055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86" name="TextBox 85">
          <a:extLst>
            <a:ext uri="{FF2B5EF4-FFF2-40B4-BE49-F238E27FC236}">
              <a16:creationId xmlns:a16="http://schemas.microsoft.com/office/drawing/2014/main" id="{00000000-0008-0000-0600-000056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311039"/>
    <xdr:sp macro="" textlink="">
      <xdr:nvSpPr>
        <xdr:cNvPr id="87" name="TextBox 86">
          <a:extLst>
            <a:ext uri="{FF2B5EF4-FFF2-40B4-BE49-F238E27FC236}">
              <a16:creationId xmlns:a16="http://schemas.microsoft.com/office/drawing/2014/main" id="{00000000-0008-0000-0600-000057000000}"/>
            </a:ext>
          </a:extLst>
        </xdr:cNvPr>
        <xdr:cNvSpPr txBox="1"/>
      </xdr:nvSpPr>
      <xdr:spPr>
        <a:xfrm>
          <a:off x="3676650" y="2133600"/>
          <a:ext cx="166258" cy="3110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88" name="TextBox 87">
          <a:extLst>
            <a:ext uri="{FF2B5EF4-FFF2-40B4-BE49-F238E27FC236}">
              <a16:creationId xmlns:a16="http://schemas.microsoft.com/office/drawing/2014/main" id="{00000000-0008-0000-0600-000058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89" name="TextBox 88">
          <a:extLst>
            <a:ext uri="{FF2B5EF4-FFF2-40B4-BE49-F238E27FC236}">
              <a16:creationId xmlns:a16="http://schemas.microsoft.com/office/drawing/2014/main" id="{00000000-0008-0000-0600-000059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90" name="TextBox 89">
          <a:extLst>
            <a:ext uri="{FF2B5EF4-FFF2-40B4-BE49-F238E27FC236}">
              <a16:creationId xmlns:a16="http://schemas.microsoft.com/office/drawing/2014/main" id="{00000000-0008-0000-0600-00005A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47785" cy="264560"/>
    <xdr:sp macro="" textlink="">
      <xdr:nvSpPr>
        <xdr:cNvPr id="91" name="TextBox 90">
          <a:extLst>
            <a:ext uri="{FF2B5EF4-FFF2-40B4-BE49-F238E27FC236}">
              <a16:creationId xmlns:a16="http://schemas.microsoft.com/office/drawing/2014/main" id="{00000000-0008-0000-0600-00005B000000}"/>
            </a:ext>
          </a:extLst>
        </xdr:cNvPr>
        <xdr:cNvSpPr txBox="1"/>
      </xdr:nvSpPr>
      <xdr:spPr>
        <a:xfrm>
          <a:off x="3676650" y="2133600"/>
          <a:ext cx="14778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92" name="TextBox 91">
          <a:extLst>
            <a:ext uri="{FF2B5EF4-FFF2-40B4-BE49-F238E27FC236}">
              <a16:creationId xmlns:a16="http://schemas.microsoft.com/office/drawing/2014/main" id="{00000000-0008-0000-0600-00005C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93" name="TextBox 92">
          <a:extLst>
            <a:ext uri="{FF2B5EF4-FFF2-40B4-BE49-F238E27FC236}">
              <a16:creationId xmlns:a16="http://schemas.microsoft.com/office/drawing/2014/main" id="{00000000-0008-0000-0600-00005D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94" name="TextBox 93">
          <a:extLst>
            <a:ext uri="{FF2B5EF4-FFF2-40B4-BE49-F238E27FC236}">
              <a16:creationId xmlns:a16="http://schemas.microsoft.com/office/drawing/2014/main" id="{00000000-0008-0000-0600-00005E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95" name="TextBox 94">
          <a:extLst>
            <a:ext uri="{FF2B5EF4-FFF2-40B4-BE49-F238E27FC236}">
              <a16:creationId xmlns:a16="http://schemas.microsoft.com/office/drawing/2014/main" id="{00000000-0008-0000-0600-00005F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96" name="TextBox 95">
          <a:extLst>
            <a:ext uri="{FF2B5EF4-FFF2-40B4-BE49-F238E27FC236}">
              <a16:creationId xmlns:a16="http://schemas.microsoft.com/office/drawing/2014/main" id="{00000000-0008-0000-0600-000060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97" name="TextBox 96">
          <a:extLst>
            <a:ext uri="{FF2B5EF4-FFF2-40B4-BE49-F238E27FC236}">
              <a16:creationId xmlns:a16="http://schemas.microsoft.com/office/drawing/2014/main" id="{00000000-0008-0000-0600-000061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98" name="TextBox 97">
          <a:extLst>
            <a:ext uri="{FF2B5EF4-FFF2-40B4-BE49-F238E27FC236}">
              <a16:creationId xmlns:a16="http://schemas.microsoft.com/office/drawing/2014/main" id="{00000000-0008-0000-0600-000062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99" name="TextBox 98">
          <a:extLst>
            <a:ext uri="{FF2B5EF4-FFF2-40B4-BE49-F238E27FC236}">
              <a16:creationId xmlns:a16="http://schemas.microsoft.com/office/drawing/2014/main" id="{00000000-0008-0000-0600-000063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00" name="TextBox 99">
          <a:extLst>
            <a:ext uri="{FF2B5EF4-FFF2-40B4-BE49-F238E27FC236}">
              <a16:creationId xmlns:a16="http://schemas.microsoft.com/office/drawing/2014/main" id="{00000000-0008-0000-0600-000064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01" name="TextBox 100">
          <a:extLst>
            <a:ext uri="{FF2B5EF4-FFF2-40B4-BE49-F238E27FC236}">
              <a16:creationId xmlns:a16="http://schemas.microsoft.com/office/drawing/2014/main" id="{00000000-0008-0000-0600-000065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02" name="TextBox 101">
          <a:extLst>
            <a:ext uri="{FF2B5EF4-FFF2-40B4-BE49-F238E27FC236}">
              <a16:creationId xmlns:a16="http://schemas.microsoft.com/office/drawing/2014/main" id="{00000000-0008-0000-0600-000066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311039"/>
    <xdr:sp macro="" textlink="">
      <xdr:nvSpPr>
        <xdr:cNvPr id="103" name="TextBox 102">
          <a:extLst>
            <a:ext uri="{FF2B5EF4-FFF2-40B4-BE49-F238E27FC236}">
              <a16:creationId xmlns:a16="http://schemas.microsoft.com/office/drawing/2014/main" id="{00000000-0008-0000-0600-000067000000}"/>
            </a:ext>
          </a:extLst>
        </xdr:cNvPr>
        <xdr:cNvSpPr txBox="1"/>
      </xdr:nvSpPr>
      <xdr:spPr>
        <a:xfrm>
          <a:off x="3676650" y="2133600"/>
          <a:ext cx="166258" cy="3110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04" name="TextBox 103">
          <a:extLst>
            <a:ext uri="{FF2B5EF4-FFF2-40B4-BE49-F238E27FC236}">
              <a16:creationId xmlns:a16="http://schemas.microsoft.com/office/drawing/2014/main" id="{00000000-0008-0000-0600-000068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05" name="TextBox 104">
          <a:extLst>
            <a:ext uri="{FF2B5EF4-FFF2-40B4-BE49-F238E27FC236}">
              <a16:creationId xmlns:a16="http://schemas.microsoft.com/office/drawing/2014/main" id="{00000000-0008-0000-0600-000069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06" name="TextBox 105">
          <a:extLst>
            <a:ext uri="{FF2B5EF4-FFF2-40B4-BE49-F238E27FC236}">
              <a16:creationId xmlns:a16="http://schemas.microsoft.com/office/drawing/2014/main" id="{00000000-0008-0000-0600-00006A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47785" cy="264560"/>
    <xdr:sp macro="" textlink="">
      <xdr:nvSpPr>
        <xdr:cNvPr id="107" name="TextBox 106">
          <a:extLst>
            <a:ext uri="{FF2B5EF4-FFF2-40B4-BE49-F238E27FC236}">
              <a16:creationId xmlns:a16="http://schemas.microsoft.com/office/drawing/2014/main" id="{00000000-0008-0000-0600-00006B000000}"/>
            </a:ext>
          </a:extLst>
        </xdr:cNvPr>
        <xdr:cNvSpPr txBox="1"/>
      </xdr:nvSpPr>
      <xdr:spPr>
        <a:xfrm>
          <a:off x="3676650" y="2133600"/>
          <a:ext cx="14778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08" name="TextBox 107">
          <a:extLst>
            <a:ext uri="{FF2B5EF4-FFF2-40B4-BE49-F238E27FC236}">
              <a16:creationId xmlns:a16="http://schemas.microsoft.com/office/drawing/2014/main" id="{00000000-0008-0000-0600-00006C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09" name="TextBox 108">
          <a:extLst>
            <a:ext uri="{FF2B5EF4-FFF2-40B4-BE49-F238E27FC236}">
              <a16:creationId xmlns:a16="http://schemas.microsoft.com/office/drawing/2014/main" id="{00000000-0008-0000-0600-00006D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10" name="TextBox 109">
          <a:extLst>
            <a:ext uri="{FF2B5EF4-FFF2-40B4-BE49-F238E27FC236}">
              <a16:creationId xmlns:a16="http://schemas.microsoft.com/office/drawing/2014/main" id="{00000000-0008-0000-0600-00006E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11" name="TextBox 110">
          <a:extLst>
            <a:ext uri="{FF2B5EF4-FFF2-40B4-BE49-F238E27FC236}">
              <a16:creationId xmlns:a16="http://schemas.microsoft.com/office/drawing/2014/main" id="{00000000-0008-0000-0600-00006F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12" name="TextBox 111">
          <a:extLst>
            <a:ext uri="{FF2B5EF4-FFF2-40B4-BE49-F238E27FC236}">
              <a16:creationId xmlns:a16="http://schemas.microsoft.com/office/drawing/2014/main" id="{00000000-0008-0000-0600-000070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13" name="TextBox 112">
          <a:extLst>
            <a:ext uri="{FF2B5EF4-FFF2-40B4-BE49-F238E27FC236}">
              <a16:creationId xmlns:a16="http://schemas.microsoft.com/office/drawing/2014/main" id="{00000000-0008-0000-0600-000071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14" name="TextBox 113">
          <a:extLst>
            <a:ext uri="{FF2B5EF4-FFF2-40B4-BE49-F238E27FC236}">
              <a16:creationId xmlns:a16="http://schemas.microsoft.com/office/drawing/2014/main" id="{00000000-0008-0000-0600-000072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15" name="TextBox 114">
          <a:extLst>
            <a:ext uri="{FF2B5EF4-FFF2-40B4-BE49-F238E27FC236}">
              <a16:creationId xmlns:a16="http://schemas.microsoft.com/office/drawing/2014/main" id="{00000000-0008-0000-0600-000073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16" name="TextBox 115">
          <a:extLst>
            <a:ext uri="{FF2B5EF4-FFF2-40B4-BE49-F238E27FC236}">
              <a16:creationId xmlns:a16="http://schemas.microsoft.com/office/drawing/2014/main" id="{00000000-0008-0000-0600-000074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17" name="TextBox 116">
          <a:extLst>
            <a:ext uri="{FF2B5EF4-FFF2-40B4-BE49-F238E27FC236}">
              <a16:creationId xmlns:a16="http://schemas.microsoft.com/office/drawing/2014/main" id="{00000000-0008-0000-0600-000075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18" name="TextBox 117">
          <a:extLst>
            <a:ext uri="{FF2B5EF4-FFF2-40B4-BE49-F238E27FC236}">
              <a16:creationId xmlns:a16="http://schemas.microsoft.com/office/drawing/2014/main" id="{00000000-0008-0000-0600-000076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311039"/>
    <xdr:sp macro="" textlink="">
      <xdr:nvSpPr>
        <xdr:cNvPr id="119" name="TextBox 118">
          <a:extLst>
            <a:ext uri="{FF2B5EF4-FFF2-40B4-BE49-F238E27FC236}">
              <a16:creationId xmlns:a16="http://schemas.microsoft.com/office/drawing/2014/main" id="{00000000-0008-0000-0600-000077000000}"/>
            </a:ext>
          </a:extLst>
        </xdr:cNvPr>
        <xdr:cNvSpPr txBox="1"/>
      </xdr:nvSpPr>
      <xdr:spPr>
        <a:xfrm>
          <a:off x="3676650" y="2133600"/>
          <a:ext cx="166258" cy="3110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20" name="TextBox 119">
          <a:extLst>
            <a:ext uri="{FF2B5EF4-FFF2-40B4-BE49-F238E27FC236}">
              <a16:creationId xmlns:a16="http://schemas.microsoft.com/office/drawing/2014/main" id="{00000000-0008-0000-0600-000078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21" name="TextBox 120">
          <a:extLst>
            <a:ext uri="{FF2B5EF4-FFF2-40B4-BE49-F238E27FC236}">
              <a16:creationId xmlns:a16="http://schemas.microsoft.com/office/drawing/2014/main" id="{00000000-0008-0000-0600-000079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22" name="TextBox 121">
          <a:extLst>
            <a:ext uri="{FF2B5EF4-FFF2-40B4-BE49-F238E27FC236}">
              <a16:creationId xmlns:a16="http://schemas.microsoft.com/office/drawing/2014/main" id="{00000000-0008-0000-0600-00007A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47785" cy="264560"/>
    <xdr:sp macro="" textlink="">
      <xdr:nvSpPr>
        <xdr:cNvPr id="123" name="TextBox 122">
          <a:extLst>
            <a:ext uri="{FF2B5EF4-FFF2-40B4-BE49-F238E27FC236}">
              <a16:creationId xmlns:a16="http://schemas.microsoft.com/office/drawing/2014/main" id="{00000000-0008-0000-0600-00007B000000}"/>
            </a:ext>
          </a:extLst>
        </xdr:cNvPr>
        <xdr:cNvSpPr txBox="1"/>
      </xdr:nvSpPr>
      <xdr:spPr>
        <a:xfrm>
          <a:off x="3676650" y="2133600"/>
          <a:ext cx="14778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24" name="TextBox 123">
          <a:extLst>
            <a:ext uri="{FF2B5EF4-FFF2-40B4-BE49-F238E27FC236}">
              <a16:creationId xmlns:a16="http://schemas.microsoft.com/office/drawing/2014/main" id="{00000000-0008-0000-0600-00007C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25" name="TextBox 124">
          <a:extLst>
            <a:ext uri="{FF2B5EF4-FFF2-40B4-BE49-F238E27FC236}">
              <a16:creationId xmlns:a16="http://schemas.microsoft.com/office/drawing/2014/main" id="{00000000-0008-0000-0600-00007D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26" name="TextBox 125">
          <a:extLst>
            <a:ext uri="{FF2B5EF4-FFF2-40B4-BE49-F238E27FC236}">
              <a16:creationId xmlns:a16="http://schemas.microsoft.com/office/drawing/2014/main" id="{00000000-0008-0000-0600-00007E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27" name="TextBox 126">
          <a:extLst>
            <a:ext uri="{FF2B5EF4-FFF2-40B4-BE49-F238E27FC236}">
              <a16:creationId xmlns:a16="http://schemas.microsoft.com/office/drawing/2014/main" id="{00000000-0008-0000-0600-00007F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28" name="TextBox 127">
          <a:extLst>
            <a:ext uri="{FF2B5EF4-FFF2-40B4-BE49-F238E27FC236}">
              <a16:creationId xmlns:a16="http://schemas.microsoft.com/office/drawing/2014/main" id="{00000000-0008-0000-0600-000080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29" name="TextBox 128">
          <a:extLst>
            <a:ext uri="{FF2B5EF4-FFF2-40B4-BE49-F238E27FC236}">
              <a16:creationId xmlns:a16="http://schemas.microsoft.com/office/drawing/2014/main" id="{00000000-0008-0000-0600-000081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30" name="TextBox 129">
          <a:extLst>
            <a:ext uri="{FF2B5EF4-FFF2-40B4-BE49-F238E27FC236}">
              <a16:creationId xmlns:a16="http://schemas.microsoft.com/office/drawing/2014/main" id="{00000000-0008-0000-0600-000082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31" name="TextBox 130">
          <a:extLst>
            <a:ext uri="{FF2B5EF4-FFF2-40B4-BE49-F238E27FC236}">
              <a16:creationId xmlns:a16="http://schemas.microsoft.com/office/drawing/2014/main" id="{00000000-0008-0000-0600-000083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32" name="TextBox 131">
          <a:extLst>
            <a:ext uri="{FF2B5EF4-FFF2-40B4-BE49-F238E27FC236}">
              <a16:creationId xmlns:a16="http://schemas.microsoft.com/office/drawing/2014/main" id="{00000000-0008-0000-0600-000084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33" name="TextBox 132">
          <a:extLst>
            <a:ext uri="{FF2B5EF4-FFF2-40B4-BE49-F238E27FC236}">
              <a16:creationId xmlns:a16="http://schemas.microsoft.com/office/drawing/2014/main" id="{00000000-0008-0000-0600-000085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34" name="TextBox 133">
          <a:extLst>
            <a:ext uri="{FF2B5EF4-FFF2-40B4-BE49-F238E27FC236}">
              <a16:creationId xmlns:a16="http://schemas.microsoft.com/office/drawing/2014/main" id="{00000000-0008-0000-0600-000086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35" name="TextBox 134">
          <a:extLst>
            <a:ext uri="{FF2B5EF4-FFF2-40B4-BE49-F238E27FC236}">
              <a16:creationId xmlns:a16="http://schemas.microsoft.com/office/drawing/2014/main" id="{00000000-0008-0000-0600-000087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36" name="TextBox 135">
          <a:extLst>
            <a:ext uri="{FF2B5EF4-FFF2-40B4-BE49-F238E27FC236}">
              <a16:creationId xmlns:a16="http://schemas.microsoft.com/office/drawing/2014/main" id="{00000000-0008-0000-0600-000088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37" name="TextBox 136">
          <a:extLst>
            <a:ext uri="{FF2B5EF4-FFF2-40B4-BE49-F238E27FC236}">
              <a16:creationId xmlns:a16="http://schemas.microsoft.com/office/drawing/2014/main" id="{00000000-0008-0000-0600-000089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311039"/>
    <xdr:sp macro="" textlink="">
      <xdr:nvSpPr>
        <xdr:cNvPr id="138" name="TextBox 137">
          <a:extLst>
            <a:ext uri="{FF2B5EF4-FFF2-40B4-BE49-F238E27FC236}">
              <a16:creationId xmlns:a16="http://schemas.microsoft.com/office/drawing/2014/main" id="{00000000-0008-0000-0600-00008A000000}"/>
            </a:ext>
          </a:extLst>
        </xdr:cNvPr>
        <xdr:cNvSpPr txBox="1"/>
      </xdr:nvSpPr>
      <xdr:spPr>
        <a:xfrm>
          <a:off x="3676650" y="2133600"/>
          <a:ext cx="166258" cy="3110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39" name="TextBox 138">
          <a:extLst>
            <a:ext uri="{FF2B5EF4-FFF2-40B4-BE49-F238E27FC236}">
              <a16:creationId xmlns:a16="http://schemas.microsoft.com/office/drawing/2014/main" id="{00000000-0008-0000-0600-00008B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40" name="TextBox 139">
          <a:extLst>
            <a:ext uri="{FF2B5EF4-FFF2-40B4-BE49-F238E27FC236}">
              <a16:creationId xmlns:a16="http://schemas.microsoft.com/office/drawing/2014/main" id="{00000000-0008-0000-0600-00008C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41" name="TextBox 140">
          <a:extLst>
            <a:ext uri="{FF2B5EF4-FFF2-40B4-BE49-F238E27FC236}">
              <a16:creationId xmlns:a16="http://schemas.microsoft.com/office/drawing/2014/main" id="{00000000-0008-0000-0600-00008D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47785" cy="264560"/>
    <xdr:sp macro="" textlink="">
      <xdr:nvSpPr>
        <xdr:cNvPr id="142" name="TextBox 141">
          <a:extLst>
            <a:ext uri="{FF2B5EF4-FFF2-40B4-BE49-F238E27FC236}">
              <a16:creationId xmlns:a16="http://schemas.microsoft.com/office/drawing/2014/main" id="{00000000-0008-0000-0600-00008E000000}"/>
            </a:ext>
          </a:extLst>
        </xdr:cNvPr>
        <xdr:cNvSpPr txBox="1"/>
      </xdr:nvSpPr>
      <xdr:spPr>
        <a:xfrm>
          <a:off x="3676650" y="2133600"/>
          <a:ext cx="14778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43" name="TextBox 142">
          <a:extLst>
            <a:ext uri="{FF2B5EF4-FFF2-40B4-BE49-F238E27FC236}">
              <a16:creationId xmlns:a16="http://schemas.microsoft.com/office/drawing/2014/main" id="{00000000-0008-0000-0600-00008F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44" name="TextBox 143">
          <a:extLst>
            <a:ext uri="{FF2B5EF4-FFF2-40B4-BE49-F238E27FC236}">
              <a16:creationId xmlns:a16="http://schemas.microsoft.com/office/drawing/2014/main" id="{00000000-0008-0000-0600-000090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45" name="TextBox 144">
          <a:extLst>
            <a:ext uri="{FF2B5EF4-FFF2-40B4-BE49-F238E27FC236}">
              <a16:creationId xmlns:a16="http://schemas.microsoft.com/office/drawing/2014/main" id="{00000000-0008-0000-0600-000091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46" name="TextBox 145">
          <a:extLst>
            <a:ext uri="{FF2B5EF4-FFF2-40B4-BE49-F238E27FC236}">
              <a16:creationId xmlns:a16="http://schemas.microsoft.com/office/drawing/2014/main" id="{00000000-0008-0000-0600-000092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47" name="TextBox 146">
          <a:extLst>
            <a:ext uri="{FF2B5EF4-FFF2-40B4-BE49-F238E27FC236}">
              <a16:creationId xmlns:a16="http://schemas.microsoft.com/office/drawing/2014/main" id="{00000000-0008-0000-0600-000093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48" name="TextBox 147">
          <a:extLst>
            <a:ext uri="{FF2B5EF4-FFF2-40B4-BE49-F238E27FC236}">
              <a16:creationId xmlns:a16="http://schemas.microsoft.com/office/drawing/2014/main" id="{00000000-0008-0000-0600-000094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49" name="TextBox 148">
          <a:extLst>
            <a:ext uri="{FF2B5EF4-FFF2-40B4-BE49-F238E27FC236}">
              <a16:creationId xmlns:a16="http://schemas.microsoft.com/office/drawing/2014/main" id="{00000000-0008-0000-0600-000095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50" name="TextBox 149">
          <a:extLst>
            <a:ext uri="{FF2B5EF4-FFF2-40B4-BE49-F238E27FC236}">
              <a16:creationId xmlns:a16="http://schemas.microsoft.com/office/drawing/2014/main" id="{00000000-0008-0000-0600-000096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51" name="TextBox 150">
          <a:extLst>
            <a:ext uri="{FF2B5EF4-FFF2-40B4-BE49-F238E27FC236}">
              <a16:creationId xmlns:a16="http://schemas.microsoft.com/office/drawing/2014/main" id="{00000000-0008-0000-0600-000097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52" name="TextBox 151">
          <a:extLst>
            <a:ext uri="{FF2B5EF4-FFF2-40B4-BE49-F238E27FC236}">
              <a16:creationId xmlns:a16="http://schemas.microsoft.com/office/drawing/2014/main" id="{00000000-0008-0000-0600-000098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53" name="TextBox 152">
          <a:extLst>
            <a:ext uri="{FF2B5EF4-FFF2-40B4-BE49-F238E27FC236}">
              <a16:creationId xmlns:a16="http://schemas.microsoft.com/office/drawing/2014/main" id="{00000000-0008-0000-0600-000099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54" name="TextBox 153">
          <a:extLst>
            <a:ext uri="{FF2B5EF4-FFF2-40B4-BE49-F238E27FC236}">
              <a16:creationId xmlns:a16="http://schemas.microsoft.com/office/drawing/2014/main" id="{00000000-0008-0000-0600-00009A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55" name="TextBox 154">
          <a:extLst>
            <a:ext uri="{FF2B5EF4-FFF2-40B4-BE49-F238E27FC236}">
              <a16:creationId xmlns:a16="http://schemas.microsoft.com/office/drawing/2014/main" id="{00000000-0008-0000-0600-00009B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56" name="TextBox 155">
          <a:extLst>
            <a:ext uri="{FF2B5EF4-FFF2-40B4-BE49-F238E27FC236}">
              <a16:creationId xmlns:a16="http://schemas.microsoft.com/office/drawing/2014/main" id="{00000000-0008-0000-0600-00009C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57" name="TextBox 156">
          <a:extLst>
            <a:ext uri="{FF2B5EF4-FFF2-40B4-BE49-F238E27FC236}">
              <a16:creationId xmlns:a16="http://schemas.microsoft.com/office/drawing/2014/main" id="{00000000-0008-0000-0600-00009D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58" name="TextBox 157">
          <a:extLst>
            <a:ext uri="{FF2B5EF4-FFF2-40B4-BE49-F238E27FC236}">
              <a16:creationId xmlns:a16="http://schemas.microsoft.com/office/drawing/2014/main" id="{00000000-0008-0000-0600-00009E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59" name="TextBox 158">
          <a:extLst>
            <a:ext uri="{FF2B5EF4-FFF2-40B4-BE49-F238E27FC236}">
              <a16:creationId xmlns:a16="http://schemas.microsoft.com/office/drawing/2014/main" id="{00000000-0008-0000-0600-00009F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60" name="TextBox 159">
          <a:extLst>
            <a:ext uri="{FF2B5EF4-FFF2-40B4-BE49-F238E27FC236}">
              <a16:creationId xmlns:a16="http://schemas.microsoft.com/office/drawing/2014/main" id="{00000000-0008-0000-0600-0000A0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61" name="TextBox 160">
          <a:extLst>
            <a:ext uri="{FF2B5EF4-FFF2-40B4-BE49-F238E27FC236}">
              <a16:creationId xmlns:a16="http://schemas.microsoft.com/office/drawing/2014/main" id="{00000000-0008-0000-0600-0000A1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62" name="TextBox 161">
          <a:extLst>
            <a:ext uri="{FF2B5EF4-FFF2-40B4-BE49-F238E27FC236}">
              <a16:creationId xmlns:a16="http://schemas.microsoft.com/office/drawing/2014/main" id="{00000000-0008-0000-0600-0000A2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63" name="TextBox 162">
          <a:extLst>
            <a:ext uri="{FF2B5EF4-FFF2-40B4-BE49-F238E27FC236}">
              <a16:creationId xmlns:a16="http://schemas.microsoft.com/office/drawing/2014/main" id="{00000000-0008-0000-0600-0000A3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64" name="TextBox 163">
          <a:extLst>
            <a:ext uri="{FF2B5EF4-FFF2-40B4-BE49-F238E27FC236}">
              <a16:creationId xmlns:a16="http://schemas.microsoft.com/office/drawing/2014/main" id="{00000000-0008-0000-0600-0000A4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65" name="TextBox 164">
          <a:extLst>
            <a:ext uri="{FF2B5EF4-FFF2-40B4-BE49-F238E27FC236}">
              <a16:creationId xmlns:a16="http://schemas.microsoft.com/office/drawing/2014/main" id="{00000000-0008-0000-0600-0000A5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66" name="TextBox 165">
          <a:extLst>
            <a:ext uri="{FF2B5EF4-FFF2-40B4-BE49-F238E27FC236}">
              <a16:creationId xmlns:a16="http://schemas.microsoft.com/office/drawing/2014/main" id="{00000000-0008-0000-0600-0000A6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67" name="TextBox 166">
          <a:extLst>
            <a:ext uri="{FF2B5EF4-FFF2-40B4-BE49-F238E27FC236}">
              <a16:creationId xmlns:a16="http://schemas.microsoft.com/office/drawing/2014/main" id="{00000000-0008-0000-0600-0000A7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68" name="TextBox 167">
          <a:extLst>
            <a:ext uri="{FF2B5EF4-FFF2-40B4-BE49-F238E27FC236}">
              <a16:creationId xmlns:a16="http://schemas.microsoft.com/office/drawing/2014/main" id="{00000000-0008-0000-0600-0000A8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69" name="TextBox 168">
          <a:extLst>
            <a:ext uri="{FF2B5EF4-FFF2-40B4-BE49-F238E27FC236}">
              <a16:creationId xmlns:a16="http://schemas.microsoft.com/office/drawing/2014/main" id="{00000000-0008-0000-0600-0000A9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70" name="TextBox 169">
          <a:extLst>
            <a:ext uri="{FF2B5EF4-FFF2-40B4-BE49-F238E27FC236}">
              <a16:creationId xmlns:a16="http://schemas.microsoft.com/office/drawing/2014/main" id="{00000000-0008-0000-0600-0000AA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71" name="TextBox 170">
          <a:extLst>
            <a:ext uri="{FF2B5EF4-FFF2-40B4-BE49-F238E27FC236}">
              <a16:creationId xmlns:a16="http://schemas.microsoft.com/office/drawing/2014/main" id="{00000000-0008-0000-0600-0000AB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72" name="TextBox 171">
          <a:extLst>
            <a:ext uri="{FF2B5EF4-FFF2-40B4-BE49-F238E27FC236}">
              <a16:creationId xmlns:a16="http://schemas.microsoft.com/office/drawing/2014/main" id="{00000000-0008-0000-0600-0000AC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73" name="TextBox 172">
          <a:extLst>
            <a:ext uri="{FF2B5EF4-FFF2-40B4-BE49-F238E27FC236}">
              <a16:creationId xmlns:a16="http://schemas.microsoft.com/office/drawing/2014/main" id="{00000000-0008-0000-0600-0000AD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311039"/>
    <xdr:sp macro="" textlink="">
      <xdr:nvSpPr>
        <xdr:cNvPr id="174" name="TextBox 173">
          <a:extLst>
            <a:ext uri="{FF2B5EF4-FFF2-40B4-BE49-F238E27FC236}">
              <a16:creationId xmlns:a16="http://schemas.microsoft.com/office/drawing/2014/main" id="{00000000-0008-0000-0600-0000AE000000}"/>
            </a:ext>
          </a:extLst>
        </xdr:cNvPr>
        <xdr:cNvSpPr txBox="1"/>
      </xdr:nvSpPr>
      <xdr:spPr>
        <a:xfrm>
          <a:off x="3676650" y="2133600"/>
          <a:ext cx="166258" cy="3110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75" name="TextBox 174">
          <a:extLst>
            <a:ext uri="{FF2B5EF4-FFF2-40B4-BE49-F238E27FC236}">
              <a16:creationId xmlns:a16="http://schemas.microsoft.com/office/drawing/2014/main" id="{00000000-0008-0000-0600-0000AF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76" name="TextBox 175">
          <a:extLst>
            <a:ext uri="{FF2B5EF4-FFF2-40B4-BE49-F238E27FC236}">
              <a16:creationId xmlns:a16="http://schemas.microsoft.com/office/drawing/2014/main" id="{00000000-0008-0000-0600-0000B0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77" name="TextBox 176">
          <a:extLst>
            <a:ext uri="{FF2B5EF4-FFF2-40B4-BE49-F238E27FC236}">
              <a16:creationId xmlns:a16="http://schemas.microsoft.com/office/drawing/2014/main" id="{00000000-0008-0000-0600-0000B1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47785" cy="264560"/>
    <xdr:sp macro="" textlink="">
      <xdr:nvSpPr>
        <xdr:cNvPr id="178" name="TextBox 177">
          <a:extLst>
            <a:ext uri="{FF2B5EF4-FFF2-40B4-BE49-F238E27FC236}">
              <a16:creationId xmlns:a16="http://schemas.microsoft.com/office/drawing/2014/main" id="{00000000-0008-0000-0600-0000B2000000}"/>
            </a:ext>
          </a:extLst>
        </xdr:cNvPr>
        <xdr:cNvSpPr txBox="1"/>
      </xdr:nvSpPr>
      <xdr:spPr>
        <a:xfrm>
          <a:off x="3676650" y="2133600"/>
          <a:ext cx="14778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79" name="TextBox 178">
          <a:extLst>
            <a:ext uri="{FF2B5EF4-FFF2-40B4-BE49-F238E27FC236}">
              <a16:creationId xmlns:a16="http://schemas.microsoft.com/office/drawing/2014/main" id="{00000000-0008-0000-0600-0000B3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80" name="TextBox 179">
          <a:extLst>
            <a:ext uri="{FF2B5EF4-FFF2-40B4-BE49-F238E27FC236}">
              <a16:creationId xmlns:a16="http://schemas.microsoft.com/office/drawing/2014/main" id="{00000000-0008-0000-0600-0000B4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81" name="TextBox 180">
          <a:extLst>
            <a:ext uri="{FF2B5EF4-FFF2-40B4-BE49-F238E27FC236}">
              <a16:creationId xmlns:a16="http://schemas.microsoft.com/office/drawing/2014/main" id="{00000000-0008-0000-0600-0000B5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82" name="TextBox 181">
          <a:extLst>
            <a:ext uri="{FF2B5EF4-FFF2-40B4-BE49-F238E27FC236}">
              <a16:creationId xmlns:a16="http://schemas.microsoft.com/office/drawing/2014/main" id="{00000000-0008-0000-0600-0000B6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83" name="TextBox 182">
          <a:extLst>
            <a:ext uri="{FF2B5EF4-FFF2-40B4-BE49-F238E27FC236}">
              <a16:creationId xmlns:a16="http://schemas.microsoft.com/office/drawing/2014/main" id="{00000000-0008-0000-0600-0000B7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84" name="TextBox 183">
          <a:extLst>
            <a:ext uri="{FF2B5EF4-FFF2-40B4-BE49-F238E27FC236}">
              <a16:creationId xmlns:a16="http://schemas.microsoft.com/office/drawing/2014/main" id="{00000000-0008-0000-0600-0000B8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66258" cy="264560"/>
    <xdr:sp macro="" textlink="">
      <xdr:nvSpPr>
        <xdr:cNvPr id="185" name="TextBox 184">
          <a:extLst>
            <a:ext uri="{FF2B5EF4-FFF2-40B4-BE49-F238E27FC236}">
              <a16:creationId xmlns:a16="http://schemas.microsoft.com/office/drawing/2014/main" id="{00000000-0008-0000-0600-0000B9000000}"/>
            </a:ext>
          </a:extLst>
        </xdr:cNvPr>
        <xdr:cNvSpPr txBox="1"/>
      </xdr:nvSpPr>
      <xdr:spPr>
        <a:xfrm>
          <a:off x="3676650" y="2133600"/>
          <a:ext cx="1662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86" name="TextBox 185">
          <a:extLst>
            <a:ext uri="{FF2B5EF4-FFF2-40B4-BE49-F238E27FC236}">
              <a16:creationId xmlns:a16="http://schemas.microsoft.com/office/drawing/2014/main" id="{00000000-0008-0000-0600-0000BA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87" name="TextBox 186">
          <a:extLst>
            <a:ext uri="{FF2B5EF4-FFF2-40B4-BE49-F238E27FC236}">
              <a16:creationId xmlns:a16="http://schemas.microsoft.com/office/drawing/2014/main" id="{00000000-0008-0000-0600-0000BB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88" name="TextBox 187">
          <a:extLst>
            <a:ext uri="{FF2B5EF4-FFF2-40B4-BE49-F238E27FC236}">
              <a16:creationId xmlns:a16="http://schemas.microsoft.com/office/drawing/2014/main" id="{00000000-0008-0000-0600-0000BC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89" name="TextBox 188">
          <a:extLst>
            <a:ext uri="{FF2B5EF4-FFF2-40B4-BE49-F238E27FC236}">
              <a16:creationId xmlns:a16="http://schemas.microsoft.com/office/drawing/2014/main" id="{00000000-0008-0000-0600-0000BD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90" name="TextBox 189">
          <a:extLst>
            <a:ext uri="{FF2B5EF4-FFF2-40B4-BE49-F238E27FC236}">
              <a16:creationId xmlns:a16="http://schemas.microsoft.com/office/drawing/2014/main" id="{00000000-0008-0000-0600-0000BE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91" name="TextBox 190">
          <a:extLst>
            <a:ext uri="{FF2B5EF4-FFF2-40B4-BE49-F238E27FC236}">
              <a16:creationId xmlns:a16="http://schemas.microsoft.com/office/drawing/2014/main" id="{00000000-0008-0000-0600-0000BF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92" name="TextBox 191">
          <a:extLst>
            <a:ext uri="{FF2B5EF4-FFF2-40B4-BE49-F238E27FC236}">
              <a16:creationId xmlns:a16="http://schemas.microsoft.com/office/drawing/2014/main" id="{00000000-0008-0000-0600-0000C0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93" name="TextBox 192">
          <a:extLst>
            <a:ext uri="{FF2B5EF4-FFF2-40B4-BE49-F238E27FC236}">
              <a16:creationId xmlns:a16="http://schemas.microsoft.com/office/drawing/2014/main" id="{00000000-0008-0000-0600-0000C1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94" name="TextBox 193">
          <a:extLst>
            <a:ext uri="{FF2B5EF4-FFF2-40B4-BE49-F238E27FC236}">
              <a16:creationId xmlns:a16="http://schemas.microsoft.com/office/drawing/2014/main" id="{00000000-0008-0000-0600-0000C2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95" name="TextBox 194">
          <a:extLst>
            <a:ext uri="{FF2B5EF4-FFF2-40B4-BE49-F238E27FC236}">
              <a16:creationId xmlns:a16="http://schemas.microsoft.com/office/drawing/2014/main" id="{00000000-0008-0000-0600-0000C3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96" name="TextBox 195">
          <a:extLst>
            <a:ext uri="{FF2B5EF4-FFF2-40B4-BE49-F238E27FC236}">
              <a16:creationId xmlns:a16="http://schemas.microsoft.com/office/drawing/2014/main" id="{00000000-0008-0000-0600-0000C4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64560"/>
    <xdr:sp macro="" textlink="">
      <xdr:nvSpPr>
        <xdr:cNvPr id="197" name="TextBox 196">
          <a:extLst>
            <a:ext uri="{FF2B5EF4-FFF2-40B4-BE49-F238E27FC236}">
              <a16:creationId xmlns:a16="http://schemas.microsoft.com/office/drawing/2014/main" id="{00000000-0008-0000-0600-0000C5000000}"/>
            </a:ext>
          </a:extLst>
        </xdr:cNvPr>
        <xdr:cNvSpPr txBox="1"/>
      </xdr:nvSpPr>
      <xdr:spPr>
        <a:xfrm>
          <a:off x="367665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55111"/>
    <xdr:sp macro="" textlink="">
      <xdr:nvSpPr>
        <xdr:cNvPr id="198" name="TextBox 197">
          <a:extLst>
            <a:ext uri="{FF2B5EF4-FFF2-40B4-BE49-F238E27FC236}">
              <a16:creationId xmlns:a16="http://schemas.microsoft.com/office/drawing/2014/main" id="{00000000-0008-0000-0600-0000C6000000}"/>
            </a:ext>
          </a:extLst>
        </xdr:cNvPr>
        <xdr:cNvSpPr txBox="1"/>
      </xdr:nvSpPr>
      <xdr:spPr>
        <a:xfrm>
          <a:off x="3676650" y="2133600"/>
          <a:ext cx="18473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55111"/>
    <xdr:sp macro="" textlink="">
      <xdr:nvSpPr>
        <xdr:cNvPr id="199" name="TextBox 198">
          <a:extLst>
            <a:ext uri="{FF2B5EF4-FFF2-40B4-BE49-F238E27FC236}">
              <a16:creationId xmlns:a16="http://schemas.microsoft.com/office/drawing/2014/main" id="{00000000-0008-0000-0600-0000C7000000}"/>
            </a:ext>
          </a:extLst>
        </xdr:cNvPr>
        <xdr:cNvSpPr txBox="1"/>
      </xdr:nvSpPr>
      <xdr:spPr>
        <a:xfrm>
          <a:off x="3676650" y="2133600"/>
          <a:ext cx="18473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55111"/>
    <xdr:sp macro="" textlink="">
      <xdr:nvSpPr>
        <xdr:cNvPr id="200" name="TextBox 199">
          <a:extLst>
            <a:ext uri="{FF2B5EF4-FFF2-40B4-BE49-F238E27FC236}">
              <a16:creationId xmlns:a16="http://schemas.microsoft.com/office/drawing/2014/main" id="{00000000-0008-0000-0600-0000C8000000}"/>
            </a:ext>
          </a:extLst>
        </xdr:cNvPr>
        <xdr:cNvSpPr txBox="1"/>
      </xdr:nvSpPr>
      <xdr:spPr>
        <a:xfrm>
          <a:off x="3676650" y="2133600"/>
          <a:ext cx="18473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55111"/>
    <xdr:sp macro="" textlink="">
      <xdr:nvSpPr>
        <xdr:cNvPr id="201" name="TextBox 200">
          <a:extLst>
            <a:ext uri="{FF2B5EF4-FFF2-40B4-BE49-F238E27FC236}">
              <a16:creationId xmlns:a16="http://schemas.microsoft.com/office/drawing/2014/main" id="{00000000-0008-0000-0600-0000C9000000}"/>
            </a:ext>
          </a:extLst>
        </xdr:cNvPr>
        <xdr:cNvSpPr txBox="1"/>
      </xdr:nvSpPr>
      <xdr:spPr>
        <a:xfrm>
          <a:off x="3676650" y="2133600"/>
          <a:ext cx="18473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55111"/>
    <xdr:sp macro="" textlink="">
      <xdr:nvSpPr>
        <xdr:cNvPr id="202" name="TextBox 201">
          <a:extLst>
            <a:ext uri="{FF2B5EF4-FFF2-40B4-BE49-F238E27FC236}">
              <a16:creationId xmlns:a16="http://schemas.microsoft.com/office/drawing/2014/main" id="{00000000-0008-0000-0600-0000CA000000}"/>
            </a:ext>
          </a:extLst>
        </xdr:cNvPr>
        <xdr:cNvSpPr txBox="1"/>
      </xdr:nvSpPr>
      <xdr:spPr>
        <a:xfrm>
          <a:off x="3676650" y="2133600"/>
          <a:ext cx="18473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55111"/>
    <xdr:sp macro="" textlink="">
      <xdr:nvSpPr>
        <xdr:cNvPr id="203" name="TextBox 202">
          <a:extLst>
            <a:ext uri="{FF2B5EF4-FFF2-40B4-BE49-F238E27FC236}">
              <a16:creationId xmlns:a16="http://schemas.microsoft.com/office/drawing/2014/main" id="{00000000-0008-0000-0600-0000CB000000}"/>
            </a:ext>
          </a:extLst>
        </xdr:cNvPr>
        <xdr:cNvSpPr txBox="1"/>
      </xdr:nvSpPr>
      <xdr:spPr>
        <a:xfrm>
          <a:off x="3676650" y="2133600"/>
          <a:ext cx="18473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55111"/>
    <xdr:sp macro="" textlink="">
      <xdr:nvSpPr>
        <xdr:cNvPr id="204" name="TextBox 203">
          <a:extLst>
            <a:ext uri="{FF2B5EF4-FFF2-40B4-BE49-F238E27FC236}">
              <a16:creationId xmlns:a16="http://schemas.microsoft.com/office/drawing/2014/main" id="{00000000-0008-0000-0600-0000CC000000}"/>
            </a:ext>
          </a:extLst>
        </xdr:cNvPr>
        <xdr:cNvSpPr txBox="1"/>
      </xdr:nvSpPr>
      <xdr:spPr>
        <a:xfrm>
          <a:off x="3676650" y="2133600"/>
          <a:ext cx="18473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55111"/>
    <xdr:sp macro="" textlink="">
      <xdr:nvSpPr>
        <xdr:cNvPr id="205" name="TextBox 204">
          <a:extLst>
            <a:ext uri="{FF2B5EF4-FFF2-40B4-BE49-F238E27FC236}">
              <a16:creationId xmlns:a16="http://schemas.microsoft.com/office/drawing/2014/main" id="{00000000-0008-0000-0600-0000CD000000}"/>
            </a:ext>
          </a:extLst>
        </xdr:cNvPr>
        <xdr:cNvSpPr txBox="1"/>
      </xdr:nvSpPr>
      <xdr:spPr>
        <a:xfrm>
          <a:off x="3676650" y="2133600"/>
          <a:ext cx="18473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9</xdr:row>
      <xdr:rowOff>0</xdr:rowOff>
    </xdr:from>
    <xdr:ext cx="184731" cy="255111"/>
    <xdr:sp macro="" textlink="">
      <xdr:nvSpPr>
        <xdr:cNvPr id="206" name="TextBox 205">
          <a:extLst>
            <a:ext uri="{FF2B5EF4-FFF2-40B4-BE49-F238E27FC236}">
              <a16:creationId xmlns:a16="http://schemas.microsoft.com/office/drawing/2014/main" id="{00000000-0008-0000-0600-0000CE000000}"/>
            </a:ext>
          </a:extLst>
        </xdr:cNvPr>
        <xdr:cNvSpPr txBox="1"/>
      </xdr:nvSpPr>
      <xdr:spPr>
        <a:xfrm>
          <a:off x="3676650" y="2133600"/>
          <a:ext cx="18473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xdr:from>
      <xdr:col>21</xdr:col>
      <xdr:colOff>833841</xdr:colOff>
      <xdr:row>0</xdr:row>
      <xdr:rowOff>63436</xdr:rowOff>
    </xdr:from>
    <xdr:to>
      <xdr:col>26</xdr:col>
      <xdr:colOff>449668</xdr:colOff>
      <xdr:row>7</xdr:row>
      <xdr:rowOff>465727</xdr:rowOff>
    </xdr:to>
    <xdr:sp macro="" textlink="">
      <xdr:nvSpPr>
        <xdr:cNvPr id="207" name="TextBox 206">
          <a:extLst>
            <a:ext uri="{FF2B5EF4-FFF2-40B4-BE49-F238E27FC236}">
              <a16:creationId xmlns:a16="http://schemas.microsoft.com/office/drawing/2014/main" id="{00000000-0008-0000-0600-0000CF000000}"/>
            </a:ext>
          </a:extLst>
        </xdr:cNvPr>
        <xdr:cNvSpPr txBox="1"/>
      </xdr:nvSpPr>
      <xdr:spPr>
        <a:xfrm>
          <a:off x="25341666" y="63436"/>
          <a:ext cx="4016377" cy="17262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Notice:  This tab was prepared</a:t>
          </a:r>
          <a:r>
            <a:rPr lang="en-US" sz="1100" baseline="0"/>
            <a:t> to generate SREB output starting with FY 2012.  Use of this tab to generate data for years prior to 2012 has not been tested and results, while prepared on a consistent basis, may not agree with actual SREB Survey submissions.</a:t>
          </a:r>
        </a:p>
        <a:p>
          <a:r>
            <a:rPr lang="en-US" sz="1100" baseline="0"/>
            <a:t>4-23-2013.</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mily.cormier@highered.state.gov"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cott@sheeo.org" TargetMode="External"/><Relationship Id="rId1" Type="http://schemas.openxmlformats.org/officeDocument/2006/relationships/hyperlink" Target="mailto:susan.lounsbury@sreb.org"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Q128"/>
  <sheetViews>
    <sheetView showGridLines="0" tabSelected="1" workbookViewId="0">
      <selection activeCell="F8" sqref="F8"/>
    </sheetView>
  </sheetViews>
  <sheetFormatPr defaultRowHeight="12.75"/>
  <cols>
    <col min="1" max="1" width="13.42578125" bestFit="1" customWidth="1"/>
    <col min="2" max="2" width="9.42578125" customWidth="1"/>
    <col min="3" max="3" width="10.42578125" customWidth="1"/>
    <col min="6" max="6" width="15.85546875" customWidth="1"/>
    <col min="10" max="10" width="8.5703125" customWidth="1"/>
    <col min="11" max="11" width="10" customWidth="1"/>
    <col min="13" max="13" width="7.140625" customWidth="1"/>
    <col min="17" max="17" width="13.85546875" customWidth="1"/>
    <col min="19" max="19" width="10.5703125" bestFit="1" customWidth="1"/>
  </cols>
  <sheetData>
    <row r="1" spans="1:17">
      <c r="A1" s="66" t="s">
        <v>160</v>
      </c>
    </row>
    <row r="2" spans="1:17" ht="18">
      <c r="A2" s="457" t="s">
        <v>1297</v>
      </c>
      <c r="B2" s="457"/>
    </row>
    <row r="3" spans="1:17" s="458" customFormat="1" ht="15.75" thickBot="1">
      <c r="A3" s="218" t="s">
        <v>2229</v>
      </c>
      <c r="D3" s="459"/>
      <c r="E3" s="1271"/>
      <c r="F3" s="1271"/>
      <c r="G3" s="1271"/>
      <c r="H3" s="1271"/>
      <c r="I3" s="1271"/>
      <c r="J3" s="1271"/>
      <c r="K3" s="1271"/>
      <c r="L3" s="1271"/>
      <c r="M3" s="1271"/>
    </row>
    <row r="4" spans="1:17" s="458" customFormat="1" ht="18.75" thickBot="1">
      <c r="A4" s="1267" t="s">
        <v>2235</v>
      </c>
      <c r="D4" s="1289" t="s">
        <v>1294</v>
      </c>
      <c r="E4" s="1290"/>
      <c r="F4" s="1290"/>
      <c r="G4" s="1290"/>
      <c r="H4" s="1290"/>
      <c r="I4" s="1290"/>
      <c r="J4" s="1290"/>
      <c r="K4" s="1290"/>
      <c r="L4" s="1290"/>
      <c r="M4" s="1290"/>
      <c r="N4" s="1291"/>
    </row>
    <row r="5" spans="1:17" s="458" customFormat="1" ht="15">
      <c r="D5" s="459" t="s">
        <v>1275</v>
      </c>
    </row>
    <row r="6" spans="1:17" s="458" customFormat="1" ht="15" customHeight="1">
      <c r="D6" s="1287" t="s">
        <v>1293</v>
      </c>
      <c r="E6" s="1287"/>
      <c r="F6" s="1287"/>
      <c r="G6" s="1287"/>
      <c r="H6" s="1287"/>
      <c r="I6" s="1287"/>
      <c r="J6" s="1287"/>
      <c r="K6" s="1287"/>
      <c r="L6" s="1287"/>
      <c r="M6" s="1287"/>
      <c r="N6" s="1287"/>
      <c r="O6" s="1287"/>
      <c r="P6" s="1287"/>
      <c r="Q6" s="1287"/>
    </row>
    <row r="7" spans="1:17" s="458" customFormat="1" ht="15">
      <c r="D7" s="459" t="s">
        <v>1330</v>
      </c>
    </row>
    <row r="8" spans="1:17" s="458" customFormat="1" ht="15">
      <c r="A8" s="420" t="s">
        <v>1324</v>
      </c>
      <c r="F8" s="460" t="s">
        <v>2118</v>
      </c>
    </row>
    <row r="9" spans="1:17" s="458" customFormat="1" ht="9" customHeight="1">
      <c r="D9" s="511"/>
      <c r="E9" s="511"/>
      <c r="F9" s="511"/>
      <c r="G9" s="511"/>
      <c r="H9" s="511"/>
      <c r="I9" s="511"/>
      <c r="J9" s="511"/>
      <c r="K9" s="511"/>
      <c r="L9" s="511"/>
      <c r="M9" s="511"/>
      <c r="N9" s="511"/>
      <c r="O9" s="511"/>
      <c r="P9" s="511"/>
    </row>
    <row r="10" spans="1:17" s="458" customFormat="1" ht="15">
      <c r="A10" s="534" t="s">
        <v>1269</v>
      </c>
      <c r="B10" s="539"/>
      <c r="C10" s="529"/>
      <c r="D10" s="529"/>
      <c r="E10" s="530"/>
    </row>
    <row r="11" spans="1:17" s="458" customFormat="1" ht="8.25" customHeight="1"/>
    <row r="12" spans="1:17" s="458" customFormat="1" ht="15.75" thickBot="1">
      <c r="A12" s="459" t="s">
        <v>1295</v>
      </c>
      <c r="B12" s="459"/>
      <c r="D12" s="459" t="s">
        <v>1296</v>
      </c>
    </row>
    <row r="13" spans="1:17" s="458" customFormat="1" ht="15" customHeight="1" thickBot="1">
      <c r="A13" s="517" t="s">
        <v>1271</v>
      </c>
      <c r="B13" s="541"/>
      <c r="C13" s="518"/>
      <c r="D13" s="1274" t="s">
        <v>2057</v>
      </c>
      <c r="E13" s="1274"/>
      <c r="F13" s="1274"/>
      <c r="G13" s="1274"/>
      <c r="H13" s="1274"/>
      <c r="I13" s="1274"/>
      <c r="J13" s="1274"/>
      <c r="K13" s="1274"/>
      <c r="L13" s="1274"/>
      <c r="M13" s="1274"/>
      <c r="N13" s="1274"/>
      <c r="O13" s="1274"/>
      <c r="P13" s="1274"/>
      <c r="Q13" s="1275"/>
    </row>
    <row r="14" spans="1:17" s="458" customFormat="1" ht="15.75" thickBot="1">
      <c r="D14" s="1276"/>
      <c r="E14" s="1277"/>
      <c r="F14" s="1277"/>
      <c r="G14" s="1277"/>
      <c r="H14" s="1277"/>
      <c r="I14" s="1277"/>
      <c r="J14" s="1277"/>
      <c r="K14" s="1277"/>
      <c r="L14" s="1277"/>
      <c r="M14" s="1277"/>
      <c r="N14" s="1277"/>
      <c r="O14" s="1277"/>
      <c r="P14" s="1277"/>
      <c r="Q14" s="1278"/>
    </row>
    <row r="15" spans="1:17" s="458" customFormat="1" ht="15.75" customHeight="1" thickBot="1">
      <c r="A15" s="515" t="s">
        <v>1270</v>
      </c>
      <c r="B15" s="540"/>
      <c r="C15" s="516"/>
      <c r="D15" s="1277"/>
      <c r="E15" s="1277"/>
      <c r="F15" s="1277"/>
      <c r="G15" s="1277"/>
      <c r="H15" s="1277"/>
      <c r="I15" s="1277"/>
      <c r="J15" s="1277"/>
      <c r="K15" s="1277"/>
      <c r="L15" s="1277"/>
      <c r="M15" s="1277"/>
      <c r="N15" s="1277"/>
      <c r="O15" s="1277"/>
      <c r="P15" s="1277"/>
      <c r="Q15" s="1278"/>
    </row>
    <row r="16" spans="1:17" s="458" customFormat="1" ht="15.75" customHeight="1" thickBot="1">
      <c r="A16" s="548"/>
      <c r="B16" s="548"/>
      <c r="C16" s="549"/>
      <c r="D16" s="1277"/>
      <c r="E16" s="1277"/>
      <c r="F16" s="1277"/>
      <c r="G16" s="1277"/>
      <c r="H16" s="1277"/>
      <c r="I16" s="1277"/>
      <c r="J16" s="1277"/>
      <c r="K16" s="1277"/>
      <c r="L16" s="1277"/>
      <c r="M16" s="1277"/>
      <c r="N16" s="1277"/>
      <c r="O16" s="1277"/>
      <c r="P16" s="1277"/>
      <c r="Q16" s="1278"/>
    </row>
    <row r="17" spans="1:17" s="458" customFormat="1" ht="15.75" customHeight="1" thickBot="1">
      <c r="A17" s="552" t="s">
        <v>1321</v>
      </c>
      <c r="B17" s="553"/>
      <c r="C17" s="554"/>
      <c r="D17" s="1277"/>
      <c r="E17" s="1277"/>
      <c r="F17" s="1277"/>
      <c r="G17" s="1277"/>
      <c r="H17" s="1277"/>
      <c r="I17" s="1277"/>
      <c r="J17" s="1277"/>
      <c r="K17" s="1277"/>
      <c r="L17" s="1277"/>
      <c r="M17" s="1277"/>
      <c r="N17" s="1277"/>
      <c r="O17" s="1277"/>
      <c r="P17" s="1277"/>
      <c r="Q17" s="1278"/>
    </row>
    <row r="18" spans="1:17" s="458" customFormat="1" ht="15.75" customHeight="1">
      <c r="A18" s="548"/>
      <c r="B18" s="548"/>
      <c r="C18" s="550"/>
      <c r="D18" s="1277"/>
      <c r="E18" s="1277"/>
      <c r="F18" s="1277"/>
      <c r="G18" s="1277"/>
      <c r="H18" s="1277"/>
      <c r="I18" s="1277"/>
      <c r="J18" s="1277"/>
      <c r="K18" s="1277"/>
      <c r="L18" s="1277"/>
      <c r="M18" s="1277"/>
      <c r="N18" s="1277"/>
      <c r="O18" s="1277"/>
      <c r="P18" s="1277"/>
      <c r="Q18" s="1278"/>
    </row>
    <row r="19" spans="1:17" s="458" customFormat="1" ht="15.75" customHeight="1">
      <c r="A19" s="548"/>
      <c r="B19" s="548"/>
      <c r="C19" s="550"/>
      <c r="D19" s="1277"/>
      <c r="E19" s="1277"/>
      <c r="F19" s="1277"/>
      <c r="G19" s="1277"/>
      <c r="H19" s="1277"/>
      <c r="I19" s="1277"/>
      <c r="J19" s="1277"/>
      <c r="K19" s="1277"/>
      <c r="L19" s="1277"/>
      <c r="M19" s="1277"/>
      <c r="N19" s="1277"/>
      <c r="O19" s="1277"/>
      <c r="P19" s="1277"/>
      <c r="Q19" s="1278"/>
    </row>
    <row r="20" spans="1:17" s="458" customFormat="1" ht="15.75" customHeight="1">
      <c r="A20" s="548"/>
      <c r="B20" s="548"/>
      <c r="C20" s="550"/>
      <c r="D20" s="1277"/>
      <c r="E20" s="1277"/>
      <c r="F20" s="1277"/>
      <c r="G20" s="1277"/>
      <c r="H20" s="1277"/>
      <c r="I20" s="1277"/>
      <c r="J20" s="1277"/>
      <c r="K20" s="1277"/>
      <c r="L20" s="1277"/>
      <c r="M20" s="1277"/>
      <c r="N20" s="1277"/>
      <c r="O20" s="1277"/>
      <c r="P20" s="1277"/>
      <c r="Q20" s="1278"/>
    </row>
    <row r="21" spans="1:17" s="458" customFormat="1" ht="15.75" customHeight="1">
      <c r="A21" s="548"/>
      <c r="B21" s="548"/>
      <c r="C21" s="550"/>
      <c r="D21" s="1277"/>
      <c r="E21" s="1277"/>
      <c r="F21" s="1277"/>
      <c r="G21" s="1277"/>
      <c r="H21" s="1277"/>
      <c r="I21" s="1277"/>
      <c r="J21" s="1277"/>
      <c r="K21" s="1277"/>
      <c r="L21" s="1277"/>
      <c r="M21" s="1277"/>
      <c r="N21" s="1277"/>
      <c r="O21" s="1277"/>
      <c r="P21" s="1277"/>
      <c r="Q21" s="1278"/>
    </row>
    <row r="22" spans="1:17" s="458" customFormat="1" ht="15.75" customHeight="1">
      <c r="A22" s="548"/>
      <c r="B22" s="548"/>
      <c r="C22" s="550"/>
      <c r="D22" s="1277"/>
      <c r="E22" s="1277"/>
      <c r="F22" s="1277"/>
      <c r="G22" s="1277"/>
      <c r="H22" s="1277"/>
      <c r="I22" s="1277"/>
      <c r="J22" s="1277"/>
      <c r="K22" s="1277"/>
      <c r="L22" s="1277"/>
      <c r="M22" s="1277"/>
      <c r="N22" s="1277"/>
      <c r="O22" s="1277"/>
      <c r="P22" s="1277"/>
      <c r="Q22" s="1278"/>
    </row>
    <row r="23" spans="1:17" s="458" customFormat="1" ht="15.75" customHeight="1">
      <c r="A23" s="548"/>
      <c r="B23" s="548"/>
      <c r="C23" s="550"/>
      <c r="D23" s="1277"/>
      <c r="E23" s="1277"/>
      <c r="F23" s="1277"/>
      <c r="G23" s="1277"/>
      <c r="H23" s="1277"/>
      <c r="I23" s="1277"/>
      <c r="J23" s="1277"/>
      <c r="K23" s="1277"/>
      <c r="L23" s="1277"/>
      <c r="M23" s="1277"/>
      <c r="N23" s="1277"/>
      <c r="O23" s="1277"/>
      <c r="P23" s="1277"/>
      <c r="Q23" s="1278"/>
    </row>
    <row r="24" spans="1:17" s="458" customFormat="1" ht="15.75" customHeight="1">
      <c r="A24" s="548"/>
      <c r="B24" s="548"/>
      <c r="C24" s="550"/>
      <c r="D24" s="1277"/>
      <c r="E24" s="1277"/>
      <c r="F24" s="1277"/>
      <c r="G24" s="1277"/>
      <c r="H24" s="1277"/>
      <c r="I24" s="1277"/>
      <c r="J24" s="1277"/>
      <c r="K24" s="1277"/>
      <c r="L24" s="1277"/>
      <c r="M24" s="1277"/>
      <c r="N24" s="1277"/>
      <c r="O24" s="1277"/>
      <c r="P24" s="1277"/>
      <c r="Q24" s="1278"/>
    </row>
    <row r="25" spans="1:17" s="458" customFormat="1" ht="15.75" customHeight="1">
      <c r="A25" s="548"/>
      <c r="B25" s="548"/>
      <c r="C25" s="550"/>
      <c r="D25" s="1277"/>
      <c r="E25" s="1277"/>
      <c r="F25" s="1277"/>
      <c r="G25" s="1277"/>
      <c r="H25" s="1277"/>
      <c r="I25" s="1277"/>
      <c r="J25" s="1277"/>
      <c r="K25" s="1277"/>
      <c r="L25" s="1277"/>
      <c r="M25" s="1277"/>
      <c r="N25" s="1277"/>
      <c r="O25" s="1277"/>
      <c r="P25" s="1277"/>
      <c r="Q25" s="1278"/>
    </row>
    <row r="26" spans="1:17" s="458" customFormat="1" ht="15.75" customHeight="1">
      <c r="A26" s="548"/>
      <c r="B26" s="548"/>
      <c r="C26" s="550"/>
      <c r="D26" s="1277"/>
      <c r="E26" s="1277"/>
      <c r="F26" s="1277"/>
      <c r="G26" s="1277"/>
      <c r="H26" s="1277"/>
      <c r="I26" s="1277"/>
      <c r="J26" s="1277"/>
      <c r="K26" s="1277"/>
      <c r="L26" s="1277"/>
      <c r="M26" s="1277"/>
      <c r="N26" s="1277"/>
      <c r="O26" s="1277"/>
      <c r="P26" s="1277"/>
      <c r="Q26" s="1278"/>
    </row>
    <row r="27" spans="1:17" s="458" customFormat="1" ht="15.75" customHeight="1">
      <c r="A27" s="548"/>
      <c r="B27" s="548"/>
      <c r="C27" s="550"/>
      <c r="D27" s="1277"/>
      <c r="E27" s="1277"/>
      <c r="F27" s="1277"/>
      <c r="G27" s="1277"/>
      <c r="H27" s="1277"/>
      <c r="I27" s="1277"/>
      <c r="J27" s="1277"/>
      <c r="K27" s="1277"/>
      <c r="L27" s="1277"/>
      <c r="M27" s="1277"/>
      <c r="N27" s="1277"/>
      <c r="O27" s="1277"/>
      <c r="P27" s="1277"/>
      <c r="Q27" s="1278"/>
    </row>
    <row r="28" spans="1:17" s="458" customFormat="1" ht="15.75" customHeight="1">
      <c r="A28" s="548"/>
      <c r="B28" s="548"/>
      <c r="C28" s="550"/>
      <c r="D28" s="1277"/>
      <c r="E28" s="1277"/>
      <c r="F28" s="1277"/>
      <c r="G28" s="1277"/>
      <c r="H28" s="1277"/>
      <c r="I28" s="1277"/>
      <c r="J28" s="1277"/>
      <c r="K28" s="1277"/>
      <c r="L28" s="1277"/>
      <c r="M28" s="1277"/>
      <c r="N28" s="1277"/>
      <c r="O28" s="1277"/>
      <c r="P28" s="1277"/>
      <c r="Q28" s="1278"/>
    </row>
    <row r="29" spans="1:17" s="458" customFormat="1" ht="15.75" customHeight="1">
      <c r="A29" s="548"/>
      <c r="B29" s="548"/>
      <c r="C29" s="550"/>
      <c r="D29" s="1277"/>
      <c r="E29" s="1277"/>
      <c r="F29" s="1277"/>
      <c r="G29" s="1277"/>
      <c r="H29" s="1277"/>
      <c r="I29" s="1277"/>
      <c r="J29" s="1277"/>
      <c r="K29" s="1277"/>
      <c r="L29" s="1277"/>
      <c r="M29" s="1277"/>
      <c r="N29" s="1277"/>
      <c r="O29" s="1277"/>
      <c r="P29" s="1277"/>
      <c r="Q29" s="1278"/>
    </row>
    <row r="30" spans="1:17" s="458" customFormat="1" ht="22.5" customHeight="1">
      <c r="A30" s="512"/>
      <c r="B30" s="542"/>
      <c r="C30" s="513"/>
      <c r="D30" s="1279"/>
      <c r="E30" s="1279"/>
      <c r="F30" s="1279"/>
      <c r="G30" s="1279"/>
      <c r="H30" s="1279"/>
      <c r="I30" s="1279"/>
      <c r="J30" s="1279"/>
      <c r="K30" s="1279"/>
      <c r="L30" s="1279"/>
      <c r="M30" s="1279"/>
      <c r="N30" s="1279"/>
      <c r="O30" s="1279"/>
      <c r="P30" s="1279"/>
      <c r="Q30" s="1280"/>
    </row>
    <row r="31" spans="1:17" s="458" customFormat="1" ht="10.5" customHeight="1" thickBot="1">
      <c r="D31" s="461"/>
      <c r="E31" s="461"/>
      <c r="F31" s="461"/>
      <c r="G31" s="461"/>
      <c r="H31" s="461"/>
      <c r="I31" s="461"/>
      <c r="J31" s="461"/>
      <c r="K31" s="461"/>
      <c r="L31" s="461"/>
      <c r="M31" s="461"/>
    </row>
    <row r="32" spans="1:17" s="458" customFormat="1" ht="16.5" customHeight="1" thickBot="1">
      <c r="A32" s="514" t="s">
        <v>1272</v>
      </c>
      <c r="B32" s="543"/>
      <c r="C32" s="527"/>
      <c r="D32" s="528" t="s">
        <v>1274</v>
      </c>
      <c r="E32" s="529"/>
      <c r="F32" s="529"/>
      <c r="G32" s="529"/>
      <c r="H32" s="529"/>
      <c r="I32" s="529"/>
      <c r="J32" s="529"/>
      <c r="K32" s="529"/>
      <c r="L32" s="529"/>
      <c r="M32" s="529"/>
      <c r="N32" s="529"/>
      <c r="O32" s="529"/>
      <c r="P32" s="529"/>
      <c r="Q32" s="530"/>
    </row>
    <row r="33" spans="1:17" s="458" customFormat="1" ht="9.75" customHeight="1" thickBot="1"/>
    <row r="34" spans="1:17" s="458" customFormat="1" ht="15.75" thickBot="1">
      <c r="A34" s="519" t="s">
        <v>1232</v>
      </c>
      <c r="B34" s="544"/>
      <c r="C34" s="526"/>
      <c r="D34" s="1281" t="s">
        <v>1273</v>
      </c>
      <c r="E34" s="1282"/>
      <c r="F34" s="1282"/>
      <c r="G34" s="1282"/>
      <c r="H34" s="1282"/>
      <c r="I34" s="1282"/>
      <c r="J34" s="1282"/>
      <c r="K34" s="1282"/>
      <c r="L34" s="1282"/>
      <c r="M34" s="1282"/>
      <c r="N34" s="1282"/>
      <c r="O34" s="1282"/>
      <c r="P34" s="1282"/>
      <c r="Q34" s="1283"/>
    </row>
    <row r="35" spans="1:17">
      <c r="D35" s="1284"/>
      <c r="E35" s="1285"/>
      <c r="F35" s="1285"/>
      <c r="G35" s="1285"/>
      <c r="H35" s="1285"/>
      <c r="I35" s="1285"/>
      <c r="J35" s="1285"/>
      <c r="K35" s="1285"/>
      <c r="L35" s="1285"/>
      <c r="M35" s="1285"/>
      <c r="N35" s="1285"/>
      <c r="O35" s="1285"/>
      <c r="P35" s="1285"/>
      <c r="Q35" s="1286"/>
    </row>
    <row r="36" spans="1:17" ht="7.5" customHeight="1"/>
    <row r="37" spans="1:17" ht="6" customHeight="1"/>
    <row r="38" spans="1:17" ht="14.25">
      <c r="A38" s="531" t="s">
        <v>1317</v>
      </c>
      <c r="B38" s="545"/>
      <c r="C38" s="532"/>
      <c r="D38" s="532"/>
      <c r="E38" s="533"/>
    </row>
    <row r="39" spans="1:17" ht="14.25">
      <c r="A39" s="1272" t="s">
        <v>1322</v>
      </c>
      <c r="B39" s="1272"/>
      <c r="C39" s="1272"/>
      <c r="D39" s="243"/>
      <c r="E39" s="243"/>
    </row>
    <row r="40" spans="1:17" ht="25.5">
      <c r="A40" s="283" t="s">
        <v>1464</v>
      </c>
      <c r="B40" s="283" t="s">
        <v>1465</v>
      </c>
      <c r="C40" s="283" t="s">
        <v>1321</v>
      </c>
      <c r="D40" s="531" t="s">
        <v>1323</v>
      </c>
      <c r="E40" s="547"/>
      <c r="F40" s="547"/>
      <c r="G40" s="532"/>
      <c r="H40" s="532"/>
      <c r="I40" s="532"/>
      <c r="J40" s="532"/>
      <c r="K40" s="532"/>
      <c r="L40" s="532"/>
      <c r="M40" s="532"/>
      <c r="N40" s="532"/>
      <c r="O40" s="532"/>
      <c r="P40" s="532"/>
      <c r="Q40" s="533"/>
    </row>
    <row r="42" spans="1:17" ht="14.25" customHeight="1">
      <c r="A42" s="525" t="s">
        <v>1301</v>
      </c>
      <c r="B42" s="525"/>
      <c r="D42" s="1270" t="s">
        <v>1328</v>
      </c>
      <c r="E42" s="1270"/>
      <c r="F42" s="1270"/>
      <c r="G42" s="1270"/>
      <c r="H42" s="1270"/>
      <c r="I42" s="1270"/>
      <c r="J42" s="1270"/>
      <c r="K42" s="1270"/>
      <c r="L42" s="1270"/>
      <c r="M42" s="1270"/>
      <c r="N42" s="1270"/>
      <c r="O42" s="1270"/>
      <c r="P42" s="1270"/>
      <c r="Q42" s="1270"/>
    </row>
    <row r="43" spans="1:17" ht="13.5" customHeight="1">
      <c r="A43" s="546" t="s">
        <v>1305</v>
      </c>
      <c r="B43" s="546" t="s">
        <v>1305</v>
      </c>
      <c r="C43" s="546" t="s">
        <v>1305</v>
      </c>
      <c r="D43" s="1270"/>
      <c r="E43" s="1270"/>
      <c r="F43" s="1270"/>
      <c r="G43" s="1270"/>
      <c r="H43" s="1270"/>
      <c r="I43" s="1270"/>
      <c r="J43" s="1270"/>
      <c r="K43" s="1270"/>
      <c r="L43" s="1270"/>
      <c r="M43" s="1270"/>
      <c r="N43" s="1270"/>
      <c r="O43" s="1270"/>
      <c r="P43" s="1270"/>
      <c r="Q43" s="1270"/>
    </row>
    <row r="44" spans="1:17" ht="14.25">
      <c r="A44" s="456"/>
      <c r="B44" s="456"/>
      <c r="D44" s="520"/>
      <c r="E44" s="520"/>
      <c r="F44" s="520"/>
      <c r="G44" s="520"/>
      <c r="H44" s="520"/>
      <c r="I44" s="520"/>
      <c r="J44" s="520"/>
      <c r="K44" s="520"/>
      <c r="L44" s="520"/>
      <c r="M44" s="520"/>
      <c r="N44" s="520"/>
      <c r="O44" s="520"/>
      <c r="P44" s="520"/>
    </row>
    <row r="45" spans="1:17" ht="14.25">
      <c r="A45" s="525" t="s">
        <v>5</v>
      </c>
      <c r="B45" s="525"/>
      <c r="D45" s="1288" t="s">
        <v>1329</v>
      </c>
      <c r="E45" s="1288"/>
      <c r="F45" s="1288"/>
      <c r="G45" s="1288"/>
      <c r="H45" s="1288"/>
      <c r="I45" s="1288"/>
      <c r="J45" s="1288"/>
      <c r="K45" s="1288"/>
      <c r="L45" s="1288"/>
      <c r="M45" s="1288"/>
      <c r="N45" s="1288"/>
      <c r="O45" s="1288"/>
      <c r="P45" s="1288"/>
      <c r="Q45" s="1288"/>
    </row>
    <row r="46" spans="1:17" ht="14.25" customHeight="1">
      <c r="A46" s="546" t="s">
        <v>1306</v>
      </c>
      <c r="B46" s="546" t="s">
        <v>1306</v>
      </c>
      <c r="C46" s="546" t="s">
        <v>1306</v>
      </c>
      <c r="D46" s="1288"/>
      <c r="E46" s="1288"/>
      <c r="F46" s="1288"/>
      <c r="G46" s="1288"/>
      <c r="H46" s="1288"/>
      <c r="I46" s="1288"/>
      <c r="J46" s="1288"/>
      <c r="K46" s="1288"/>
      <c r="L46" s="1288"/>
      <c r="M46" s="1288"/>
      <c r="N46" s="1288"/>
      <c r="O46" s="1288"/>
      <c r="P46" s="1288"/>
      <c r="Q46" s="1288"/>
    </row>
    <row r="47" spans="1:17" ht="14.25">
      <c r="A47" s="456"/>
      <c r="B47" s="456"/>
      <c r="D47" s="456"/>
      <c r="E47" s="456"/>
      <c r="F47" s="456"/>
      <c r="G47" s="456"/>
      <c r="H47" s="456"/>
      <c r="I47" s="456"/>
      <c r="J47" s="456"/>
      <c r="K47" s="456"/>
      <c r="L47" s="456"/>
      <c r="M47" s="456"/>
      <c r="N47" s="456"/>
      <c r="O47" s="456"/>
      <c r="P47" s="456"/>
    </row>
    <row r="48" spans="1:17" ht="14.25" customHeight="1">
      <c r="A48" s="525" t="s">
        <v>1302</v>
      </c>
      <c r="B48" s="525"/>
      <c r="D48" s="1273" t="s">
        <v>1331</v>
      </c>
      <c r="E48" s="1273"/>
      <c r="F48" s="1273"/>
      <c r="G48" s="1273"/>
      <c r="H48" s="1273"/>
      <c r="I48" s="1273"/>
      <c r="J48" s="1273"/>
      <c r="K48" s="1273"/>
      <c r="L48" s="1273"/>
      <c r="M48" s="1273"/>
      <c r="N48" s="1273"/>
      <c r="O48" s="1273"/>
      <c r="P48" s="1273"/>
      <c r="Q48" s="1273"/>
    </row>
    <row r="49" spans="1:17" ht="14.25" customHeight="1">
      <c r="A49" s="546" t="s">
        <v>1307</v>
      </c>
      <c r="B49" s="546" t="s">
        <v>1307</v>
      </c>
      <c r="C49" s="546" t="s">
        <v>1307</v>
      </c>
      <c r="D49" s="1273"/>
      <c r="E49" s="1273"/>
      <c r="F49" s="1273"/>
      <c r="G49" s="1273"/>
      <c r="H49" s="1273"/>
      <c r="I49" s="1273"/>
      <c r="J49" s="1273"/>
      <c r="K49" s="1273"/>
      <c r="L49" s="1273"/>
      <c r="M49" s="1273"/>
      <c r="N49" s="1273"/>
      <c r="O49" s="1273"/>
      <c r="P49" s="1273"/>
      <c r="Q49" s="1273"/>
    </row>
    <row r="50" spans="1:17" ht="12.75" customHeight="1">
      <c r="D50" s="1273"/>
      <c r="E50" s="1273"/>
      <c r="F50" s="1273"/>
      <c r="G50" s="1273"/>
      <c r="H50" s="1273"/>
      <c r="I50" s="1273"/>
      <c r="J50" s="1273"/>
      <c r="K50" s="1273"/>
      <c r="L50" s="1273"/>
      <c r="M50" s="1273"/>
      <c r="N50" s="1273"/>
      <c r="O50" s="1273"/>
      <c r="P50" s="1273"/>
      <c r="Q50" s="1273"/>
    </row>
    <row r="51" spans="1:17" ht="14.25">
      <c r="A51" s="456"/>
      <c r="B51" s="456"/>
      <c r="D51" s="456"/>
      <c r="E51" s="456"/>
      <c r="F51" s="456"/>
      <c r="G51" s="456"/>
      <c r="H51" s="456"/>
      <c r="I51" s="456"/>
      <c r="J51" s="456"/>
      <c r="K51" s="456"/>
      <c r="L51" s="456"/>
      <c r="M51" s="456"/>
      <c r="N51" s="456"/>
      <c r="O51" s="456"/>
      <c r="P51" s="456"/>
    </row>
    <row r="52" spans="1:17" ht="14.25" customHeight="1">
      <c r="A52" s="525" t="s">
        <v>1309</v>
      </c>
      <c r="B52" s="525"/>
      <c r="D52" s="1270" t="s">
        <v>1831</v>
      </c>
      <c r="E52" s="1270"/>
      <c r="F52" s="1270"/>
      <c r="G52" s="1270"/>
      <c r="H52" s="1270"/>
      <c r="I52" s="1270"/>
      <c r="J52" s="1270"/>
      <c r="K52" s="1270"/>
      <c r="L52" s="1270"/>
      <c r="M52" s="1270"/>
      <c r="N52" s="1270"/>
      <c r="O52" s="1270"/>
      <c r="P52" s="1270"/>
      <c r="Q52" s="1270"/>
    </row>
    <row r="53" spans="1:17" ht="12.75" customHeight="1">
      <c r="A53" s="546" t="s">
        <v>1308</v>
      </c>
      <c r="B53" s="546" t="s">
        <v>1308</v>
      </c>
      <c r="C53" s="546" t="s">
        <v>1308</v>
      </c>
      <c r="D53" s="1270"/>
      <c r="E53" s="1270"/>
      <c r="F53" s="1270"/>
      <c r="G53" s="1270"/>
      <c r="H53" s="1270"/>
      <c r="I53" s="1270"/>
      <c r="J53" s="1270"/>
      <c r="K53" s="1270"/>
      <c r="L53" s="1270"/>
      <c r="M53" s="1270"/>
      <c r="N53" s="1270"/>
      <c r="O53" s="1270"/>
      <c r="P53" s="1270"/>
      <c r="Q53" s="1270"/>
    </row>
    <row r="54" spans="1:17" ht="14.25">
      <c r="A54" s="456"/>
      <c r="B54" s="456"/>
      <c r="D54" s="456"/>
      <c r="E54" s="456"/>
      <c r="F54" s="456"/>
      <c r="G54" s="456"/>
      <c r="H54" s="456"/>
      <c r="I54" s="456"/>
      <c r="J54" s="456"/>
      <c r="K54" s="456"/>
      <c r="L54" s="456"/>
      <c r="M54" s="456"/>
      <c r="N54" s="456"/>
      <c r="O54" s="456"/>
      <c r="P54" s="456"/>
    </row>
    <row r="55" spans="1:17" ht="14.25">
      <c r="A55" s="525" t="s">
        <v>1327</v>
      </c>
      <c r="B55" s="525"/>
      <c r="D55" s="1270" t="s">
        <v>1332</v>
      </c>
      <c r="E55" s="1270"/>
      <c r="F55" s="1270"/>
      <c r="G55" s="1270"/>
      <c r="H55" s="1270"/>
      <c r="I55" s="1270"/>
      <c r="J55" s="1270"/>
      <c r="K55" s="1270"/>
      <c r="L55" s="1270"/>
      <c r="M55" s="1270"/>
      <c r="N55" s="1270"/>
      <c r="O55" s="1270"/>
      <c r="P55" s="1270"/>
      <c r="Q55" s="1270"/>
    </row>
    <row r="56" spans="1:17" ht="14.25">
      <c r="A56" s="525" t="s">
        <v>1326</v>
      </c>
      <c r="D56" s="1270"/>
      <c r="E56" s="1270"/>
      <c r="F56" s="1270"/>
      <c r="G56" s="1270"/>
      <c r="H56" s="1270"/>
      <c r="I56" s="1270"/>
      <c r="J56" s="1270"/>
      <c r="K56" s="1270"/>
      <c r="L56" s="1270"/>
      <c r="M56" s="1270"/>
      <c r="N56" s="1270"/>
      <c r="O56" s="1270"/>
      <c r="P56" s="1270"/>
      <c r="Q56" s="1270"/>
    </row>
    <row r="57" spans="1:17" ht="14.25" customHeight="1">
      <c r="A57" s="546" t="s">
        <v>1310</v>
      </c>
      <c r="B57" s="546" t="s">
        <v>1310</v>
      </c>
      <c r="C57" s="546" t="s">
        <v>1310</v>
      </c>
      <c r="D57" s="1270"/>
      <c r="E57" s="1270"/>
      <c r="F57" s="1270"/>
      <c r="G57" s="1270"/>
      <c r="H57" s="1270"/>
      <c r="I57" s="1270"/>
      <c r="J57" s="1270"/>
      <c r="K57" s="1270"/>
      <c r="L57" s="1270"/>
      <c r="M57" s="1270"/>
      <c r="N57" s="1270"/>
      <c r="O57" s="1270"/>
      <c r="P57" s="1270"/>
      <c r="Q57" s="1270"/>
    </row>
    <row r="58" spans="1:17" ht="14.25">
      <c r="A58" s="456"/>
      <c r="B58" s="456"/>
      <c r="D58" s="456"/>
      <c r="E58" s="456"/>
      <c r="F58" s="456"/>
      <c r="G58" s="456"/>
      <c r="H58" s="456"/>
      <c r="I58" s="456"/>
      <c r="J58" s="456"/>
      <c r="K58" s="456"/>
      <c r="L58" s="456"/>
      <c r="M58" s="456"/>
      <c r="N58" s="456"/>
      <c r="O58" s="456"/>
      <c r="P58" s="456"/>
    </row>
    <row r="59" spans="1:17" ht="14.25">
      <c r="A59" s="525" t="s">
        <v>1303</v>
      </c>
      <c r="B59" s="525"/>
      <c r="D59" s="1270" t="s">
        <v>1333</v>
      </c>
      <c r="E59" s="1270"/>
      <c r="F59" s="1270"/>
      <c r="G59" s="1270"/>
      <c r="H59" s="1270"/>
      <c r="I59" s="1270"/>
      <c r="J59" s="1270"/>
      <c r="K59" s="1270"/>
      <c r="L59" s="1270"/>
      <c r="M59" s="1270"/>
      <c r="N59" s="1270"/>
      <c r="O59" s="1270"/>
      <c r="P59" s="1270"/>
      <c r="Q59" s="1270"/>
    </row>
    <row r="60" spans="1:17" ht="14.25">
      <c r="A60" s="525" t="s">
        <v>972</v>
      </c>
      <c r="B60" s="525"/>
      <c r="D60" s="1270"/>
      <c r="E60" s="1270"/>
      <c r="F60" s="1270"/>
      <c r="G60" s="1270"/>
      <c r="H60" s="1270"/>
      <c r="I60" s="1270"/>
      <c r="J60" s="1270"/>
      <c r="K60" s="1270"/>
      <c r="L60" s="1270"/>
      <c r="M60" s="1270"/>
      <c r="N60" s="1270"/>
      <c r="O60" s="1270"/>
      <c r="P60" s="1270"/>
      <c r="Q60" s="1270"/>
    </row>
    <row r="61" spans="1:17" ht="14.25" customHeight="1">
      <c r="A61" s="546" t="s">
        <v>1311</v>
      </c>
      <c r="B61" s="546" t="s">
        <v>1311</v>
      </c>
      <c r="C61" s="546" t="s">
        <v>1311</v>
      </c>
      <c r="D61" s="1270"/>
      <c r="E61" s="1270"/>
      <c r="F61" s="1270"/>
      <c r="G61" s="1270"/>
      <c r="H61" s="1270"/>
      <c r="I61" s="1270"/>
      <c r="J61" s="1270"/>
      <c r="K61" s="1270"/>
      <c r="L61" s="1270"/>
      <c r="M61" s="1270"/>
      <c r="N61" s="1270"/>
      <c r="O61" s="1270"/>
      <c r="P61" s="1270"/>
      <c r="Q61" s="1270"/>
    </row>
    <row r="62" spans="1:17" ht="14.25">
      <c r="A62" s="456"/>
      <c r="B62" s="456"/>
      <c r="D62" s="456"/>
      <c r="E62" s="456"/>
      <c r="F62" s="456"/>
      <c r="G62" s="456"/>
      <c r="H62" s="456"/>
      <c r="I62" s="456"/>
      <c r="J62" s="456"/>
      <c r="K62" s="456"/>
      <c r="L62" s="456"/>
      <c r="M62" s="456"/>
      <c r="N62" s="456"/>
      <c r="O62" s="456"/>
      <c r="P62" s="456"/>
    </row>
    <row r="63" spans="1:17" ht="15.75" customHeight="1">
      <c r="A63" s="525" t="s">
        <v>2199</v>
      </c>
      <c r="B63" s="525"/>
      <c r="D63" s="1270" t="s">
        <v>2200</v>
      </c>
      <c r="E63" s="1270"/>
      <c r="F63" s="1270"/>
      <c r="G63" s="1270"/>
      <c r="H63" s="1270"/>
      <c r="I63" s="1270"/>
      <c r="J63" s="1270"/>
      <c r="K63" s="1270"/>
      <c r="L63" s="1270"/>
      <c r="M63" s="1270"/>
      <c r="N63" s="1270"/>
      <c r="O63" s="1270"/>
      <c r="P63" s="1270"/>
      <c r="Q63" s="1270"/>
    </row>
    <row r="64" spans="1:17" ht="12.75" customHeight="1">
      <c r="A64" s="546" t="s">
        <v>1312</v>
      </c>
      <c r="B64" s="546" t="s">
        <v>1312</v>
      </c>
      <c r="C64" s="546" t="s">
        <v>1312</v>
      </c>
      <c r="D64" s="1270"/>
      <c r="E64" s="1270"/>
      <c r="F64" s="1270"/>
      <c r="G64" s="1270"/>
      <c r="H64" s="1270"/>
      <c r="I64" s="1270"/>
      <c r="J64" s="1270"/>
      <c r="K64" s="1270"/>
      <c r="L64" s="1270"/>
      <c r="M64" s="1270"/>
      <c r="N64" s="1270"/>
      <c r="O64" s="1270"/>
      <c r="P64" s="1270"/>
      <c r="Q64" s="1270"/>
    </row>
    <row r="65" spans="1:17" ht="12.75" customHeight="1">
      <c r="A65" s="551"/>
      <c r="B65" s="551"/>
      <c r="C65" s="551"/>
      <c r="D65" s="1270"/>
      <c r="E65" s="1270"/>
      <c r="F65" s="1270"/>
      <c r="G65" s="1270"/>
      <c r="H65" s="1270"/>
      <c r="I65" s="1270"/>
      <c r="J65" s="1270"/>
      <c r="K65" s="1270"/>
      <c r="L65" s="1270"/>
      <c r="M65" s="1270"/>
      <c r="N65" s="1270"/>
      <c r="O65" s="1270"/>
      <c r="P65" s="1270"/>
      <c r="Q65" s="1270"/>
    </row>
    <row r="66" spans="1:17" ht="15" customHeight="1">
      <c r="A66" s="456"/>
      <c r="B66" s="456"/>
      <c r="D66" s="1270"/>
      <c r="E66" s="1270"/>
      <c r="F66" s="1270"/>
      <c r="G66" s="1270"/>
      <c r="H66" s="1270"/>
      <c r="I66" s="1270"/>
      <c r="J66" s="1270"/>
      <c r="K66" s="1270"/>
      <c r="L66" s="1270"/>
      <c r="M66" s="1270"/>
      <c r="N66" s="1270"/>
      <c r="O66" s="1270"/>
      <c r="P66" s="1270"/>
      <c r="Q66" s="1270"/>
    </row>
    <row r="67" spans="1:17" ht="13.5" customHeight="1">
      <c r="A67" s="456"/>
      <c r="B67" s="456"/>
      <c r="D67" s="520"/>
      <c r="E67" s="520"/>
      <c r="F67" s="520"/>
      <c r="G67" s="520"/>
      <c r="H67" s="520"/>
      <c r="I67" s="520"/>
      <c r="J67" s="520"/>
      <c r="K67" s="520"/>
      <c r="L67" s="520"/>
      <c r="M67" s="520"/>
      <c r="N67" s="520"/>
      <c r="O67" s="520"/>
      <c r="P67" s="520"/>
    </row>
    <row r="68" spans="1:17" ht="15" customHeight="1">
      <c r="A68" s="525" t="s">
        <v>1334</v>
      </c>
      <c r="B68" s="525"/>
      <c r="D68" s="1270" t="s">
        <v>1335</v>
      </c>
      <c r="E68" s="1270"/>
      <c r="F68" s="1270"/>
      <c r="G68" s="1270"/>
      <c r="H68" s="1270"/>
      <c r="I68" s="1270"/>
      <c r="J68" s="1270"/>
      <c r="K68" s="1270"/>
      <c r="L68" s="1270"/>
      <c r="M68" s="1270"/>
      <c r="N68" s="1270"/>
      <c r="O68" s="1270"/>
      <c r="P68" s="1270"/>
      <c r="Q68" s="1270"/>
    </row>
    <row r="69" spans="1:17" ht="15" customHeight="1">
      <c r="A69" s="546" t="s">
        <v>1313</v>
      </c>
      <c r="B69" s="546" t="s">
        <v>1313</v>
      </c>
      <c r="C69" s="546" t="s">
        <v>1313</v>
      </c>
      <c r="D69" s="1270"/>
      <c r="E69" s="1270"/>
      <c r="F69" s="1270"/>
      <c r="G69" s="1270"/>
      <c r="H69" s="1270"/>
      <c r="I69" s="1270"/>
      <c r="J69" s="1270"/>
      <c r="K69" s="1270"/>
      <c r="L69" s="1270"/>
      <c r="M69" s="1270"/>
      <c r="N69" s="1270"/>
      <c r="O69" s="1270"/>
      <c r="P69" s="1270"/>
      <c r="Q69" s="1270"/>
    </row>
    <row r="70" spans="1:17" ht="15" customHeight="1">
      <c r="A70" s="551"/>
      <c r="B70" s="551"/>
      <c r="C70" s="551"/>
      <c r="D70" s="1270"/>
      <c r="E70" s="1270"/>
      <c r="F70" s="1270"/>
      <c r="G70" s="1270"/>
      <c r="H70" s="1270"/>
      <c r="I70" s="1270"/>
      <c r="J70" s="1270"/>
      <c r="K70" s="1270"/>
      <c r="L70" s="1270"/>
      <c r="M70" s="1270"/>
      <c r="N70" s="1270"/>
      <c r="O70" s="1270"/>
      <c r="P70" s="1270"/>
      <c r="Q70" s="1270"/>
    </row>
    <row r="71" spans="1:17" ht="15.75" customHeight="1">
      <c r="D71" s="1270"/>
      <c r="E71" s="1270"/>
      <c r="F71" s="1270"/>
      <c r="G71" s="1270"/>
      <c r="H71" s="1270"/>
      <c r="I71" s="1270"/>
      <c r="J71" s="1270"/>
      <c r="K71" s="1270"/>
      <c r="L71" s="1270"/>
      <c r="M71" s="1270"/>
      <c r="N71" s="1270"/>
      <c r="O71" s="1270"/>
      <c r="P71" s="1270"/>
      <c r="Q71" s="1270"/>
    </row>
    <row r="72" spans="1:17" ht="15.75" customHeight="1">
      <c r="D72" s="520"/>
      <c r="E72" s="520"/>
      <c r="F72" s="520"/>
      <c r="G72" s="520"/>
      <c r="H72" s="520"/>
      <c r="I72" s="520"/>
      <c r="J72" s="520"/>
      <c r="K72" s="520"/>
      <c r="L72" s="520"/>
      <c r="M72" s="520"/>
      <c r="N72" s="520"/>
      <c r="O72" s="520"/>
      <c r="P72" s="520"/>
    </row>
    <row r="73" spans="1:17" ht="17.25" customHeight="1">
      <c r="A73" s="525" t="s">
        <v>1304</v>
      </c>
      <c r="B73" s="525"/>
      <c r="D73" s="1270" t="s">
        <v>1336</v>
      </c>
      <c r="E73" s="1270"/>
      <c r="F73" s="1270"/>
      <c r="G73" s="1270"/>
      <c r="H73" s="1270"/>
      <c r="I73" s="1270"/>
      <c r="J73" s="1270"/>
      <c r="K73" s="1270"/>
      <c r="L73" s="1270"/>
      <c r="M73" s="1270"/>
      <c r="N73" s="1270"/>
      <c r="O73" s="1270"/>
      <c r="P73" s="1270"/>
      <c r="Q73" s="1270"/>
    </row>
    <row r="74" spans="1:17" ht="16.5" customHeight="1">
      <c r="A74" s="546" t="s">
        <v>1314</v>
      </c>
      <c r="B74" s="546" t="s">
        <v>1314</v>
      </c>
      <c r="C74" s="546" t="s">
        <v>1314</v>
      </c>
      <c r="D74" s="1270"/>
      <c r="E74" s="1270"/>
      <c r="F74" s="1270"/>
      <c r="G74" s="1270"/>
      <c r="H74" s="1270"/>
      <c r="I74" s="1270"/>
      <c r="J74" s="1270"/>
      <c r="K74" s="1270"/>
      <c r="L74" s="1270"/>
      <c r="M74" s="1270"/>
      <c r="N74" s="1270"/>
      <c r="O74" s="1270"/>
      <c r="P74" s="1270"/>
      <c r="Q74" s="1270"/>
    </row>
    <row r="75" spans="1:17" ht="16.5" customHeight="1">
      <c r="A75" s="551"/>
      <c r="B75" s="551"/>
      <c r="C75" s="551"/>
      <c r="D75" s="1270"/>
      <c r="E75" s="1270"/>
      <c r="F75" s="1270"/>
      <c r="G75" s="1270"/>
      <c r="H75" s="1270"/>
      <c r="I75" s="1270"/>
      <c r="J75" s="1270"/>
      <c r="K75" s="1270"/>
      <c r="L75" s="1270"/>
      <c r="M75" s="1270"/>
      <c r="N75" s="1270"/>
      <c r="O75" s="1270"/>
      <c r="P75" s="1270"/>
      <c r="Q75" s="1270"/>
    </row>
    <row r="76" spans="1:17" ht="12.75" customHeight="1">
      <c r="A76" s="456"/>
      <c r="B76" s="456"/>
      <c r="D76" s="1270"/>
      <c r="E76" s="1270"/>
      <c r="F76" s="1270"/>
      <c r="G76" s="1270"/>
      <c r="H76" s="1270"/>
      <c r="I76" s="1270"/>
      <c r="J76" s="1270"/>
      <c r="K76" s="1270"/>
      <c r="L76" s="1270"/>
      <c r="M76" s="1270"/>
      <c r="N76" s="1270"/>
      <c r="O76" s="1270"/>
      <c r="P76" s="1270"/>
      <c r="Q76" s="1270"/>
    </row>
    <row r="77" spans="1:17" ht="12.75" customHeight="1">
      <c r="A77" s="456"/>
      <c r="B77" s="456"/>
      <c r="D77" s="1270"/>
      <c r="E77" s="1270"/>
      <c r="F77" s="1270"/>
      <c r="G77" s="1270"/>
      <c r="H77" s="1270"/>
      <c r="I77" s="1270"/>
      <c r="J77" s="1270"/>
      <c r="K77" s="1270"/>
      <c r="L77" s="1270"/>
      <c r="M77" s="1270"/>
      <c r="N77" s="1270"/>
      <c r="O77" s="1270"/>
      <c r="P77" s="1270"/>
      <c r="Q77" s="1270"/>
    </row>
    <row r="78" spans="1:17" ht="12.75" customHeight="1">
      <c r="A78" s="456"/>
      <c r="B78" s="456"/>
      <c r="D78" s="520"/>
      <c r="E78" s="520"/>
      <c r="F78" s="520"/>
      <c r="G78" s="520"/>
      <c r="H78" s="520"/>
      <c r="I78" s="520"/>
      <c r="J78" s="520"/>
      <c r="K78" s="520"/>
      <c r="L78" s="520"/>
      <c r="M78" s="520"/>
      <c r="N78" s="520"/>
      <c r="O78" s="520"/>
      <c r="P78" s="520"/>
    </row>
    <row r="79" spans="1:17" ht="14.25" customHeight="1">
      <c r="A79" s="525" t="s">
        <v>1315</v>
      </c>
      <c r="B79" s="525"/>
      <c r="D79" s="1270" t="s">
        <v>1338</v>
      </c>
      <c r="E79" s="1270"/>
      <c r="F79" s="1270"/>
      <c r="G79" s="1270"/>
      <c r="H79" s="1270"/>
      <c r="I79" s="1270"/>
      <c r="J79" s="1270"/>
      <c r="K79" s="1270"/>
      <c r="L79" s="1270"/>
      <c r="M79" s="1270"/>
      <c r="N79" s="1270"/>
      <c r="O79" s="1270"/>
      <c r="P79" s="1270"/>
      <c r="Q79" s="1270"/>
    </row>
    <row r="80" spans="1:17" ht="18" customHeight="1">
      <c r="A80" s="546" t="s">
        <v>1316</v>
      </c>
      <c r="B80" s="546" t="s">
        <v>1316</v>
      </c>
      <c r="C80" s="546" t="s">
        <v>1316</v>
      </c>
      <c r="D80" s="1270"/>
      <c r="E80" s="1270"/>
      <c r="F80" s="1270"/>
      <c r="G80" s="1270"/>
      <c r="H80" s="1270"/>
      <c r="I80" s="1270"/>
      <c r="J80" s="1270"/>
      <c r="K80" s="1270"/>
      <c r="L80" s="1270"/>
      <c r="M80" s="1270"/>
      <c r="N80" s="1270"/>
      <c r="O80" s="1270"/>
      <c r="P80" s="1270"/>
      <c r="Q80" s="1270"/>
    </row>
    <row r="81" spans="1:17" ht="18" customHeight="1">
      <c r="A81" s="551"/>
      <c r="B81" s="551"/>
      <c r="C81" s="551"/>
      <c r="D81" s="1270"/>
      <c r="E81" s="1270"/>
      <c r="F81" s="1270"/>
      <c r="G81" s="1270"/>
      <c r="H81" s="1270"/>
      <c r="I81" s="1270"/>
      <c r="J81" s="1270"/>
      <c r="K81" s="1270"/>
      <c r="L81" s="1270"/>
      <c r="M81" s="1270"/>
      <c r="N81" s="1270"/>
      <c r="O81" s="1270"/>
      <c r="P81" s="1270"/>
      <c r="Q81" s="1270"/>
    </row>
    <row r="82" spans="1:17" ht="18" customHeight="1">
      <c r="A82" s="551"/>
      <c r="B82" s="551"/>
      <c r="C82" s="551"/>
      <c r="D82" s="1270"/>
      <c r="E82" s="1270"/>
      <c r="F82" s="1270"/>
      <c r="G82" s="1270"/>
      <c r="H82" s="1270"/>
      <c r="I82" s="1270"/>
      <c r="J82" s="1270"/>
      <c r="K82" s="1270"/>
      <c r="L82" s="1270"/>
      <c r="M82" s="1270"/>
      <c r="N82" s="1270"/>
      <c r="O82" s="1270"/>
      <c r="P82" s="1270"/>
      <c r="Q82" s="1270"/>
    </row>
    <row r="83" spans="1:17" ht="18" customHeight="1">
      <c r="A83" s="551"/>
      <c r="B83" s="551"/>
      <c r="C83" s="551"/>
      <c r="D83" s="1270"/>
      <c r="E83" s="1270"/>
      <c r="F83" s="1270"/>
      <c r="G83" s="1270"/>
      <c r="H83" s="1270"/>
      <c r="I83" s="1270"/>
      <c r="J83" s="1270"/>
      <c r="K83" s="1270"/>
      <c r="L83" s="1270"/>
      <c r="M83" s="1270"/>
      <c r="N83" s="1270"/>
      <c r="O83" s="1270"/>
      <c r="P83" s="1270"/>
      <c r="Q83" s="1270"/>
    </row>
    <row r="84" spans="1:17" ht="24" customHeight="1">
      <c r="A84" s="456"/>
      <c r="B84" s="456"/>
      <c r="D84" s="1270"/>
      <c r="E84" s="1270"/>
      <c r="F84" s="1270"/>
      <c r="G84" s="1270"/>
      <c r="H84" s="1270"/>
      <c r="I84" s="1270"/>
      <c r="J84" s="1270"/>
      <c r="K84" s="1270"/>
      <c r="L84" s="1270"/>
      <c r="M84" s="1270"/>
      <c r="N84" s="1270"/>
      <c r="O84" s="1270"/>
      <c r="P84" s="1270"/>
      <c r="Q84" s="1270"/>
    </row>
    <row r="85" spans="1:17" ht="14.25">
      <c r="A85" s="456"/>
      <c r="B85" s="456"/>
    </row>
    <row r="86" spans="1:17" ht="14.25">
      <c r="A86" s="456"/>
      <c r="B86" s="456"/>
    </row>
    <row r="88" spans="1:17" ht="14.25">
      <c r="D88" s="521" t="s">
        <v>1298</v>
      </c>
    </row>
    <row r="89" spans="1:17" ht="14.25">
      <c r="D89" s="521"/>
    </row>
    <row r="90" spans="1:17" ht="14.25">
      <c r="D90" s="522" t="s">
        <v>2230</v>
      </c>
    </row>
    <row r="91" spans="1:17" ht="14.25">
      <c r="D91" s="522" t="s">
        <v>1833</v>
      </c>
    </row>
    <row r="92" spans="1:17" ht="14.25">
      <c r="D92" s="522" t="s">
        <v>160</v>
      </c>
    </row>
    <row r="93" spans="1:17" ht="14.25">
      <c r="D93" s="522" t="s">
        <v>1299</v>
      </c>
    </row>
    <row r="94" spans="1:17" ht="14.25">
      <c r="D94" s="522" t="s">
        <v>1300</v>
      </c>
    </row>
    <row r="95" spans="1:17" ht="14.25">
      <c r="D95" s="522" t="s">
        <v>2231</v>
      </c>
    </row>
    <row r="96" spans="1:17">
      <c r="D96" s="523" t="s">
        <v>2232</v>
      </c>
    </row>
    <row r="97" spans="1:16" ht="14.25">
      <c r="D97" s="524"/>
    </row>
    <row r="106" spans="1:16" ht="15" customHeight="1">
      <c r="A106" s="66" t="s">
        <v>1339</v>
      </c>
    </row>
    <row r="107" spans="1:16" ht="15" customHeight="1"/>
    <row r="108" spans="1:16" ht="15" customHeight="1">
      <c r="A108" s="555" t="s">
        <v>1340</v>
      </c>
      <c r="B108" s="555" t="s">
        <v>1341</v>
      </c>
      <c r="C108" s="555"/>
      <c r="D108" s="258" t="s">
        <v>1342</v>
      </c>
      <c r="E108" s="555" t="s">
        <v>1343</v>
      </c>
      <c r="F108" s="555"/>
      <c r="G108" s="555"/>
      <c r="H108" s="555"/>
      <c r="I108" s="555"/>
      <c r="J108" s="555"/>
      <c r="K108" s="555"/>
      <c r="L108" s="555"/>
      <c r="M108" s="555"/>
      <c r="N108" s="555"/>
      <c r="O108" s="555"/>
      <c r="P108" s="555"/>
    </row>
    <row r="109" spans="1:16" ht="15" customHeight="1">
      <c r="B109" s="216"/>
    </row>
    <row r="110" spans="1:16" s="1044" customFormat="1" ht="15" customHeight="1">
      <c r="A110" s="590">
        <v>43955</v>
      </c>
      <c r="B110" s="834" t="s">
        <v>2055</v>
      </c>
      <c r="D110" s="1044" t="s">
        <v>1346</v>
      </c>
      <c r="E110" s="1044" t="s">
        <v>2056</v>
      </c>
      <c r="O110" s="1044" t="s">
        <v>1423</v>
      </c>
    </row>
    <row r="111" spans="1:16" s="1044" customFormat="1" ht="15" customHeight="1">
      <c r="A111" s="1044" t="s">
        <v>2009</v>
      </c>
      <c r="B111" s="834" t="s">
        <v>2007</v>
      </c>
      <c r="D111" s="1044" t="s">
        <v>1346</v>
      </c>
      <c r="E111" s="1044" t="s">
        <v>2010</v>
      </c>
      <c r="O111" s="1044" t="s">
        <v>1423</v>
      </c>
    </row>
    <row r="112" spans="1:16" s="1044" customFormat="1" ht="15" customHeight="1">
      <c r="A112" s="590">
        <v>43234</v>
      </c>
      <c r="B112" s="834" t="s">
        <v>1936</v>
      </c>
      <c r="D112" s="1044" t="s">
        <v>1346</v>
      </c>
      <c r="E112" s="1044" t="s">
        <v>2008</v>
      </c>
      <c r="O112" s="1044" t="s">
        <v>1423</v>
      </c>
    </row>
    <row r="113" spans="1:15" ht="15" customHeight="1">
      <c r="A113" s="590">
        <v>42606</v>
      </c>
      <c r="B113" s="216" t="s">
        <v>1834</v>
      </c>
      <c r="D113" t="s">
        <v>1835</v>
      </c>
      <c r="E113" t="s">
        <v>1836</v>
      </c>
      <c r="O113" t="s">
        <v>1423</v>
      </c>
    </row>
    <row r="114" spans="1:15" ht="15" customHeight="1">
      <c r="A114" s="590">
        <v>42088</v>
      </c>
      <c r="B114" s="216" t="s">
        <v>1640</v>
      </c>
      <c r="D114" t="s">
        <v>1272</v>
      </c>
      <c r="E114" t="s">
        <v>1659</v>
      </c>
      <c r="O114" t="s">
        <v>1423</v>
      </c>
    </row>
    <row r="115" spans="1:15" ht="15" customHeight="1">
      <c r="A115" s="590">
        <v>42088</v>
      </c>
      <c r="B115" s="216" t="s">
        <v>1640</v>
      </c>
      <c r="D115" t="s">
        <v>1642</v>
      </c>
      <c r="E115" t="s">
        <v>1643</v>
      </c>
      <c r="O115" t="s">
        <v>1423</v>
      </c>
    </row>
    <row r="116" spans="1:15" ht="15" customHeight="1">
      <c r="A116" s="590">
        <v>42088</v>
      </c>
      <c r="B116" s="216" t="s">
        <v>1640</v>
      </c>
      <c r="D116" t="s">
        <v>1272</v>
      </c>
      <c r="E116" t="s">
        <v>1641</v>
      </c>
      <c r="O116" t="s">
        <v>1423</v>
      </c>
    </row>
    <row r="117" spans="1:15" ht="15" customHeight="1">
      <c r="B117" s="216" t="s">
        <v>1519</v>
      </c>
      <c r="D117" t="s">
        <v>1272</v>
      </c>
      <c r="E117" t="s">
        <v>1520</v>
      </c>
      <c r="O117" t="s">
        <v>1423</v>
      </c>
    </row>
    <row r="118" spans="1:15" ht="15" customHeight="1">
      <c r="B118" s="216"/>
    </row>
    <row r="119" spans="1:15" ht="15" customHeight="1">
      <c r="A119" s="590">
        <v>41814</v>
      </c>
      <c r="B119" s="216">
        <v>28</v>
      </c>
      <c r="D119" t="s">
        <v>1272</v>
      </c>
      <c r="E119" t="s">
        <v>1424</v>
      </c>
      <c r="O119" t="s">
        <v>1423</v>
      </c>
    </row>
    <row r="120" spans="1:15" ht="15" customHeight="1">
      <c r="B120" s="216"/>
      <c r="F120" t="s">
        <v>1421</v>
      </c>
    </row>
    <row r="121" spans="1:15" ht="15" customHeight="1">
      <c r="B121" s="216"/>
      <c r="F121" t="s">
        <v>1422</v>
      </c>
    </row>
    <row r="122" spans="1:15" ht="15" customHeight="1">
      <c r="B122" s="216"/>
      <c r="F122" t="s">
        <v>1660</v>
      </c>
    </row>
    <row r="123" spans="1:15" ht="15" customHeight="1">
      <c r="B123" s="216"/>
      <c r="F123" t="s">
        <v>1661</v>
      </c>
    </row>
    <row r="124" spans="1:15" ht="15" customHeight="1">
      <c r="B124" s="216"/>
      <c r="E124" t="s">
        <v>1472</v>
      </c>
    </row>
    <row r="125" spans="1:15" ht="15" customHeight="1">
      <c r="B125" s="216"/>
    </row>
    <row r="126" spans="1:15" ht="15" customHeight="1">
      <c r="A126" t="s">
        <v>1344</v>
      </c>
      <c r="B126" s="556" t="s">
        <v>1345</v>
      </c>
      <c r="D126" t="s">
        <v>1346</v>
      </c>
      <c r="E126" t="s">
        <v>1347</v>
      </c>
      <c r="O126" t="s">
        <v>1423</v>
      </c>
    </row>
    <row r="127" spans="1:15" ht="15" customHeight="1">
      <c r="A127" t="s">
        <v>1348</v>
      </c>
      <c r="B127" s="216"/>
    </row>
    <row r="128" spans="1:15" ht="15" customHeight="1">
      <c r="B128" s="216"/>
    </row>
  </sheetData>
  <mergeCells count="16">
    <mergeCell ref="E3:M3"/>
    <mergeCell ref="A39:C39"/>
    <mergeCell ref="D42:Q43"/>
    <mergeCell ref="D48:Q50"/>
    <mergeCell ref="D13:Q30"/>
    <mergeCell ref="D34:Q35"/>
    <mergeCell ref="D6:Q6"/>
    <mergeCell ref="D45:Q46"/>
    <mergeCell ref="D4:N4"/>
    <mergeCell ref="D52:Q53"/>
    <mergeCell ref="D63:Q66"/>
    <mergeCell ref="D68:Q71"/>
    <mergeCell ref="D73:Q77"/>
    <mergeCell ref="D79:Q84"/>
    <mergeCell ref="D55:Q57"/>
    <mergeCell ref="D59:Q61"/>
  </mergeCells>
  <dataValidations count="1">
    <dataValidation type="list" allowBlank="1" showInputMessage="1" showErrorMessage="1" sqref="F8" xr:uid="{00000000-0002-0000-0000-000000000000}">
      <formula1>"2000-2001,2002-2003,2004-2005,2006-2007,2008-2009,2010-2011,2012-2013,2014-2015,2016-2017,2018-2019,2020-2021"</formula1>
    </dataValidation>
  </dataValidations>
  <hyperlinks>
    <hyperlink ref="A43" location="'Summary - Dollars'!A5:A39" display="Table 1" xr:uid="{00000000-0004-0000-0000-000000000000}"/>
    <hyperlink ref="A46" location="'Summary - Dollars'!A40:A75" display="Table 2" xr:uid="{00000000-0004-0000-0000-000001000000}"/>
    <hyperlink ref="A49" location="'Summary - Dollars'!A77:A244" display="Table 3" xr:uid="{00000000-0004-0000-0000-000002000000}"/>
    <hyperlink ref="A53" location="'Summary - Dollars'!A247:A275" display="Table 4" xr:uid="{00000000-0004-0000-0000-000003000000}"/>
    <hyperlink ref="A57" location="'Summary - Dollars'!A277:A311" display="Table 5" xr:uid="{00000000-0004-0000-0000-000004000000}"/>
    <hyperlink ref="A61" location="'Summary - Dollars'!A313:A347" display="Table 6" xr:uid="{00000000-0004-0000-0000-000005000000}"/>
    <hyperlink ref="A64" location="'Summary - Dollars'!A349:A442" display="Table 7" xr:uid="{00000000-0004-0000-0000-000006000000}"/>
    <hyperlink ref="A69" location="'Summary - Dollars'!A443:A520" display="Table 8" xr:uid="{00000000-0004-0000-0000-000007000000}"/>
    <hyperlink ref="A74" location="'Summary - Dollars'!A521:A610" display="Table 9" xr:uid="{00000000-0004-0000-0000-000008000000}"/>
    <hyperlink ref="A80" location="'Summary - Dollars'!A611:A651" display="Table 10" xr:uid="{00000000-0004-0000-0000-000009000000}"/>
    <hyperlink ref="B43" location="'Summary - Millions'!A5:A39" display="Table 1" xr:uid="{00000000-0004-0000-0000-00000A000000}"/>
    <hyperlink ref="C43" location="'Biennia History'!A5:A39" display="Table 1" xr:uid="{00000000-0004-0000-0000-00000B000000}"/>
    <hyperlink ref="B46" location="'Summary - Millions'!A40:A75" display="Table 2" xr:uid="{00000000-0004-0000-0000-00000C000000}"/>
    <hyperlink ref="C46" location="'Biennia History'!A40:A75" display="Table 2" xr:uid="{00000000-0004-0000-0000-00000D000000}"/>
    <hyperlink ref="B49" location="'Summary - Millions'!A77:A244" display="Table 3" xr:uid="{00000000-0004-0000-0000-00000E000000}"/>
    <hyperlink ref="C49" location="'Biennia History'!A77:A244" display="Table 3" xr:uid="{00000000-0004-0000-0000-00000F000000}"/>
    <hyperlink ref="B53" location="'Summary - Millions'!A247:A275" display="Table 4" xr:uid="{00000000-0004-0000-0000-000010000000}"/>
    <hyperlink ref="C53" location="'Biennia History'!A247:A275" display="Table 4" xr:uid="{00000000-0004-0000-0000-000011000000}"/>
    <hyperlink ref="B57" location="'Summary - Millions'!A277:A311" display="Table 5" xr:uid="{00000000-0004-0000-0000-000012000000}"/>
    <hyperlink ref="C57" location="'Biennia History'!A277:A311" display="Table 5" xr:uid="{00000000-0004-0000-0000-000013000000}"/>
    <hyperlink ref="B61" location="'Summary - Millions'!A313:A347" display="Table 6" xr:uid="{00000000-0004-0000-0000-000014000000}"/>
    <hyperlink ref="C61" location="'Biennia History'!A313:A347" display="Table 6" xr:uid="{00000000-0004-0000-0000-000015000000}"/>
    <hyperlink ref="B64" location="'Summary - Millions'!A349:A442" display="Table 7" xr:uid="{00000000-0004-0000-0000-000016000000}"/>
    <hyperlink ref="C64" location="'Biennia History'!A349:A442" display="Table 7" xr:uid="{00000000-0004-0000-0000-000017000000}"/>
    <hyperlink ref="B69" location="'Summary - Millions'!A443:A520" display="Table 8" xr:uid="{00000000-0004-0000-0000-000018000000}"/>
    <hyperlink ref="C69" location="'Biennia History'!A443:A520" display="Table 8" xr:uid="{00000000-0004-0000-0000-000019000000}"/>
    <hyperlink ref="B74" location="'Summary - Millions'!A521:A610" display="Table 9" xr:uid="{00000000-0004-0000-0000-00001A000000}"/>
    <hyperlink ref="C74" location="'Biennia History'!A521:A610" display="Table 9" xr:uid="{00000000-0004-0000-0000-00001B000000}"/>
    <hyperlink ref="B80" location="'Summary - Millions'!A611:A651" display="Table 10" xr:uid="{00000000-0004-0000-0000-00001C000000}"/>
    <hyperlink ref="C80" location="'Biennia History'!A611:A651" display="Table 10" xr:uid="{00000000-0004-0000-0000-00001D000000}"/>
    <hyperlink ref="A8" location="Start!A39:A82" display="Index" xr:uid="{00000000-0004-0000-0000-00001E000000}"/>
    <hyperlink ref="D96" r:id="rId1" xr:uid="{899122DF-3798-490A-ADBF-9A7D3E83FFDA}"/>
  </hyperlinks>
  <pageMargins left="0.2" right="0.2" top="0.5" bottom="0.25" header="0.3" footer="0.3"/>
  <pageSetup scale="87" fitToHeight="0" orientation="landscape"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36"/>
  <sheetViews>
    <sheetView showGridLines="0" topLeftCell="A184" workbookViewId="0">
      <selection activeCell="G198" sqref="G198"/>
    </sheetView>
  </sheetViews>
  <sheetFormatPr defaultColWidth="9.140625" defaultRowHeight="12.75"/>
  <cols>
    <col min="1" max="1" width="36.42578125" style="697" customWidth="1"/>
    <col min="2" max="2" width="17.28515625" style="697" customWidth="1"/>
    <col min="3" max="3" width="17.42578125" style="697" customWidth="1"/>
    <col min="4" max="4" width="16.28515625" style="697" customWidth="1"/>
    <col min="5" max="5" width="3.7109375" style="697" customWidth="1"/>
    <col min="6" max="6" width="3.28515625" style="751" customWidth="1"/>
    <col min="7" max="7" width="17" style="697" customWidth="1"/>
    <col min="8" max="8" width="31.85546875" style="697" customWidth="1"/>
    <col min="9" max="9" width="16.28515625" style="697" customWidth="1"/>
    <col min="10" max="10" width="15.85546875" style="697" customWidth="1"/>
    <col min="11" max="11" width="2" style="697" customWidth="1"/>
    <col min="12" max="12" width="38.7109375" style="697" customWidth="1"/>
    <col min="13" max="13" width="14" style="697" customWidth="1"/>
    <col min="14" max="14" width="14.42578125" style="697" customWidth="1"/>
    <col min="15" max="16384" width="9.140625" style="697"/>
  </cols>
  <sheetData>
    <row r="1" spans="1:10" ht="18">
      <c r="A1" s="697" t="s">
        <v>1803</v>
      </c>
      <c r="B1" s="754" t="s">
        <v>2</v>
      </c>
      <c r="F1" s="751" t="s">
        <v>1804</v>
      </c>
      <c r="H1" s="697" t="s">
        <v>1802</v>
      </c>
    </row>
    <row r="2" spans="1:10">
      <c r="H2" s="1357" t="s">
        <v>18</v>
      </c>
      <c r="I2" s="1358"/>
      <c r="J2" s="1359"/>
    </row>
    <row r="3" spans="1:10">
      <c r="A3" s="753" t="s">
        <v>1306</v>
      </c>
      <c r="B3" s="752" t="str">
        <f>'Summary - Dollars'!E62</f>
        <v>2020</v>
      </c>
      <c r="C3" s="752">
        <f>'Summary - Dollars'!F62</f>
        <v>2021</v>
      </c>
      <c r="I3" s="752" t="str">
        <f>B3</f>
        <v>2020</v>
      </c>
      <c r="J3" s="752">
        <f>C3</f>
        <v>2021</v>
      </c>
    </row>
    <row r="4" spans="1:10">
      <c r="A4" s="79" t="s">
        <v>19</v>
      </c>
      <c r="B4" s="750">
        <f>'Summary - Dollars'!E63</f>
        <v>32530797778</v>
      </c>
      <c r="C4" s="749">
        <f>'Summary - Dollars'!F63</f>
        <v>32081980785</v>
      </c>
      <c r="D4" s="721">
        <f>I4+M4</f>
        <v>32530797778</v>
      </c>
      <c r="E4" s="721">
        <f>B4-D4</f>
        <v>0</v>
      </c>
      <c r="F4" s="766">
        <f>C4-G4</f>
        <v>0</v>
      </c>
      <c r="G4" s="721">
        <f>J4+N4</f>
        <v>32081980785</v>
      </c>
      <c r="H4" s="719" t="s">
        <v>19</v>
      </c>
      <c r="I4" s="742">
        <f>(INDEX(Data!30:30,1,'Summary - Dollars'!$U$1)-INDEX(Data!1211:1211,1,$W$1))</f>
        <v>32530797778</v>
      </c>
      <c r="J4" s="742">
        <f>(INDEX(Data!30:30,1,'Summary - Dollars'!$U$1+1)-INDEX(Data!1211:1211,1,$W$1+1))</f>
        <v>32081980785</v>
      </c>
    </row>
    <row r="5" spans="1:10">
      <c r="A5" s="79" t="s">
        <v>773</v>
      </c>
      <c r="B5" s="706">
        <f>'Summary - Dollars'!E64</f>
        <v>0</v>
      </c>
      <c r="C5" s="705">
        <f>'Summary - Dollars'!F64</f>
        <v>0</v>
      </c>
      <c r="H5" s="719" t="s">
        <v>20</v>
      </c>
      <c r="I5" s="715">
        <f>(INDEX(Data!31:31,1,'Summary - Dollars'!$U$1)-INDEX(Data!1212:1212,1,$W$1))</f>
        <v>0</v>
      </c>
      <c r="J5" s="745">
        <f>(INDEX(Data!31:31,1,'Summary - Dollars'!$U$1+1)-INDEX(Data!1212:1212,1,$W$1+1))</f>
        <v>0</v>
      </c>
    </row>
    <row r="6" spans="1:10" ht="25.5">
      <c r="A6" s="79" t="s">
        <v>774</v>
      </c>
      <c r="B6" s="748">
        <f>'Summary - Dollars'!E65</f>
        <v>24229502</v>
      </c>
      <c r="C6" s="747">
        <f>'Summary - Dollars'!F65</f>
        <v>24054504</v>
      </c>
      <c r="D6" s="721">
        <f t="shared" ref="D6:D7" si="0">I6+M6</f>
        <v>24229502</v>
      </c>
      <c r="E6" s="721">
        <f t="shared" ref="E6:E7" si="1">B6-D6</f>
        <v>0</v>
      </c>
      <c r="F6" s="766">
        <f t="shared" ref="F6:F7" si="2">C6-G6</f>
        <v>0</v>
      </c>
      <c r="G6" s="721">
        <f t="shared" ref="G6:G7" si="3">J6+N6</f>
        <v>24054504</v>
      </c>
      <c r="H6" s="719" t="s">
        <v>21</v>
      </c>
      <c r="I6" s="742">
        <f>(INDEX(Data!32:32,1,'Summary - Dollars'!$U$1)-INDEX(Data!1213:1213,1,$W$1))</f>
        <v>24229502</v>
      </c>
      <c r="J6" s="742">
        <f>(INDEX(Data!32:32,1,'Summary - Dollars'!$U$1+1)-INDEX(Data!1213:1213,1,$W$1+1))</f>
        <v>24054504</v>
      </c>
    </row>
    <row r="7" spans="1:10">
      <c r="A7" s="79" t="s">
        <v>775</v>
      </c>
      <c r="B7" s="748">
        <f>'Summary - Dollars'!E66</f>
        <v>35108592</v>
      </c>
      <c r="C7" s="747">
        <f>'Summary - Dollars'!F66</f>
        <v>30115019</v>
      </c>
      <c r="D7" s="721">
        <f t="shared" si="0"/>
        <v>35108592</v>
      </c>
      <c r="E7" s="721">
        <f t="shared" si="1"/>
        <v>0</v>
      </c>
      <c r="F7" s="766">
        <f t="shared" si="2"/>
        <v>0</v>
      </c>
      <c r="G7" s="721">
        <f t="shared" si="3"/>
        <v>30115019</v>
      </c>
      <c r="H7" s="719" t="s">
        <v>22</v>
      </c>
      <c r="I7" s="742">
        <f>(INDEX(Data!33:33,1,'Summary - Dollars'!$U$1)-INDEX(Data!1214:1214,1,$W$1))</f>
        <v>35108592</v>
      </c>
      <c r="J7" s="742">
        <f>(INDEX(Data!33:33,1,'Summary - Dollars'!$U$1+1)-INDEX(Data!1214:1214,1,$W$1+1))</f>
        <v>30115019</v>
      </c>
    </row>
    <row r="8" spans="1:10">
      <c r="A8" s="104" t="s">
        <v>776</v>
      </c>
      <c r="B8" s="746">
        <f>'Summary - Dollars'!E67</f>
        <v>32590135872</v>
      </c>
      <c r="C8" s="746">
        <f>'Summary - Dollars'!F67</f>
        <v>32136150308</v>
      </c>
      <c r="H8" s="719" t="s">
        <v>23</v>
      </c>
      <c r="I8" s="715">
        <f>(INDEX(Data!34:34,1,'Summary - Dollars'!$U$1)-INDEX(Data!1215:1215,1,$W$1))</f>
        <v>0</v>
      </c>
      <c r="J8" s="745">
        <f>(INDEX(Data!34:34,1,'Summary - Dollars'!$U$1+1)-INDEX(Data!1215:1215,1,$W$1+1))</f>
        <v>0</v>
      </c>
    </row>
    <row r="9" spans="1:10" ht="25.5">
      <c r="A9" s="104" t="s">
        <v>777</v>
      </c>
      <c r="B9" s="744">
        <f>'Summary - Dollars'!E68</f>
        <v>0</v>
      </c>
      <c r="C9" s="743">
        <f>'Summary - Dollars'!F68</f>
        <v>0</v>
      </c>
      <c r="H9" s="719" t="s">
        <v>24</v>
      </c>
      <c r="I9" s="742">
        <f>(INDEX(Data!35:35,1,'Summary - Dollars'!$U$1)-INDEX(Data!1216:1216,1,$W$1))</f>
        <v>3080092561</v>
      </c>
      <c r="J9" s="742">
        <f>(INDEX(Data!35:35,1,'Summary - Dollars'!$U$1+1)-INDEX(Data!1216:1216,1,$W$1+1))</f>
        <v>2947654690</v>
      </c>
    </row>
    <row r="10" spans="1:10">
      <c r="A10" s="92" t="s">
        <v>778</v>
      </c>
      <c r="B10" s="741">
        <f>'Summary - Dollars'!E69</f>
        <v>3080092561</v>
      </c>
      <c r="C10" s="740">
        <f>'Summary - Dollars'!F69</f>
        <v>2947654690</v>
      </c>
      <c r="D10" s="721">
        <f>I9+M10</f>
        <v>3080092561</v>
      </c>
      <c r="E10" s="721">
        <f t="shared" ref="E10:E15" si="4">B10-D10</f>
        <v>0</v>
      </c>
      <c r="F10" s="766">
        <f t="shared" ref="F10:F15" si="5">C10-G10</f>
        <v>0</v>
      </c>
      <c r="G10" s="721">
        <f>J9+N10</f>
        <v>2947654690</v>
      </c>
      <c r="H10" s="719" t="s">
        <v>25</v>
      </c>
      <c r="I10" s="742">
        <f>(INDEX(Data!36:36,1,'Summary - Dollars'!$U$1)-INDEX(Data!1217:1217,1,$W$1))</f>
        <v>148494976</v>
      </c>
      <c r="J10" s="742">
        <f>(INDEX(Data!36:36,1,'Summary - Dollars'!$U$1+1)-INDEX(Data!1217:1217,1,$W$1+1))</f>
        <v>148310267</v>
      </c>
    </row>
    <row r="11" spans="1:10">
      <c r="A11" s="92" t="s">
        <v>25</v>
      </c>
      <c r="B11" s="741">
        <f>'Summary - Dollars'!E70</f>
        <v>148494976</v>
      </c>
      <c r="C11" s="740">
        <f>'Summary - Dollars'!F70</f>
        <v>148310267</v>
      </c>
      <c r="D11" s="721">
        <f>I10+M11</f>
        <v>148494976</v>
      </c>
      <c r="E11" s="721">
        <f t="shared" si="4"/>
        <v>0</v>
      </c>
      <c r="F11" s="766">
        <f t="shared" si="5"/>
        <v>0</v>
      </c>
      <c r="G11" s="721">
        <f>J10+N11</f>
        <v>148310267</v>
      </c>
      <c r="H11" s="723" t="s">
        <v>26</v>
      </c>
      <c r="I11" s="722">
        <f>(INDEX(Data!37:37,1,'Summary - Dollars'!$U$1)-INDEX(Data!1218:1218,1,$W$1))</f>
        <v>708935833</v>
      </c>
      <c r="J11" s="722">
        <f>(INDEX(Data!37:37,1,'Summary - Dollars'!$U$1+1)-INDEX(Data!1218:1218,1,$W$1+1))</f>
        <v>708935830</v>
      </c>
    </row>
    <row r="12" spans="1:10">
      <c r="A12" s="92" t="s">
        <v>779</v>
      </c>
      <c r="B12" s="739">
        <f>'Summary - Dollars'!E71</f>
        <v>392757209</v>
      </c>
      <c r="C12" s="738">
        <f>'Summary - Dollars'!F71</f>
        <v>400475859</v>
      </c>
      <c r="D12" s="721">
        <f>I105</f>
        <v>392757209</v>
      </c>
      <c r="E12" s="721">
        <f t="shared" si="4"/>
        <v>0</v>
      </c>
      <c r="F12" s="766">
        <f t="shared" si="5"/>
        <v>0</v>
      </c>
      <c r="G12" s="721">
        <f>J105</f>
        <v>400475859</v>
      </c>
      <c r="H12" s="714" t="s">
        <v>27</v>
      </c>
      <c r="I12" s="713">
        <f>(INDEX(Data!38:38,1,'Summary - Dollars'!$U$1)-INDEX(Data!1219:1219,1,$W$1))</f>
        <v>898587780</v>
      </c>
      <c r="J12" s="713">
        <f>(INDEX(Data!38:38,1,'Summary - Dollars'!$U$1+1)-INDEX(Data!1219:1219,1,$W$1+1))</f>
        <v>890536019</v>
      </c>
    </row>
    <row r="13" spans="1:10">
      <c r="A13" s="112" t="s">
        <v>780</v>
      </c>
      <c r="B13" s="739">
        <f>'Summary - Dollars'!E72</f>
        <v>7228252</v>
      </c>
      <c r="C13" s="738">
        <f>'Summary - Dollars'!F72</f>
        <v>7933400</v>
      </c>
      <c r="D13" s="721">
        <f>I108</f>
        <v>7228252</v>
      </c>
      <c r="E13" s="721">
        <f t="shared" si="4"/>
        <v>0</v>
      </c>
      <c r="F13" s="766">
        <f t="shared" si="5"/>
        <v>0</v>
      </c>
      <c r="G13" s="721">
        <f>J108</f>
        <v>7933400</v>
      </c>
      <c r="H13" s="719" t="s">
        <v>28</v>
      </c>
      <c r="I13" s="715">
        <f>(INDEX(Data!39:39,1,'Summary - Dollars'!$U$1)-INDEX(Data!1220:1220,1,$W$1))</f>
        <v>393750000</v>
      </c>
      <c r="J13" s="715">
        <f>(INDEX(Data!39:39,1,'Summary - Dollars'!$U$1+1)-INDEX(Data!1220:1220,1,$W$1+1))</f>
        <v>393750000</v>
      </c>
    </row>
    <row r="14" spans="1:10">
      <c r="A14" s="104" t="s">
        <v>781</v>
      </c>
      <c r="B14" s="712">
        <f>'Summary - Dollars'!E73</f>
        <v>3628572998</v>
      </c>
      <c r="C14" s="711">
        <f>'Summary - Dollars'!F73</f>
        <v>3504374216</v>
      </c>
      <c r="H14" s="707"/>
      <c r="I14" s="716"/>
      <c r="J14" s="716"/>
    </row>
    <row r="15" spans="1:10" ht="25.5">
      <c r="A15" s="112" t="s">
        <v>1666</v>
      </c>
      <c r="B15" s="739">
        <f>'Summary - Dollars'!E251</f>
        <v>23832436</v>
      </c>
      <c r="C15" s="738">
        <f>'Summary - Dollars'!F251</f>
        <v>24004638</v>
      </c>
      <c r="D15" s="721">
        <f>I18</f>
        <v>23832436</v>
      </c>
      <c r="E15" s="721">
        <f t="shared" si="4"/>
        <v>0</v>
      </c>
      <c r="F15" s="766">
        <f t="shared" si="5"/>
        <v>0</v>
      </c>
      <c r="G15" s="721">
        <f>J18</f>
        <v>24004638</v>
      </c>
      <c r="H15" s="725" t="s">
        <v>1428</v>
      </c>
      <c r="I15" s="715">
        <f>(INDEX(Data!40:40,1,'Summary - Dollars'!$U$1)-INDEX(Data!1222:1222,1,$W$1))</f>
        <v>10076703</v>
      </c>
      <c r="J15" s="715">
        <f>(INDEX(Data!40:40,1,'Summary - Dollars'!$U$1+1)-INDEX(Data!1222:1222,1,$W$1+1))</f>
        <v>9422643</v>
      </c>
    </row>
    <row r="16" spans="1:10">
      <c r="A16" s="113" t="s">
        <v>782</v>
      </c>
      <c r="B16" s="704">
        <f>'Summary - Dollars'!E74</f>
        <v>11709274239</v>
      </c>
      <c r="C16" s="703">
        <f>'Summary - Dollars'!F74</f>
        <v>12333413225</v>
      </c>
      <c r="H16" s="719" t="s">
        <v>29</v>
      </c>
      <c r="I16" s="715">
        <f>(INDEX(Data!41:41,1,'Summary - Dollars'!$U$1)-INDEX(Data!1223:1223,1,$W$1))</f>
        <v>1167638000</v>
      </c>
      <c r="J16" s="715">
        <f>(INDEX(Data!41:41,1,'Summary - Dollars'!$U$1+1)-INDEX(Data!1223:1223,1,$W$1+1))</f>
        <v>1217095000</v>
      </c>
    </row>
    <row r="17" spans="1:14" ht="13.5" thickBot="1">
      <c r="A17" s="95" t="s">
        <v>783</v>
      </c>
      <c r="B17" s="737">
        <f>'Summary - Dollars'!E75</f>
        <v>47927983109</v>
      </c>
      <c r="C17" s="736">
        <f>'Summary - Dollars'!F75</f>
        <v>47973937749</v>
      </c>
      <c r="H17" s="719" t="s">
        <v>30</v>
      </c>
      <c r="I17" s="715">
        <f>(INDEX(Data!42:42,1,'Summary - Dollars'!$U$1)-INDEX(Data!1224:1224,1,$W$1))</f>
        <v>24680472</v>
      </c>
      <c r="J17" s="715">
        <f>(INDEX(Data!42:42,1,'Summary - Dollars'!$U$1+1)-INDEX(Data!1224:1224,1,$W$1+1))</f>
        <v>25545062</v>
      </c>
    </row>
    <row r="18" spans="1:14">
      <c r="H18" s="707" t="s">
        <v>1666</v>
      </c>
      <c r="I18" s="715">
        <f>(INDEX(Data!43:43,1,'Summary - Dollars'!$U$1)-INDEX(Data!1225:1225,1,$W$1))</f>
        <v>23832436</v>
      </c>
      <c r="J18" s="715">
        <f>(INDEX(Data!43:43,1,'Summary - Dollars'!$U$1+1)-INDEX(Data!1225:1225,1,$W$1+1))</f>
        <v>24004638</v>
      </c>
    </row>
    <row r="19" spans="1:14">
      <c r="B19" s="720">
        <f>I111-B17</f>
        <v>0</v>
      </c>
      <c r="C19" s="720">
        <f>J111-C17</f>
        <v>0</v>
      </c>
      <c r="H19" s="707"/>
      <c r="I19" s="715"/>
      <c r="J19" s="715"/>
    </row>
    <row r="20" spans="1:14">
      <c r="H20" s="707"/>
      <c r="I20" s="715"/>
      <c r="J20" s="715"/>
    </row>
    <row r="21" spans="1:14">
      <c r="B21" s="720"/>
      <c r="H21" s="707"/>
      <c r="I21" s="715"/>
      <c r="J21" s="715"/>
    </row>
    <row r="22" spans="1:14">
      <c r="B22" s="1097"/>
      <c r="H22" s="707"/>
      <c r="I22" s="715"/>
      <c r="J22" s="715"/>
    </row>
    <row r="23" spans="1:14">
      <c r="H23" s="707"/>
      <c r="I23" s="715"/>
      <c r="J23" s="715"/>
    </row>
    <row r="24" spans="1:14">
      <c r="A24" s="753" t="s">
        <v>1307</v>
      </c>
      <c r="B24" s="752" t="str">
        <f>'Summary - Dollars'!E99</f>
        <v>2020</v>
      </c>
      <c r="C24" s="752">
        <f>'Summary - Dollars'!F99</f>
        <v>2021</v>
      </c>
      <c r="H24" s="707"/>
      <c r="I24" s="715"/>
      <c r="J24" s="715"/>
      <c r="L24" s="595" t="s">
        <v>1455</v>
      </c>
      <c r="M24" s="752">
        <f>Data!AL1</f>
        <v>2016</v>
      </c>
      <c r="N24" s="752">
        <f>Data!AM1</f>
        <v>2017</v>
      </c>
    </row>
    <row r="25" spans="1:14">
      <c r="A25" s="728" t="s">
        <v>754</v>
      </c>
      <c r="B25" s="735">
        <f>'Summary - Dollars'!E100</f>
        <v>209013990</v>
      </c>
      <c r="C25" s="734">
        <f>'Summary - Dollars'!F100</f>
        <v>209033142</v>
      </c>
      <c r="D25" s="721">
        <f>I25+M25</f>
        <v>209013990</v>
      </c>
      <c r="E25" s="721">
        <f t="shared" ref="E25:E29" si="6">B25-D25</f>
        <v>0</v>
      </c>
      <c r="F25" s="766">
        <f t="shared" ref="F25:F29" si="7">C25-G25</f>
        <v>0</v>
      </c>
      <c r="G25" s="721">
        <f>J25+N25</f>
        <v>209033142</v>
      </c>
      <c r="H25" s="719" t="s">
        <v>754</v>
      </c>
      <c r="I25" s="715">
        <f>(INDEX(Data!44:44,1,'Summary - Dollars'!$U$1)-INDEX(Data!1233:1233,1,$W$1))</f>
        <v>196733387</v>
      </c>
      <c r="J25" s="715">
        <f>(INDEX(Data!44:44,1,'Summary - Dollars'!$U$1+1)-INDEX(Data!1233:1233,1,$W$1+1))</f>
        <v>196752540</v>
      </c>
      <c r="L25" s="719" t="s">
        <v>754</v>
      </c>
      <c r="M25" s="715">
        <f>(INDEX(Data!425:425,1,'Summary - Dollars'!$U$1))</f>
        <v>12280603</v>
      </c>
      <c r="N25" s="715">
        <f>(INDEX(Data!425:425,1,'Summary - Dollars'!$U$1+1))</f>
        <v>12280602</v>
      </c>
    </row>
    <row r="26" spans="1:14">
      <c r="A26" s="729" t="s">
        <v>749</v>
      </c>
      <c r="B26" s="706">
        <f>'Summary - Dollars'!E101</f>
        <v>454299671</v>
      </c>
      <c r="C26" s="705">
        <f>'Summary - Dollars'!F101</f>
        <v>445117819</v>
      </c>
      <c r="D26" s="721">
        <f>I26+M26</f>
        <v>454299671</v>
      </c>
      <c r="E26" s="721">
        <f t="shared" si="6"/>
        <v>0</v>
      </c>
      <c r="F26" s="766">
        <f t="shared" si="7"/>
        <v>0</v>
      </c>
      <c r="G26" s="721">
        <f>J26+N26</f>
        <v>445117819</v>
      </c>
      <c r="H26" s="707" t="s">
        <v>749</v>
      </c>
      <c r="I26" s="715">
        <f>(INDEX(Data!45:45,1,'Summary - Dollars'!$U$1)-INDEX(Data!1234:1234,1,$W$1))</f>
        <v>426156597</v>
      </c>
      <c r="J26" s="715">
        <f>(INDEX(Data!45:45,1,'Summary - Dollars'!$U$1+1)-INDEX(Data!1234:1234,1,$W$1+1))</f>
        <v>416974744</v>
      </c>
      <c r="L26" s="719" t="s">
        <v>749</v>
      </c>
      <c r="M26" s="715">
        <f>(INDEX(Data!426:426,1,'Summary - Dollars'!$U$1))</f>
        <v>28143074</v>
      </c>
      <c r="N26" s="715">
        <f>(INDEX(Data!426:426,1,'Summary - Dollars'!$U$1+1))</f>
        <v>28143075</v>
      </c>
    </row>
    <row r="27" spans="1:14">
      <c r="A27" s="728" t="s">
        <v>755</v>
      </c>
      <c r="B27" s="706">
        <f>'Summary - Dollars'!E102</f>
        <v>181746527</v>
      </c>
      <c r="C27" s="705">
        <f>'Summary - Dollars'!F102</f>
        <v>181771484</v>
      </c>
      <c r="D27" s="721">
        <f>I27+M27</f>
        <v>181746527</v>
      </c>
      <c r="E27" s="721">
        <f t="shared" si="6"/>
        <v>0</v>
      </c>
      <c r="F27" s="766">
        <f t="shared" si="7"/>
        <v>0</v>
      </c>
      <c r="G27" s="721">
        <f>J27+N27</f>
        <v>181771484</v>
      </c>
      <c r="H27" s="719" t="s">
        <v>755</v>
      </c>
      <c r="I27" s="715">
        <f>(INDEX(Data!46:46,1,'Summary - Dollars'!$U$1)-INDEX(Data!1235:1235,1,$W$1))</f>
        <v>173454353</v>
      </c>
      <c r="J27" s="715">
        <f>(INDEX(Data!46:46,1,'Summary - Dollars'!$U$1+1)-INDEX(Data!1235:1235,1,$W$1+1))</f>
        <v>173479310</v>
      </c>
      <c r="L27" s="719" t="s">
        <v>755</v>
      </c>
      <c r="M27" s="715">
        <f>(INDEX(Data!427:427,1,'Summary - Dollars'!$U$1))</f>
        <v>8292174</v>
      </c>
      <c r="N27" s="715">
        <f>(INDEX(Data!427:427,1,'Summary - Dollars'!$U$1+1))</f>
        <v>8292174</v>
      </c>
    </row>
    <row r="28" spans="1:14">
      <c r="A28" s="728" t="s">
        <v>756</v>
      </c>
      <c r="B28" s="706">
        <f>'Summary - Dollars'!E103</f>
        <v>137542538</v>
      </c>
      <c r="C28" s="705">
        <f>'Summary - Dollars'!F103</f>
        <v>137559223</v>
      </c>
      <c r="D28" s="721">
        <f>I28+M28</f>
        <v>137542538</v>
      </c>
      <c r="E28" s="721">
        <f t="shared" si="6"/>
        <v>0</v>
      </c>
      <c r="F28" s="766">
        <f t="shared" si="7"/>
        <v>0</v>
      </c>
      <c r="G28" s="721">
        <f>J28+N28</f>
        <v>137559223</v>
      </c>
      <c r="H28" s="719" t="s">
        <v>756</v>
      </c>
      <c r="I28" s="715">
        <f>(INDEX(Data!47:47,1,'Summary - Dollars'!$U$1)-INDEX(Data!1236:1236,1,$W$1))</f>
        <v>122986487</v>
      </c>
      <c r="J28" s="715">
        <f>(INDEX(Data!47:47,1,'Summary - Dollars'!$U$1+1)-INDEX(Data!1236:1236,1,$W$1+1))</f>
        <v>123003170</v>
      </c>
      <c r="L28" s="719" t="s">
        <v>756</v>
      </c>
      <c r="M28" s="715">
        <f>(INDEX(Data!428:428,1,'Summary - Dollars'!$U$1))</f>
        <v>14556051</v>
      </c>
      <c r="N28" s="715">
        <f>(INDEX(Data!428:428,1,'Summary - Dollars'!$U$1+1))</f>
        <v>14556053</v>
      </c>
    </row>
    <row r="29" spans="1:14">
      <c r="A29" s="728" t="s">
        <v>1667</v>
      </c>
      <c r="B29" s="706">
        <f>'Summary - Dollars'!E104</f>
        <v>144845471</v>
      </c>
      <c r="C29" s="705">
        <f>'Summary - Dollars'!F104</f>
        <v>144853253</v>
      </c>
      <c r="D29" s="720">
        <f>I29+M29</f>
        <v>144845471</v>
      </c>
      <c r="E29" s="721">
        <f t="shared" si="6"/>
        <v>0</v>
      </c>
      <c r="F29" s="766">
        <f t="shared" si="7"/>
        <v>0</v>
      </c>
      <c r="G29" s="720">
        <f>J29+N29</f>
        <v>144853253</v>
      </c>
      <c r="H29" s="719" t="s">
        <v>1667</v>
      </c>
      <c r="I29" s="715">
        <f>(INDEX(Data!48:48,1,'Summary - Dollars'!$U$1)-INDEX(Data!1237:1237,1,$W$1))</f>
        <v>133076512</v>
      </c>
      <c r="J29" s="715">
        <f>(INDEX(Data!48:48,1,'Summary - Dollars'!$U$1+1)-INDEX(Data!1237:1237,1,$W$1+1))</f>
        <v>133084294</v>
      </c>
      <c r="L29" s="707" t="s">
        <v>1667</v>
      </c>
      <c r="M29" s="715">
        <f>(INDEX(Data!429:429,1,'Summary - Dollars'!$U$1))</f>
        <v>11768959</v>
      </c>
      <c r="N29" s="715">
        <f>(INDEX(Data!429:429,1,'Summary - Dollars'!$U$1+1))</f>
        <v>11768959</v>
      </c>
    </row>
    <row r="30" spans="1:14">
      <c r="A30" s="728" t="s">
        <v>1356</v>
      </c>
      <c r="B30" s="706">
        <f>'Summary - Dollars'!E105</f>
        <v>0</v>
      </c>
      <c r="C30" s="705">
        <f>'Summary - Dollars'!F105</f>
        <v>0</v>
      </c>
      <c r="H30" s="719" t="s">
        <v>1356</v>
      </c>
      <c r="I30" s="715">
        <f>(INDEX(Data!49:49,1,'Summary - Dollars'!$U$1)-INDEX(Data!1238:1238,1,$W$1))</f>
        <v>0</v>
      </c>
      <c r="J30" s="715">
        <f>(INDEX(Data!49:49,1,'Summary - Dollars'!$U$1+1)-INDEX(Data!1238:1238,1,$W$1+1))</f>
        <v>0</v>
      </c>
      <c r="L30" s="719" t="s">
        <v>1356</v>
      </c>
      <c r="M30" s="715">
        <f>(INDEX(Data!430:430,1,'Summary - Dollars'!$U$1))</f>
        <v>0</v>
      </c>
      <c r="N30" s="715">
        <f>(INDEX(Data!430:430,1,'Summary - Dollars'!$U$1+1))</f>
        <v>0</v>
      </c>
    </row>
    <row r="31" spans="1:14">
      <c r="A31" s="728" t="s">
        <v>1357</v>
      </c>
      <c r="B31" s="706">
        <f>'Summary - Dollars'!E106</f>
        <v>0</v>
      </c>
      <c r="C31" s="705">
        <f>'Summary - Dollars'!F106</f>
        <v>0</v>
      </c>
      <c r="D31" s="733"/>
      <c r="E31" s="733"/>
      <c r="F31" s="770"/>
      <c r="H31" s="719" t="s">
        <v>1357</v>
      </c>
      <c r="I31" s="715">
        <f>(INDEX(Data!50:50,1,'Summary - Dollars'!$U$1)-INDEX(Data!1239:1239,1,$W$1))</f>
        <v>0</v>
      </c>
      <c r="J31" s="715">
        <f>(INDEX(Data!50:50,1,'Summary - Dollars'!$U$1+1)-INDEX(Data!1239:1239,1,$W$1+1))</f>
        <v>0</v>
      </c>
      <c r="L31" s="719" t="s">
        <v>1357</v>
      </c>
      <c r="M31" s="715">
        <f>(INDEX(Data!431:431,1,'Summary - Dollars'!$U$1))</f>
        <v>0</v>
      </c>
      <c r="N31" s="715">
        <f>(INDEX(Data!431:431,1,'Summary - Dollars'!$U$1+1))</f>
        <v>0</v>
      </c>
    </row>
    <row r="32" spans="1:14">
      <c r="A32" s="728" t="s">
        <v>1358</v>
      </c>
      <c r="B32" s="706">
        <f>'Summary - Dollars'!E107</f>
        <v>41869568</v>
      </c>
      <c r="C32" s="705">
        <f>'Summary - Dollars'!F107</f>
        <v>41871065</v>
      </c>
      <c r="D32" s="720">
        <f>I32+M32</f>
        <v>41869568</v>
      </c>
      <c r="E32" s="721">
        <f t="shared" ref="E32:E63" si="8">B32-D32</f>
        <v>0</v>
      </c>
      <c r="F32" s="766">
        <f t="shared" ref="F32:F63" si="9">C32-G32</f>
        <v>0</v>
      </c>
      <c r="G32" s="720">
        <f>J32+N32</f>
        <v>41871065</v>
      </c>
      <c r="H32" s="719" t="s">
        <v>1358</v>
      </c>
      <c r="I32" s="715">
        <f>(INDEX(Data!51:51,1,'Summary - Dollars'!$U$1)-INDEX(Data!1240:1240,1,$W$1))</f>
        <v>39995948</v>
      </c>
      <c r="J32" s="715">
        <f>(INDEX(Data!51:51,1,'Summary - Dollars'!$U$1+1)-INDEX(Data!1240:1240,1,$W$1+1))</f>
        <v>39997445</v>
      </c>
      <c r="L32" s="719" t="s">
        <v>1358</v>
      </c>
      <c r="M32" s="715">
        <f>(INDEX(Data!432:432,1,'Summary - Dollars'!$U$1))</f>
        <v>1873620</v>
      </c>
      <c r="N32" s="715">
        <f>(INDEX(Data!432:432,1,'Summary - Dollars'!$U$1+1))</f>
        <v>1873620</v>
      </c>
    </row>
    <row r="33" spans="1:14">
      <c r="A33" s="728" t="s">
        <v>757</v>
      </c>
      <c r="B33" s="706">
        <f>'Summary - Dollars'!E108</f>
        <v>170520935</v>
      </c>
      <c r="C33" s="705">
        <f>'Summary - Dollars'!F108</f>
        <v>170532346</v>
      </c>
      <c r="D33" s="720">
        <f>I33+M33</f>
        <v>170520935</v>
      </c>
      <c r="E33" s="721">
        <f t="shared" si="8"/>
        <v>0</v>
      </c>
      <c r="F33" s="766">
        <f t="shared" si="9"/>
        <v>0</v>
      </c>
      <c r="G33" s="720">
        <f>J33+N33</f>
        <v>170532346</v>
      </c>
      <c r="H33" s="719" t="s">
        <v>757</v>
      </c>
      <c r="I33" s="715">
        <f>(INDEX(Data!52:52,1,'Summary - Dollars'!$U$1)-INDEX(Data!1241:1241,1,$W$1))</f>
        <v>157642006</v>
      </c>
      <c r="J33" s="715">
        <f>(INDEX(Data!52:52,1,'Summary - Dollars'!$U$1+1)-INDEX(Data!1241:1241,1,$W$1+1))</f>
        <v>157653418</v>
      </c>
      <c r="L33" s="719" t="s">
        <v>757</v>
      </c>
      <c r="M33" s="715">
        <f>(INDEX(Data!433:433,1,'Summary - Dollars'!$U$1))</f>
        <v>12878929</v>
      </c>
      <c r="N33" s="715">
        <f>(INDEX(Data!433:433,1,'Summary - Dollars'!$U$1+1))</f>
        <v>12878928</v>
      </c>
    </row>
    <row r="34" spans="1:14">
      <c r="A34" s="728" t="s">
        <v>1359</v>
      </c>
      <c r="B34" s="706">
        <f>'Summary - Dollars'!E109</f>
        <v>50323195</v>
      </c>
      <c r="C34" s="705">
        <f>'Summary - Dollars'!F109</f>
        <v>50326963</v>
      </c>
      <c r="D34" s="720">
        <f>I34+M34</f>
        <v>50323195</v>
      </c>
      <c r="E34" s="721">
        <f t="shared" si="8"/>
        <v>0</v>
      </c>
      <c r="F34" s="766">
        <f t="shared" si="9"/>
        <v>0</v>
      </c>
      <c r="G34" s="720">
        <f>J34+N34</f>
        <v>50326963</v>
      </c>
      <c r="H34" s="719" t="s">
        <v>1359</v>
      </c>
      <c r="I34" s="715">
        <f>(INDEX(Data!53:53,1,'Summary - Dollars'!$U$1)-INDEX(Data!1242:1242,1,$W$1))</f>
        <v>46980556</v>
      </c>
      <c r="J34" s="715">
        <f>(INDEX(Data!53:53,1,'Summary - Dollars'!$U$1+1)-INDEX(Data!1242:1242,1,$W$1+1))</f>
        <v>46984325</v>
      </c>
      <c r="L34" s="719" t="s">
        <v>1359</v>
      </c>
      <c r="M34" s="715">
        <f>(INDEX(Data!434:434,1,'Summary - Dollars'!$U$1))</f>
        <v>3342639</v>
      </c>
      <c r="N34" s="715">
        <f>(INDEX(Data!434:434,1,'Summary - Dollars'!$U$1+1))</f>
        <v>3342638</v>
      </c>
    </row>
    <row r="35" spans="1:14">
      <c r="A35" s="728" t="s">
        <v>751</v>
      </c>
      <c r="B35" s="706">
        <f>'Summary - Dollars'!E110</f>
        <v>512787808</v>
      </c>
      <c r="C35" s="705">
        <f>'Summary - Dollars'!F110</f>
        <v>512811856</v>
      </c>
      <c r="D35" s="720">
        <f>I36+M43</f>
        <v>512787808</v>
      </c>
      <c r="E35" s="721">
        <f t="shared" si="8"/>
        <v>0</v>
      </c>
      <c r="F35" s="766">
        <f t="shared" si="9"/>
        <v>0</v>
      </c>
      <c r="G35" s="720">
        <f>J36+N43</f>
        <v>512811856</v>
      </c>
      <c r="H35" s="725" t="s">
        <v>1429</v>
      </c>
      <c r="I35" s="715">
        <f>(INDEX(Data!54:54,1,'Summary - Dollars'!$U$1)-INDEX(Data!1243:1243,1,$W$1))</f>
        <v>770028</v>
      </c>
      <c r="J35" s="715">
        <f>(INDEX(Data!54:54,1,'Summary - Dollars'!$U$1+1)-INDEX(Data!1243:1243,1,$W$1+1))</f>
        <v>770027</v>
      </c>
      <c r="L35" s="727" t="s">
        <v>1433</v>
      </c>
      <c r="M35" s="715">
        <f>(INDEX(Data!435:435,1,'Summary - Dollars'!$U$1))</f>
        <v>14180288</v>
      </c>
      <c r="N35" s="715">
        <f>(INDEX(Data!435:435,1,'Summary - Dollars'!$U$1+1))</f>
        <v>14180288</v>
      </c>
    </row>
    <row r="36" spans="1:14">
      <c r="A36" s="728" t="s">
        <v>876</v>
      </c>
      <c r="B36" s="706">
        <f>'Summary - Dollars'!E111</f>
        <v>27292107</v>
      </c>
      <c r="C36" s="705">
        <f>'Summary - Dollars'!F111</f>
        <v>27279395</v>
      </c>
      <c r="D36" s="720">
        <f t="shared" ref="D36:D46" si="10">I37+M45</f>
        <v>27292107</v>
      </c>
      <c r="E36" s="721">
        <f t="shared" si="8"/>
        <v>0</v>
      </c>
      <c r="F36" s="766">
        <f t="shared" si="9"/>
        <v>0</v>
      </c>
      <c r="G36" s="720">
        <f t="shared" ref="G36:G46" si="11">J37+N45</f>
        <v>27279395</v>
      </c>
      <c r="H36" s="719" t="s">
        <v>751</v>
      </c>
      <c r="I36" s="715">
        <f>(INDEX(Data!55:55,1,'Summary - Dollars'!$U$1)-INDEX(Data!1244:1244,1,$W$1))</f>
        <v>473713670</v>
      </c>
      <c r="J36" s="715">
        <f>(INDEX(Data!55:55,1,'Summary - Dollars'!$U$1+1)-INDEX(Data!1244:1244,1,$W$1+1))</f>
        <v>473737718</v>
      </c>
      <c r="L36" s="727" t="s">
        <v>1434</v>
      </c>
      <c r="M36" s="715">
        <f>(INDEX(Data!436:436,1,'Summary - Dollars'!$U$1))</f>
        <v>57778532</v>
      </c>
      <c r="N36" s="715">
        <f>(INDEX(Data!436:436,1,'Summary - Dollars'!$U$1+1))</f>
        <v>57778530</v>
      </c>
    </row>
    <row r="37" spans="1:14">
      <c r="A37" s="728" t="s">
        <v>750</v>
      </c>
      <c r="B37" s="706">
        <f>'Summary - Dollars'!E112</f>
        <v>72561351</v>
      </c>
      <c r="C37" s="705">
        <f>'Summary - Dollars'!F112</f>
        <v>72559279</v>
      </c>
      <c r="D37" s="720">
        <f t="shared" si="10"/>
        <v>72561351</v>
      </c>
      <c r="E37" s="721">
        <f t="shared" si="8"/>
        <v>0</v>
      </c>
      <c r="F37" s="766">
        <f t="shared" si="9"/>
        <v>0</v>
      </c>
      <c r="G37" s="720">
        <f t="shared" si="11"/>
        <v>72559279</v>
      </c>
      <c r="H37" s="719" t="s">
        <v>876</v>
      </c>
      <c r="I37" s="715">
        <f>(INDEX(Data!56:56,1,'Summary - Dollars'!$U$1)-INDEX(Data!1245:1245,1,$W$1))</f>
        <v>25380439</v>
      </c>
      <c r="J37" s="715">
        <f>(INDEX(Data!56:56,1,'Summary - Dollars'!$U$1+1)-INDEX(Data!1245:1245,1,$W$1+1))</f>
        <v>25367727</v>
      </c>
      <c r="L37" s="727" t="s">
        <v>1435</v>
      </c>
      <c r="M37" s="715">
        <f>(INDEX(Data!437:437,1,'Summary - Dollars'!$U$1))</f>
        <v>24310015</v>
      </c>
      <c r="N37" s="715">
        <f>(INDEX(Data!437:437,1,'Summary - Dollars'!$U$1+1))</f>
        <v>24310014</v>
      </c>
    </row>
    <row r="38" spans="1:14">
      <c r="A38" s="728" t="s">
        <v>1209</v>
      </c>
      <c r="B38" s="706">
        <f>'Summary - Dollars'!E113</f>
        <v>65969501</v>
      </c>
      <c r="C38" s="705">
        <f>'Summary - Dollars'!F113</f>
        <v>65966557</v>
      </c>
      <c r="D38" s="720">
        <f t="shared" si="10"/>
        <v>65969501</v>
      </c>
      <c r="E38" s="721">
        <f t="shared" si="8"/>
        <v>0</v>
      </c>
      <c r="F38" s="766">
        <f t="shared" si="9"/>
        <v>0</v>
      </c>
      <c r="G38" s="720">
        <f t="shared" si="11"/>
        <v>65966557</v>
      </c>
      <c r="H38" s="719" t="s">
        <v>750</v>
      </c>
      <c r="I38" s="715">
        <f>(INDEX(Data!57:57,1,'Summary - Dollars'!$U$1)-INDEX(Data!1246:1246,1,$W$1))</f>
        <v>67042253</v>
      </c>
      <c r="J38" s="715">
        <f>(INDEX(Data!57:57,1,'Summary - Dollars'!$U$1+1)-INDEX(Data!1246:1246,1,$W$1+1))</f>
        <v>67040181</v>
      </c>
      <c r="L38" s="727" t="s">
        <v>1436</v>
      </c>
      <c r="M38" s="715">
        <f>(INDEX(Data!438:438,1,'Summary - Dollars'!$U$1))</f>
        <v>20939282</v>
      </c>
      <c r="N38" s="715">
        <f>(INDEX(Data!438:438,1,'Summary - Dollars'!$U$1+1))</f>
        <v>20939282</v>
      </c>
    </row>
    <row r="39" spans="1:14">
      <c r="A39" s="729" t="s">
        <v>1210</v>
      </c>
      <c r="B39" s="706">
        <f>'Summary - Dollars'!E114</f>
        <v>20713585</v>
      </c>
      <c r="C39" s="705">
        <f>'Summary - Dollars'!F114</f>
        <v>20711026</v>
      </c>
      <c r="D39" s="720">
        <f t="shared" si="10"/>
        <v>20713585</v>
      </c>
      <c r="E39" s="721">
        <f t="shared" si="8"/>
        <v>0</v>
      </c>
      <c r="F39" s="766">
        <f t="shared" si="9"/>
        <v>0</v>
      </c>
      <c r="G39" s="720">
        <f t="shared" si="11"/>
        <v>20711026</v>
      </c>
      <c r="H39" s="719" t="s">
        <v>1209</v>
      </c>
      <c r="I39" s="715">
        <f>(INDEX(Data!58:58,1,'Summary - Dollars'!$U$1)-INDEX(Data!1247:1247,1,$W$1))</f>
        <v>60726614</v>
      </c>
      <c r="J39" s="715">
        <f>(INDEX(Data!58:58,1,'Summary - Dollars'!$U$1+1)-INDEX(Data!1247:1247,1,$W$1+1))</f>
        <v>60723670</v>
      </c>
      <c r="L39" s="726" t="s">
        <v>1670</v>
      </c>
      <c r="M39" s="715">
        <f>(INDEX(Data!441:441,1,'Summary - Dollars'!$U$1))</f>
        <v>1750151</v>
      </c>
      <c r="N39" s="715">
        <f>(INDEX(Data!441:441,1,'Summary - Dollars'!$U$1+1))</f>
        <v>1750151</v>
      </c>
    </row>
    <row r="40" spans="1:14">
      <c r="A40" s="729" t="s">
        <v>1211</v>
      </c>
      <c r="B40" s="706">
        <f>'Summary - Dollars'!E115</f>
        <v>74762638</v>
      </c>
      <c r="C40" s="705">
        <f>'Summary - Dollars'!F115</f>
        <v>74739178</v>
      </c>
      <c r="D40" s="720">
        <f t="shared" si="10"/>
        <v>74762638</v>
      </c>
      <c r="E40" s="721">
        <f t="shared" si="8"/>
        <v>0</v>
      </c>
      <c r="F40" s="766">
        <f t="shared" si="9"/>
        <v>0</v>
      </c>
      <c r="G40" s="720">
        <f t="shared" si="11"/>
        <v>74739178</v>
      </c>
      <c r="H40" s="707" t="s">
        <v>1210</v>
      </c>
      <c r="I40" s="715">
        <f>(INDEX(Data!59:59,1,'Summary - Dollars'!$U$1)-INDEX(Data!1248:1248,1,$W$1))</f>
        <v>19784985</v>
      </c>
      <c r="J40" s="715">
        <f>(INDEX(Data!59:59,1,'Summary - Dollars'!$U$1+1)-INDEX(Data!1248:1248,1,$W$1+1))</f>
        <v>19782426</v>
      </c>
      <c r="L40" s="727" t="s">
        <v>1437</v>
      </c>
      <c r="M40" s="715">
        <f>(INDEX(Data!439:439,1,'Summary - Dollars'!$U$1))</f>
        <v>7009502</v>
      </c>
      <c r="N40" s="715">
        <f>(INDEX(Data!439:439,1,'Summary - Dollars'!$U$1+1))</f>
        <v>7009502</v>
      </c>
    </row>
    <row r="41" spans="1:14">
      <c r="A41" s="729" t="s">
        <v>1212</v>
      </c>
      <c r="B41" s="706">
        <f>'Summary - Dollars'!E116</f>
        <v>59819182</v>
      </c>
      <c r="C41" s="705">
        <f>'Summary - Dollars'!F116</f>
        <v>59823886</v>
      </c>
      <c r="D41" s="720">
        <f t="shared" si="10"/>
        <v>59819182</v>
      </c>
      <c r="E41" s="721">
        <f t="shared" si="8"/>
        <v>0</v>
      </c>
      <c r="F41" s="766">
        <f t="shared" si="9"/>
        <v>0</v>
      </c>
      <c r="G41" s="720">
        <f t="shared" si="11"/>
        <v>59823886</v>
      </c>
      <c r="H41" s="707" t="s">
        <v>1211</v>
      </c>
      <c r="I41" s="715">
        <f>(INDEX(Data!60:60,1,'Summary - Dollars'!$U$1)-INDEX(Data!1249:1249,1,$W$1))</f>
        <v>69685293</v>
      </c>
      <c r="J41" s="715">
        <f>(INDEX(Data!60:60,1,'Summary - Dollars'!$U$1+1)-INDEX(Data!1249:1249,1,$W$1+1))</f>
        <v>69661833</v>
      </c>
      <c r="L41" s="727" t="s">
        <v>1438</v>
      </c>
      <c r="M41" s="715">
        <f>(INDEX(Data!440:440,1,'Summary - Dollars'!$U$1))</f>
        <v>4412027</v>
      </c>
      <c r="N41" s="715">
        <f>(INDEX(Data!440:440,1,'Summary - Dollars'!$U$1+1))</f>
        <v>4412027</v>
      </c>
    </row>
    <row r="42" spans="1:14">
      <c r="A42" s="729" t="s">
        <v>1213</v>
      </c>
      <c r="B42" s="706">
        <f>'Summary - Dollars'!E117</f>
        <v>40776656</v>
      </c>
      <c r="C42" s="705">
        <f>'Summary - Dollars'!F117</f>
        <v>40780452</v>
      </c>
      <c r="D42" s="720">
        <f t="shared" si="10"/>
        <v>40776656</v>
      </c>
      <c r="E42" s="721">
        <f t="shared" si="8"/>
        <v>0</v>
      </c>
      <c r="F42" s="766">
        <f t="shared" si="9"/>
        <v>0</v>
      </c>
      <c r="G42" s="720">
        <f t="shared" si="11"/>
        <v>40780452</v>
      </c>
      <c r="H42" s="707" t="s">
        <v>1212</v>
      </c>
      <c r="I42" s="715">
        <f>(INDEX(Data!61:61,1,'Summary - Dollars'!$U$1)-INDEX(Data!1250:1250,1,$W$1))</f>
        <v>54623737</v>
      </c>
      <c r="J42" s="715">
        <f>(INDEX(Data!61:61,1,'Summary - Dollars'!$U$1+1)-INDEX(Data!1250:1250,1,$W$1+1))</f>
        <v>54628441</v>
      </c>
      <c r="L42" s="725" t="s">
        <v>1428</v>
      </c>
      <c r="M42" s="715">
        <f>(INDEX(Data!442:442,1,'Summary - Dollars'!$U$1))</f>
        <v>0</v>
      </c>
      <c r="N42" s="715">
        <f>(INDEX(Data!442:442,1,'Summary - Dollars'!$U$1+1))</f>
        <v>0</v>
      </c>
    </row>
    <row r="43" spans="1:14">
      <c r="A43" s="728" t="s">
        <v>861</v>
      </c>
      <c r="B43" s="706">
        <f>'Summary - Dollars'!E118</f>
        <v>44965256</v>
      </c>
      <c r="C43" s="705">
        <f>'Summary - Dollars'!F118</f>
        <v>44952641</v>
      </c>
      <c r="D43" s="720">
        <f t="shared" si="10"/>
        <v>44965256</v>
      </c>
      <c r="E43" s="721">
        <f t="shared" si="8"/>
        <v>0</v>
      </c>
      <c r="F43" s="766">
        <f t="shared" si="9"/>
        <v>0</v>
      </c>
      <c r="G43" s="720">
        <f t="shared" si="11"/>
        <v>44952641</v>
      </c>
      <c r="H43" s="707" t="s">
        <v>1213</v>
      </c>
      <c r="I43" s="715">
        <f>(INDEX(Data!62:62,1,'Summary - Dollars'!$U$1)-INDEX(Data!1251:1251,1,$W$1))</f>
        <v>38843522</v>
      </c>
      <c r="J43" s="715">
        <f>(INDEX(Data!62:62,1,'Summary - Dollars'!$U$1+1)-INDEX(Data!1251:1251,1,$W$1+1))</f>
        <v>38847318</v>
      </c>
      <c r="L43" s="719" t="s">
        <v>751</v>
      </c>
      <c r="M43" s="715">
        <f>(INDEX(Data!443:443,1,'Summary - Dollars'!$U$1))</f>
        <v>39074138</v>
      </c>
      <c r="N43" s="715">
        <f>(INDEX(Data!443:443,1,'Summary - Dollars'!$U$1+1))</f>
        <v>39074138</v>
      </c>
    </row>
    <row r="44" spans="1:14">
      <c r="A44" s="728" t="s">
        <v>871</v>
      </c>
      <c r="B44" s="706">
        <f>'Summary - Dollars'!E119</f>
        <v>53464725</v>
      </c>
      <c r="C44" s="705">
        <f>'Summary - Dollars'!F119</f>
        <v>53465228</v>
      </c>
      <c r="D44" s="720">
        <f t="shared" si="10"/>
        <v>53464725</v>
      </c>
      <c r="E44" s="721">
        <f t="shared" si="8"/>
        <v>0</v>
      </c>
      <c r="F44" s="766">
        <f t="shared" si="9"/>
        <v>0</v>
      </c>
      <c r="G44" s="720">
        <f t="shared" si="11"/>
        <v>53465228</v>
      </c>
      <c r="H44" s="719" t="s">
        <v>861</v>
      </c>
      <c r="I44" s="715">
        <f>(INDEX(Data!63:63,1,'Summary - Dollars'!$U$1)-INDEX(Data!1252:1252,1,$W$1))</f>
        <v>42115601</v>
      </c>
      <c r="J44" s="715">
        <f>(INDEX(Data!63:63,1,'Summary - Dollars'!$U$1+1)-INDEX(Data!1252:1252,1,$W$1+1))</f>
        <v>42102986</v>
      </c>
      <c r="L44" s="727" t="s">
        <v>1439</v>
      </c>
      <c r="M44" s="715">
        <f>(INDEX(Data!444:444,1,'Summary - Dollars'!$U$1))</f>
        <v>8698942</v>
      </c>
      <c r="N44" s="715">
        <f>(INDEX(Data!444:444,1,'Summary - Dollars'!$U$1+1))</f>
        <v>8698942</v>
      </c>
    </row>
    <row r="45" spans="1:14">
      <c r="A45" s="729" t="s">
        <v>1361</v>
      </c>
      <c r="B45" s="706">
        <f>'Summary - Dollars'!E120</f>
        <v>64699349</v>
      </c>
      <c r="C45" s="705">
        <f>'Summary - Dollars'!F120</f>
        <v>64688144</v>
      </c>
      <c r="D45" s="720">
        <f t="shared" si="10"/>
        <v>64699349</v>
      </c>
      <c r="E45" s="721">
        <f t="shared" si="8"/>
        <v>0</v>
      </c>
      <c r="F45" s="766">
        <f t="shared" si="9"/>
        <v>0</v>
      </c>
      <c r="G45" s="720">
        <f t="shared" si="11"/>
        <v>64688144</v>
      </c>
      <c r="H45" s="719" t="s">
        <v>871</v>
      </c>
      <c r="I45" s="715">
        <f>(INDEX(Data!64:64,1,'Summary - Dollars'!$U$1)-INDEX(Data!1253:1253,1,$W$1))</f>
        <v>48749538</v>
      </c>
      <c r="J45" s="715">
        <f>(INDEX(Data!64:64,1,'Summary - Dollars'!$U$1+1)-INDEX(Data!1253:1253,1,$W$1+1))</f>
        <v>48750041</v>
      </c>
      <c r="L45" s="719" t="s">
        <v>876</v>
      </c>
      <c r="M45" s="715">
        <f>(INDEX(Data!445:445,1,'Summary - Dollars'!$U$1))</f>
        <v>1911668</v>
      </c>
      <c r="N45" s="715">
        <f>(INDEX(Data!445:445,1,'Summary - Dollars'!$U$1+1))</f>
        <v>1911668</v>
      </c>
    </row>
    <row r="46" spans="1:14">
      <c r="A46" s="728" t="s">
        <v>1425</v>
      </c>
      <c r="B46" s="706">
        <f>'Summary - Dollars'!E121</f>
        <v>26732111</v>
      </c>
      <c r="C46" s="705">
        <f>'Summary - Dollars'!F121</f>
        <v>26733852</v>
      </c>
      <c r="D46" s="720">
        <f t="shared" si="10"/>
        <v>26732111</v>
      </c>
      <c r="E46" s="721">
        <f t="shared" si="8"/>
        <v>0</v>
      </c>
      <c r="F46" s="766">
        <f t="shared" si="9"/>
        <v>0</v>
      </c>
      <c r="G46" s="720">
        <f t="shared" si="11"/>
        <v>26733852</v>
      </c>
      <c r="H46" s="707" t="s">
        <v>1361</v>
      </c>
      <c r="I46" s="715">
        <f>(INDEX(Data!65:65,1,'Summary - Dollars'!$U$1)-INDEX(Data!1254:1254,1,$W$1))</f>
        <v>58046355</v>
      </c>
      <c r="J46" s="715">
        <f>(INDEX(Data!65:65,1,'Summary - Dollars'!$U$1+1)-INDEX(Data!1254:1254,1,$W$1+1))</f>
        <v>58035150</v>
      </c>
      <c r="L46" s="719" t="s">
        <v>750</v>
      </c>
      <c r="M46" s="715">
        <f>(INDEX(Data!446:446,1,'Summary - Dollars'!$U$1))</f>
        <v>5519098</v>
      </c>
      <c r="N46" s="715">
        <f>(INDEX(Data!446:446,1,'Summary - Dollars'!$U$1+1))</f>
        <v>5519098</v>
      </c>
    </row>
    <row r="47" spans="1:14">
      <c r="A47" s="728" t="s">
        <v>726</v>
      </c>
      <c r="B47" s="706">
        <f>'Summary - Dollars'!E122</f>
        <v>321317655</v>
      </c>
      <c r="C47" s="705">
        <f>'Summary - Dollars'!F122</f>
        <v>276340268</v>
      </c>
      <c r="D47" s="720">
        <f>I49+M65</f>
        <v>321317655</v>
      </c>
      <c r="E47" s="721">
        <f t="shared" si="8"/>
        <v>0</v>
      </c>
      <c r="F47" s="766">
        <f t="shared" si="9"/>
        <v>0</v>
      </c>
      <c r="G47" s="720">
        <f>J49+N65</f>
        <v>276340268</v>
      </c>
      <c r="H47" s="719" t="s">
        <v>1425</v>
      </c>
      <c r="I47" s="715">
        <f>(INDEX(Data!66:66,1,'Summary - Dollars'!$U$1)-INDEX(Data!1255:1255,1,$W$1))</f>
        <v>24892716</v>
      </c>
      <c r="J47" s="715">
        <f>(INDEX(Data!66:66,1,'Summary - Dollars'!$U$1+1)-INDEX(Data!1255:1255,1,$W$1+1))</f>
        <v>24894457</v>
      </c>
      <c r="L47" s="719" t="s">
        <v>1209</v>
      </c>
      <c r="M47" s="715">
        <f>(INDEX(Data!447:447,1,'Summary - Dollars'!$U$1))</f>
        <v>5242887</v>
      </c>
      <c r="N47" s="715">
        <f>(INDEX(Data!447:447,1,'Summary - Dollars'!$U$1+1))</f>
        <v>5242887</v>
      </c>
    </row>
    <row r="48" spans="1:14">
      <c r="A48" s="728" t="s">
        <v>1363</v>
      </c>
      <c r="B48" s="706">
        <f>'Summary - Dollars'!E123</f>
        <v>46895161</v>
      </c>
      <c r="C48" s="705">
        <f>'Summary - Dollars'!F123</f>
        <v>46898650</v>
      </c>
      <c r="D48" s="720">
        <f>I50+M66</f>
        <v>46895161</v>
      </c>
      <c r="E48" s="721">
        <f t="shared" si="8"/>
        <v>0</v>
      </c>
      <c r="F48" s="766">
        <f t="shared" si="9"/>
        <v>0</v>
      </c>
      <c r="G48" s="720">
        <f>J50+N66</f>
        <v>46898650</v>
      </c>
      <c r="H48" s="725" t="s">
        <v>1430</v>
      </c>
      <c r="I48" s="730">
        <f>(INDEX(Data!67:67,1,'Summary - Dollars'!$U$1)-INDEX(Data!1256:1256,1,$W$1))</f>
        <v>41532823</v>
      </c>
      <c r="J48" s="730">
        <f>(INDEX(Data!67:67,1,'Summary - Dollars'!$U$1+1)-INDEX(Data!1256:1256,1,$W$1+1))</f>
        <v>41569127</v>
      </c>
      <c r="L48" s="707" t="s">
        <v>1210</v>
      </c>
      <c r="M48" s="715">
        <f>(INDEX(Data!449:449,1,'Summary - Dollars'!$U$1))</f>
        <v>928600</v>
      </c>
      <c r="N48" s="715">
        <f>(INDEX(Data!449:449,1,'Summary - Dollars'!$U$1+1))</f>
        <v>928600</v>
      </c>
    </row>
    <row r="49" spans="1:14">
      <c r="A49" s="728" t="s">
        <v>1364</v>
      </c>
      <c r="B49" s="706">
        <f>'Summary - Dollars'!E124</f>
        <v>46413525</v>
      </c>
      <c r="C49" s="705">
        <f>'Summary - Dollars'!F124</f>
        <v>46416606</v>
      </c>
      <c r="D49" s="720">
        <f>I51+M67</f>
        <v>46413525</v>
      </c>
      <c r="E49" s="721">
        <f t="shared" si="8"/>
        <v>0</v>
      </c>
      <c r="F49" s="766">
        <f t="shared" si="9"/>
        <v>0</v>
      </c>
      <c r="G49" s="720">
        <f>J51+N67</f>
        <v>46416606</v>
      </c>
      <c r="H49" s="719" t="s">
        <v>726</v>
      </c>
      <c r="I49" s="731">
        <f>(INDEX(Data!68:68,1,'Summary - Dollars'!$U$1)-INDEX(Data!1257:1257,1,$W$1))</f>
        <v>304382788</v>
      </c>
      <c r="J49" s="730">
        <f>(INDEX(Data!68:68,1,'Summary - Dollars'!$U$1+1)-INDEX(Data!1257:1257,1,$W$1+1))</f>
        <v>259405401</v>
      </c>
      <c r="L49" s="707" t="s">
        <v>1211</v>
      </c>
      <c r="M49" s="715">
        <f>(INDEX(Data!448:448,1,'Summary - Dollars'!$U$1))</f>
        <v>5077345</v>
      </c>
      <c r="N49" s="715">
        <f>(INDEX(Data!448:448,1,'Summary - Dollars'!$U$1+1))</f>
        <v>5077345</v>
      </c>
    </row>
    <row r="50" spans="1:14">
      <c r="A50" s="728" t="s">
        <v>1365</v>
      </c>
      <c r="B50" s="706">
        <f>'Summary - Dollars'!E125</f>
        <v>21816696</v>
      </c>
      <c r="C50" s="705">
        <f>'Summary - Dollars'!F125</f>
        <v>21817477</v>
      </c>
      <c r="D50" s="720">
        <f>I52+M68</f>
        <v>21816696</v>
      </c>
      <c r="E50" s="721">
        <f t="shared" si="8"/>
        <v>0</v>
      </c>
      <c r="F50" s="766">
        <f t="shared" si="9"/>
        <v>0</v>
      </c>
      <c r="G50" s="720">
        <f>J52+N68</f>
        <v>21817477</v>
      </c>
      <c r="H50" s="719" t="s">
        <v>1363</v>
      </c>
      <c r="I50" s="730">
        <f>(INDEX(Data!69:69,1,'Summary - Dollars'!$U$1)-INDEX(Data!1258:1258,1,$W$1))</f>
        <v>43075729</v>
      </c>
      <c r="J50" s="730">
        <f>(INDEX(Data!69:69,1,'Summary - Dollars'!$U$1+1)-INDEX(Data!1258:1258,1,$W$1+1))</f>
        <v>43079218</v>
      </c>
      <c r="L50" s="707" t="s">
        <v>1212</v>
      </c>
      <c r="M50" s="715">
        <f>(INDEX(Data!451:451,1,'Summary - Dollars'!$U$1))</f>
        <v>5195445</v>
      </c>
      <c r="N50" s="715">
        <f>(INDEX(Data!451:451,1,'Summary - Dollars'!$U$1+1))</f>
        <v>5195445</v>
      </c>
    </row>
    <row r="51" spans="1:14">
      <c r="A51" s="728" t="s">
        <v>730</v>
      </c>
      <c r="B51" s="706">
        <f>'Summary - Dollars'!E126</f>
        <v>31131163</v>
      </c>
      <c r="C51" s="705">
        <f>'Summary - Dollars'!F126</f>
        <v>31046020</v>
      </c>
      <c r="D51" s="720">
        <f>I53+M80</f>
        <v>31131163</v>
      </c>
      <c r="E51" s="721">
        <f t="shared" si="8"/>
        <v>0</v>
      </c>
      <c r="F51" s="766">
        <f t="shared" si="9"/>
        <v>0</v>
      </c>
      <c r="G51" s="720">
        <f>J53+N80</f>
        <v>31046020</v>
      </c>
      <c r="H51" s="719" t="s">
        <v>1364</v>
      </c>
      <c r="I51" s="730">
        <f>(INDEX(Data!70:70,1,'Summary - Dollars'!$U$1)-INDEX(Data!1259:1259,1,$W$1))</f>
        <v>42981066</v>
      </c>
      <c r="J51" s="730">
        <f>(INDEX(Data!70:70,1,'Summary - Dollars'!$U$1+1)-INDEX(Data!1259:1259,1,$W$1+1))</f>
        <v>42984147</v>
      </c>
      <c r="L51" s="707" t="s">
        <v>1213</v>
      </c>
      <c r="M51" s="715">
        <f>(INDEX(Data!450:450,1,'Summary - Dollars'!$U$1))</f>
        <v>1933134</v>
      </c>
      <c r="N51" s="715">
        <f>(INDEX(Data!450:450,1,'Summary - Dollars'!$U$1+1))</f>
        <v>1933134</v>
      </c>
    </row>
    <row r="52" spans="1:14">
      <c r="A52" s="728" t="s">
        <v>731</v>
      </c>
      <c r="B52" s="706">
        <f>'Summary - Dollars'!E127</f>
        <v>192699242</v>
      </c>
      <c r="C52" s="705">
        <f>'Summary - Dollars'!F127</f>
        <v>192720438</v>
      </c>
      <c r="D52" s="720">
        <f>I55+M81</f>
        <v>192699242</v>
      </c>
      <c r="E52" s="721">
        <f t="shared" si="8"/>
        <v>0</v>
      </c>
      <c r="F52" s="766">
        <f t="shared" si="9"/>
        <v>0</v>
      </c>
      <c r="G52" s="720">
        <f>J55+N81</f>
        <v>192720438</v>
      </c>
      <c r="H52" s="719" t="s">
        <v>1365</v>
      </c>
      <c r="I52" s="730">
        <f>(INDEX(Data!71:71,1,'Summary - Dollars'!$U$1)-INDEX(Data!1260:1260,1,$W$1))</f>
        <v>20005847</v>
      </c>
      <c r="J52" s="730">
        <f>(INDEX(Data!71:71,1,'Summary - Dollars'!$U$1+1)-INDEX(Data!1260:1260,1,$W$1+1))</f>
        <v>20006628</v>
      </c>
      <c r="L52" s="719" t="s">
        <v>861</v>
      </c>
      <c r="M52" s="715">
        <f>(INDEX(Data!452:452,1,'Summary - Dollars'!$U$1))</f>
        <v>2849655</v>
      </c>
      <c r="N52" s="715">
        <f>(INDEX(Data!452:452,1,'Summary - Dollars'!$U$1+1))</f>
        <v>2849655</v>
      </c>
    </row>
    <row r="53" spans="1:14">
      <c r="A53" s="729" t="s">
        <v>1453</v>
      </c>
      <c r="B53" s="706">
        <f>'Summary - Dollars'!E128</f>
        <v>32939726</v>
      </c>
      <c r="C53" s="705">
        <f>'Summary - Dollars'!F128</f>
        <v>32931225</v>
      </c>
      <c r="D53" s="720">
        <f>I56+M82</f>
        <v>32939726</v>
      </c>
      <c r="E53" s="721">
        <f t="shared" si="8"/>
        <v>0</v>
      </c>
      <c r="F53" s="766">
        <f t="shared" si="9"/>
        <v>0</v>
      </c>
      <c r="G53" s="720">
        <f>J56+N82</f>
        <v>32931225</v>
      </c>
      <c r="H53" s="719" t="s">
        <v>730</v>
      </c>
      <c r="I53" s="715">
        <f>(INDEX(Data!72:72,1,'Summary - Dollars'!$U$1)-INDEX(Data!1261:1261,1,$W$1))</f>
        <v>27501468</v>
      </c>
      <c r="J53" s="715">
        <f>(INDEX(Data!72:72,1,'Summary - Dollars'!$U$1+1)-INDEX(Data!1261:1261,1,$W$1+1))</f>
        <v>27416325</v>
      </c>
      <c r="L53" s="719" t="s">
        <v>871</v>
      </c>
      <c r="M53" s="715">
        <f>(INDEX(Data!453:453,1,'Summary - Dollars'!$U$1))</f>
        <v>4715187</v>
      </c>
      <c r="N53" s="715">
        <f>(INDEX(Data!453:453,1,'Summary - Dollars'!$U$1+1))</f>
        <v>4715187</v>
      </c>
    </row>
    <row r="54" spans="1:14">
      <c r="A54" s="728" t="s">
        <v>1426</v>
      </c>
      <c r="B54" s="706">
        <f>'Summary - Dollars'!E129</f>
        <v>61707506</v>
      </c>
      <c r="C54" s="705">
        <f>'Summary - Dollars'!F129</f>
        <v>60658915</v>
      </c>
      <c r="D54" s="720">
        <f>I57+M84</f>
        <v>61707506</v>
      </c>
      <c r="E54" s="721">
        <f t="shared" si="8"/>
        <v>0</v>
      </c>
      <c r="F54" s="766">
        <f t="shared" si="9"/>
        <v>0</v>
      </c>
      <c r="G54" s="720">
        <f>J57+N84</f>
        <v>60658915</v>
      </c>
      <c r="H54" s="725" t="s">
        <v>1431</v>
      </c>
      <c r="I54" s="715">
        <f>(INDEX(Data!73:73,1,'Summary - Dollars'!$U$1)-INDEX(Data!1262:1262,1,$W$1))</f>
        <v>6149199</v>
      </c>
      <c r="J54" s="715">
        <f>(INDEX(Data!73:73,1,'Summary - Dollars'!$U$1+1)-INDEX(Data!1262:1262,1,$W$1+1))</f>
        <v>6153846</v>
      </c>
      <c r="L54" s="707" t="s">
        <v>1361</v>
      </c>
      <c r="M54" s="715">
        <f>(INDEX(Data!454:454,1,'Summary - Dollars'!$U$1))</f>
        <v>6652994</v>
      </c>
      <c r="N54" s="715">
        <f>(INDEX(Data!454:454,1,'Summary - Dollars'!$U$1+1))</f>
        <v>6652994</v>
      </c>
    </row>
    <row r="55" spans="1:14">
      <c r="A55" s="728" t="s">
        <v>733</v>
      </c>
      <c r="B55" s="706">
        <f>'Summary - Dollars'!E130</f>
        <v>86493843</v>
      </c>
      <c r="C55" s="705">
        <f>'Summary - Dollars'!F130</f>
        <v>86504888</v>
      </c>
      <c r="D55" s="720">
        <f>I58+M85</f>
        <v>86493843</v>
      </c>
      <c r="E55" s="721">
        <f t="shared" si="8"/>
        <v>0</v>
      </c>
      <c r="F55" s="766">
        <f t="shared" si="9"/>
        <v>0</v>
      </c>
      <c r="G55" s="720">
        <f>J58+N85</f>
        <v>86504888</v>
      </c>
      <c r="H55" s="719" t="s">
        <v>731</v>
      </c>
      <c r="I55" s="715">
        <f>(INDEX(Data!74:74,1,'Summary - Dollars'!$U$1)-INDEX(Data!1263:1263,1,$W$1))</f>
        <v>177853961</v>
      </c>
      <c r="J55" s="715">
        <f>(INDEX(Data!74:74,1,'Summary - Dollars'!$U$1+1)-INDEX(Data!1263:1263,1,$W$1+1))</f>
        <v>177875157</v>
      </c>
      <c r="L55" s="719" t="s">
        <v>1425</v>
      </c>
      <c r="M55" s="715">
        <f>(INDEX(Data!455:455,1,'Summary - Dollars'!$U$1))</f>
        <v>1839395</v>
      </c>
      <c r="N55" s="715">
        <f>(INDEX(Data!455:455,1,'Summary - Dollars'!$U$1+1))</f>
        <v>1839395</v>
      </c>
    </row>
    <row r="56" spans="1:14">
      <c r="A56" s="728" t="s">
        <v>735</v>
      </c>
      <c r="B56" s="706">
        <f>'Summary - Dollars'!E131</f>
        <v>249443360</v>
      </c>
      <c r="C56" s="705">
        <f>'Summary - Dollars'!F131</f>
        <v>251808460</v>
      </c>
      <c r="D56" s="720">
        <f>I60+M86</f>
        <v>249443360</v>
      </c>
      <c r="E56" s="721">
        <f t="shared" si="8"/>
        <v>0</v>
      </c>
      <c r="F56" s="766">
        <f t="shared" si="9"/>
        <v>0</v>
      </c>
      <c r="G56" s="720">
        <f>J60+N86</f>
        <v>251808460</v>
      </c>
      <c r="H56" s="707" t="s">
        <v>1453</v>
      </c>
      <c r="I56" s="715">
        <f>(INDEX(Data!75:75,1,'Summary - Dollars'!$U$1)-INDEX(Data!1264:1264,1,$W$1))</f>
        <v>31439729</v>
      </c>
      <c r="J56" s="715">
        <f>(INDEX(Data!75:75,1,'Summary - Dollars'!$U$1+1)-INDEX(Data!1264:1264,1,$W$1+1))</f>
        <v>31431228</v>
      </c>
      <c r="L56" s="719" t="s">
        <v>83</v>
      </c>
      <c r="M56" s="715">
        <f>(INDEX(Data!456:456,1,'Summary - Dollars'!$U$1))</f>
        <v>9622317</v>
      </c>
      <c r="N56" s="715">
        <f>(INDEX(Data!456:456,1,'Summary - Dollars'!$U$1+1))</f>
        <v>9622317</v>
      </c>
    </row>
    <row r="57" spans="1:14">
      <c r="A57" s="728" t="s">
        <v>855</v>
      </c>
      <c r="B57" s="706">
        <f>'Summary - Dollars'!E132</f>
        <v>46318099</v>
      </c>
      <c r="C57" s="705">
        <f>'Summary - Dollars'!F132</f>
        <v>46301216</v>
      </c>
      <c r="D57" s="720">
        <f>I61+M74</f>
        <v>46318099</v>
      </c>
      <c r="E57" s="721">
        <f t="shared" si="8"/>
        <v>0</v>
      </c>
      <c r="F57" s="766">
        <f t="shared" si="9"/>
        <v>0</v>
      </c>
      <c r="G57" s="720">
        <f>J61+N74</f>
        <v>46301216</v>
      </c>
      <c r="H57" s="719" t="s">
        <v>1426</v>
      </c>
      <c r="I57" s="715">
        <f>(INDEX(Data!76:76,1,'Summary - Dollars'!$U$1)-INDEX(Data!1265:1265,1,$W$1))</f>
        <v>55283926</v>
      </c>
      <c r="J57" s="715">
        <f>(INDEX(Data!76:76,1,'Summary - Dollars'!$U$1+1)-INDEX(Data!1265:1265,1,$W$1+1))</f>
        <v>54235335</v>
      </c>
      <c r="L57" s="719" t="s">
        <v>84</v>
      </c>
      <c r="M57" s="715">
        <f>(INDEX(Data!457:457,1,'Summary - Dollars'!$U$1))</f>
        <v>14226158</v>
      </c>
      <c r="N57" s="715">
        <f>(INDEX(Data!457:457,1,'Summary - Dollars'!$U$1+1))</f>
        <v>14226158</v>
      </c>
    </row>
    <row r="58" spans="1:14">
      <c r="A58" s="728" t="s">
        <v>737</v>
      </c>
      <c r="B58" s="706">
        <f>'Summary - Dollars'!E133</f>
        <v>88983221</v>
      </c>
      <c r="C58" s="705">
        <f>'Summary - Dollars'!F133</f>
        <v>88978023</v>
      </c>
      <c r="D58" s="720">
        <f>I62+M89</f>
        <v>88983221</v>
      </c>
      <c r="E58" s="721">
        <f t="shared" si="8"/>
        <v>0</v>
      </c>
      <c r="F58" s="766">
        <f t="shared" si="9"/>
        <v>0</v>
      </c>
      <c r="G58" s="720">
        <f>J62+N89</f>
        <v>88978023</v>
      </c>
      <c r="H58" s="719" t="s">
        <v>733</v>
      </c>
      <c r="I58" s="715">
        <f>(INDEX(Data!77:77,1,'Summary - Dollars'!$U$1)-INDEX(Data!1266:1266,1,$W$1))</f>
        <v>81183055</v>
      </c>
      <c r="J58" s="715">
        <f>(INDEX(Data!77:77,1,'Summary - Dollars'!$U$1+1)-INDEX(Data!1266:1266,1,$W$1+1))</f>
        <v>81194100</v>
      </c>
      <c r="L58" s="719" t="s">
        <v>85</v>
      </c>
      <c r="M58" s="715">
        <f>(INDEX(Data!458:458,1,'Summary - Dollars'!$U$1))</f>
        <v>2650481</v>
      </c>
      <c r="N58" s="715">
        <f>(INDEX(Data!458:458,1,'Summary - Dollars'!$U$1+1))</f>
        <v>2650481</v>
      </c>
    </row>
    <row r="59" spans="1:14">
      <c r="A59" s="728" t="s">
        <v>738</v>
      </c>
      <c r="B59" s="706">
        <f>'Summary - Dollars'!E134</f>
        <v>75835437</v>
      </c>
      <c r="C59" s="705">
        <f>'Summary - Dollars'!F134</f>
        <v>75786196</v>
      </c>
      <c r="D59" s="720">
        <f>I64+M70</f>
        <v>75835437</v>
      </c>
      <c r="E59" s="721">
        <f t="shared" si="8"/>
        <v>0</v>
      </c>
      <c r="F59" s="766">
        <f t="shared" si="9"/>
        <v>0</v>
      </c>
      <c r="G59" s="720">
        <f>J64+N70</f>
        <v>75786196</v>
      </c>
      <c r="H59" s="725" t="s">
        <v>1432</v>
      </c>
      <c r="I59" s="715">
        <f>(INDEX(Data!78:78,1,'Summary - Dollars'!$U$1)-INDEX(Data!1267:1267,1,$W$1))</f>
        <v>1368000</v>
      </c>
      <c r="J59" s="715">
        <f>(INDEX(Data!78:78,1,'Summary - Dollars'!$U$1+1)-INDEX(Data!1267:1267,1,$W$1+1))</f>
        <v>1368000</v>
      </c>
      <c r="L59" s="719" t="s">
        <v>86</v>
      </c>
      <c r="M59" s="715">
        <f>(INDEX(Data!459:459,1,'Summary - Dollars'!$U$1))</f>
        <v>1730687</v>
      </c>
      <c r="N59" s="715">
        <f>(INDEX(Data!459:459,1,'Summary - Dollars'!$U$1+1))</f>
        <v>1730687</v>
      </c>
    </row>
    <row r="60" spans="1:14">
      <c r="A60" s="728" t="s">
        <v>1367</v>
      </c>
      <c r="B60" s="706">
        <f>'Summary - Dollars'!E135</f>
        <v>101938873</v>
      </c>
      <c r="C60" s="705">
        <f>'Summary - Dollars'!F135</f>
        <v>99500188</v>
      </c>
      <c r="D60" s="720">
        <f>I68+M75</f>
        <v>101938873</v>
      </c>
      <c r="E60" s="721">
        <f t="shared" si="8"/>
        <v>0</v>
      </c>
      <c r="F60" s="766">
        <f t="shared" si="9"/>
        <v>0</v>
      </c>
      <c r="G60" s="720">
        <f>J68+N75</f>
        <v>99500188</v>
      </c>
      <c r="H60" s="719" t="s">
        <v>735</v>
      </c>
      <c r="I60" s="715">
        <f>(INDEX(Data!79:79,1,'Summary - Dollars'!$U$1)-INDEX(Data!1268:1268,1,$W$1))</f>
        <v>228055659</v>
      </c>
      <c r="J60" s="715">
        <f>(INDEX(Data!79:79,1,'Summary - Dollars'!$U$1+1)-INDEX(Data!1268:1268,1,$W$1+1))</f>
        <v>230420759</v>
      </c>
      <c r="L60" s="719" t="s">
        <v>87</v>
      </c>
      <c r="M60" s="715">
        <f>(INDEX(Data!460:460,1,'Summary - Dollars'!$U$1))</f>
        <v>633204</v>
      </c>
      <c r="N60" s="715">
        <f>(INDEX(Data!460:460,1,'Summary - Dollars'!$U$1+1))</f>
        <v>633204</v>
      </c>
    </row>
    <row r="61" spans="1:14">
      <c r="A61" s="729" t="s">
        <v>1094</v>
      </c>
      <c r="B61" s="706">
        <f>'Summary - Dollars'!E136</f>
        <v>184862971</v>
      </c>
      <c r="C61" s="705">
        <f>'Summary - Dollars'!F136</f>
        <v>184276965</v>
      </c>
      <c r="D61" s="720">
        <f>I69+M76</f>
        <v>184862971</v>
      </c>
      <c r="E61" s="721">
        <f t="shared" si="8"/>
        <v>0</v>
      </c>
      <c r="F61" s="766">
        <f t="shared" si="9"/>
        <v>0</v>
      </c>
      <c r="G61" s="720">
        <f>J69+N76</f>
        <v>184276965</v>
      </c>
      <c r="H61" s="719" t="s">
        <v>855</v>
      </c>
      <c r="I61" s="715">
        <f>(INDEX(Data!80:80,1,'Summary - Dollars'!$U$1)-INDEX(Data!1269:1269,1,$W$1))</f>
        <v>41195601</v>
      </c>
      <c r="J61" s="715">
        <f>(INDEX(Data!80:80,1,'Summary - Dollars'!$U$1+1)-INDEX(Data!1269:1269,1,$W$1+1))</f>
        <v>41178718</v>
      </c>
      <c r="L61" s="719" t="s">
        <v>88</v>
      </c>
      <c r="M61" s="715">
        <f>(INDEX(Data!461:461,1,'Summary - Dollars'!$U$1))</f>
        <v>4153278</v>
      </c>
      <c r="N61" s="715">
        <f>(INDEX(Data!461:461,1,'Summary - Dollars'!$U$1+1))</f>
        <v>4153278</v>
      </c>
    </row>
    <row r="62" spans="1:14">
      <c r="A62" s="728" t="s">
        <v>859</v>
      </c>
      <c r="B62" s="706">
        <f>'Summary - Dollars'!E137</f>
        <v>15847273</v>
      </c>
      <c r="C62" s="705">
        <f>'Summary - Dollars'!F137</f>
        <v>15810328</v>
      </c>
      <c r="D62" s="720">
        <f>I70+M77</f>
        <v>15847273</v>
      </c>
      <c r="E62" s="721">
        <f t="shared" si="8"/>
        <v>0</v>
      </c>
      <c r="F62" s="766">
        <f t="shared" si="9"/>
        <v>0</v>
      </c>
      <c r="G62" s="720">
        <f>J70+N77</f>
        <v>15810328</v>
      </c>
      <c r="H62" s="719" t="s">
        <v>737</v>
      </c>
      <c r="I62" s="715">
        <f>(INDEX(Data!81:81,1,'Summary - Dollars'!$U$1)-INDEX(Data!1270:1270,1,$W$1))</f>
        <v>81849901</v>
      </c>
      <c r="J62" s="715">
        <f>(INDEX(Data!81:81,1,'Summary - Dollars'!$U$1+1)-INDEX(Data!1270:1270,1,$W$1+1))</f>
        <v>81844703</v>
      </c>
      <c r="L62" s="719" t="s">
        <v>89</v>
      </c>
      <c r="M62" s="715">
        <f>(INDEX(Data!462:462,1,'Summary - Dollars'!$U$1))</f>
        <v>505450</v>
      </c>
      <c r="N62" s="715">
        <f>(INDEX(Data!462:462,1,'Summary - Dollars'!$U$1+1))</f>
        <v>505450</v>
      </c>
    </row>
    <row r="63" spans="1:14">
      <c r="A63" s="728" t="s">
        <v>1427</v>
      </c>
      <c r="B63" s="706">
        <f>'Summary - Dollars'!E138</f>
        <v>6154259</v>
      </c>
      <c r="C63" s="705">
        <f>'Summary - Dollars'!F138</f>
        <v>6154298</v>
      </c>
      <c r="D63" s="720">
        <f>I71+M78</f>
        <v>6154259</v>
      </c>
      <c r="E63" s="721">
        <f t="shared" si="8"/>
        <v>0</v>
      </c>
      <c r="F63" s="766">
        <f t="shared" si="9"/>
        <v>0</v>
      </c>
      <c r="G63" s="720">
        <f>J71+N78</f>
        <v>6154298</v>
      </c>
      <c r="H63" s="725" t="s">
        <v>60</v>
      </c>
      <c r="I63" s="715">
        <f>(INDEX(Data!82:82,1,'Summary - Dollars'!$U$1)-INDEX(Data!1271:1271,1,$W$1))</f>
        <v>1368000</v>
      </c>
      <c r="J63" s="715">
        <f>(INDEX(Data!82:82,1,'Summary - Dollars'!$U$1+1)-INDEX(Data!1271:1271,1,$W$1+1))</f>
        <v>1368000</v>
      </c>
      <c r="L63" s="719" t="s">
        <v>2051</v>
      </c>
      <c r="M63" s="715">
        <f>(INDEX(Data!463:463,1,'Summary - Dollars'!$U$1))</f>
        <v>1196545</v>
      </c>
      <c r="N63" s="715">
        <f>(INDEX(Data!463:463,1,'Summary - Dollars'!$U$1+1))</f>
        <v>1196545</v>
      </c>
    </row>
    <row r="64" spans="1:14">
      <c r="A64" s="113" t="s">
        <v>784</v>
      </c>
      <c r="B64" s="704">
        <f>'Summary - Dollars'!E139</f>
        <v>4065504174</v>
      </c>
      <c r="C64" s="703">
        <f>'Summary - Dollars'!F139</f>
        <v>4009526950</v>
      </c>
      <c r="D64" s="700"/>
      <c r="E64" s="700"/>
      <c r="F64" s="771"/>
      <c r="H64" s="719" t="s">
        <v>738</v>
      </c>
      <c r="I64" s="715">
        <f>(INDEX(Data!83:83,1,'Summary - Dollars'!$U$1)-INDEX(Data!1272:1272,1,$W$1))</f>
        <v>67643344</v>
      </c>
      <c r="J64" s="715">
        <f>(INDEX(Data!83:83,1,'Summary - Dollars'!$U$1+1)-INDEX(Data!1272:1272,1,$W$1+1))</f>
        <v>67594103</v>
      </c>
      <c r="L64" s="725" t="s">
        <v>1429</v>
      </c>
      <c r="M64" s="715">
        <f>(INDEX(Data!464:464,1,'Summary - Dollars'!$U$1))</f>
        <v>0</v>
      </c>
      <c r="N64" s="715">
        <f>(INDEX(Data!464:464,1,'Summary - Dollars'!$U$1+1))</f>
        <v>0</v>
      </c>
    </row>
    <row r="65" spans="1:14" ht="25.5">
      <c r="A65" s="677" t="s">
        <v>1428</v>
      </c>
      <c r="B65" s="706">
        <f>'Summary - Dollars'!E140</f>
        <v>10076703</v>
      </c>
      <c r="C65" s="705">
        <f>'Summary - Dollars'!F140</f>
        <v>9422643</v>
      </c>
      <c r="D65" s="720">
        <f>I15+M42</f>
        <v>10076703</v>
      </c>
      <c r="E65" s="721">
        <f t="shared" ref="E65:E70" si="12">B65-D65</f>
        <v>0</v>
      </c>
      <c r="F65" s="766">
        <f t="shared" ref="F65:F70" si="13">C65-G65</f>
        <v>0</v>
      </c>
      <c r="G65" s="720">
        <f>J15+N42</f>
        <v>9422643</v>
      </c>
      <c r="H65" s="719" t="s">
        <v>1446</v>
      </c>
      <c r="I65" s="715">
        <f>(INDEX(Data!84:84,1,'Summary - Dollars'!$U$1)-INDEX(Data!1273:1273,1,$W$1))</f>
        <v>16828086</v>
      </c>
      <c r="J65" s="715">
        <f>(INDEX(Data!84:84,1,'Summary - Dollars'!$U$1+1)-INDEX(Data!1273:1273,1,$W$1+1))</f>
        <v>16814503</v>
      </c>
      <c r="L65" s="719" t="s">
        <v>726</v>
      </c>
      <c r="M65" s="715">
        <f>(INDEX(Data!465:465,1,'Summary - Dollars'!$U$1))</f>
        <v>16934867</v>
      </c>
      <c r="N65" s="715">
        <f>(INDEX(Data!465:465,1,'Summary - Dollars'!$U$1+1))</f>
        <v>16934867</v>
      </c>
    </row>
    <row r="66" spans="1:14" ht="25.5">
      <c r="A66" s="677" t="s">
        <v>1429</v>
      </c>
      <c r="B66" s="706">
        <f>'Summary - Dollars'!E141</f>
        <v>770028</v>
      </c>
      <c r="C66" s="705">
        <f>'Summary - Dollars'!F141</f>
        <v>770027</v>
      </c>
      <c r="D66" s="720">
        <f>I35+M64</f>
        <v>770028</v>
      </c>
      <c r="E66" s="721">
        <f t="shared" si="12"/>
        <v>0</v>
      </c>
      <c r="F66" s="766">
        <f t="shared" si="13"/>
        <v>0</v>
      </c>
      <c r="G66" s="720">
        <f>J35+N64</f>
        <v>770027</v>
      </c>
      <c r="H66" s="719" t="s">
        <v>1447</v>
      </c>
      <c r="I66" s="715">
        <f>(INDEX(Data!85:85,1,'Summary - Dollars'!$U$1)-INDEX(Data!1274:1274,1,$W$1))</f>
        <v>12479456</v>
      </c>
      <c r="J66" s="715">
        <f>(INDEX(Data!85:85,1,'Summary - Dollars'!$U$1+1)-INDEX(Data!1274:1274,1,$W$1+1))</f>
        <v>12475242</v>
      </c>
      <c r="L66" s="719" t="s">
        <v>1363</v>
      </c>
      <c r="M66" s="715">
        <f>(INDEX(Data!466:466,1,'Summary - Dollars'!$U$1))</f>
        <v>3819432</v>
      </c>
      <c r="N66" s="715">
        <f>(INDEX(Data!466:466,1,'Summary - Dollars'!$U$1+1))</f>
        <v>3819432</v>
      </c>
    </row>
    <row r="67" spans="1:14" ht="25.5">
      <c r="A67" s="677" t="s">
        <v>1430</v>
      </c>
      <c r="B67" s="706">
        <f>'Summary - Dollars'!E142</f>
        <v>41799671</v>
      </c>
      <c r="C67" s="705">
        <f>'Summary - Dollars'!F142</f>
        <v>41835975</v>
      </c>
      <c r="D67" s="720">
        <f>I48+M69</f>
        <v>41799671</v>
      </c>
      <c r="E67" s="721">
        <f t="shared" si="12"/>
        <v>0</v>
      </c>
      <c r="F67" s="766">
        <f t="shared" si="13"/>
        <v>0</v>
      </c>
      <c r="G67" s="720">
        <f>J48+N69</f>
        <v>41835975</v>
      </c>
      <c r="H67" s="719" t="s">
        <v>1448</v>
      </c>
      <c r="I67" s="715">
        <f>(INDEX(Data!86:86,1,'Summary - Dollars'!$U$1)-INDEX(Data!1275:1275,1,$W$1))</f>
        <v>15235409</v>
      </c>
      <c r="J67" s="715">
        <f>(INDEX(Data!86:86,1,'Summary - Dollars'!$U$1+1)-INDEX(Data!1275:1275,1,$W$1+1))</f>
        <v>15218444</v>
      </c>
      <c r="L67" s="719" t="s">
        <v>1364</v>
      </c>
      <c r="M67" s="715">
        <f>(INDEX(Data!467:467,1,'Summary - Dollars'!$U$1))</f>
        <v>3432459</v>
      </c>
      <c r="N67" s="715">
        <f>(INDEX(Data!467:467,1,'Summary - Dollars'!$U$1+1))</f>
        <v>3432459</v>
      </c>
    </row>
    <row r="68" spans="1:14" ht="25.5">
      <c r="A68" s="677" t="s">
        <v>1431</v>
      </c>
      <c r="B68" s="706">
        <f>'Summary - Dollars'!E143</f>
        <v>7202031</v>
      </c>
      <c r="C68" s="705">
        <f>'Summary - Dollars'!F143</f>
        <v>7206678</v>
      </c>
      <c r="D68" s="720">
        <f>I54+M97</f>
        <v>7202031</v>
      </c>
      <c r="E68" s="721">
        <f t="shared" si="12"/>
        <v>0</v>
      </c>
      <c r="F68" s="766">
        <f t="shared" si="13"/>
        <v>0</v>
      </c>
      <c r="G68" s="720">
        <f>J54+N97</f>
        <v>7206678</v>
      </c>
      <c r="H68" s="719" t="s">
        <v>1367</v>
      </c>
      <c r="I68" s="715">
        <f>(INDEX(Data!87:87,1,'Summary - Dollars'!$U$1)-INDEX(Data!1276:1276,1,$W$1))</f>
        <v>92810948</v>
      </c>
      <c r="J68" s="715">
        <f>(INDEX(Data!87:87,1,'Summary - Dollars'!$U$1+1)-INDEX(Data!1276:1276,1,$W$1+1))</f>
        <v>90372263</v>
      </c>
      <c r="L68" s="719" t="s">
        <v>1365</v>
      </c>
      <c r="M68" s="715">
        <f>(INDEX(Data!468:468,1,'Summary - Dollars'!$U$1))</f>
        <v>1810849</v>
      </c>
      <c r="N68" s="715">
        <f>(INDEX(Data!468:468,1,'Summary - Dollars'!$U$1+1))</f>
        <v>1810849</v>
      </c>
    </row>
    <row r="69" spans="1:14" ht="25.5">
      <c r="A69" s="677" t="s">
        <v>1432</v>
      </c>
      <c r="B69" s="706">
        <f>'Summary - Dollars'!E144</f>
        <v>2110381</v>
      </c>
      <c r="C69" s="705">
        <f>'Summary - Dollars'!F144</f>
        <v>2110381</v>
      </c>
      <c r="D69" s="720">
        <f>I59+M98</f>
        <v>2110381</v>
      </c>
      <c r="E69" s="721">
        <f t="shared" si="12"/>
        <v>0</v>
      </c>
      <c r="F69" s="766">
        <f t="shared" si="13"/>
        <v>0</v>
      </c>
      <c r="G69" s="720">
        <f>J59+N98</f>
        <v>2110381</v>
      </c>
      <c r="H69" s="707" t="s">
        <v>1094</v>
      </c>
      <c r="I69" s="715">
        <f>(INDEX(Data!88:88,1,'Summary - Dollars'!$U$1)-INDEX(Data!1277:1277,1,$W$1))</f>
        <v>170343864</v>
      </c>
      <c r="J69" s="715">
        <f>(INDEX(Data!88:88,1,'Summary - Dollars'!$U$1+1)-INDEX(Data!1277:1277,1,$W$1+1))</f>
        <v>169757858</v>
      </c>
      <c r="L69" s="725" t="s">
        <v>1430</v>
      </c>
      <c r="M69" s="715">
        <f>(INDEX(Data!469:469,1,'Summary - Dollars'!$U$1))</f>
        <v>266848</v>
      </c>
      <c r="N69" s="715">
        <f>(INDEX(Data!469:469,1,'Summary - Dollars'!$U$1+1))</f>
        <v>266848</v>
      </c>
    </row>
    <row r="70" spans="1:14">
      <c r="A70" s="677" t="s">
        <v>60</v>
      </c>
      <c r="B70" s="706">
        <f>'Summary - Dollars'!E145</f>
        <v>1631127</v>
      </c>
      <c r="C70" s="705">
        <f>'Summary - Dollars'!F145</f>
        <v>1631127</v>
      </c>
      <c r="D70" s="720">
        <f>I63+M79</f>
        <v>1631127</v>
      </c>
      <c r="E70" s="721">
        <f t="shared" si="12"/>
        <v>0</v>
      </c>
      <c r="F70" s="766">
        <f t="shared" si="13"/>
        <v>0</v>
      </c>
      <c r="G70" s="720">
        <f>J63+N79</f>
        <v>1631127</v>
      </c>
      <c r="H70" s="719" t="s">
        <v>859</v>
      </c>
      <c r="I70" s="715">
        <f>(INDEX(Data!89:89,1,'Summary - Dollars'!$U$1)-INDEX(Data!1278:1278,1,$W$1))</f>
        <v>13344803</v>
      </c>
      <c r="J70" s="715">
        <f>(INDEX(Data!89:89,1,'Summary - Dollars'!$U$1+1)-INDEX(Data!1278:1278,1,$W$1+1))</f>
        <v>13307858</v>
      </c>
      <c r="L70" s="719" t="s">
        <v>738</v>
      </c>
      <c r="M70" s="715">
        <f>(INDEX(Data!470:470,1,'Summary - Dollars'!$U$1))</f>
        <v>8192093</v>
      </c>
      <c r="N70" s="715">
        <f>(INDEX(Data!470:470,1,'Summary - Dollars'!$U$1+1))</f>
        <v>8192093</v>
      </c>
    </row>
    <row r="71" spans="1:14">
      <c r="A71" s="113" t="s">
        <v>785</v>
      </c>
      <c r="B71" s="704">
        <f>'Summary - Dollars'!E146</f>
        <v>63589941</v>
      </c>
      <c r="C71" s="703">
        <f>'Summary - Dollars'!F146</f>
        <v>62976831</v>
      </c>
      <c r="D71" s="700"/>
      <c r="E71" s="700"/>
      <c r="F71" s="771"/>
      <c r="H71" s="719" t="s">
        <v>1427</v>
      </c>
      <c r="I71" s="715">
        <f>(INDEX(Data!90:90,1,'Summary - Dollars'!$U$1)-INDEX(Data!1279:1279,1,$W$1))</f>
        <v>5843876</v>
      </c>
      <c r="J71" s="715">
        <f>(INDEX(Data!90:90,1,'Summary - Dollars'!$U$1+1)-INDEX(Data!1279:1279,1,$W$1+1))</f>
        <v>5843915</v>
      </c>
      <c r="L71" s="719" t="s">
        <v>1446</v>
      </c>
      <c r="M71" s="715">
        <f>(INDEX(Data!471:471,1,'Summary - Dollars'!$U$1))</f>
        <v>1368070</v>
      </c>
      <c r="N71" s="715">
        <f>(INDEX(Data!471:471,1,'Summary - Dollars'!$U$1+1))</f>
        <v>1368070</v>
      </c>
    </row>
    <row r="72" spans="1:14" ht="25.5">
      <c r="A72" s="79" t="s">
        <v>1433</v>
      </c>
      <c r="B72" s="706">
        <f>'Summary - Dollars'!E147</f>
        <v>197527404</v>
      </c>
      <c r="C72" s="705">
        <f>'Summary - Dollars'!F147</f>
        <v>197528104</v>
      </c>
      <c r="D72" s="720">
        <f t="shared" ref="D72:D78" si="14">I72+M35</f>
        <v>197527404</v>
      </c>
      <c r="E72" s="721">
        <f t="shared" ref="E72:E84" si="15">B72-D72</f>
        <v>0</v>
      </c>
      <c r="F72" s="766">
        <f t="shared" ref="F72:F84" si="16">C72-G72</f>
        <v>0</v>
      </c>
      <c r="G72" s="720">
        <f t="shared" ref="G72:G78" si="17">J72+N35</f>
        <v>197528104</v>
      </c>
      <c r="H72" s="1147" t="s">
        <v>1433</v>
      </c>
      <c r="I72" s="715">
        <f>(INDEX(Data!91:91,1,'Summary - Dollars'!$U$1)-INDEX(Data!1280:1280,1,$W$1))</f>
        <v>183347116</v>
      </c>
      <c r="J72" s="715">
        <f>(INDEX(Data!91:91,1,'Summary - Dollars'!$U$1+1)-INDEX(Data!1280:1280,1,$W$1+1))</f>
        <v>183347816</v>
      </c>
      <c r="L72" s="719" t="s">
        <v>1447</v>
      </c>
      <c r="M72" s="715">
        <f>(INDEX(Data!472:472,1,'Summary - Dollars'!$U$1))</f>
        <v>1131300</v>
      </c>
      <c r="N72" s="715">
        <f>(INDEX(Data!472:472,1,'Summary - Dollars'!$U$1+1))</f>
        <v>1131300</v>
      </c>
    </row>
    <row r="73" spans="1:14" ht="25.5">
      <c r="A73" s="79" t="s">
        <v>1434</v>
      </c>
      <c r="B73" s="706">
        <f>'Summary - Dollars'!E148</f>
        <v>342784560</v>
      </c>
      <c r="C73" s="705">
        <f>'Summary - Dollars'!F148</f>
        <v>342784058</v>
      </c>
      <c r="D73" s="720">
        <f t="shared" si="14"/>
        <v>342784560</v>
      </c>
      <c r="E73" s="721">
        <f t="shared" si="15"/>
        <v>0</v>
      </c>
      <c r="F73" s="766">
        <f t="shared" si="16"/>
        <v>0</v>
      </c>
      <c r="G73" s="720">
        <f t="shared" si="17"/>
        <v>342784058</v>
      </c>
      <c r="H73" s="1147" t="s">
        <v>1434</v>
      </c>
      <c r="I73" s="715">
        <f>(INDEX(Data!92:92,1,'Summary - Dollars'!$U$1)-INDEX(Data!1281:1281,1,$W$1))</f>
        <v>285006028</v>
      </c>
      <c r="J73" s="715">
        <f>(INDEX(Data!92:92,1,'Summary - Dollars'!$U$1+1)-INDEX(Data!1281:1281,1,$W$1+1))</f>
        <v>285005528</v>
      </c>
      <c r="L73" s="719" t="s">
        <v>1448</v>
      </c>
      <c r="M73" s="715">
        <f>(INDEX(Data!473:473,1,'Summary - Dollars'!$U$1))</f>
        <v>1335184</v>
      </c>
      <c r="N73" s="715">
        <f>(INDEX(Data!473:473,1,'Summary - Dollars'!$U$1+1))</f>
        <v>1335184</v>
      </c>
    </row>
    <row r="74" spans="1:14" ht="25.5">
      <c r="A74" s="79" t="s">
        <v>1435</v>
      </c>
      <c r="B74" s="706">
        <f>'Summary - Dollars'!E149</f>
        <v>241839519</v>
      </c>
      <c r="C74" s="705">
        <f>'Summary - Dollars'!F149</f>
        <v>241839218</v>
      </c>
      <c r="D74" s="720">
        <f t="shared" si="14"/>
        <v>241839519</v>
      </c>
      <c r="E74" s="721">
        <f t="shared" si="15"/>
        <v>0</v>
      </c>
      <c r="F74" s="766">
        <f t="shared" si="16"/>
        <v>0</v>
      </c>
      <c r="G74" s="720">
        <f t="shared" si="17"/>
        <v>241839218</v>
      </c>
      <c r="H74" s="1147" t="s">
        <v>1435</v>
      </c>
      <c r="I74" s="715">
        <f>(INDEX(Data!93:93,1,'Summary - Dollars'!$U$1)-INDEX(Data!1282:1282,1,$W$1))</f>
        <v>217529504</v>
      </c>
      <c r="J74" s="715">
        <f>(INDEX(Data!93:93,1,'Summary - Dollars'!$U$1+1)-INDEX(Data!1282:1282,1,$W$1+1))</f>
        <v>217529204</v>
      </c>
      <c r="L74" s="719" t="s">
        <v>855</v>
      </c>
      <c r="M74" s="715">
        <f>(INDEX(Data!474:474,1,'Summary - Dollars'!$U$1))</f>
        <v>5122498</v>
      </c>
      <c r="N74" s="715">
        <f>(INDEX(Data!474:474,1,'Summary - Dollars'!$U$1+1))</f>
        <v>5122498</v>
      </c>
    </row>
    <row r="75" spans="1:14" ht="25.5">
      <c r="A75" s="79" t="s">
        <v>1436</v>
      </c>
      <c r="B75" s="706">
        <f>'Summary - Dollars'!E150</f>
        <v>194252857</v>
      </c>
      <c r="C75" s="705">
        <f>'Summary - Dollars'!F150</f>
        <v>194253094</v>
      </c>
      <c r="D75" s="720">
        <f t="shared" si="14"/>
        <v>194252857</v>
      </c>
      <c r="E75" s="721">
        <f t="shared" si="15"/>
        <v>0</v>
      </c>
      <c r="F75" s="766">
        <f t="shared" si="16"/>
        <v>0</v>
      </c>
      <c r="G75" s="720">
        <f t="shared" si="17"/>
        <v>194253094</v>
      </c>
      <c r="H75" s="1147" t="s">
        <v>1436</v>
      </c>
      <c r="I75" s="715">
        <f>(INDEX(Data!94:94,1,'Summary - Dollars'!$U$1)-INDEX(Data!1283:1283,1,$W$1))</f>
        <v>173313575</v>
      </c>
      <c r="J75" s="715">
        <f>(INDEX(Data!94:94,1,'Summary - Dollars'!$U$1+1)-INDEX(Data!1283:1283,1,$W$1+1))</f>
        <v>173313812</v>
      </c>
      <c r="L75" s="719" t="s">
        <v>1367</v>
      </c>
      <c r="M75" s="715">
        <f>(INDEX(Data!475:475,1,'Summary - Dollars'!$U$1))</f>
        <v>9127925</v>
      </c>
      <c r="N75" s="715">
        <f>(INDEX(Data!475:475,1,'Summary - Dollars'!$U$1+1))</f>
        <v>9127925</v>
      </c>
    </row>
    <row r="76" spans="1:14" ht="25.5">
      <c r="A76" s="79" t="s">
        <v>1670</v>
      </c>
      <c r="B76" s="706">
        <f>'Summary - Dollars'!E158</f>
        <v>36213258</v>
      </c>
      <c r="C76" s="705">
        <f>'Summary - Dollars'!F158</f>
        <v>36213258</v>
      </c>
      <c r="D76" s="720">
        <f t="shared" si="14"/>
        <v>36213258</v>
      </c>
      <c r="E76" s="721">
        <f t="shared" si="15"/>
        <v>0</v>
      </c>
      <c r="F76" s="766">
        <f t="shared" si="16"/>
        <v>0</v>
      </c>
      <c r="G76" s="720">
        <f t="shared" si="17"/>
        <v>36213258</v>
      </c>
      <c r="H76" s="1148" t="s">
        <v>1668</v>
      </c>
      <c r="I76" s="715">
        <f>(INDEX(Data!95:95,1,'Summary - Dollars'!$U$1)-INDEX(Data!1284:1284,1,$W$1))</f>
        <v>34463107</v>
      </c>
      <c r="J76" s="715">
        <f>(INDEX(Data!95:95,1,'Summary - Dollars'!$U$1+1)-INDEX(Data!1284:1284,1,$W$1+1))</f>
        <v>34463107</v>
      </c>
      <c r="L76" s="707" t="s">
        <v>1094</v>
      </c>
      <c r="M76" s="715">
        <f>(INDEX(Data!476:476,1,'Summary - Dollars'!$U$1))</f>
        <v>14519107</v>
      </c>
      <c r="N76" s="715">
        <f>(INDEX(Data!476:476,1,'Summary - Dollars'!$U$1+1))</f>
        <v>14519107</v>
      </c>
    </row>
    <row r="77" spans="1:14" ht="25.5">
      <c r="A77" s="79" t="s">
        <v>1437</v>
      </c>
      <c r="B77" s="706">
        <f>'Summary - Dollars'!E151</f>
        <v>218782380</v>
      </c>
      <c r="C77" s="705">
        <f>'Summary - Dollars'!F151</f>
        <v>218782731</v>
      </c>
      <c r="D77" s="720">
        <f t="shared" si="14"/>
        <v>218782380</v>
      </c>
      <c r="E77" s="721">
        <f t="shared" si="15"/>
        <v>0</v>
      </c>
      <c r="F77" s="766">
        <f t="shared" si="16"/>
        <v>0</v>
      </c>
      <c r="G77" s="720">
        <f t="shared" si="17"/>
        <v>218782731</v>
      </c>
      <c r="H77" s="1147" t="s">
        <v>1437</v>
      </c>
      <c r="I77" s="715">
        <f>(INDEX(Data!96:96,1,'Summary - Dollars'!$U$1)-INDEX(Data!1285:1285,1,$W$1))</f>
        <v>211772878</v>
      </c>
      <c r="J77" s="715">
        <f>(INDEX(Data!96:96,1,'Summary - Dollars'!$U$1+1)-INDEX(Data!1285:1285,1,$W$1+1))</f>
        <v>211773229</v>
      </c>
      <c r="L77" s="719" t="s">
        <v>859</v>
      </c>
      <c r="M77" s="715">
        <f>(INDEX(Data!477:477,1,'Summary - Dollars'!$U$1))</f>
        <v>2502470</v>
      </c>
      <c r="N77" s="715">
        <f>(INDEX(Data!477:477,1,'Summary - Dollars'!$U$1+1))</f>
        <v>2502470</v>
      </c>
    </row>
    <row r="78" spans="1:14" ht="25.5">
      <c r="A78" s="79" t="s">
        <v>1438</v>
      </c>
      <c r="B78" s="706">
        <f>'Summary - Dollars'!E152</f>
        <v>56488891</v>
      </c>
      <c r="C78" s="705">
        <f>'Summary - Dollars'!F152</f>
        <v>56488691</v>
      </c>
      <c r="D78" s="720">
        <f t="shared" si="14"/>
        <v>56488891</v>
      </c>
      <c r="E78" s="721">
        <f t="shared" si="15"/>
        <v>0</v>
      </c>
      <c r="F78" s="766">
        <f t="shared" si="16"/>
        <v>0</v>
      </c>
      <c r="G78" s="720">
        <f t="shared" si="17"/>
        <v>56488691</v>
      </c>
      <c r="H78" s="1147" t="s">
        <v>1438</v>
      </c>
      <c r="I78" s="715">
        <f>(INDEX(Data!97:97,1,'Summary - Dollars'!$U$1)-INDEX(Data!1286:1286,1,$W$1))</f>
        <v>52076864</v>
      </c>
      <c r="J78" s="715">
        <f>(INDEX(Data!97:97,1,'Summary - Dollars'!$U$1+1)-INDEX(Data!1286:1286,1,$W$1+1))</f>
        <v>52076664</v>
      </c>
      <c r="L78" s="719" t="s">
        <v>1427</v>
      </c>
      <c r="M78" s="715">
        <f>(INDEX(Data!478:478,1,'Summary - Dollars'!$U$1))</f>
        <v>310383</v>
      </c>
      <c r="N78" s="715">
        <f>(INDEX(Data!478:478,1,'Summary - Dollars'!$U$1+1))</f>
        <v>310383</v>
      </c>
    </row>
    <row r="79" spans="1:14" ht="25.5">
      <c r="A79" s="79" t="s">
        <v>1439</v>
      </c>
      <c r="B79" s="706">
        <f>'Summary - Dollars'!E153</f>
        <v>173698242</v>
      </c>
      <c r="C79" s="705">
        <f>'Summary - Dollars'!F153</f>
        <v>173702634</v>
      </c>
      <c r="D79" s="720">
        <f>I79+M44</f>
        <v>173698242</v>
      </c>
      <c r="E79" s="721">
        <f t="shared" si="15"/>
        <v>0</v>
      </c>
      <c r="F79" s="766">
        <f t="shared" si="16"/>
        <v>0</v>
      </c>
      <c r="G79" s="720">
        <f>J79+N44</f>
        <v>173702634</v>
      </c>
      <c r="H79" s="1147" t="s">
        <v>1439</v>
      </c>
      <c r="I79" s="715">
        <f>(INDEX(Data!98:98,1,'Summary - Dollars'!$U$1)-INDEX(Data!1287:1287,1,$W$1))</f>
        <v>164999300</v>
      </c>
      <c r="J79" s="715">
        <f>(INDEX(Data!98:98,1,'Summary - Dollars'!$U$1+1)-INDEX(Data!1287:1287,1,$W$1+1))</f>
        <v>165003692</v>
      </c>
      <c r="L79" s="725" t="s">
        <v>60</v>
      </c>
      <c r="M79" s="715">
        <f>(INDEX(Data!479:479,1,'Summary - Dollars'!$U$1))</f>
        <v>263127</v>
      </c>
      <c r="N79" s="715">
        <f>(INDEX(Data!479:479,1,'Summary - Dollars'!$U$1+1))</f>
        <v>263127</v>
      </c>
    </row>
    <row r="80" spans="1:14" ht="25.5">
      <c r="A80" s="79" t="s">
        <v>1440</v>
      </c>
      <c r="B80" s="706">
        <f>'Summary - Dollars'!E154</f>
        <v>113368470</v>
      </c>
      <c r="C80" s="705">
        <f>'Summary - Dollars'!F154</f>
        <v>113083842</v>
      </c>
      <c r="D80" s="720">
        <f>I80+M83</f>
        <v>113368470</v>
      </c>
      <c r="E80" s="721">
        <f t="shared" si="15"/>
        <v>0</v>
      </c>
      <c r="F80" s="766">
        <f t="shared" si="16"/>
        <v>0</v>
      </c>
      <c r="G80" s="720">
        <f>J80+N83</f>
        <v>113083842</v>
      </c>
      <c r="H80" s="1147" t="s">
        <v>1440</v>
      </c>
      <c r="I80" s="715">
        <f>(INDEX(Data!99:99,1,'Summary - Dollars'!$U$1)-INDEX(Data!1288:1288,1,$W$1))</f>
        <v>106867257</v>
      </c>
      <c r="J80" s="715">
        <f>(INDEX(Data!99:99,1,'Summary - Dollars'!$U$1+1)-INDEX(Data!1288:1288,1,$W$1+1))</f>
        <v>106582629</v>
      </c>
      <c r="L80" s="719" t="s">
        <v>730</v>
      </c>
      <c r="M80" s="715">
        <f>(INDEX(Data!480:480,1,'Summary - Dollars'!$U$1))</f>
        <v>3629695</v>
      </c>
      <c r="N80" s="715">
        <f>(INDEX(Data!480:480,1,'Summary - Dollars'!$U$1+1))</f>
        <v>3629695</v>
      </c>
    </row>
    <row r="81" spans="1:14" ht="25.5">
      <c r="A81" s="79" t="s">
        <v>942</v>
      </c>
      <c r="B81" s="706">
        <f>'Summary - Dollars'!E155</f>
        <v>186229888</v>
      </c>
      <c r="C81" s="705">
        <f>'Summary - Dollars'!F155</f>
        <v>186213209</v>
      </c>
      <c r="D81" s="720">
        <f>I81+M87</f>
        <v>186229888</v>
      </c>
      <c r="E81" s="721">
        <f t="shared" si="15"/>
        <v>0</v>
      </c>
      <c r="F81" s="766">
        <f t="shared" si="16"/>
        <v>0</v>
      </c>
      <c r="G81" s="720">
        <f>J81+N87</f>
        <v>186213209</v>
      </c>
      <c r="H81" s="1147" t="s">
        <v>942</v>
      </c>
      <c r="I81" s="715">
        <f>(INDEX(Data!100:100,1,'Summary - Dollars'!$U$1)-INDEX(Data!1289:1289,1,$W$1))</f>
        <v>167079032</v>
      </c>
      <c r="J81" s="715">
        <f>(INDEX(Data!100:100,1,'Summary - Dollars'!$U$1+1)-INDEX(Data!1289:1289,1,$W$1+1))</f>
        <v>167062353</v>
      </c>
      <c r="L81" s="719" t="s">
        <v>731</v>
      </c>
      <c r="M81" s="715">
        <f>(INDEX(Data!481:481,1,'Summary - Dollars'!$U$1))</f>
        <v>14845281</v>
      </c>
      <c r="N81" s="715">
        <f>(INDEX(Data!481:481,1,'Summary - Dollars'!$U$1+1))</f>
        <v>14845281</v>
      </c>
    </row>
    <row r="82" spans="1:14" ht="25.5">
      <c r="A82" s="79" t="s">
        <v>1556</v>
      </c>
      <c r="B82" s="706">
        <f>'Summary - Dollars'!E156</f>
        <v>81037083</v>
      </c>
      <c r="C82" s="705">
        <f>'Summary - Dollars'!F156</f>
        <v>81021475</v>
      </c>
      <c r="D82" s="720">
        <f>I82+M88</f>
        <v>81037083</v>
      </c>
      <c r="E82" s="721">
        <f t="shared" si="15"/>
        <v>0</v>
      </c>
      <c r="F82" s="766">
        <f t="shared" si="16"/>
        <v>0</v>
      </c>
      <c r="G82" s="720">
        <f>J82+N88</f>
        <v>81021475</v>
      </c>
      <c r="H82" s="1148" t="s">
        <v>1556</v>
      </c>
      <c r="I82" s="715">
        <f>(INDEX(Data!101:101,1,'Summary - Dollars'!$U$1)-INDEX(Data!1290:1290,1,$W$1))</f>
        <v>76046519</v>
      </c>
      <c r="J82" s="715">
        <f>(INDEX(Data!101:101,1,'Summary - Dollars'!$U$1+1)-INDEX(Data!1290:1290,1,$W$1+1))</f>
        <v>76030911</v>
      </c>
      <c r="L82" s="707" t="s">
        <v>1453</v>
      </c>
      <c r="M82" s="715">
        <f>(INDEX(Data!482:482,1,'Summary - Dollars'!$U$1))</f>
        <v>1499997</v>
      </c>
      <c r="N82" s="715">
        <f>(INDEX(Data!482:482,1,'Summary - Dollars'!$U$1+1))</f>
        <v>1499997</v>
      </c>
    </row>
    <row r="83" spans="1:14" ht="25.5">
      <c r="A83" s="79" t="s">
        <v>1843</v>
      </c>
      <c r="B83" s="706">
        <f>'Summary - Dollars'!E157</f>
        <v>12283896</v>
      </c>
      <c r="C83" s="705">
        <f>'Summary - Dollars'!F157</f>
        <v>12283896</v>
      </c>
      <c r="D83" s="720">
        <f>I83</f>
        <v>12283896</v>
      </c>
      <c r="E83" s="721">
        <f t="shared" ref="E83" si="18">B83-D83</f>
        <v>0</v>
      </c>
      <c r="F83" s="766">
        <f t="shared" ref="F83" si="19">C83-G83</f>
        <v>0</v>
      </c>
      <c r="G83" s="720">
        <f>J83</f>
        <v>12283896</v>
      </c>
      <c r="H83" s="1148" t="s">
        <v>1843</v>
      </c>
      <c r="I83" s="715">
        <f>(INDEX(Data!102:102,1,'Summary - Dollars'!$U$1)-INDEX(Data!1291:1291,1,$W$1))</f>
        <v>12283896</v>
      </c>
      <c r="J83" s="715">
        <f>(INDEX(Data!102:102,1,'Summary - Dollars'!$U$1+1)-INDEX(Data!1291:1291,1,$W$1+1))</f>
        <v>12283896</v>
      </c>
      <c r="L83" s="727" t="s">
        <v>1440</v>
      </c>
      <c r="M83" s="715">
        <f>(INDEX(Data!483:483,1,'Summary - Dollars'!$U$1))</f>
        <v>6501213</v>
      </c>
      <c r="N83" s="715">
        <f>(INDEX(Data!483:483,1,'Summary - Dollars'!$U$1+1))</f>
        <v>6501213</v>
      </c>
    </row>
    <row r="84" spans="1:14">
      <c r="A84" s="79" t="s">
        <v>221</v>
      </c>
      <c r="B84" s="706">
        <f>'Summary - Dollars'!E159</f>
        <v>48444436</v>
      </c>
      <c r="C84" s="705">
        <f>'Summary - Dollars'!F159</f>
        <v>48426485</v>
      </c>
      <c r="D84" s="720">
        <f>I198</f>
        <v>48444436</v>
      </c>
      <c r="E84" s="721">
        <f t="shared" si="15"/>
        <v>0</v>
      </c>
      <c r="F84" s="766">
        <f t="shared" si="16"/>
        <v>0</v>
      </c>
      <c r="G84" s="720">
        <f>J198</f>
        <v>48426485</v>
      </c>
      <c r="H84" s="723" t="s">
        <v>77</v>
      </c>
      <c r="I84" s="722">
        <f>(INDEX(Data!103:103,1,'Summary - Dollars'!$U$1)-INDEX(Data!1291:1291,1,$W$1))</f>
        <v>936193916</v>
      </c>
      <c r="J84" s="722">
        <f>(INDEX(Data!103:103,1,'Summary - Dollars'!$U$1+1)-INDEX(Data!1291:1291,1,$W$1+1))</f>
        <v>931497068</v>
      </c>
      <c r="L84" s="719" t="s">
        <v>1426</v>
      </c>
      <c r="M84" s="715">
        <f>(INDEX(Data!484:484,1,'Summary - Dollars'!$U$1))</f>
        <v>6423580</v>
      </c>
      <c r="N84" s="715">
        <f>(INDEX(Data!484:484,1,'Summary - Dollars'!$U$1+1))</f>
        <v>6423580</v>
      </c>
    </row>
    <row r="85" spans="1:14" ht="25.5">
      <c r="A85" s="113" t="s">
        <v>1284</v>
      </c>
      <c r="B85" s="704">
        <f>'Summary - Dollars'!E160</f>
        <v>1902950884</v>
      </c>
      <c r="C85" s="703">
        <f>'Summary - Dollars'!F160</f>
        <v>1902620695</v>
      </c>
      <c r="D85" s="700"/>
      <c r="E85" s="700"/>
      <c r="F85" s="771"/>
      <c r="H85" s="719" t="s">
        <v>1441</v>
      </c>
      <c r="I85" s="715">
        <f>(INDEX(Data!104:104,1,'Summary - Dollars'!$U$1)-INDEX(Data!1292:1292,1,$W$1))</f>
        <v>3415629</v>
      </c>
      <c r="J85" s="715">
        <f>(INDEX(Data!104:104,1,'Summary - Dollars'!$U$1+1)-INDEX(Data!1292:1292,1,$W$1+1))</f>
        <v>3418528</v>
      </c>
      <c r="L85" s="719" t="s">
        <v>733</v>
      </c>
      <c r="M85" s="715">
        <f>(INDEX(Data!485:485,1,'Summary - Dollars'!$U$1))</f>
        <v>5310788</v>
      </c>
      <c r="N85" s="715">
        <f>(INDEX(Data!485:485,1,'Summary - Dollars'!$U$1+1))</f>
        <v>5310788</v>
      </c>
    </row>
    <row r="86" spans="1:14">
      <c r="A86" s="79" t="s">
        <v>83</v>
      </c>
      <c r="B86" s="706">
        <f>'Summary - Dollars'!E161</f>
        <v>81338950</v>
      </c>
      <c r="C86" s="705">
        <f>'Summary - Dollars'!F161</f>
        <v>81338949</v>
      </c>
      <c r="D86" s="720">
        <f t="shared" ref="D86:D91" si="20">I92+M56</f>
        <v>81338950</v>
      </c>
      <c r="E86" s="721">
        <f t="shared" ref="E86:E92" si="21">B86-D86</f>
        <v>0</v>
      </c>
      <c r="F86" s="766">
        <f t="shared" ref="F86:F92" si="22">C86-G86</f>
        <v>0</v>
      </c>
      <c r="G86" s="720">
        <f t="shared" ref="G86:G91" si="23">J92+N56</f>
        <v>81338949</v>
      </c>
      <c r="H86" s="719" t="s">
        <v>1442</v>
      </c>
      <c r="I86" s="715">
        <f>(INDEX(Data!105:105,1,'Summary - Dollars'!$U$1)-INDEX(Data!1293:1293,1,$W$1))</f>
        <v>29262859</v>
      </c>
      <c r="J86" s="715">
        <f>(INDEX(Data!105:105,1,'Summary - Dollars'!$U$1+1)-INDEX(Data!1293:1293,1,$W$1+1))</f>
        <v>29573207</v>
      </c>
      <c r="L86" s="719" t="s">
        <v>735</v>
      </c>
      <c r="M86" s="715">
        <f>(INDEX(Data!486:486,1,'Summary - Dollars'!$U$1))</f>
        <v>21387701</v>
      </c>
      <c r="N86" s="715">
        <f>(INDEX(Data!486:486,1,'Summary - Dollars'!$U$1+1))</f>
        <v>21387701</v>
      </c>
    </row>
    <row r="87" spans="1:14" ht="25.5">
      <c r="A87" s="79" t="s">
        <v>84</v>
      </c>
      <c r="B87" s="706">
        <f>'Summary - Dollars'!E162</f>
        <v>89433134</v>
      </c>
      <c r="C87" s="705">
        <f>'Summary - Dollars'!F162</f>
        <v>89433134</v>
      </c>
      <c r="D87" s="720">
        <f t="shared" si="20"/>
        <v>89433134</v>
      </c>
      <c r="E87" s="721">
        <f t="shared" si="21"/>
        <v>0</v>
      </c>
      <c r="F87" s="766">
        <f t="shared" si="22"/>
        <v>0</v>
      </c>
      <c r="G87" s="720">
        <f t="shared" si="23"/>
        <v>89433134</v>
      </c>
      <c r="H87" s="719" t="s">
        <v>1443</v>
      </c>
      <c r="I87" s="715">
        <f>(INDEX(Data!106:106,1,'Summary - Dollars'!$U$1)-INDEX(Data!1294:1294,1,$W$1))</f>
        <v>12332903</v>
      </c>
      <c r="J87" s="715">
        <f>(INDEX(Data!106:106,1,'Summary - Dollars'!$U$1+1)-INDEX(Data!1294:1294,1,$W$1+1))</f>
        <v>12364484</v>
      </c>
      <c r="L87" s="1147" t="s">
        <v>942</v>
      </c>
      <c r="M87" s="715">
        <f>(INDEX(Data!487:487,1,'Summary - Dollars'!$U$1))</f>
        <v>19150856</v>
      </c>
      <c r="N87" s="715">
        <f>(INDEX(Data!487:487,1,'Summary - Dollars'!$U$1+1))</f>
        <v>19150856</v>
      </c>
    </row>
    <row r="88" spans="1:14" ht="25.5">
      <c r="A88" s="79" t="s">
        <v>85</v>
      </c>
      <c r="B88" s="706">
        <f>'Summary - Dollars'!E163</f>
        <v>127951102</v>
      </c>
      <c r="C88" s="705">
        <f>'Summary - Dollars'!F163</f>
        <v>127952101</v>
      </c>
      <c r="D88" s="720">
        <f t="shared" si="20"/>
        <v>127951102</v>
      </c>
      <c r="E88" s="721">
        <f t="shared" si="21"/>
        <v>0</v>
      </c>
      <c r="F88" s="766">
        <f t="shared" si="22"/>
        <v>0</v>
      </c>
      <c r="G88" s="720">
        <f t="shared" si="23"/>
        <v>127952101</v>
      </c>
      <c r="H88" s="719" t="s">
        <v>1444</v>
      </c>
      <c r="I88" s="715">
        <f>(INDEX(Data!107:107,1,'Summary - Dollars'!$U$1)-INDEX(Data!1295:1295,1,$W$1))</f>
        <v>6752648</v>
      </c>
      <c r="J88" s="715">
        <f>(INDEX(Data!107:107,1,'Summary - Dollars'!$U$1+1)-INDEX(Data!1295:1295,1,$W$1+1))</f>
        <v>6772645</v>
      </c>
      <c r="L88" s="1148" t="s">
        <v>1556</v>
      </c>
      <c r="M88" s="715">
        <f>(INDEX(Data!488:488,1,'Summary - Dollars'!$U$1))</f>
        <v>4990564</v>
      </c>
      <c r="N88" s="715">
        <f>(INDEX(Data!488:488,1,'Summary - Dollars'!$U$1+1))</f>
        <v>4990564</v>
      </c>
    </row>
    <row r="89" spans="1:14">
      <c r="A89" s="390" t="s">
        <v>86</v>
      </c>
      <c r="B89" s="706">
        <f>'Summary - Dollars'!E164</f>
        <v>74624299</v>
      </c>
      <c r="C89" s="705">
        <f>'Summary - Dollars'!F164</f>
        <v>75581898</v>
      </c>
      <c r="D89" s="720">
        <f t="shared" si="20"/>
        <v>74624299</v>
      </c>
      <c r="E89" s="721">
        <f t="shared" si="21"/>
        <v>0</v>
      </c>
      <c r="F89" s="766">
        <f t="shared" si="22"/>
        <v>0</v>
      </c>
      <c r="G89" s="720">
        <f t="shared" si="23"/>
        <v>75581898</v>
      </c>
      <c r="H89" s="719" t="s">
        <v>1445</v>
      </c>
      <c r="I89" s="715">
        <f>(INDEX(Data!108:108,1,'Summary - Dollars'!$U$1)-INDEX(Data!1296:1296,1,$W$1))</f>
        <v>37538232</v>
      </c>
      <c r="J89" s="715">
        <f>(INDEX(Data!108:108,1,'Summary - Dollars'!$U$1+1)-INDEX(Data!1296:1296,1,$W$1+1))</f>
        <v>37657799</v>
      </c>
      <c r="L89" s="719" t="s">
        <v>737</v>
      </c>
      <c r="M89" s="715">
        <f>(INDEX(Data!489:489,1,'Summary - Dollars'!$U$1))</f>
        <v>7133320</v>
      </c>
      <c r="N89" s="715">
        <f>(INDEX(Data!489:489,1,'Summary - Dollars'!$U$1+1))</f>
        <v>7133320</v>
      </c>
    </row>
    <row r="90" spans="1:14">
      <c r="A90" s="79" t="s">
        <v>87</v>
      </c>
      <c r="B90" s="706">
        <f>'Summary - Dollars'!E165</f>
        <v>90473666</v>
      </c>
      <c r="C90" s="705">
        <f>'Summary - Dollars'!F165</f>
        <v>90473666</v>
      </c>
      <c r="D90" s="720">
        <f t="shared" si="20"/>
        <v>90473666</v>
      </c>
      <c r="E90" s="721">
        <f t="shared" si="21"/>
        <v>0</v>
      </c>
      <c r="F90" s="766">
        <f t="shared" si="22"/>
        <v>0</v>
      </c>
      <c r="G90" s="720">
        <f t="shared" si="23"/>
        <v>90473666</v>
      </c>
      <c r="H90" s="719" t="s">
        <v>1852</v>
      </c>
      <c r="I90" s="715">
        <f>(INDEX(Data!109:109,1,'Summary - Dollars'!$U$1)-INDEX(Data!1297:1297,1,$W$1))</f>
        <v>6258129</v>
      </c>
      <c r="J90" s="715">
        <f>(INDEX(Data!109:109,1,'Summary - Dollars'!$U$1+1)-INDEX(Data!1297:1297,1,$W$1+1))</f>
        <v>6271471</v>
      </c>
      <c r="L90" s="719" t="s">
        <v>1441</v>
      </c>
      <c r="M90" s="715">
        <f>(INDEX(Data!496:496,1,'Summary - Dollars'!$U$1))</f>
        <v>5465338</v>
      </c>
      <c r="N90" s="715">
        <f>(INDEX(Data!496:496,1,'Summary - Dollars'!$U$1+1))</f>
        <v>5465338</v>
      </c>
    </row>
    <row r="91" spans="1:14">
      <c r="A91" s="79" t="s">
        <v>88</v>
      </c>
      <c r="B91" s="706">
        <f>'Summary - Dollars'!E166</f>
        <v>65976435</v>
      </c>
      <c r="C91" s="705">
        <f>'Summary - Dollars'!F166</f>
        <v>65976435</v>
      </c>
      <c r="D91" s="720">
        <f t="shared" si="20"/>
        <v>65976435</v>
      </c>
      <c r="E91" s="721">
        <f t="shared" si="21"/>
        <v>0</v>
      </c>
      <c r="F91" s="766">
        <f t="shared" si="22"/>
        <v>0</v>
      </c>
      <c r="G91" s="720">
        <f t="shared" si="23"/>
        <v>65976435</v>
      </c>
      <c r="H91" s="719" t="s">
        <v>1853</v>
      </c>
      <c r="I91" s="715">
        <f>(INDEX(Data!110:110,1,'Summary - Dollars'!$U$1)-INDEX(Data!1298:1298,1,$W$1))</f>
        <v>3905919</v>
      </c>
      <c r="J91" s="715">
        <f>(INDEX(Data!110:110,1,'Summary - Dollars'!$U$1+1)-INDEX(Data!1298:1298,1,$W$1+1))</f>
        <v>3916108</v>
      </c>
      <c r="L91" s="719" t="s">
        <v>1442</v>
      </c>
      <c r="M91" s="715">
        <f>(INDEX(Data!490:490,1,'Summary - Dollars'!$U$1))</f>
        <v>2808206</v>
      </c>
      <c r="N91" s="715">
        <f>(INDEX(Data!490:490,1,'Summary - Dollars'!$U$1+1))</f>
        <v>2808206</v>
      </c>
    </row>
    <row r="92" spans="1:14" ht="25.5">
      <c r="A92" s="79" t="s">
        <v>89</v>
      </c>
      <c r="B92" s="706">
        <f>'Summary - Dollars'!E167</f>
        <v>21380694</v>
      </c>
      <c r="C92" s="705">
        <f>'Summary - Dollars'!F167</f>
        <v>21378692</v>
      </c>
      <c r="D92" s="720">
        <f>I99+M62</f>
        <v>21380694</v>
      </c>
      <c r="E92" s="721">
        <f t="shared" si="21"/>
        <v>0</v>
      </c>
      <c r="F92" s="766">
        <f t="shared" si="22"/>
        <v>0</v>
      </c>
      <c r="G92" s="720">
        <f>J99+N62</f>
        <v>21378692</v>
      </c>
      <c r="H92" s="719" t="s">
        <v>83</v>
      </c>
      <c r="I92" s="715">
        <f>(INDEX(Data!111:111,1,'Summary - Dollars'!$U$1)-INDEX(Data!1297:1297,1,$W$1))</f>
        <v>71716633</v>
      </c>
      <c r="J92" s="715">
        <f>(INDEX(Data!111:111,1,'Summary - Dollars'!$U$1+1)-INDEX(Data!1297:1297,1,$W$1+1))</f>
        <v>71716632</v>
      </c>
      <c r="L92" s="719" t="s">
        <v>1443</v>
      </c>
      <c r="M92" s="715">
        <f>(INDEX(Data!491:491,1,'Summary - Dollars'!$U$1))</f>
        <v>1330224</v>
      </c>
      <c r="N92" s="715">
        <f>(INDEX(Data!491:491,1,'Summary - Dollars'!$U$1+1))</f>
        <v>1330224</v>
      </c>
    </row>
    <row r="93" spans="1:14" ht="25.5">
      <c r="A93" s="1173" t="s">
        <v>2051</v>
      </c>
      <c r="B93" s="706">
        <f>'Summary - Dollars'!E168</f>
        <v>1442085837</v>
      </c>
      <c r="C93" s="705">
        <f>'Summary - Dollars'!F168</f>
        <v>2084249532</v>
      </c>
      <c r="D93" s="720">
        <f>I100+M63</f>
        <v>1442085837</v>
      </c>
      <c r="E93" s="721">
        <f t="shared" ref="E93" si="24">B93-D93</f>
        <v>0</v>
      </c>
      <c r="F93" s="766">
        <f t="shared" ref="F93" si="25">C93-G93</f>
        <v>0</v>
      </c>
      <c r="G93" s="720">
        <f>J100+N63</f>
        <v>2084249532</v>
      </c>
      <c r="H93" s="719" t="s">
        <v>84</v>
      </c>
      <c r="I93" s="715">
        <f>(INDEX(Data!112:112,1,'Summary - Dollars'!$U$1)-INDEX(Data!1298:1298,1,$W$1))</f>
        <v>75206976</v>
      </c>
      <c r="J93" s="715">
        <f>(INDEX(Data!112:112,1,'Summary - Dollars'!$U$1+1)-INDEX(Data!1298:1298,1,$W$1+1))</f>
        <v>75206976</v>
      </c>
      <c r="L93" s="719" t="s">
        <v>1444</v>
      </c>
      <c r="M93" s="715">
        <f>(INDEX(Data!492:492,1,'Summary - Dollars'!$U$1))</f>
        <v>3392035</v>
      </c>
      <c r="N93" s="715">
        <f>(INDEX(Data!492:492,1,'Summary - Dollars'!$U$1+1))</f>
        <v>3392035</v>
      </c>
    </row>
    <row r="94" spans="1:14">
      <c r="A94" s="113" t="s">
        <v>787</v>
      </c>
      <c r="B94" s="704">
        <f>'Summary - Dollars'!E169</f>
        <v>1993264117</v>
      </c>
      <c r="C94" s="703">
        <f>'Summary - Dollars'!F169</f>
        <v>2636384407</v>
      </c>
      <c r="D94" s="700"/>
      <c r="E94" s="700"/>
      <c r="F94" s="771"/>
      <c r="H94" s="719" t="s">
        <v>85</v>
      </c>
      <c r="I94" s="715">
        <f>(INDEX(Data!113:113,1,'Summary - Dollars'!$U$1)-INDEX(Data!1299:1299,1,$W$1))</f>
        <v>125300621</v>
      </c>
      <c r="J94" s="715">
        <f>(INDEX(Data!113:113,1,'Summary - Dollars'!$U$1+1)-INDEX(Data!1299:1299,1,$W$1+1))</f>
        <v>125301620</v>
      </c>
      <c r="L94" s="719" t="s">
        <v>1445</v>
      </c>
      <c r="M94" s="715">
        <f>(INDEX(Data!493:493,1,'Summary - Dollars'!$U$1))</f>
        <v>551937</v>
      </c>
      <c r="N94" s="715">
        <f>(INDEX(Data!493:493,1,'Summary - Dollars'!$U$1+1))</f>
        <v>551937</v>
      </c>
    </row>
    <row r="95" spans="1:14" ht="25.5">
      <c r="A95" s="79" t="s">
        <v>1441</v>
      </c>
      <c r="B95" s="706">
        <f>'Summary - Dollars'!E170</f>
        <v>8880967</v>
      </c>
      <c r="C95" s="705">
        <f>'Summary - Dollars'!F170</f>
        <v>8883866</v>
      </c>
      <c r="D95" s="720">
        <f t="shared" ref="D95:D101" si="26">I85+M90</f>
        <v>8880967</v>
      </c>
      <c r="E95" s="721">
        <f t="shared" ref="E95:E96" si="27">B95-D95</f>
        <v>0</v>
      </c>
      <c r="F95" s="766">
        <f t="shared" ref="F95:F96" si="28">C95-G95</f>
        <v>0</v>
      </c>
      <c r="G95" s="720">
        <f t="shared" ref="G95:G101" si="29">J85+N90</f>
        <v>8883866</v>
      </c>
      <c r="H95" s="719" t="s">
        <v>86</v>
      </c>
      <c r="I95" s="715">
        <f>(INDEX(Data!114:114,1,'Summary - Dollars'!$U$1)-INDEX(Data!1300:1300,1,$W$1))</f>
        <v>72893612</v>
      </c>
      <c r="J95" s="715">
        <f>(INDEX(Data!114:114,1,'Summary - Dollars'!$U$1+1)-INDEX(Data!1300:1300,1,$W$1+1))</f>
        <v>73851211</v>
      </c>
      <c r="L95" s="719" t="s">
        <v>1852</v>
      </c>
      <c r="M95" s="715">
        <f>(INDEX(Data!494:494,1,'Summary - Dollars'!$U$1))</f>
        <v>361312</v>
      </c>
      <c r="N95" s="715">
        <f>(INDEX(Data!494:494,1,'Summary - Dollars'!$U$1+1))</f>
        <v>361312</v>
      </c>
    </row>
    <row r="96" spans="1:14" ht="17.25" customHeight="1">
      <c r="A96" s="79" t="s">
        <v>1442</v>
      </c>
      <c r="B96" s="706">
        <f>'Summary - Dollars'!E171</f>
        <v>32071065</v>
      </c>
      <c r="C96" s="705">
        <f>'Summary - Dollars'!F171</f>
        <v>32381413</v>
      </c>
      <c r="D96" s="720">
        <f t="shared" si="26"/>
        <v>32071065</v>
      </c>
      <c r="E96" s="721">
        <f t="shared" si="27"/>
        <v>0</v>
      </c>
      <c r="F96" s="766">
        <f t="shared" si="28"/>
        <v>0</v>
      </c>
      <c r="G96" s="720">
        <f t="shared" si="29"/>
        <v>32381413</v>
      </c>
      <c r="H96" s="719" t="s">
        <v>87</v>
      </c>
      <c r="I96" s="715">
        <f>(INDEX(Data!115:115,1,'Summary - Dollars'!$U$1)-INDEX(Data!1301:1301,1,$W$1))</f>
        <v>89840462</v>
      </c>
      <c r="J96" s="715">
        <f>(INDEX(Data!115:115,1,'Summary - Dollars'!$U$1+1)-INDEX(Data!1301:1301,1,$W$1+1))</f>
        <v>89840462</v>
      </c>
      <c r="L96" s="719" t="s">
        <v>1853</v>
      </c>
      <c r="M96" s="715">
        <f>(INDEX(Data!495:495,1,'Summary - Dollars'!$U$1))</f>
        <v>254770</v>
      </c>
      <c r="N96" s="715">
        <f>(INDEX(Data!495:495,1,'Summary - Dollars'!$U$1+1))</f>
        <v>254770</v>
      </c>
    </row>
    <row r="97" spans="1:14" ht="25.5">
      <c r="A97" s="79" t="s">
        <v>1443</v>
      </c>
      <c r="B97" s="706">
        <f>'Summary - Dollars'!E172</f>
        <v>13663127</v>
      </c>
      <c r="C97" s="705">
        <f>'Summary - Dollars'!F172</f>
        <v>13694708</v>
      </c>
      <c r="D97" s="720">
        <f t="shared" si="26"/>
        <v>13663127</v>
      </c>
      <c r="E97" s="721">
        <f t="shared" ref="E97" si="30">B97-D97</f>
        <v>0</v>
      </c>
      <c r="F97" s="766">
        <f t="shared" ref="F97" si="31">C97-G97</f>
        <v>0</v>
      </c>
      <c r="G97" s="720">
        <f t="shared" si="29"/>
        <v>13694708</v>
      </c>
      <c r="H97" s="719" t="s">
        <v>88</v>
      </c>
      <c r="I97" s="715">
        <f>(INDEX(Data!116:116,1,'Summary - Dollars'!$U$1)-INDEX(Data!1302:1302,1,$W$1))</f>
        <v>61823157</v>
      </c>
      <c r="J97" s="715">
        <f>(INDEX(Data!116:116,1,'Summary - Dollars'!$U$1+1)-INDEX(Data!1302:1302,1,$W$1+1))</f>
        <v>61823157</v>
      </c>
      <c r="L97" s="725" t="s">
        <v>1431</v>
      </c>
      <c r="M97" s="717">
        <f>(INDEX(Data!497:497,1,'Summary - Dollars'!$U$1))</f>
        <v>1052832</v>
      </c>
      <c r="N97" s="717">
        <f>(INDEX(Data!497:497,1,'Summary - Dollars'!$U$1+1))</f>
        <v>1052832</v>
      </c>
    </row>
    <row r="98" spans="1:14" ht="25.5">
      <c r="A98" s="79" t="s">
        <v>1444</v>
      </c>
      <c r="B98" s="706">
        <f>'Summary - Dollars'!E173</f>
        <v>10144683</v>
      </c>
      <c r="C98" s="705">
        <f>'Summary - Dollars'!F173</f>
        <v>10164680</v>
      </c>
      <c r="D98" s="720">
        <f t="shared" si="26"/>
        <v>10144683</v>
      </c>
      <c r="E98" s="721">
        <f t="shared" ref="E98:E101" si="32">B98-D98</f>
        <v>0</v>
      </c>
      <c r="F98" s="766">
        <f t="shared" ref="F98:F101" si="33">C98-G98</f>
        <v>0</v>
      </c>
      <c r="G98" s="720">
        <f t="shared" si="29"/>
        <v>10164680</v>
      </c>
      <c r="H98" s="707" t="s">
        <v>1693</v>
      </c>
      <c r="I98" s="715">
        <f>(INDEX(Data!119:119,1,'Summary - Dollars'!$U$1)-INDEX(Data!1303:1303,1,$W$1))</f>
        <v>0</v>
      </c>
      <c r="J98" s="715">
        <f>(INDEX(Data!119:119,1,'Summary - Dollars'!$U$1+1)-INDEX(Data!1303:1303,1,$W$1+1))</f>
        <v>0</v>
      </c>
      <c r="L98" s="725" t="s">
        <v>1432</v>
      </c>
      <c r="M98" s="724">
        <f>(INDEX(Data!498:498,1,'Summary - Dollars'!$U$1))</f>
        <v>742381</v>
      </c>
      <c r="N98" s="724">
        <f>(INDEX(Data!498:498,1,'Summary - Dollars'!$U$1+1))</f>
        <v>742381</v>
      </c>
    </row>
    <row r="99" spans="1:14">
      <c r="A99" s="79" t="s">
        <v>1445</v>
      </c>
      <c r="B99" s="706">
        <f>'Summary - Dollars'!E174</f>
        <v>38090169</v>
      </c>
      <c r="C99" s="705">
        <f>'Summary - Dollars'!F174</f>
        <v>38209736</v>
      </c>
      <c r="D99" s="720">
        <f t="shared" si="26"/>
        <v>38090169</v>
      </c>
      <c r="E99" s="721">
        <f t="shared" si="32"/>
        <v>0</v>
      </c>
      <c r="F99" s="766">
        <f t="shared" si="33"/>
        <v>0</v>
      </c>
      <c r="G99" s="720">
        <f t="shared" si="29"/>
        <v>38209736</v>
      </c>
      <c r="H99" s="719" t="s">
        <v>89</v>
      </c>
      <c r="I99" s="715">
        <f>(INDEX(Data!117:117,1,'Summary - Dollars'!$U$1)-INDEX(Data!1304:1304,1,$W$1))</f>
        <v>20875244</v>
      </c>
      <c r="J99" s="715">
        <f>(INDEX(Data!117:117,1,'Summary - Dollars'!$U$1+1)-INDEX(Data!1304:1304,1,$W$1+1))</f>
        <v>20873242</v>
      </c>
      <c r="L99" s="723" t="s">
        <v>77</v>
      </c>
      <c r="M99" s="722">
        <f>(INDEX(Data!499:499,1,'Summary - Dollars'!$U$1))</f>
        <v>184094737</v>
      </c>
      <c r="N99" s="722">
        <f>(INDEX(Data!499:499,1,'Summary - Dollars'!$U$1+1))</f>
        <v>184094737</v>
      </c>
    </row>
    <row r="100" spans="1:14" ht="25.5">
      <c r="A100" s="79" t="s">
        <v>1852</v>
      </c>
      <c r="B100" s="706">
        <f>'Summary - Dollars'!E175</f>
        <v>6619441</v>
      </c>
      <c r="C100" s="705">
        <f>'Summary - Dollars'!F175</f>
        <v>6632783</v>
      </c>
      <c r="D100" s="720">
        <f t="shared" si="26"/>
        <v>6619441</v>
      </c>
      <c r="E100" s="721">
        <f t="shared" si="32"/>
        <v>0</v>
      </c>
      <c r="F100" s="766">
        <f t="shared" si="33"/>
        <v>0</v>
      </c>
      <c r="G100" s="720">
        <f t="shared" si="29"/>
        <v>6632783</v>
      </c>
      <c r="H100" s="719" t="s">
        <v>2051</v>
      </c>
      <c r="I100" s="715">
        <f>(INDEX(Data!118:118,1,'Summary - Dollars'!$U$1)-INDEX(Data!1305:1305,1,$W$1))</f>
        <v>1440889292</v>
      </c>
      <c r="J100" s="715">
        <f>(INDEX(Data!118:118,1,'Summary - Dollars'!$U$1+1)-INDEX(Data!1305:1305,1,$W$1+1))</f>
        <v>2083052987</v>
      </c>
      <c r="L100" s="719" t="s">
        <v>155</v>
      </c>
      <c r="M100" s="715">
        <f>(INDEX(Data!500:500,1,'Summary - Dollars'!$U$1))</f>
        <v>0</v>
      </c>
      <c r="N100" s="715">
        <f>(INDEX(Data!500:500,1,'Summary - Dollars'!$U$1+1))</f>
        <v>0</v>
      </c>
    </row>
    <row r="101" spans="1:14" ht="25.5">
      <c r="A101" s="79" t="s">
        <v>1853</v>
      </c>
      <c r="B101" s="706">
        <f>'Summary - Dollars'!E176</f>
        <v>4160689</v>
      </c>
      <c r="C101" s="705">
        <f>'Summary - Dollars'!F176</f>
        <v>4170878</v>
      </c>
      <c r="D101" s="720">
        <f t="shared" si="26"/>
        <v>4160689</v>
      </c>
      <c r="E101" s="721">
        <f t="shared" si="32"/>
        <v>0</v>
      </c>
      <c r="F101" s="766">
        <f t="shared" si="33"/>
        <v>0</v>
      </c>
      <c r="G101" s="720">
        <f t="shared" si="29"/>
        <v>4170878</v>
      </c>
      <c r="H101" s="1174" t="s">
        <v>1693</v>
      </c>
      <c r="I101" s="715">
        <f>(INDEX(Data!119:119,1,'Summary - Dollars'!$U$1)-INDEX(Data!1306:1306,1,$W$1))</f>
        <v>0</v>
      </c>
      <c r="J101" s="715">
        <f>(INDEX(Data!119:119,1,'Summary - Dollars'!$U$1+1)-INDEX(Data!1306:1306,1,$W$1+1))</f>
        <v>0</v>
      </c>
      <c r="L101" s="719" t="s">
        <v>156</v>
      </c>
      <c r="M101" s="715">
        <f>(INDEX(Data!501:501,1,'Summary - Dollars'!$U$1))</f>
        <v>0</v>
      </c>
      <c r="N101" s="715">
        <f>(INDEX(Data!501:501,1,'Summary - Dollars'!$U$1+1))</f>
        <v>0</v>
      </c>
    </row>
    <row r="102" spans="1:14">
      <c r="A102" s="113" t="s">
        <v>788</v>
      </c>
      <c r="B102" s="704">
        <f>'Summary - Dollars'!E177</f>
        <v>113630141</v>
      </c>
      <c r="C102" s="703">
        <f>'Summary - Dollars'!F177</f>
        <v>114138064</v>
      </c>
      <c r="D102" s="699"/>
      <c r="E102" s="699"/>
      <c r="F102" s="772"/>
      <c r="H102" s="714" t="s">
        <v>90</v>
      </c>
      <c r="I102" s="713">
        <f>(INDEX(Data!120:120,1,'Summary - Dollars'!$U$1)-INDEX(Data!1307:1307,1,$W$1))</f>
        <v>47586373076</v>
      </c>
      <c r="J102" s="713">
        <f>(INDEX(Data!120:120,1,'Summary - Dollars'!$U$1+1)-INDEX(Data!1307:1307,1,$W$1+1))</f>
        <v>47624200994</v>
      </c>
      <c r="L102" s="714" t="s">
        <v>157</v>
      </c>
      <c r="M102" s="713">
        <f>(INDEX(Data!502:502,1,'Summary - Dollars'!$U$1))</f>
        <v>708935833</v>
      </c>
      <c r="N102" s="713">
        <f>(INDEX(Data!502:502,1,'Summary - Dollars'!$U$1+1))</f>
        <v>708935830</v>
      </c>
    </row>
    <row r="103" spans="1:14">
      <c r="A103" s="79" t="s">
        <v>1446</v>
      </c>
      <c r="B103" s="706">
        <f>'Summary - Dollars'!E178</f>
        <v>18196156</v>
      </c>
      <c r="C103" s="705">
        <f>'Summary - Dollars'!F178</f>
        <v>18182573</v>
      </c>
      <c r="D103" s="720">
        <f>I65+M71</f>
        <v>18196156</v>
      </c>
      <c r="E103" s="721">
        <f t="shared" ref="E103:E105" si="34">B103-D103</f>
        <v>0</v>
      </c>
      <c r="F103" s="766">
        <f t="shared" ref="F103:F105" si="35">C103-G103</f>
        <v>0</v>
      </c>
      <c r="G103" s="720">
        <f>J65+N71</f>
        <v>18182573</v>
      </c>
      <c r="H103" s="719" t="s">
        <v>91</v>
      </c>
      <c r="I103" s="715">
        <f>(INDEX(Data!121:121,1,'Summary - Dollars'!$U$1)-INDEX(Data!1308:1308,1,$W$1))</f>
        <v>48017885</v>
      </c>
      <c r="J103" s="715">
        <f>(INDEX(Data!121:121,1,'Summary - Dollars'!$U$1+1)-INDEX(Data!1308:1308,1,$W$1+1))</f>
        <v>49026324</v>
      </c>
    </row>
    <row r="104" spans="1:14">
      <c r="A104" s="79" t="s">
        <v>1447</v>
      </c>
      <c r="B104" s="706">
        <f>'Summary - Dollars'!E179</f>
        <v>13610756</v>
      </c>
      <c r="C104" s="705">
        <f>'Summary - Dollars'!F179</f>
        <v>13606542</v>
      </c>
      <c r="D104" s="720">
        <f>I66+M72</f>
        <v>13610756</v>
      </c>
      <c r="E104" s="721">
        <f t="shared" si="34"/>
        <v>0</v>
      </c>
      <c r="F104" s="766">
        <f t="shared" si="35"/>
        <v>0</v>
      </c>
      <c r="G104" s="720">
        <f>J66+N72</f>
        <v>13606542</v>
      </c>
      <c r="H104" s="719" t="s">
        <v>92</v>
      </c>
      <c r="I104" s="715">
        <f>(INDEX(Data!122:122,1,'Summary - Dollars'!$U$1)-INDEX(Data!1309:1309,1,$W$1))</f>
        <v>344739324</v>
      </c>
      <c r="J104" s="715">
        <f>(INDEX(Data!122:122,1,'Summary - Dollars'!$U$1+1)-INDEX(Data!1309:1309,1,$W$1+1))</f>
        <v>351449535</v>
      </c>
    </row>
    <row r="105" spans="1:14">
      <c r="A105" s="79" t="s">
        <v>1448</v>
      </c>
      <c r="B105" s="706">
        <f>'Summary - Dollars'!E180</f>
        <v>16570593</v>
      </c>
      <c r="C105" s="705">
        <f>'Summary - Dollars'!F180</f>
        <v>16553628</v>
      </c>
      <c r="D105" s="720">
        <f>I67+M73</f>
        <v>16570593</v>
      </c>
      <c r="E105" s="721">
        <f t="shared" si="34"/>
        <v>0</v>
      </c>
      <c r="F105" s="766">
        <f t="shared" si="35"/>
        <v>0</v>
      </c>
      <c r="G105" s="720">
        <f>J67+N73</f>
        <v>16553628</v>
      </c>
      <c r="H105" s="714" t="s">
        <v>93</v>
      </c>
      <c r="I105" s="713">
        <f>(INDEX(Data!123:123,1,'Summary - Dollars'!$U$1)-INDEX(Data!1310:1310,1,$W$1))</f>
        <v>392757209</v>
      </c>
      <c r="J105" s="713">
        <f>(INDEX(Data!123:123,1,'Summary - Dollars'!$U$1+1)-INDEX(Data!1310:1310,1,$W$1+1))</f>
        <v>400475859</v>
      </c>
      <c r="M105" s="720">
        <f>M102-I11</f>
        <v>0</v>
      </c>
      <c r="N105" s="720">
        <f>N102-J11</f>
        <v>0</v>
      </c>
    </row>
    <row r="106" spans="1:14">
      <c r="A106" s="113" t="s">
        <v>789</v>
      </c>
      <c r="B106" s="704">
        <f>'Summary - Dollars'!E181</f>
        <v>48377505</v>
      </c>
      <c r="C106" s="703">
        <f>'Summary - Dollars'!F181</f>
        <v>48342743</v>
      </c>
      <c r="D106" s="700"/>
      <c r="E106" s="700"/>
      <c r="F106" s="771"/>
      <c r="H106" s="718" t="s">
        <v>94</v>
      </c>
      <c r="I106" s="717">
        <f>(INDEX(Data!124:124,1,'Summary - Dollars'!$U$1)-INDEX(Data!1311:1311,1,$W$1))</f>
        <v>7228252</v>
      </c>
      <c r="J106" s="717">
        <f>(INDEX(Data!124:124,1,'Summary - Dollars'!$U$1+1)-INDEX(Data!1311:1311,1,$W$1+1))</f>
        <v>7933400</v>
      </c>
    </row>
    <row r="107" spans="1:14">
      <c r="A107" s="79" t="s">
        <v>1407</v>
      </c>
      <c r="B107" s="706">
        <f>'Summary - Dollars'!E182</f>
        <v>80089402</v>
      </c>
      <c r="C107" s="705">
        <f>'Summary - Dollars'!F182</f>
        <v>80089410</v>
      </c>
      <c r="D107" s="700"/>
      <c r="E107" s="700"/>
      <c r="F107" s="771"/>
      <c r="H107" s="718" t="s">
        <v>95</v>
      </c>
      <c r="I107" s="717">
        <f>(INDEX(Data!125:125,1,'Summary - Dollars'!$U$1)-INDEX(Data!1312:1312,1,$W$1))</f>
        <v>0</v>
      </c>
      <c r="J107" s="717">
        <f>(INDEX(Data!125:125,1,'Summary - Dollars'!$U$1+1)-INDEX(Data!1312:1312,1,$W$1+1))</f>
        <v>0</v>
      </c>
    </row>
    <row r="108" spans="1:14">
      <c r="A108" s="79" t="s">
        <v>102</v>
      </c>
      <c r="B108" s="706">
        <f>'Summary - Dollars'!E183</f>
        <v>9501290</v>
      </c>
      <c r="C108" s="705">
        <f>'Summary - Dollars'!F183</f>
        <v>9501290</v>
      </c>
      <c r="D108" s="699"/>
      <c r="E108" s="699"/>
      <c r="F108" s="772"/>
      <c r="H108" s="714" t="s">
        <v>96</v>
      </c>
      <c r="I108" s="713">
        <f>(INDEX(Data!126:126,1,'Summary - Dollars'!$U$1)-INDEX(Data!1313:1313,1,$W$1))</f>
        <v>7228252</v>
      </c>
      <c r="J108" s="713">
        <f>(INDEX(Data!126:126,1,'Summary - Dollars'!$U$1+1)-INDEX(Data!1313:1313,1,$W$1+1))</f>
        <v>7933400</v>
      </c>
      <c r="M108" s="720"/>
    </row>
    <row r="109" spans="1:14">
      <c r="A109" s="79" t="s">
        <v>103</v>
      </c>
      <c r="B109" s="706">
        <f>'Summary - Dollars'!E184</f>
        <v>18851554</v>
      </c>
      <c r="C109" s="705">
        <f>'Summary - Dollars'!F184</f>
        <v>18851552</v>
      </c>
      <c r="D109" s="700"/>
      <c r="E109" s="700"/>
      <c r="F109" s="771"/>
      <c r="H109" s="707" t="s">
        <v>1693</v>
      </c>
      <c r="I109" s="716">
        <f>(INDEX(Data!127:127,1,'Summary - Dollars'!$U$1)-INDEX(Data!1314:1314,1,$W$1))</f>
        <v>0</v>
      </c>
      <c r="J109" s="716">
        <f>(INDEX(Data!127:127,1,'Summary - Dollars'!$U$1+1)-INDEX(Data!1314:1314,1,$W$1+1))</f>
        <v>0</v>
      </c>
    </row>
    <row r="110" spans="1:14">
      <c r="A110" s="79" t="s">
        <v>104</v>
      </c>
      <c r="B110" s="706">
        <f>'Summary - Dollars'!E185</f>
        <v>10155619</v>
      </c>
      <c r="C110" s="705">
        <f>'Summary - Dollars'!F185</f>
        <v>10155618</v>
      </c>
      <c r="D110" s="700"/>
      <c r="E110" s="700"/>
      <c r="F110" s="771"/>
      <c r="H110" s="707" t="s">
        <v>97</v>
      </c>
      <c r="I110" s="715">
        <f>(INDEX(Data!128:128,1,'Summary - Dollars'!$U$1)-INDEX(Data!1315:1315,1,$W$1))</f>
        <v>58375428</v>
      </c>
      <c r="J110" s="715">
        <f>(INDEX(Data!128:128,1,'Summary - Dollars'!$U$1+1)-INDEX(Data!1315:1315,1,$W$1+1))</f>
        <v>58672504</v>
      </c>
    </row>
    <row r="111" spans="1:14">
      <c r="A111" s="79" t="s">
        <v>105</v>
      </c>
      <c r="B111" s="706">
        <f>'Summary - Dollars'!E186</f>
        <v>60455242</v>
      </c>
      <c r="C111" s="705">
        <f>'Summary - Dollars'!F186</f>
        <v>55895241</v>
      </c>
      <c r="D111" s="700"/>
      <c r="E111" s="700"/>
      <c r="F111" s="771"/>
      <c r="H111" s="714" t="s">
        <v>1462</v>
      </c>
      <c r="I111" s="713">
        <f>(INDEX(Data!129:129,1,'Summary - Dollars'!$U$1)-INDEX(Data!1316:1316,1,$W$1))</f>
        <v>47927983109</v>
      </c>
      <c r="J111" s="713">
        <f>(INDEX(Data!129:129,1,'Summary - Dollars'!$U$1+1)-INDEX(Data!1316:1316,1,$W$1+1))</f>
        <v>47973937749</v>
      </c>
    </row>
    <row r="112" spans="1:14">
      <c r="A112" s="79" t="s">
        <v>106</v>
      </c>
      <c r="B112" s="706">
        <f>'Summary - Dollars'!E187</f>
        <v>28481478</v>
      </c>
      <c r="C112" s="705">
        <f>'Summary - Dollars'!F187</f>
        <v>28344677</v>
      </c>
      <c r="D112" s="699"/>
      <c r="E112" s="699"/>
      <c r="F112" s="772"/>
    </row>
    <row r="113" spans="1:10">
      <c r="A113" s="79" t="s">
        <v>107</v>
      </c>
      <c r="B113" s="706">
        <f>'Summary - Dollars'!E188</f>
        <v>7506195</v>
      </c>
      <c r="C113" s="705">
        <f>'Summary - Dollars'!F188</f>
        <v>7506194</v>
      </c>
      <c r="D113" s="700"/>
      <c r="E113" s="700"/>
      <c r="F113" s="771"/>
    </row>
    <row r="114" spans="1:10">
      <c r="A114" s="79" t="s">
        <v>108</v>
      </c>
      <c r="B114" s="706">
        <f>'Summary - Dollars'!E189</f>
        <v>19318491</v>
      </c>
      <c r="C114" s="705">
        <f>'Summary - Dollars'!F189</f>
        <v>19318490</v>
      </c>
      <c r="D114" s="700"/>
      <c r="E114" s="700"/>
      <c r="F114" s="771"/>
      <c r="H114" s="596" t="s">
        <v>182</v>
      </c>
      <c r="I114" s="1141"/>
      <c r="J114" s="1141"/>
    </row>
    <row r="115" spans="1:10">
      <c r="A115" s="79" t="s">
        <v>1404</v>
      </c>
      <c r="B115" s="706">
        <f>'Summary - Dollars'!E190</f>
        <v>6381547</v>
      </c>
      <c r="C115" s="705">
        <f>'Summary - Dollars'!F190</f>
        <v>6381546</v>
      </c>
      <c r="D115" s="700"/>
      <c r="E115" s="700"/>
      <c r="F115" s="771"/>
      <c r="H115" s="755" t="s">
        <v>183</v>
      </c>
      <c r="I115" s="24">
        <f>(INDEX(Data!975:975,1,'Summary - Dollars'!$U$1))</f>
        <v>0</v>
      </c>
      <c r="J115" s="24">
        <f>(INDEX(Data!975:975,1,'Summary - Dollars'!$U$1+1))</f>
        <v>0</v>
      </c>
    </row>
    <row r="116" spans="1:10">
      <c r="A116" s="79" t="s">
        <v>110</v>
      </c>
      <c r="B116" s="706">
        <f>'Summary - Dollars'!E191</f>
        <v>3451866</v>
      </c>
      <c r="C116" s="705">
        <f>'Summary - Dollars'!F191</f>
        <v>3451865</v>
      </c>
      <c r="D116" s="700"/>
      <c r="E116" s="700"/>
      <c r="F116" s="771"/>
      <c r="H116" s="756" t="s">
        <v>184</v>
      </c>
      <c r="I116" s="24">
        <f>(INDEX(Data!976:976,1,'Summary - Dollars'!$U$1))</f>
        <v>1908801</v>
      </c>
      <c r="J116" s="24">
        <f>(INDEX(Data!976:976,1,'Summary - Dollars'!$U$1+1))</f>
        <v>1919551</v>
      </c>
    </row>
    <row r="117" spans="1:10">
      <c r="A117" s="79" t="s">
        <v>167</v>
      </c>
      <c r="B117" s="706">
        <f>'Summary - Dollars'!E192</f>
        <v>8113361</v>
      </c>
      <c r="C117" s="705">
        <f>'Summary - Dollars'!F192</f>
        <v>8113361</v>
      </c>
      <c r="D117" s="700"/>
      <c r="E117" s="700"/>
      <c r="F117" s="771"/>
      <c r="H117" s="756" t="s">
        <v>185</v>
      </c>
      <c r="I117" s="24">
        <f>(INDEX(Data!977:977,1,'Summary - Dollars'!$U$1))</f>
        <v>7503518</v>
      </c>
      <c r="J117" s="24">
        <f>(INDEX(Data!977:977,1,'Summary - Dollars'!$U$1+1))</f>
        <v>7503518</v>
      </c>
    </row>
    <row r="118" spans="1:10" ht="25.5">
      <c r="A118" s="79" t="s">
        <v>1410</v>
      </c>
      <c r="B118" s="706">
        <f>'Summary - Dollars'!E193</f>
        <v>8958154</v>
      </c>
      <c r="C118" s="705">
        <f>'Summary - Dollars'!F193</f>
        <v>8958153</v>
      </c>
      <c r="D118" s="700"/>
      <c r="E118" s="700"/>
      <c r="F118" s="771"/>
      <c r="H118" s="757" t="s">
        <v>1695</v>
      </c>
      <c r="I118" s="24">
        <f>(INDEX(Data!978:978,1,'Summary - Dollars'!$U$1))</f>
        <v>729443</v>
      </c>
      <c r="J118" s="24">
        <f>(INDEX(Data!978:978,1,'Summary - Dollars'!$U$1+1))</f>
        <v>729443</v>
      </c>
    </row>
    <row r="119" spans="1:10" ht="25.5">
      <c r="A119" s="79" t="s">
        <v>885</v>
      </c>
      <c r="B119" s="706">
        <f>'Summary - Dollars'!E194</f>
        <v>44613000</v>
      </c>
      <c r="C119" s="705">
        <f>'Summary - Dollars'!F194</f>
        <v>44612999</v>
      </c>
      <c r="D119" s="700"/>
      <c r="E119" s="700"/>
      <c r="F119" s="771"/>
      <c r="H119" s="757" t="s">
        <v>1696</v>
      </c>
      <c r="I119" s="24">
        <f>(INDEX(Data!979:979,1,'Summary - Dollars'!$U$1))</f>
        <v>1969476</v>
      </c>
      <c r="J119" s="24">
        <f>(INDEX(Data!979:979,1,'Summary - Dollars'!$U$1+1))</f>
        <v>1969476</v>
      </c>
    </row>
    <row r="120" spans="1:10" ht="25.5">
      <c r="A120" s="79" t="s">
        <v>1411</v>
      </c>
      <c r="B120" s="706">
        <f>'Summary - Dollars'!E195</f>
        <v>114623533</v>
      </c>
      <c r="C120" s="705">
        <f>'Summary - Dollars'!F195</f>
        <v>114623532</v>
      </c>
      <c r="D120" s="700"/>
      <c r="E120" s="700"/>
      <c r="F120" s="771"/>
      <c r="H120" s="756" t="s">
        <v>186</v>
      </c>
      <c r="I120" s="24">
        <f>(INDEX(Data!984:984,1,'Summary - Dollars'!$U$1))</f>
        <v>0</v>
      </c>
      <c r="J120" s="24">
        <f>(INDEX(Data!984:984,1,'Summary - Dollars'!$U$1+1))</f>
        <v>0</v>
      </c>
    </row>
    <row r="121" spans="1:10">
      <c r="A121" s="79" t="s">
        <v>114</v>
      </c>
      <c r="B121" s="706">
        <f>'Summary - Dollars'!E196</f>
        <v>20791314</v>
      </c>
      <c r="C121" s="705">
        <f>'Summary - Dollars'!F196</f>
        <v>20791312</v>
      </c>
      <c r="D121" s="700"/>
      <c r="E121" s="700"/>
      <c r="F121" s="771"/>
      <c r="H121" s="756" t="s">
        <v>187</v>
      </c>
      <c r="I121" s="24">
        <f>(INDEX(Data!985:985,1,'Summary - Dollars'!$U$1))</f>
        <v>0</v>
      </c>
      <c r="J121" s="24">
        <f>(INDEX(Data!985:985,1,'Summary - Dollars'!$U$1+1))</f>
        <v>0</v>
      </c>
    </row>
    <row r="122" spans="1:10">
      <c r="A122" s="79" t="s">
        <v>1412</v>
      </c>
      <c r="B122" s="706">
        <f>'Summary - Dollars'!E197</f>
        <v>39162659</v>
      </c>
      <c r="C122" s="705">
        <f>'Summary - Dollars'!F197</f>
        <v>39162657</v>
      </c>
      <c r="D122" s="700"/>
      <c r="E122" s="700"/>
      <c r="F122" s="771"/>
      <c r="H122" s="756" t="s">
        <v>188</v>
      </c>
      <c r="I122" s="24">
        <f>(INDEX(Data!986:986,1,'Summary - Dollars'!$U$1))</f>
        <v>0</v>
      </c>
      <c r="J122" s="24">
        <f>(INDEX(Data!986:986,1,'Summary - Dollars'!$U$1+1))</f>
        <v>0</v>
      </c>
    </row>
    <row r="123" spans="1:10">
      <c r="A123" s="79" t="s">
        <v>116</v>
      </c>
      <c r="B123" s="706">
        <f>'Summary - Dollars'!E198</f>
        <v>3023661</v>
      </c>
      <c r="C123" s="705">
        <f>'Summary - Dollars'!F198</f>
        <v>3023661</v>
      </c>
      <c r="D123" s="700"/>
      <c r="E123" s="700"/>
      <c r="F123" s="771"/>
      <c r="H123" s="756" t="s">
        <v>189</v>
      </c>
      <c r="I123" s="24">
        <f>(INDEX(Data!987:987,1,'Summary - Dollars'!$U$1))</f>
        <v>0</v>
      </c>
      <c r="J123" s="24">
        <f>(INDEX(Data!987:987,1,'Summary - Dollars'!$U$1+1))</f>
        <v>0</v>
      </c>
    </row>
    <row r="124" spans="1:10">
      <c r="A124" s="79" t="s">
        <v>117</v>
      </c>
      <c r="B124" s="706">
        <f>'Summary - Dollars'!E199</f>
        <v>5472035</v>
      </c>
      <c r="C124" s="705">
        <f>'Summary - Dollars'!F199</f>
        <v>5472034</v>
      </c>
      <c r="D124" s="700"/>
      <c r="E124" s="700"/>
      <c r="F124" s="771"/>
      <c r="H124" s="756" t="s">
        <v>190</v>
      </c>
      <c r="I124" s="24">
        <f>(INDEX(Data!988:988,1,'Summary - Dollars'!$U$1))</f>
        <v>0</v>
      </c>
      <c r="J124" s="24">
        <f>(INDEX(Data!988:988,1,'Summary - Dollars'!$U$1+1))</f>
        <v>0</v>
      </c>
    </row>
    <row r="125" spans="1:10">
      <c r="A125" s="79" t="s">
        <v>1406</v>
      </c>
      <c r="B125" s="706">
        <f>'Summary - Dollars'!E200</f>
        <v>8716458</v>
      </c>
      <c r="C125" s="705">
        <f>'Summary - Dollars'!F200</f>
        <v>8716458</v>
      </c>
      <c r="D125" s="700"/>
      <c r="E125" s="700"/>
      <c r="F125" s="771"/>
      <c r="H125" s="755" t="s">
        <v>191</v>
      </c>
      <c r="I125" s="24">
        <f>(INDEX(Data!989:989,1,'Summary - Dollars'!$U$1))</f>
        <v>15485210</v>
      </c>
      <c r="J125" s="24">
        <f>(INDEX(Data!989:989,1,'Summary - Dollars'!$U$1+1))</f>
        <v>15495960</v>
      </c>
    </row>
    <row r="126" spans="1:10">
      <c r="A126" s="79" t="s">
        <v>119</v>
      </c>
      <c r="B126" s="706">
        <f>'Summary - Dollars'!E201</f>
        <v>8265218</v>
      </c>
      <c r="C126" s="705">
        <f>'Summary - Dollars'!F201</f>
        <v>8265217</v>
      </c>
      <c r="D126" s="700"/>
      <c r="E126" s="700"/>
      <c r="F126" s="771"/>
      <c r="H126" s="755" t="s">
        <v>192</v>
      </c>
      <c r="I126" s="24">
        <f>(INDEX(Data!990:990,1,'Summary - Dollars'!$U$1))</f>
        <v>0</v>
      </c>
      <c r="J126" s="24">
        <f>(INDEX(Data!990:990,1,'Summary - Dollars'!$U$1+1))</f>
        <v>0</v>
      </c>
    </row>
    <row r="127" spans="1:10">
      <c r="A127" s="79" t="s">
        <v>120</v>
      </c>
      <c r="B127" s="706">
        <f>'Summary - Dollars'!E202</f>
        <v>80986878</v>
      </c>
      <c r="C127" s="705">
        <f>'Summary - Dollars'!F202</f>
        <v>80986876</v>
      </c>
      <c r="D127" s="700"/>
      <c r="E127" s="700"/>
      <c r="F127" s="771"/>
      <c r="H127" s="756" t="s">
        <v>193</v>
      </c>
      <c r="I127" s="24">
        <f>(INDEX(Data!991:991,1,'Summary - Dollars'!$U$1))</f>
        <v>247400</v>
      </c>
      <c r="J127" s="24">
        <f>(INDEX(Data!991:991,1,'Summary - Dollars'!$U$1+1))</f>
        <v>247400</v>
      </c>
    </row>
    <row r="128" spans="1:10">
      <c r="A128" s="79" t="s">
        <v>1415</v>
      </c>
      <c r="B128" s="706">
        <f>'Summary - Dollars'!E203</f>
        <v>11856414</v>
      </c>
      <c r="C128" s="705">
        <f>'Summary - Dollars'!F203</f>
        <v>11856413</v>
      </c>
      <c r="D128" s="700"/>
      <c r="E128" s="700"/>
      <c r="F128" s="771"/>
      <c r="H128" s="756" t="s">
        <v>1459</v>
      </c>
      <c r="I128" s="24">
        <f>(INDEX(Data!992:992,1,'Summary - Dollars'!$U$1))</f>
        <v>0</v>
      </c>
      <c r="J128" s="24">
        <f>(INDEX(Data!992:992,1,'Summary - Dollars'!$U$1+1))</f>
        <v>0</v>
      </c>
    </row>
    <row r="129" spans="1:10">
      <c r="A129" s="79" t="s">
        <v>122</v>
      </c>
      <c r="B129" s="706">
        <f>'Summary - Dollars'!E204</f>
        <v>11710383</v>
      </c>
      <c r="C129" s="705">
        <f>'Summary - Dollars'!F204</f>
        <v>11710382</v>
      </c>
      <c r="D129" s="700"/>
      <c r="E129" s="700"/>
      <c r="F129" s="771"/>
      <c r="H129" s="756" t="s">
        <v>194</v>
      </c>
      <c r="I129" s="24">
        <f>(INDEX(Data!993:993,1,'Summary - Dollars'!$U$1))</f>
        <v>0</v>
      </c>
      <c r="J129" s="24">
        <f>(INDEX(Data!993:993,1,'Summary - Dollars'!$U$1+1))</f>
        <v>0</v>
      </c>
    </row>
    <row r="130" spans="1:10">
      <c r="A130" s="79" t="s">
        <v>123</v>
      </c>
      <c r="B130" s="706">
        <f>'Summary - Dollars'!E205</f>
        <v>15127755</v>
      </c>
      <c r="C130" s="705">
        <f>'Summary - Dollars'!F205</f>
        <v>15127754</v>
      </c>
      <c r="D130" s="700"/>
      <c r="E130" s="700"/>
      <c r="F130" s="771"/>
      <c r="H130" s="756" t="s">
        <v>195</v>
      </c>
      <c r="I130" s="24">
        <f>(INDEX(Data!994:994,1,'Summary - Dollars'!$U$1))</f>
        <v>0</v>
      </c>
      <c r="J130" s="24">
        <f>(INDEX(Data!994:994,1,'Summary - Dollars'!$U$1+1))</f>
        <v>0</v>
      </c>
    </row>
    <row r="131" spans="1:10">
      <c r="A131" s="79" t="s">
        <v>174</v>
      </c>
      <c r="B131" s="706">
        <f>'Summary - Dollars'!E206</f>
        <v>12659974</v>
      </c>
      <c r="C131" s="705">
        <f>'Summary - Dollars'!F206</f>
        <v>12659972</v>
      </c>
      <c r="D131" s="700"/>
      <c r="E131" s="700"/>
      <c r="F131" s="771"/>
      <c r="H131" s="756" t="s">
        <v>196</v>
      </c>
      <c r="I131" s="24">
        <f>(INDEX(Data!995:995,1,'Summary - Dollars'!$U$1))</f>
        <v>0</v>
      </c>
      <c r="J131" s="24">
        <f>(INDEX(Data!995:995,1,'Summary - Dollars'!$U$1+1))</f>
        <v>0</v>
      </c>
    </row>
    <row r="132" spans="1:10">
      <c r="A132" s="79" t="s">
        <v>892</v>
      </c>
      <c r="B132" s="706">
        <f>'Summary - Dollars'!E207</f>
        <v>90176300</v>
      </c>
      <c r="C132" s="705">
        <f>'Summary - Dollars'!F207</f>
        <v>90176299</v>
      </c>
      <c r="D132" s="700"/>
      <c r="E132" s="700"/>
      <c r="F132" s="771"/>
      <c r="H132" s="756" t="s">
        <v>197</v>
      </c>
      <c r="I132" s="24">
        <f>(INDEX(Data!996:996,1,'Summary - Dollars'!$U$1))</f>
        <v>500000</v>
      </c>
      <c r="J132" s="24">
        <f>(INDEX(Data!996:996,1,'Summary - Dollars'!$U$1+1))</f>
        <v>500000</v>
      </c>
    </row>
    <row r="133" spans="1:10">
      <c r="A133" s="79" t="s">
        <v>126</v>
      </c>
      <c r="B133" s="706">
        <f>'Summary - Dollars'!E208</f>
        <v>15591347</v>
      </c>
      <c r="C133" s="705">
        <f>'Summary - Dollars'!F208</f>
        <v>15591347</v>
      </c>
      <c r="D133" s="700"/>
      <c r="E133" s="700"/>
      <c r="F133" s="771"/>
      <c r="H133" s="756" t="s">
        <v>198</v>
      </c>
      <c r="I133" s="24">
        <f>(INDEX(Data!997:997,1,'Summary - Dollars'!$U$1))</f>
        <v>0</v>
      </c>
      <c r="J133" s="24">
        <f>(INDEX(Data!997:997,1,'Summary - Dollars'!$U$1+1))</f>
        <v>0</v>
      </c>
    </row>
    <row r="134" spans="1:10">
      <c r="A134" s="79" t="s">
        <v>127</v>
      </c>
      <c r="B134" s="706">
        <f>'Summary - Dollars'!E209</f>
        <v>10197782</v>
      </c>
      <c r="C134" s="705">
        <f>'Summary - Dollars'!F209</f>
        <v>10197779</v>
      </c>
      <c r="D134" s="700"/>
      <c r="E134" s="700"/>
      <c r="F134" s="771"/>
      <c r="H134" s="756" t="s">
        <v>199</v>
      </c>
      <c r="I134" s="24">
        <f>(INDEX(Data!998:998,1,'Summary - Dollars'!$U$1))</f>
        <v>0</v>
      </c>
      <c r="J134" s="24">
        <f>(INDEX(Data!998:998,1,'Summary - Dollars'!$U$1+1))</f>
        <v>0</v>
      </c>
    </row>
    <row r="135" spans="1:10">
      <c r="A135" s="79" t="s">
        <v>128</v>
      </c>
      <c r="B135" s="706">
        <f>'Summary - Dollars'!E210</f>
        <v>15214595</v>
      </c>
      <c r="C135" s="705">
        <f>'Summary - Dollars'!F210</f>
        <v>15214593</v>
      </c>
      <c r="D135" s="700"/>
      <c r="E135" s="700"/>
      <c r="F135" s="771"/>
      <c r="H135" s="756" t="s">
        <v>200</v>
      </c>
      <c r="I135" s="24">
        <f>(INDEX(Data!999:999,1,'Summary - Dollars'!$U$1))</f>
        <v>0</v>
      </c>
      <c r="J135" s="24">
        <f>(INDEX(Data!999:999,1,'Summary - Dollars'!$U$1+1))</f>
        <v>0</v>
      </c>
    </row>
    <row r="136" spans="1:10">
      <c r="A136" s="79" t="s">
        <v>1405</v>
      </c>
      <c r="B136" s="706">
        <f>'Summary - Dollars'!E211</f>
        <v>13442020</v>
      </c>
      <c r="C136" s="705">
        <f>'Summary - Dollars'!F211</f>
        <v>13442020</v>
      </c>
      <c r="D136" s="700"/>
      <c r="E136" s="700"/>
      <c r="F136" s="771"/>
      <c r="H136" s="756" t="s">
        <v>201</v>
      </c>
      <c r="I136" s="24">
        <f>(INDEX(Data!1000:1000,1,'Summary - Dollars'!$U$1))</f>
        <v>0</v>
      </c>
      <c r="J136" s="24">
        <f>(INDEX(Data!1000:1000,1,'Summary - Dollars'!$U$1+1))</f>
        <v>0</v>
      </c>
    </row>
    <row r="137" spans="1:10">
      <c r="A137" s="79" t="s">
        <v>1413</v>
      </c>
      <c r="B137" s="706">
        <f>'Summary - Dollars'!E212</f>
        <v>6001970</v>
      </c>
      <c r="C137" s="705">
        <f>'Summary - Dollars'!F212</f>
        <v>6001969</v>
      </c>
      <c r="D137" s="700"/>
      <c r="E137" s="700"/>
      <c r="F137" s="771"/>
      <c r="H137" s="758" t="s">
        <v>202</v>
      </c>
      <c r="I137" s="24">
        <f>(INDEX(Data!1001:1001,1,'Summary - Dollars'!$U$1))</f>
        <v>9404639</v>
      </c>
      <c r="J137" s="24">
        <f>(INDEX(Data!1001:1001,1,'Summary - Dollars'!$U$1+1))</f>
        <v>9404639</v>
      </c>
    </row>
    <row r="138" spans="1:10">
      <c r="A138" s="79" t="s">
        <v>131</v>
      </c>
      <c r="B138" s="706">
        <f>'Summary - Dollars'!E213</f>
        <v>11878760</v>
      </c>
      <c r="C138" s="705">
        <f>'Summary - Dollars'!F213</f>
        <v>11878759</v>
      </c>
      <c r="D138" s="700"/>
      <c r="E138" s="700"/>
      <c r="F138" s="771"/>
      <c r="H138" s="758" t="s">
        <v>203</v>
      </c>
      <c r="I138" s="24">
        <f>(INDEX(Data!1002:1002,1,'Summary - Dollars'!$U$1))</f>
        <v>44236458</v>
      </c>
      <c r="J138" s="24">
        <f>(INDEX(Data!1002:1002,1,'Summary - Dollars'!$U$1+1))</f>
        <v>44236459</v>
      </c>
    </row>
    <row r="139" spans="1:10">
      <c r="A139" s="79" t="s">
        <v>132</v>
      </c>
      <c r="B139" s="706">
        <f>'Summary - Dollars'!E214</f>
        <v>5859569</v>
      </c>
      <c r="C139" s="705">
        <f>'Summary - Dollars'!F214</f>
        <v>5859568</v>
      </c>
      <c r="D139" s="700"/>
      <c r="E139" s="700"/>
      <c r="F139" s="771"/>
      <c r="H139" s="758" t="s">
        <v>204</v>
      </c>
      <c r="I139" s="24">
        <f>(INDEX(Data!1004:1004,1,'Summary - Dollars'!$U$1))</f>
        <v>89305147</v>
      </c>
      <c r="J139" s="24">
        <f>(INDEX(Data!1004:1004,1,'Summary - Dollars'!$U$1+1))</f>
        <v>89305147</v>
      </c>
    </row>
    <row r="140" spans="1:10">
      <c r="A140" s="79" t="s">
        <v>133</v>
      </c>
      <c r="B140" s="706">
        <f>'Summary - Dollars'!E215</f>
        <v>9303715</v>
      </c>
      <c r="C140" s="705">
        <f>'Summary - Dollars'!F215</f>
        <v>9303713</v>
      </c>
      <c r="D140" s="700"/>
      <c r="E140" s="700"/>
      <c r="F140" s="771"/>
      <c r="H140" s="758" t="s">
        <v>205</v>
      </c>
      <c r="I140" s="24">
        <f>(INDEX(Data!1005:1005,1,'Summary - Dollars'!$U$1))</f>
        <v>433222737</v>
      </c>
      <c r="J140" s="24">
        <f>(INDEX(Data!1005:1005,1,'Summary - Dollars'!$U$1+1))</f>
        <v>433222737</v>
      </c>
    </row>
    <row r="141" spans="1:10">
      <c r="A141" s="79" t="s">
        <v>134</v>
      </c>
      <c r="B141" s="706">
        <f>'Summary - Dollars'!E216</f>
        <v>4370353</v>
      </c>
      <c r="C141" s="705">
        <f>'Summary - Dollars'!F216</f>
        <v>4370352</v>
      </c>
      <c r="D141" s="700"/>
      <c r="E141" s="700"/>
      <c r="F141" s="771"/>
      <c r="H141" s="758" t="s">
        <v>206</v>
      </c>
      <c r="I141" s="24">
        <f>(INDEX(Data!1006:1006,1,'Summary - Dollars'!$U$1))</f>
        <v>1000000</v>
      </c>
      <c r="J141" s="24">
        <f>(INDEX(Data!1006:1006,1,'Summary - Dollars'!$U$1+1))</f>
        <v>0</v>
      </c>
    </row>
    <row r="142" spans="1:10">
      <c r="A142" s="79" t="s">
        <v>1414</v>
      </c>
      <c r="B142" s="706">
        <f>'Summary - Dollars'!E217</f>
        <v>50394661</v>
      </c>
      <c r="C142" s="705">
        <f>'Summary - Dollars'!F217</f>
        <v>50394661</v>
      </c>
      <c r="D142" s="700"/>
      <c r="E142" s="700"/>
      <c r="F142" s="771"/>
      <c r="H142" s="756" t="s">
        <v>207</v>
      </c>
      <c r="I142" s="24">
        <f>(INDEX(Data!1008:1008,1,'Summary - Dollars'!$U$1))</f>
        <v>0</v>
      </c>
      <c r="J142" s="24">
        <f>(INDEX(Data!1008:1008,1,'Summary - Dollars'!$U$1+1))</f>
        <v>0</v>
      </c>
    </row>
    <row r="143" spans="1:10">
      <c r="A143" s="79" t="s">
        <v>136</v>
      </c>
      <c r="B143" s="706">
        <f>'Summary - Dollars'!E218</f>
        <v>17104445</v>
      </c>
      <c r="C143" s="705">
        <f>'Summary - Dollars'!F218</f>
        <v>17104444</v>
      </c>
      <c r="D143" s="700"/>
      <c r="E143" s="700"/>
      <c r="F143" s="771"/>
      <c r="H143" s="756" t="s">
        <v>208</v>
      </c>
      <c r="I143" s="24">
        <f>(INDEX(Data!1009:1009,1,'Summary - Dollars'!$U$1))</f>
        <v>0</v>
      </c>
      <c r="J143" s="24">
        <f>(INDEX(Data!1009:1009,1,'Summary - Dollars'!$U$1+1))</f>
        <v>0</v>
      </c>
    </row>
    <row r="144" spans="1:10">
      <c r="A144" s="79" t="s">
        <v>137</v>
      </c>
      <c r="B144" s="706">
        <f>'Summary - Dollars'!E219</f>
        <v>47751868</v>
      </c>
      <c r="C144" s="705">
        <f>'Summary - Dollars'!F219</f>
        <v>47751866</v>
      </c>
      <c r="D144" s="700"/>
      <c r="E144" s="700"/>
      <c r="F144" s="771"/>
      <c r="H144" s="756" t="s">
        <v>209</v>
      </c>
      <c r="I144" s="24">
        <f>(INDEX(Data!1010:1010,1,'Summary - Dollars'!$U$1))</f>
        <v>0</v>
      </c>
      <c r="J144" s="24">
        <f>(INDEX(Data!1010:1010,1,'Summary - Dollars'!$U$1+1))</f>
        <v>0</v>
      </c>
    </row>
    <row r="145" spans="1:10">
      <c r="A145" s="79" t="s">
        <v>138</v>
      </c>
      <c r="B145" s="706">
        <f>'Summary - Dollars'!E220</f>
        <v>10003183</v>
      </c>
      <c r="C145" s="705">
        <f>'Summary - Dollars'!F220</f>
        <v>10003182</v>
      </c>
      <c r="D145" s="700"/>
      <c r="E145" s="700"/>
      <c r="F145" s="771"/>
      <c r="H145" s="756" t="s">
        <v>210</v>
      </c>
      <c r="I145" s="24">
        <f>(INDEX(Data!1011:1011,1,'Summary - Dollars'!$U$1))</f>
        <v>0</v>
      </c>
      <c r="J145" s="24">
        <f>(INDEX(Data!1011:1011,1,'Summary - Dollars'!$U$1+1))</f>
        <v>0</v>
      </c>
    </row>
    <row r="146" spans="1:10">
      <c r="A146" s="79" t="s">
        <v>1408</v>
      </c>
      <c r="B146" s="706">
        <f>'Summary - Dollars'!E221</f>
        <v>70979769</v>
      </c>
      <c r="C146" s="705">
        <f>'Summary - Dollars'!F221</f>
        <v>70979768</v>
      </c>
      <c r="D146" s="700"/>
      <c r="E146" s="700"/>
      <c r="F146" s="771"/>
      <c r="H146" s="756" t="s">
        <v>211</v>
      </c>
      <c r="I146" s="24">
        <f>(INDEX(Data!1012:1012,1,'Summary - Dollars'!$U$1))</f>
        <v>3420000</v>
      </c>
      <c r="J146" s="24">
        <f>(INDEX(Data!1012:1012,1,'Summary - Dollars'!$U$1+1))</f>
        <v>3420000</v>
      </c>
    </row>
    <row r="147" spans="1:10">
      <c r="A147" s="79" t="s">
        <v>1409</v>
      </c>
      <c r="B147" s="706">
        <f>'Summary - Dollars'!E222</f>
        <v>8627081</v>
      </c>
      <c r="C147" s="705">
        <f>'Summary - Dollars'!F222</f>
        <v>8627079</v>
      </c>
      <c r="D147" s="700"/>
      <c r="E147" s="700"/>
      <c r="F147" s="771"/>
      <c r="H147" s="757" t="s">
        <v>1000</v>
      </c>
      <c r="I147" s="24">
        <f>(INDEX(Data!1013:1013,1,'Summary - Dollars'!$U$1))</f>
        <v>0</v>
      </c>
      <c r="J147" s="24">
        <f>(INDEX(Data!1013:1013,1,'Summary - Dollars'!$U$1+1))</f>
        <v>0</v>
      </c>
    </row>
    <row r="148" spans="1:10">
      <c r="A148" s="79" t="s">
        <v>141</v>
      </c>
      <c r="B148" s="706">
        <f>'Summary - Dollars'!E223</f>
        <v>9098841</v>
      </c>
      <c r="C148" s="705">
        <f>'Summary - Dollars'!F223</f>
        <v>9098839</v>
      </c>
      <c r="D148" s="700"/>
      <c r="E148" s="700"/>
      <c r="F148" s="771"/>
      <c r="H148" s="756" t="s">
        <v>212</v>
      </c>
      <c r="I148" s="24">
        <f>(INDEX(Data!1014:1014,1,'Summary - Dollars'!$U$1))</f>
        <v>0</v>
      </c>
      <c r="J148" s="24">
        <f>(INDEX(Data!1014:1014,1,'Summary - Dollars'!$U$1+1))</f>
        <v>0</v>
      </c>
    </row>
    <row r="149" spans="1:10">
      <c r="A149" s="79" t="s">
        <v>142</v>
      </c>
      <c r="B149" s="706">
        <f>'Summary - Dollars'!E224</f>
        <v>9268823</v>
      </c>
      <c r="C149" s="705">
        <f>'Summary - Dollars'!F224</f>
        <v>9268821</v>
      </c>
      <c r="D149" s="700"/>
      <c r="E149" s="700"/>
      <c r="F149" s="771"/>
      <c r="H149" s="756" t="s">
        <v>213</v>
      </c>
      <c r="I149" s="24">
        <f>(INDEX(Data!1015:1015,1,'Summary - Dollars'!$U$1))</f>
        <v>0</v>
      </c>
      <c r="J149" s="24">
        <f>(INDEX(Data!1015:1015,1,'Summary - Dollars'!$U$1+1))</f>
        <v>0</v>
      </c>
    </row>
    <row r="150" spans="1:10">
      <c r="A150" s="79" t="s">
        <v>143</v>
      </c>
      <c r="B150" s="706">
        <f>'Summary - Dollars'!E225</f>
        <v>13969124</v>
      </c>
      <c r="C150" s="705">
        <f>'Summary - Dollars'!F225</f>
        <v>13969123</v>
      </c>
      <c r="D150" s="700"/>
      <c r="E150" s="700"/>
      <c r="F150" s="771"/>
      <c r="H150" s="756" t="s">
        <v>214</v>
      </c>
      <c r="I150" s="24">
        <f>(INDEX(Data!1016:1016,1,'Summary - Dollars'!$U$1))</f>
        <v>0</v>
      </c>
      <c r="J150" s="24">
        <f>(INDEX(Data!1016:1016,1,'Summary - Dollars'!$U$1+1))</f>
        <v>0</v>
      </c>
    </row>
    <row r="151" spans="1:10">
      <c r="A151" s="79" t="s">
        <v>144</v>
      </c>
      <c r="B151" s="706">
        <f>'Summary - Dollars'!E226</f>
        <v>21959427</v>
      </c>
      <c r="C151" s="705">
        <f>'Summary - Dollars'!F226</f>
        <v>21959425</v>
      </c>
      <c r="D151" s="700"/>
      <c r="E151" s="700"/>
      <c r="F151" s="771"/>
      <c r="H151" s="757" t="s">
        <v>753</v>
      </c>
      <c r="I151" s="24">
        <f>(INDEX(Data!1017:1017,1,'Summary - Dollars'!$U$1))</f>
        <v>0</v>
      </c>
      <c r="J151" s="24">
        <f>(INDEX(Data!1017:1017,1,'Summary - Dollars'!$U$1+1))</f>
        <v>0</v>
      </c>
    </row>
    <row r="152" spans="1:10">
      <c r="A152" s="79" t="s">
        <v>180</v>
      </c>
      <c r="B152" s="706">
        <f>'Summary - Dollars'!E227</f>
        <v>6533910</v>
      </c>
      <c r="C152" s="705">
        <f>'Summary - Dollars'!F227</f>
        <v>6533909</v>
      </c>
      <c r="D152" s="700"/>
      <c r="E152" s="700"/>
      <c r="F152" s="771"/>
      <c r="H152" s="757" t="s">
        <v>1697</v>
      </c>
      <c r="I152" s="24">
        <f>(INDEX(Data!1019:1019,1,'Summary - Dollars'!$U$1))</f>
        <v>0</v>
      </c>
      <c r="J152" s="24">
        <f>(INDEX(Data!1019:1019,1,'Summary - Dollars'!$U$1+1))</f>
        <v>0</v>
      </c>
    </row>
    <row r="153" spans="1:10">
      <c r="A153" s="79" t="s">
        <v>146</v>
      </c>
      <c r="B153" s="706">
        <f>'Summary - Dollars'!E228</f>
        <v>7078243</v>
      </c>
      <c r="C153" s="705">
        <f>'Summary - Dollars'!F228</f>
        <v>7078241</v>
      </c>
      <c r="D153" s="700"/>
      <c r="E153" s="700"/>
      <c r="F153" s="771"/>
      <c r="H153" s="755" t="s">
        <v>215</v>
      </c>
      <c r="I153" s="24">
        <f>(INDEX(Data!1020:1020,1,'Summary - Dollars'!$U$1))</f>
        <v>585562098</v>
      </c>
      <c r="J153" s="24">
        <f>(INDEX(Data!1020:1020,1,'Summary - Dollars'!$U$1+1))</f>
        <v>584292098</v>
      </c>
    </row>
    <row r="154" spans="1:10">
      <c r="A154" s="79" t="s">
        <v>147</v>
      </c>
      <c r="B154" s="706">
        <f>'Summary - Dollars'!E229</f>
        <v>10799559</v>
      </c>
      <c r="C154" s="705">
        <f>'Summary - Dollars'!F229</f>
        <v>10799559</v>
      </c>
      <c r="D154" s="720"/>
      <c r="E154" s="700"/>
      <c r="F154" s="700"/>
      <c r="G154" s="720"/>
      <c r="H154" s="961" t="s">
        <v>1873</v>
      </c>
      <c r="I154" s="920"/>
      <c r="J154" s="920"/>
    </row>
    <row r="155" spans="1:10">
      <c r="A155" s="79" t="s">
        <v>148</v>
      </c>
      <c r="B155" s="706">
        <f>'Summary - Dollars'!E230</f>
        <v>4731724</v>
      </c>
      <c r="C155" s="705">
        <f>'Summary - Dollars'!F230</f>
        <v>4731723</v>
      </c>
      <c r="D155" s="720"/>
      <c r="E155" s="700"/>
      <c r="F155" s="700"/>
      <c r="G155" s="720"/>
      <c r="H155" s="1051" t="s">
        <v>1697</v>
      </c>
      <c r="I155" s="925">
        <f>(INDEX(Data!1021:1021,1,'Summary - Dollars'!$U$1))</f>
        <v>2000000</v>
      </c>
      <c r="J155" s="1061">
        <f>(INDEX(Data!1021:1021,1,'Summary - Dollars'!$U$1+1))</f>
        <v>2000000</v>
      </c>
    </row>
    <row r="156" spans="1:10">
      <c r="A156" s="79" t="s">
        <v>149</v>
      </c>
      <c r="B156" s="706">
        <f>'Summary - Dollars'!E231</f>
        <v>11678103</v>
      </c>
      <c r="C156" s="705">
        <f>'Summary - Dollars'!F231</f>
        <v>11678102</v>
      </c>
      <c r="D156" s="700"/>
      <c r="E156" s="700"/>
      <c r="F156" s="771"/>
      <c r="H156" s="953" t="s">
        <v>1866</v>
      </c>
      <c r="I156" s="925">
        <f>(INDEX(Data!1022:1022,1,'Summary - Dollars'!$U$1))</f>
        <v>1325000</v>
      </c>
      <c r="J156" s="1061">
        <f>(INDEX(Data!1022:1022,1,'Summary - Dollars'!$U$1+1))</f>
        <v>1325000</v>
      </c>
    </row>
    <row r="157" spans="1:10">
      <c r="A157" s="113" t="s">
        <v>77</v>
      </c>
      <c r="B157" s="712">
        <f>'Summary - Dollars'!E232</f>
        <v>1120288653</v>
      </c>
      <c r="C157" s="711">
        <f>'Summary - Dollars'!F232</f>
        <v>1115591805</v>
      </c>
      <c r="D157" s="720">
        <f>I84+M99</f>
        <v>1120288653</v>
      </c>
      <c r="E157" s="721">
        <f>B157-D157</f>
        <v>0</v>
      </c>
      <c r="F157" s="766">
        <f>C157-G157</f>
        <v>0</v>
      </c>
      <c r="G157" s="720">
        <f>J84+N99</f>
        <v>1115591805</v>
      </c>
      <c r="H157" s="1051" t="s">
        <v>1974</v>
      </c>
      <c r="I157" s="925">
        <f>(INDEX(Data!1023:1023,1,'Summary - Dollars'!$U$1))</f>
        <v>160000</v>
      </c>
      <c r="J157" s="1061">
        <f>(INDEX(Data!1023:1023,1,'Summary - Dollars'!$U$1+1))</f>
        <v>160000</v>
      </c>
    </row>
    <row r="158" spans="1:10">
      <c r="A158" s="120" t="s">
        <v>27</v>
      </c>
      <c r="B158" s="706">
        <f>'Summary - Dollars'!E233</f>
        <v>0</v>
      </c>
      <c r="C158" s="705">
        <f>'Summary - Dollars'!F233</f>
        <v>0</v>
      </c>
      <c r="D158" s="700"/>
      <c r="E158" s="700"/>
      <c r="F158" s="771"/>
      <c r="H158" s="1051" t="s">
        <v>1992</v>
      </c>
      <c r="I158" s="925">
        <f>(INDEX(Data!1024:1024,1,'Summary - Dollars'!$U$1))</f>
        <v>70000</v>
      </c>
      <c r="J158" s="1061">
        <f>(INDEX(Data!1024:1024,1,'Summary - Dollars'!$U$1+1))</f>
        <v>70000</v>
      </c>
    </row>
    <row r="159" spans="1:10">
      <c r="A159" s="92" t="s">
        <v>790</v>
      </c>
      <c r="B159" s="706">
        <f>'Summary - Dollars'!E234</f>
        <v>15485210</v>
      </c>
      <c r="C159" s="705">
        <f>'Summary - Dollars'!F234</f>
        <v>15495960</v>
      </c>
      <c r="D159" s="720">
        <f>I125</f>
        <v>15485210</v>
      </c>
      <c r="E159" s="721">
        <f t="shared" ref="E159:E163" si="36">B159-D159</f>
        <v>0</v>
      </c>
      <c r="F159" s="766">
        <f t="shared" ref="F159:F163" si="37">C159-G159</f>
        <v>0</v>
      </c>
      <c r="G159" s="720">
        <f>J125</f>
        <v>15495960</v>
      </c>
      <c r="H159" s="1051" t="s">
        <v>1975</v>
      </c>
      <c r="I159" s="925">
        <f>(INDEX(Data!1025:1025,1,'Summary - Dollars'!$U$1))</f>
        <v>150000</v>
      </c>
      <c r="J159" s="1061">
        <f>(INDEX(Data!1025:1025,1,'Summary - Dollars'!$U$1+1))</f>
        <v>150000</v>
      </c>
    </row>
    <row r="160" spans="1:10">
      <c r="A160" s="92" t="s">
        <v>791</v>
      </c>
      <c r="B160" s="706">
        <f>'Summary - Dollars'!E235</f>
        <v>585562098</v>
      </c>
      <c r="C160" s="705">
        <f>'Summary - Dollars'!F235</f>
        <v>584292098</v>
      </c>
      <c r="D160" s="720">
        <f>I153</f>
        <v>585562098</v>
      </c>
      <c r="E160" s="721">
        <f t="shared" si="36"/>
        <v>0</v>
      </c>
      <c r="F160" s="766">
        <f t="shared" si="37"/>
        <v>0</v>
      </c>
      <c r="G160" s="720">
        <f>J153</f>
        <v>584292098</v>
      </c>
      <c r="H160" s="1051" t="s">
        <v>1976</v>
      </c>
      <c r="I160" s="925">
        <f>(INDEX(Data!1026:1026,1,'Summary - Dollars'!$U$1))</f>
        <v>63000</v>
      </c>
      <c r="J160" s="1061">
        <f>(INDEX(Data!1026:1026,1,'Summary - Dollars'!$U$1+1))</f>
        <v>63000</v>
      </c>
    </row>
    <row r="161" spans="1:10">
      <c r="A161" s="92" t="s">
        <v>1873</v>
      </c>
      <c r="B161" s="706">
        <f>'Summary - Dollars'!E236</f>
        <v>4068000</v>
      </c>
      <c r="C161" s="705">
        <f>'Summary - Dollars'!F236</f>
        <v>3768000</v>
      </c>
      <c r="D161" s="720">
        <f>I162</f>
        <v>4068000</v>
      </c>
      <c r="E161" s="721">
        <f t="shared" ref="E161" si="38">B161-D161</f>
        <v>0</v>
      </c>
      <c r="F161" s="766">
        <f t="shared" ref="F161" si="39">C161-G161</f>
        <v>0</v>
      </c>
      <c r="G161" s="720">
        <f>J162</f>
        <v>3768000</v>
      </c>
      <c r="H161" s="953" t="s">
        <v>1980</v>
      </c>
      <c r="I161" s="925">
        <f>(INDEX(Data!1027:1027,1,'Summary - Dollars'!$U$1))</f>
        <v>300000</v>
      </c>
      <c r="J161" s="1061">
        <f>(INDEX(Data!1027:1027,1,'Summary - Dollars'!$U$1+1))</f>
        <v>0</v>
      </c>
    </row>
    <row r="162" spans="1:10">
      <c r="A162" s="92" t="s">
        <v>792</v>
      </c>
      <c r="B162" s="706">
        <f>'Summary - Dollars'!E237</f>
        <v>21400000</v>
      </c>
      <c r="C162" s="705">
        <f>'Summary - Dollars'!F237</f>
        <v>21400000</v>
      </c>
      <c r="D162" s="720">
        <f>I168</f>
        <v>21400000</v>
      </c>
      <c r="E162" s="721">
        <f t="shared" si="36"/>
        <v>0</v>
      </c>
      <c r="F162" s="766">
        <f t="shared" si="37"/>
        <v>0</v>
      </c>
      <c r="G162" s="720">
        <f>J168</f>
        <v>21400000</v>
      </c>
      <c r="H162" s="985" t="s">
        <v>1867</v>
      </c>
      <c r="I162" s="925">
        <f>(INDEX(Data!1028:1028,1,'Summary - Dollars'!$U$1))</f>
        <v>4068000</v>
      </c>
      <c r="J162" s="1061">
        <f>(INDEX(Data!1028:1028,1,'Summary - Dollars'!$U$1+1))</f>
        <v>3768000</v>
      </c>
    </row>
    <row r="163" spans="1:10">
      <c r="A163" s="92" t="s">
        <v>793</v>
      </c>
      <c r="B163" s="709">
        <f>'Summary - Dollars'!E238</f>
        <v>174715646</v>
      </c>
      <c r="C163" s="709">
        <f>'Summary - Dollars'!F238</f>
        <v>164110989</v>
      </c>
      <c r="D163" s="720">
        <f>I192</f>
        <v>174715646</v>
      </c>
      <c r="E163" s="721">
        <f t="shared" si="36"/>
        <v>0</v>
      </c>
      <c r="F163" s="766">
        <f t="shared" si="37"/>
        <v>0</v>
      </c>
      <c r="G163" s="720">
        <f>J192</f>
        <v>164110989</v>
      </c>
      <c r="H163" s="755" t="s">
        <v>216</v>
      </c>
      <c r="I163" s="24"/>
      <c r="J163" s="24"/>
    </row>
    <row r="164" spans="1:10" ht="25.5">
      <c r="A164" s="92" t="s">
        <v>1287</v>
      </c>
      <c r="B164" s="706">
        <f>'Summary - Dollars'!E239</f>
        <v>0</v>
      </c>
      <c r="C164" s="705">
        <f>'Summary - Dollars'!F239</f>
        <v>0</v>
      </c>
      <c r="D164" s="710"/>
      <c r="E164" s="710"/>
      <c r="F164" s="773"/>
      <c r="H164" s="756" t="s">
        <v>217</v>
      </c>
      <c r="I164" s="24">
        <f>(INDEX(Data!1030:1030,1,'Summary - Dollars'!$U$1))</f>
        <v>0</v>
      </c>
      <c r="J164" s="24">
        <f>(INDEX(Data!1030:1030,1,'Summary - Dollars'!$U$1+1))</f>
        <v>0</v>
      </c>
    </row>
    <row r="165" spans="1:10">
      <c r="A165" s="92" t="s">
        <v>794</v>
      </c>
      <c r="B165" s="706">
        <f>'Summary - Dollars'!E240</f>
        <v>0</v>
      </c>
      <c r="C165" s="705">
        <f>'Summary - Dollars'!F240</f>
        <v>0</v>
      </c>
      <c r="D165" s="720">
        <f>I215</f>
        <v>0</v>
      </c>
      <c r="E165" s="721">
        <f t="shared" ref="E165:E168" si="40">B165-D165</f>
        <v>0</v>
      </c>
      <c r="F165" s="766">
        <f t="shared" ref="F165:F168" si="41">C165-G165</f>
        <v>0</v>
      </c>
      <c r="G165" s="720">
        <f>J215</f>
        <v>0</v>
      </c>
      <c r="H165" s="757" t="s">
        <v>753</v>
      </c>
      <c r="I165" s="24">
        <f>(INDEX(Data!1031:1031,1,'Summary - Dollars'!$U$1))</f>
        <v>17500000</v>
      </c>
      <c r="J165" s="24">
        <f>(INDEX(Data!1031:1031,1,'Summary - Dollars'!$U$1+1))</f>
        <v>17500000</v>
      </c>
    </row>
    <row r="166" spans="1:10">
      <c r="A166" s="92" t="s">
        <v>795</v>
      </c>
      <c r="B166" s="706">
        <f>'Summary - Dollars'!E241</f>
        <v>32193908</v>
      </c>
      <c r="C166" s="705">
        <f>'Summary - Dollars'!F241</f>
        <v>36153249</v>
      </c>
      <c r="D166" s="720">
        <f>I222</f>
        <v>32193908</v>
      </c>
      <c r="E166" s="721">
        <f t="shared" si="40"/>
        <v>0</v>
      </c>
      <c r="F166" s="766">
        <f t="shared" si="41"/>
        <v>0</v>
      </c>
      <c r="G166" s="720">
        <f>J222</f>
        <v>36153249</v>
      </c>
      <c r="H166" s="756" t="s">
        <v>218</v>
      </c>
      <c r="I166" s="24">
        <f>(INDEX(Data!1032:1032,1,'Summary - Dollars'!$U$1))</f>
        <v>0</v>
      </c>
      <c r="J166" s="24">
        <f>(INDEX(Data!1032:1032,1,'Summary - Dollars'!$U$1+1))</f>
        <v>0</v>
      </c>
    </row>
    <row r="167" spans="1:10">
      <c r="A167" s="92" t="s">
        <v>796</v>
      </c>
      <c r="B167" s="709">
        <f>'Summary - Dollars'!E242</f>
        <v>2950361</v>
      </c>
      <c r="C167" s="709">
        <f>'Summary - Dollars'!F242</f>
        <v>2950361</v>
      </c>
      <c r="D167" s="720">
        <f>I228</f>
        <v>2950361</v>
      </c>
      <c r="E167" s="721">
        <f t="shared" si="40"/>
        <v>0</v>
      </c>
      <c r="F167" s="766">
        <f t="shared" si="41"/>
        <v>0</v>
      </c>
      <c r="G167" s="720">
        <f>J228</f>
        <v>2950361</v>
      </c>
      <c r="H167" s="1051" t="s">
        <v>1700</v>
      </c>
      <c r="I167" s="1061">
        <f>(INDEX(Data!1033:1033,1,'Summary - Dollars'!$U$1))</f>
        <v>3900000</v>
      </c>
      <c r="J167" s="1061">
        <f>(INDEX(Data!1033:1033,1,'Summary - Dollars'!$U$1+1))</f>
        <v>3900000</v>
      </c>
    </row>
    <row r="168" spans="1:10">
      <c r="A168" s="92" t="s">
        <v>260</v>
      </c>
      <c r="B168" s="706">
        <f>'Summary - Dollars'!E243</f>
        <v>13768121</v>
      </c>
      <c r="C168" s="705">
        <f>'Summary - Dollars'!F243</f>
        <v>13938877</v>
      </c>
      <c r="D168" s="720">
        <f>I233</f>
        <v>13768121</v>
      </c>
      <c r="E168" s="721">
        <f t="shared" si="40"/>
        <v>0</v>
      </c>
      <c r="F168" s="766">
        <f t="shared" si="41"/>
        <v>0</v>
      </c>
      <c r="G168" s="720">
        <f>J233</f>
        <v>13938877</v>
      </c>
      <c r="H168" s="755" t="s">
        <v>219</v>
      </c>
      <c r="I168" s="24">
        <f>(INDEX(Data!1034:1034,1,'Summary - Dollars'!$U$1))</f>
        <v>21400000</v>
      </c>
      <c r="J168" s="24">
        <f>(INDEX(Data!1034:1034,1,'Summary - Dollars'!$U$1+1))</f>
        <v>21400000</v>
      </c>
    </row>
    <row r="169" spans="1:10">
      <c r="A169" s="92" t="s">
        <v>797</v>
      </c>
      <c r="B169" s="706">
        <f>'Summary - Dollars'!E244</f>
        <v>0</v>
      </c>
      <c r="C169" s="705">
        <f>'Summary - Dollars'!F244</f>
        <v>0</v>
      </c>
      <c r="D169" s="708"/>
      <c r="E169" s="708"/>
      <c r="F169" s="774"/>
      <c r="H169" s="755" t="s">
        <v>220</v>
      </c>
      <c r="I169" s="24">
        <f>(INDEX(Data!1035:1035,1,'Summary - Dollars'!$U$1))</f>
        <v>0</v>
      </c>
      <c r="J169" s="24">
        <f>(INDEX(Data!1035:1035,1,'Summary - Dollars'!$U$1+1))</f>
        <v>0</v>
      </c>
    </row>
    <row r="170" spans="1:10">
      <c r="A170" s="113" t="s">
        <v>27</v>
      </c>
      <c r="B170" s="704">
        <f>'Summary - Dollars'!E245</f>
        <v>850143344</v>
      </c>
      <c r="C170" s="703">
        <f>'Summary - Dollars'!F245</f>
        <v>842109534</v>
      </c>
      <c r="D170" s="700"/>
      <c r="E170" s="700"/>
      <c r="F170" s="771"/>
      <c r="H170" s="756" t="s">
        <v>221</v>
      </c>
      <c r="I170" s="24">
        <f>(INDEX(Data!1036:1036,1,'Summary - Dollars'!$U$1))</f>
        <v>0</v>
      </c>
      <c r="J170" s="24">
        <f>(INDEX(Data!1036:1036,1,'Summary - Dollars'!$U$1+1))</f>
        <v>0</v>
      </c>
    </row>
    <row r="171" spans="1:10" ht="25.5">
      <c r="A171" s="92" t="s">
        <v>798</v>
      </c>
      <c r="B171" s="706">
        <f>'Summary - Dollars'!E246</f>
        <v>0</v>
      </c>
      <c r="C171" s="705">
        <f>'Summary - Dollars'!F246</f>
        <v>0</v>
      </c>
      <c r="D171" s="700"/>
      <c r="E171" s="700"/>
      <c r="F171" s="771"/>
      <c r="H171" s="756" t="s">
        <v>222</v>
      </c>
      <c r="I171" s="24">
        <f>(INDEX(Data!1037:1037,1,'Summary - Dollars'!$U$1))</f>
        <v>0</v>
      </c>
      <c r="J171" s="24">
        <f>(INDEX(Data!1037:1037,1,'Summary - Dollars'!$U$1+1))</f>
        <v>0</v>
      </c>
    </row>
    <row r="172" spans="1:10" ht="25.5">
      <c r="A172" s="92" t="s">
        <v>799</v>
      </c>
      <c r="B172" s="706">
        <f>'Summary - Dollars'!E247</f>
        <v>0</v>
      </c>
      <c r="C172" s="705">
        <f>'Summary - Dollars'!F247</f>
        <v>0</v>
      </c>
      <c r="D172" s="700"/>
      <c r="E172" s="700"/>
      <c r="F172" s="771"/>
      <c r="H172" s="756" t="s">
        <v>223</v>
      </c>
      <c r="I172" s="24">
        <f>(INDEX(Data!1038:1038,1,'Summary - Dollars'!$U$1))</f>
        <v>5000000</v>
      </c>
      <c r="J172" s="24">
        <f>(INDEX(Data!1038:1038,1,'Summary - Dollars'!$U$1+1))</f>
        <v>5000000</v>
      </c>
    </row>
    <row r="173" spans="1:10">
      <c r="A173" s="92" t="s">
        <v>717</v>
      </c>
      <c r="B173" s="706">
        <f>'Summary - Dollars'!E248</f>
        <v>393750000</v>
      </c>
      <c r="C173" s="705">
        <f>'Summary - Dollars'!F248</f>
        <v>393750000</v>
      </c>
      <c r="D173" s="720">
        <f>I13</f>
        <v>393750000</v>
      </c>
      <c r="E173" s="721">
        <f t="shared" ref="E173:E176" si="42">B173-D173</f>
        <v>0</v>
      </c>
      <c r="F173" s="766">
        <f t="shared" ref="F173:F176" si="43">C173-G173</f>
        <v>0</v>
      </c>
      <c r="G173" s="720">
        <f>J13</f>
        <v>393750000</v>
      </c>
      <c r="H173" s="756" t="s">
        <v>224</v>
      </c>
      <c r="I173" s="24">
        <f>(INDEX(Data!1039:1039,1,'Summary - Dollars'!$U$1))</f>
        <v>1500000</v>
      </c>
      <c r="J173" s="24">
        <f>(INDEX(Data!1039:1039,1,'Summary - Dollars'!$U$1+1))</f>
        <v>1500000</v>
      </c>
    </row>
    <row r="174" spans="1:10">
      <c r="A174" s="92" t="s">
        <v>29</v>
      </c>
      <c r="B174" s="706">
        <f>'Summary - Dollars'!E249</f>
        <v>1167638000</v>
      </c>
      <c r="C174" s="705">
        <f>'Summary - Dollars'!F249</f>
        <v>1217095000</v>
      </c>
      <c r="D174" s="720">
        <f>I16</f>
        <v>1167638000</v>
      </c>
      <c r="E174" s="721">
        <f t="shared" si="42"/>
        <v>0</v>
      </c>
      <c r="F174" s="766">
        <f t="shared" si="43"/>
        <v>0</v>
      </c>
      <c r="G174" s="720">
        <f>J16</f>
        <v>1217095000</v>
      </c>
      <c r="H174" s="756" t="s">
        <v>225</v>
      </c>
      <c r="I174" s="24">
        <f>(INDEX(Data!1042:1042,1,'Summary - Dollars'!$U$1))</f>
        <v>0</v>
      </c>
      <c r="J174" s="24">
        <f>(INDEX(Data!1042:1042,1,'Summary - Dollars'!$U$1+1))</f>
        <v>0</v>
      </c>
    </row>
    <row r="175" spans="1:10" ht="25.5">
      <c r="A175" s="92" t="s">
        <v>800</v>
      </c>
      <c r="B175" s="706">
        <f>'Summary - Dollars'!E250</f>
        <v>24680472</v>
      </c>
      <c r="C175" s="705">
        <f>'Summary - Dollars'!F250</f>
        <v>25545062</v>
      </c>
      <c r="D175" s="720">
        <f>I17</f>
        <v>24680472</v>
      </c>
      <c r="E175" s="721">
        <f t="shared" si="42"/>
        <v>0</v>
      </c>
      <c r="F175" s="766">
        <f t="shared" si="43"/>
        <v>0</v>
      </c>
      <c r="G175" s="720">
        <f>J17</f>
        <v>25545062</v>
      </c>
      <c r="H175" s="756" t="s">
        <v>226</v>
      </c>
      <c r="I175" s="24">
        <f>(INDEX(Data!1043:1043,1,'Summary - Dollars'!$U$1))</f>
        <v>0</v>
      </c>
      <c r="J175" s="24">
        <f>(INDEX(Data!1043:1043,1,'Summary - Dollars'!$U$1+1))</f>
        <v>0</v>
      </c>
    </row>
    <row r="176" spans="1:10">
      <c r="A176" s="707" t="s">
        <v>1226</v>
      </c>
      <c r="B176" s="706">
        <f>'Summary - Dollars'!E252</f>
        <v>-58375428</v>
      </c>
      <c r="C176" s="705">
        <f>'Summary - Dollars'!F252</f>
        <v>-58672504</v>
      </c>
      <c r="D176" s="720">
        <f>I110*-1</f>
        <v>-58375428</v>
      </c>
      <c r="E176" s="721">
        <f t="shared" si="42"/>
        <v>0</v>
      </c>
      <c r="F176" s="766">
        <f t="shared" si="43"/>
        <v>0</v>
      </c>
      <c r="G176" s="720">
        <f>J110*-1</f>
        <v>-58672504</v>
      </c>
      <c r="H176" s="756" t="s">
        <v>227</v>
      </c>
      <c r="I176" s="24">
        <f>(INDEX(Data!1044:1044,1,'Summary - Dollars'!$U$1))</f>
        <v>10206794</v>
      </c>
      <c r="J176" s="24" t="str">
        <f>(INDEX(Data!1044:1044,1,'Summary - Dollars'!$U$1+1))</f>
        <v xml:space="preserve">   UB</v>
      </c>
    </row>
    <row r="177" spans="1:10">
      <c r="A177" s="113" t="s">
        <v>715</v>
      </c>
      <c r="B177" s="704">
        <f>'Summary - Dollars'!E253</f>
        <v>1551525480</v>
      </c>
      <c r="C177" s="703">
        <f>'Summary - Dollars'!F253</f>
        <v>1601722196</v>
      </c>
      <c r="D177" s="700"/>
      <c r="E177" s="700"/>
      <c r="F177" s="771"/>
      <c r="H177" s="756" t="s">
        <v>228</v>
      </c>
      <c r="I177" s="24">
        <f>(INDEX(Data!1045:1045,1,'Summary - Dollars'!$U$1))</f>
        <v>15345078</v>
      </c>
      <c r="J177" s="24">
        <f>(INDEX(Data!1045:1045,1,'Summary - Dollars'!$U$1+1))</f>
        <v>14947215</v>
      </c>
    </row>
    <row r="178" spans="1:10">
      <c r="A178" s="1089" t="s">
        <v>1229</v>
      </c>
      <c r="B178" s="1090">
        <f>'Summary - Dollars'!E254</f>
        <v>11709274239</v>
      </c>
      <c r="C178" s="1091">
        <f>'Summary - Dollars'!F254</f>
        <v>12333413225</v>
      </c>
      <c r="D178" s="700"/>
      <c r="E178" s="700"/>
      <c r="F178" s="771"/>
      <c r="H178" s="757" t="s">
        <v>1698</v>
      </c>
      <c r="I178" s="24">
        <f>(INDEX(Data!1046:1046,1,'Summary - Dollars'!$U$1))</f>
        <v>1500000</v>
      </c>
      <c r="J178" s="24">
        <f>(INDEX(Data!1046:1046,1,'Summary - Dollars'!$U$1+1))</f>
        <v>1500000</v>
      </c>
    </row>
    <row r="179" spans="1:10">
      <c r="A179" s="1354" t="s">
        <v>1926</v>
      </c>
      <c r="B179" s="1355"/>
      <c r="C179" s="1356"/>
      <c r="D179" s="700"/>
      <c r="E179" s="700"/>
      <c r="F179" s="771"/>
      <c r="H179" s="756" t="s">
        <v>229</v>
      </c>
      <c r="I179" s="24">
        <f>(INDEX(Data!1048:1048,1,'Summary - Dollars'!$U$1))</f>
        <v>0</v>
      </c>
      <c r="J179" s="24">
        <f>(INDEX(Data!1048:1048,1,'Summary - Dollars'!$U$1+1))</f>
        <v>0</v>
      </c>
    </row>
    <row r="180" spans="1:10">
      <c r="D180" s="700"/>
      <c r="E180" s="700"/>
      <c r="F180" s="771"/>
      <c r="H180" s="756" t="s">
        <v>230</v>
      </c>
      <c r="I180" s="24">
        <f>(INDEX(Data!1049:1049,1,'Summary - Dollars'!$U$1))</f>
        <v>0</v>
      </c>
      <c r="J180" s="24">
        <f>(INDEX(Data!1049:1049,1,'Summary - Dollars'!$U$1+1))</f>
        <v>0</v>
      </c>
    </row>
    <row r="181" spans="1:10">
      <c r="B181" s="762">
        <f>B178-B16</f>
        <v>0</v>
      </c>
      <c r="C181" s="762">
        <f>C178-C16</f>
        <v>0</v>
      </c>
      <c r="D181" s="700"/>
      <c r="E181" s="700"/>
      <c r="F181" s="771"/>
      <c r="H181" s="757" t="s">
        <v>1466</v>
      </c>
      <c r="I181" s="24">
        <f>(INDEX(Data!1050:1050,1,'Summary - Dollars'!$U$1))</f>
        <v>0</v>
      </c>
      <c r="J181" s="24">
        <f>(INDEX(Data!1050:1050,1,'Summary - Dollars'!$U$1+1))</f>
        <v>0</v>
      </c>
    </row>
    <row r="182" spans="1:10">
      <c r="D182" s="700"/>
      <c r="E182" s="700"/>
      <c r="F182" s="771"/>
      <c r="H182" s="756" t="s">
        <v>231</v>
      </c>
      <c r="I182" s="24">
        <f>(INDEX(Data!1051:1051,1,'Summary - Dollars'!$U$1))</f>
        <v>9940024</v>
      </c>
      <c r="J182" s="24">
        <f>(INDEX(Data!1051:1051,1,'Summary - Dollars'!$U$1+1))</f>
        <v>9940024</v>
      </c>
    </row>
    <row r="183" spans="1:10">
      <c r="D183" s="699"/>
      <c r="E183" s="699"/>
      <c r="F183" s="772"/>
      <c r="H183" s="756" t="s">
        <v>232</v>
      </c>
      <c r="I183" s="24">
        <f>(INDEX(Data!1052:1052,1,'Summary - Dollars'!$U$1))</f>
        <v>0</v>
      </c>
      <c r="J183" s="24">
        <f>(INDEX(Data!1052:1052,1,'Summary - Dollars'!$U$1+1))</f>
        <v>0</v>
      </c>
    </row>
    <row r="184" spans="1:10">
      <c r="D184" s="698">
        <f>SUM(D4:D183)</f>
        <v>47927983109</v>
      </c>
      <c r="E184" s="721">
        <f>SUM(E4:E183)</f>
        <v>0</v>
      </c>
      <c r="F184" s="766">
        <f>SUM(F4:F183)</f>
        <v>0</v>
      </c>
      <c r="G184" s="698">
        <f>SUM(G4:G183)</f>
        <v>47973937749</v>
      </c>
      <c r="H184" s="756" t="s">
        <v>233</v>
      </c>
      <c r="I184" s="24">
        <f>(INDEX(Data!1053:1053,1,'Summary - Dollars'!$U$1))</f>
        <v>0</v>
      </c>
      <c r="J184" s="24">
        <f>(INDEX(Data!1053:1053,1,'Summary - Dollars'!$U$1+1))</f>
        <v>0</v>
      </c>
    </row>
    <row r="185" spans="1:10">
      <c r="H185" s="756" t="s">
        <v>234</v>
      </c>
      <c r="I185" s="24">
        <f>(INDEX(Data!1054:1054,1,'Summary - Dollars'!$U$1))</f>
        <v>0</v>
      </c>
      <c r="J185" s="24">
        <f>(INDEX(Data!1054:1054,1,'Summary - Dollars'!$U$1+1))</f>
        <v>0</v>
      </c>
    </row>
    <row r="186" spans="1:10">
      <c r="C186" s="767" t="s">
        <v>1272</v>
      </c>
      <c r="D186" s="720">
        <f>I111</f>
        <v>47927983109</v>
      </c>
      <c r="E186" s="720"/>
      <c r="G186" s="720">
        <f>J111</f>
        <v>47973937749</v>
      </c>
      <c r="H186" s="757" t="s">
        <v>1698</v>
      </c>
      <c r="I186" s="24">
        <f>(INDEX(Data!1055:1055,1,'Summary - Dollars'!$U$1))</f>
        <v>0</v>
      </c>
      <c r="J186" s="24">
        <f>(INDEX(Data!1055:1055,1,'Summary - Dollars'!$U$1+1))</f>
        <v>0</v>
      </c>
    </row>
    <row r="187" spans="1:10">
      <c r="H187" s="757" t="s">
        <v>1215</v>
      </c>
      <c r="I187" s="24">
        <f>(INDEX(Data!1056:1056,1,'Summary - Dollars'!$U$1))</f>
        <v>0</v>
      </c>
      <c r="J187" s="24">
        <f>(INDEX(Data!1056:1056,1,'Summary - Dollars'!$U$1+1))</f>
        <v>0</v>
      </c>
    </row>
    <row r="188" spans="1:10">
      <c r="D188" s="762">
        <f>D184-D186</f>
        <v>0</v>
      </c>
      <c r="E188" s="762"/>
      <c r="G188" s="762">
        <f>G184-G186</f>
        <v>0</v>
      </c>
      <c r="H188" s="757" t="s">
        <v>1699</v>
      </c>
      <c r="I188" s="24">
        <f>(INDEX(Data!1057:1057,1,'Summary - Dollars'!$U$1))</f>
        <v>0</v>
      </c>
      <c r="J188" s="24">
        <f>(INDEX(Data!1057:1057,1,'Summary - Dollars'!$U$1+1))</f>
        <v>0</v>
      </c>
    </row>
    <row r="189" spans="1:10">
      <c r="H189" s="757" t="s">
        <v>1700</v>
      </c>
      <c r="I189" s="24">
        <f>(INDEX(Data!1058:1058,1,'Summary - Dollars'!$U$1))</f>
        <v>0</v>
      </c>
      <c r="J189" s="24">
        <f>(INDEX(Data!1058:1058,1,'Summary - Dollars'!$U$1+1))</f>
        <v>0</v>
      </c>
    </row>
    <row r="190" spans="1:10">
      <c r="A190" s="767" t="s">
        <v>1984</v>
      </c>
      <c r="B190" s="1097">
        <f>B170</f>
        <v>850143344</v>
      </c>
      <c r="C190" s="1097">
        <f>C170</f>
        <v>842109534</v>
      </c>
      <c r="D190" s="697">
        <v>47927983109</v>
      </c>
      <c r="G190" s="697">
        <v>47973837749</v>
      </c>
      <c r="H190" s="757" t="s">
        <v>1701</v>
      </c>
      <c r="I190" s="24">
        <f>(INDEX(Data!1059:1059,1,'Summary - Dollars'!$U$1))</f>
        <v>1062500</v>
      </c>
      <c r="J190" s="24">
        <f>(INDEX(Data!1059:1059,1,'Summary - Dollars'!$U$1+1))</f>
        <v>1062500</v>
      </c>
    </row>
    <row r="191" spans="1:10">
      <c r="A191" s="767" t="s">
        <v>1983</v>
      </c>
      <c r="B191" s="1142">
        <f>B84</f>
        <v>48444436</v>
      </c>
      <c r="C191" s="1142">
        <f>C84</f>
        <v>48426485</v>
      </c>
      <c r="H191" s="756" t="s">
        <v>235</v>
      </c>
      <c r="I191" s="24">
        <f>(INDEX(Data!1060:1060,1,'Summary - Dollars'!$U$1))</f>
        <v>0</v>
      </c>
      <c r="J191" s="24">
        <f>(INDEX(Data!1060:1060,1,'Summary - Dollars'!$U$1+1))</f>
        <v>0</v>
      </c>
    </row>
    <row r="192" spans="1:10">
      <c r="B192" s="1097">
        <f>SUM(B190:B191)</f>
        <v>898587780</v>
      </c>
      <c r="C192" s="1097">
        <f>SUM(C190:C191)</f>
        <v>890536019</v>
      </c>
      <c r="H192" s="755" t="s">
        <v>236</v>
      </c>
      <c r="I192" s="24">
        <f>(INDEX(Data!1061:1061,1,'Summary - Dollars'!$U$1))</f>
        <v>174715646</v>
      </c>
      <c r="J192" s="24">
        <f>(INDEX(Data!1061:1061,1,'Summary - Dollars'!$U$1+1))</f>
        <v>164110989</v>
      </c>
    </row>
    <row r="193" spans="1:10">
      <c r="A193" s="767" t="s">
        <v>1985</v>
      </c>
      <c r="B193" s="1143">
        <f>I234</f>
        <v>898587780</v>
      </c>
      <c r="C193" s="1143">
        <f>J234</f>
        <v>890536019</v>
      </c>
      <c r="H193" s="755" t="s">
        <v>221</v>
      </c>
      <c r="I193" s="24">
        <f>(INDEX(Data!1062:1062,1,'Summary - Dollars'!$U$1))</f>
        <v>0</v>
      </c>
      <c r="J193" s="24">
        <f>(INDEX(Data!1062:1062,1,'Summary - Dollars'!$U$1+1))</f>
        <v>0</v>
      </c>
    </row>
    <row r="194" spans="1:10">
      <c r="B194" s="1097">
        <f>B192-B193</f>
        <v>0</v>
      </c>
      <c r="C194" s="1097">
        <f>C192-C193</f>
        <v>0</v>
      </c>
      <c r="H194" s="757" t="s">
        <v>1001</v>
      </c>
      <c r="I194" s="24">
        <f>(INDEX(Data!1063:1063,1,'Summary - Dollars'!$U$1))</f>
        <v>36508620</v>
      </c>
      <c r="J194" s="24">
        <f>(INDEX(Data!1063:1063,1,'Summary - Dollars'!$U$1+1))</f>
        <v>36490669</v>
      </c>
    </row>
    <row r="195" spans="1:10">
      <c r="H195" s="757" t="s">
        <v>1002</v>
      </c>
      <c r="I195" s="24">
        <f>(INDEX(Data!1064:1064,1,'Summary - Dollars'!$U$1))</f>
        <v>8596623</v>
      </c>
      <c r="J195" s="24">
        <f>(INDEX(Data!1064:1064,1,'Summary - Dollars'!$U$1+1))</f>
        <v>8596623</v>
      </c>
    </row>
    <row r="196" spans="1:10">
      <c r="H196" s="759" t="s">
        <v>1006</v>
      </c>
      <c r="I196" s="24">
        <f>(INDEX(Data!1065:1065,1,'Summary - Dollars'!$U$1))</f>
        <v>1425000</v>
      </c>
      <c r="J196" s="24">
        <f>(INDEX(Data!1065:1065,1,'Summary - Dollars'!$U$1+1))</f>
        <v>1425000</v>
      </c>
    </row>
    <row r="197" spans="1:10">
      <c r="H197" s="759" t="s">
        <v>1007</v>
      </c>
      <c r="I197" s="24">
        <f>(INDEX(Data!1066:1066,1,'Summary - Dollars'!$U$1))</f>
        <v>1914193</v>
      </c>
      <c r="J197" s="24">
        <f>(INDEX(Data!1066:1066,1,'Summary - Dollars'!$U$1+1))</f>
        <v>1914193</v>
      </c>
    </row>
    <row r="198" spans="1:10">
      <c r="D198" s="767" t="s">
        <v>1201</v>
      </c>
      <c r="H198" s="755" t="s">
        <v>237</v>
      </c>
      <c r="I198" s="24">
        <f>(INDEX(Data!1067:1067,1,'Summary - Dollars'!$U$1))</f>
        <v>48444436</v>
      </c>
      <c r="J198" s="24">
        <f>(INDEX(Data!1067:1067,1,'Summary - Dollars'!$U$1+1))</f>
        <v>48426485</v>
      </c>
    </row>
    <row r="199" spans="1:10">
      <c r="D199" s="720">
        <f>D157</f>
        <v>1120288653</v>
      </c>
      <c r="G199" s="720">
        <f>G157</f>
        <v>1115591805</v>
      </c>
      <c r="H199" s="755" t="s">
        <v>238</v>
      </c>
      <c r="I199" s="24">
        <f>(INDEX(Data!1068:1068,1,'Summary - Dollars'!$U$1))</f>
        <v>0</v>
      </c>
      <c r="J199" s="24">
        <f>(INDEX(Data!1068:1068,1,'Summary - Dollars'!$U$1+1))</f>
        <v>0</v>
      </c>
    </row>
    <row r="200" spans="1:10">
      <c r="H200" s="756" t="s">
        <v>239</v>
      </c>
      <c r="I200" s="24">
        <f>(INDEX(Data!1069:1069,1,'Summary - Dollars'!$U$1))</f>
        <v>0</v>
      </c>
      <c r="J200" s="24">
        <f>(INDEX(Data!1069:1069,1,'Summary - Dollars'!$U$1+1))</f>
        <v>0</v>
      </c>
    </row>
    <row r="201" spans="1:10">
      <c r="D201" s="720">
        <f>I84</f>
        <v>936193916</v>
      </c>
      <c r="G201" s="720">
        <f>J84</f>
        <v>931497068</v>
      </c>
      <c r="H201" s="756" t="s">
        <v>1460</v>
      </c>
      <c r="I201" s="24">
        <f>(INDEX(Data!1070:1070,1,'Summary - Dollars'!$U$1))</f>
        <v>0</v>
      </c>
      <c r="J201" s="24">
        <f>(INDEX(Data!1070:1070,1,'Summary - Dollars'!$U$1+1))</f>
        <v>0</v>
      </c>
    </row>
    <row r="202" spans="1:10">
      <c r="D202" s="1143">
        <f>M99</f>
        <v>184094737</v>
      </c>
      <c r="E202" s="1144"/>
      <c r="F202" s="1145"/>
      <c r="G202" s="1146">
        <f>N99</f>
        <v>184094737</v>
      </c>
      <c r="H202" s="756" t="s">
        <v>240</v>
      </c>
      <c r="I202" s="24">
        <f>(INDEX(Data!1071:1071,1,'Summary - Dollars'!$U$1))</f>
        <v>0</v>
      </c>
      <c r="J202" s="24">
        <f>(INDEX(Data!1071:1071,1,'Summary - Dollars'!$U$1+1))</f>
        <v>0</v>
      </c>
    </row>
    <row r="203" spans="1:10">
      <c r="D203" s="720">
        <f>SUM(D201:D202)</f>
        <v>1120288653</v>
      </c>
      <c r="G203" s="720">
        <f>SUM(G201:G202)</f>
        <v>1115591805</v>
      </c>
      <c r="H203" s="756" t="s">
        <v>241</v>
      </c>
      <c r="I203" s="24">
        <f>(INDEX(Data!1072:1072,1,'Summary - Dollars'!$U$1))</f>
        <v>0</v>
      </c>
      <c r="J203" s="24">
        <f>(INDEX(Data!1072:1072,1,'Summary - Dollars'!$U$1+1))</f>
        <v>0</v>
      </c>
    </row>
    <row r="204" spans="1:10">
      <c r="D204" s="720">
        <f>D199-D203</f>
        <v>0</v>
      </c>
      <c r="G204" s="720">
        <f>G199-G203</f>
        <v>0</v>
      </c>
      <c r="H204" s="756" t="s">
        <v>242</v>
      </c>
      <c r="I204" s="24">
        <f>(INDEX(Data!1073:1073,1,'Summary - Dollars'!$U$1))</f>
        <v>0</v>
      </c>
      <c r="J204" s="24">
        <f>(INDEX(Data!1073:1073,1,'Summary - Dollars'!$U$1+1))</f>
        <v>0</v>
      </c>
    </row>
    <row r="205" spans="1:10">
      <c r="H205" s="756" t="s">
        <v>243</v>
      </c>
      <c r="I205" s="24">
        <f>(INDEX(Data!1074:1074,1,'Summary - Dollars'!$U$1))</f>
        <v>0</v>
      </c>
      <c r="J205" s="24">
        <f>(INDEX(Data!1074:1074,1,'Summary - Dollars'!$U$1+1))</f>
        <v>0</v>
      </c>
    </row>
    <row r="206" spans="1:10">
      <c r="H206" s="756" t="s">
        <v>244</v>
      </c>
      <c r="I206" s="24">
        <f>(INDEX(Data!1075:1075,1,'Summary - Dollars'!$U$1))</f>
        <v>0</v>
      </c>
      <c r="J206" s="24">
        <f>(INDEX(Data!1075:1075,1,'Summary - Dollars'!$U$1+1))</f>
        <v>0</v>
      </c>
    </row>
    <row r="207" spans="1:10">
      <c r="H207" s="757" t="s">
        <v>1457</v>
      </c>
      <c r="I207" s="24">
        <f>(INDEX(Data!1076:1076,1,'Summary - Dollars'!$U$1))</f>
        <v>0</v>
      </c>
      <c r="J207" s="24">
        <f>(INDEX(Data!1076:1076,1,'Summary - Dollars'!$U$1+1))</f>
        <v>0</v>
      </c>
    </row>
    <row r="208" spans="1:10">
      <c r="H208" s="756" t="s">
        <v>245</v>
      </c>
      <c r="I208" s="24">
        <f>(INDEX(Data!1077:1077,1,'Summary - Dollars'!$U$1))</f>
        <v>0</v>
      </c>
      <c r="J208" s="24">
        <f>(INDEX(Data!1077:1077,1,'Summary - Dollars'!$U$1+1))</f>
        <v>0</v>
      </c>
    </row>
    <row r="209" spans="4:10">
      <c r="D209" s="720"/>
      <c r="G209" s="720"/>
      <c r="H209" s="756" t="s">
        <v>246</v>
      </c>
      <c r="I209" s="24">
        <f>(INDEX(Data!1078:1078,1,'Summary - Dollars'!$U$1))</f>
        <v>0</v>
      </c>
      <c r="J209" s="24">
        <f>(INDEX(Data!1078:1078,1,'Summary - Dollars'!$U$1+1))</f>
        <v>0</v>
      </c>
    </row>
    <row r="210" spans="4:10">
      <c r="H210" s="756" t="s">
        <v>247</v>
      </c>
      <c r="I210" s="24">
        <f>(INDEX(Data!1079:1079,1,'Summary - Dollars'!$U$1))</f>
        <v>0</v>
      </c>
      <c r="J210" s="24">
        <f>(INDEX(Data!1079:1079,1,'Summary - Dollars'!$U$1+1))</f>
        <v>0</v>
      </c>
    </row>
    <row r="211" spans="4:10" ht="25.5">
      <c r="H211" s="44" t="s">
        <v>248</v>
      </c>
      <c r="I211" s="24">
        <f>(INDEX(Data!1080:1080,1,'Summary - Dollars'!$U$1))</f>
        <v>0</v>
      </c>
      <c r="J211" s="24">
        <f>(INDEX(Data!1080:1080,1,'Summary - Dollars'!$U$1+1))</f>
        <v>0</v>
      </c>
    </row>
    <row r="212" spans="4:10">
      <c r="H212" s="370" t="s">
        <v>1702</v>
      </c>
      <c r="I212" s="24">
        <f>(INDEX(Data!1081:1081,1,'Summary - Dollars'!$U$1))</f>
        <v>0</v>
      </c>
      <c r="J212" s="24">
        <f>(INDEX(Data!1081:1081,1,'Summary - Dollars'!$U$1+1))</f>
        <v>0</v>
      </c>
    </row>
    <row r="213" spans="4:10">
      <c r="H213" s="370" t="s">
        <v>1216</v>
      </c>
      <c r="I213" s="24">
        <f>(INDEX(Data!1082:1082,1,'Summary - Dollars'!$U$1))</f>
        <v>0</v>
      </c>
      <c r="J213" s="24">
        <f>(INDEX(Data!1082:1082,1,'Summary - Dollars'!$U$1+1))</f>
        <v>0</v>
      </c>
    </row>
    <row r="214" spans="4:10">
      <c r="H214" s="370" t="s">
        <v>1304</v>
      </c>
      <c r="I214" s="24">
        <f>(INDEX(Data!1083:1083,1,'Summary - Dollars'!$U$1))</f>
        <v>0</v>
      </c>
      <c r="J214" s="24">
        <f>(INDEX(Data!1083:1083,1,'Summary - Dollars'!$U$1+1))</f>
        <v>0</v>
      </c>
    </row>
    <row r="215" spans="4:10">
      <c r="H215" s="755" t="s">
        <v>249</v>
      </c>
      <c r="I215" s="24">
        <f>(INDEX(Data!1084:1084,1,'Summary - Dollars'!$U$1))</f>
        <v>0</v>
      </c>
      <c r="J215" s="24">
        <f>(INDEX(Data!1084:1084,1,'Summary - Dollars'!$U$1+1))</f>
        <v>0</v>
      </c>
    </row>
    <row r="216" spans="4:10">
      <c r="H216" s="755" t="s">
        <v>250</v>
      </c>
      <c r="I216" s="24">
        <f>(INDEX(Data!1085:1085,1,'Summary - Dollars'!$U$1))</f>
        <v>0</v>
      </c>
      <c r="J216" s="24">
        <f>(INDEX(Data!1085:1085,1,'Summary - Dollars'!$U$1+1))</f>
        <v>0</v>
      </c>
    </row>
    <row r="217" spans="4:10">
      <c r="H217" s="757" t="s">
        <v>1458</v>
      </c>
      <c r="I217" s="24">
        <f>(INDEX(Data!1086:1086,1,'Summary - Dollars'!$U$1))</f>
        <v>0</v>
      </c>
      <c r="J217" s="24">
        <f>(INDEX(Data!1086:1086,1,'Summary - Dollars'!$U$1+1))</f>
        <v>0</v>
      </c>
    </row>
    <row r="218" spans="4:10">
      <c r="H218" s="756" t="s">
        <v>251</v>
      </c>
      <c r="I218" s="24">
        <f>(INDEX(Data!1087:1087,1,'Summary - Dollars'!$U$1))</f>
        <v>27431905</v>
      </c>
      <c r="J218" s="24">
        <f>(INDEX(Data!1087:1087,1,'Summary - Dollars'!$U$1+1))</f>
        <v>27431905</v>
      </c>
    </row>
    <row r="219" spans="4:10">
      <c r="H219" s="756" t="s">
        <v>252</v>
      </c>
      <c r="I219" s="24">
        <f>(INDEX(Data!1088:1088,1,'Summary - Dollars'!$U$1))</f>
        <v>0</v>
      </c>
      <c r="J219" s="24">
        <f>(INDEX(Data!1088:1088,1,'Summary - Dollars'!$U$1+1))</f>
        <v>0</v>
      </c>
    </row>
    <row r="220" spans="4:10">
      <c r="H220" s="756" t="s">
        <v>253</v>
      </c>
      <c r="I220" s="24">
        <f>(INDEX(Data!1089:1089,1,'Summary - Dollars'!$U$1))</f>
        <v>0</v>
      </c>
      <c r="J220" s="24">
        <f>(INDEX(Data!1089:1089,1,'Summary - Dollars'!$U$1+1))</f>
        <v>0</v>
      </c>
    </row>
    <row r="221" spans="4:10">
      <c r="H221" s="756" t="s">
        <v>254</v>
      </c>
      <c r="I221" s="24">
        <f>(INDEX(Data!1095:1095,1,'Summary - Dollars'!$U$1))</f>
        <v>0</v>
      </c>
      <c r="J221" s="24">
        <f>(INDEX(Data!1095:1095,1,'Summary - Dollars'!$U$1+1))</f>
        <v>0</v>
      </c>
    </row>
    <row r="222" spans="4:10">
      <c r="H222" s="755" t="s">
        <v>255</v>
      </c>
      <c r="I222" s="24">
        <f>(INDEX(Data!1096:1096,1,'Summary - Dollars'!$U$1))</f>
        <v>32193908</v>
      </c>
      <c r="J222" s="24">
        <f>(INDEX(Data!1096:1096,1,'Summary - Dollars'!$U$1+1))</f>
        <v>36153249</v>
      </c>
    </row>
    <row r="223" spans="4:10">
      <c r="H223" s="755" t="s">
        <v>256</v>
      </c>
      <c r="I223" s="24">
        <f>(INDEX(Data!1097:1097,1,'Summary - Dollars'!$U$1))</f>
        <v>0</v>
      </c>
      <c r="J223" s="24">
        <f>(INDEX(Data!1097:1097,1,'Summary - Dollars'!$U$1+1))</f>
        <v>0</v>
      </c>
    </row>
    <row r="224" spans="4:10">
      <c r="H224" s="760" t="s">
        <v>257</v>
      </c>
      <c r="I224" s="24">
        <f>(INDEX(Data!1098:1098,1,'Summary - Dollars'!$U$1))</f>
        <v>1066551</v>
      </c>
      <c r="J224" s="24">
        <f>(INDEX(Data!1098:1098,1,'Summary - Dollars'!$U$1+1))</f>
        <v>1066551</v>
      </c>
    </row>
    <row r="225" spans="8:10">
      <c r="H225" s="760" t="s">
        <v>258</v>
      </c>
      <c r="I225" s="24">
        <f>(INDEX(Data!1099:1099,1,'Summary - Dollars'!$U$1))</f>
        <v>1883810</v>
      </c>
      <c r="J225" s="24">
        <f>(INDEX(Data!1099:1099,1,'Summary - Dollars'!$U$1+1))</f>
        <v>1883810</v>
      </c>
    </row>
    <row r="226" spans="8:10">
      <c r="H226" s="757" t="s">
        <v>1285</v>
      </c>
      <c r="I226" s="24">
        <f>(INDEX(Data!1100:1100,1,'Summary - Dollars'!$U$1))</f>
        <v>0</v>
      </c>
      <c r="J226" s="24">
        <f>(INDEX(Data!1100:1100,1,'Summary - Dollars'!$U$1+1))</f>
        <v>0</v>
      </c>
    </row>
    <row r="227" spans="8:10">
      <c r="H227" s="757" t="s">
        <v>1286</v>
      </c>
      <c r="I227" s="24">
        <f>(INDEX(Data!1101:1101,1,'Summary - Dollars'!$U$1))</f>
        <v>0</v>
      </c>
      <c r="J227" s="24">
        <f>(INDEX(Data!1101:1101,1,'Summary - Dollars'!$U$1+1))</f>
        <v>0</v>
      </c>
    </row>
    <row r="228" spans="8:10">
      <c r="H228" s="755" t="s">
        <v>259</v>
      </c>
      <c r="I228" s="24">
        <f>(INDEX(Data!1102:1102,1,'Summary - Dollars'!$U$1))</f>
        <v>2950361</v>
      </c>
      <c r="J228" s="24">
        <f>(INDEX(Data!1102:1102,1,'Summary - Dollars'!$U$1+1))</f>
        <v>2950361</v>
      </c>
    </row>
    <row r="229" spans="8:10">
      <c r="H229" s="755" t="s">
        <v>260</v>
      </c>
      <c r="I229" s="24">
        <f>(INDEX(Data!1103:1103,1,'Summary - Dollars'!$U$1))</f>
        <v>0</v>
      </c>
      <c r="J229" s="24">
        <f>(INDEX(Data!1103:1103,1,'Summary - Dollars'!$U$1+1))</f>
        <v>0</v>
      </c>
    </row>
    <row r="230" spans="8:10">
      <c r="H230" s="756" t="s">
        <v>261</v>
      </c>
      <c r="I230" s="24">
        <f>(INDEX(Data!1104:1104,1,'Summary - Dollars'!$U$1))</f>
        <v>5380368</v>
      </c>
      <c r="J230" s="24">
        <f>(INDEX(Data!1104:1104,1,'Summary - Dollars'!$U$1+1))</f>
        <v>5380367</v>
      </c>
    </row>
    <row r="231" spans="8:10">
      <c r="H231" s="756" t="s">
        <v>262</v>
      </c>
      <c r="I231" s="24">
        <f>(INDEX(Data!1105:1105,1,'Summary - Dollars'!$U$1))</f>
        <v>6208864</v>
      </c>
      <c r="J231" s="24">
        <f>(INDEX(Data!1105:1105,1,'Summary - Dollars'!$U$1+1))</f>
        <v>6229622</v>
      </c>
    </row>
    <row r="232" spans="8:10">
      <c r="H232" s="756" t="s">
        <v>263</v>
      </c>
      <c r="I232" s="24">
        <f>(INDEX(Data!1107:1107,1,'Summary - Dollars'!$U$1))</f>
        <v>342700</v>
      </c>
      <c r="J232" s="24">
        <f>(INDEX(Data!1107:1107,1,'Summary - Dollars'!$U$1+1))</f>
        <v>342700</v>
      </c>
    </row>
    <row r="233" spans="8:10">
      <c r="H233" s="755" t="s">
        <v>264</v>
      </c>
      <c r="I233" s="24">
        <f>(INDEX(Data!1108:1108,1,'Summary - Dollars'!$U$1))</f>
        <v>13768121</v>
      </c>
      <c r="J233" s="24">
        <f>(INDEX(Data!1108:1108,1,'Summary - Dollars'!$U$1+1))</f>
        <v>13938877</v>
      </c>
    </row>
    <row r="234" spans="8:10">
      <c r="H234" s="755" t="s">
        <v>265</v>
      </c>
      <c r="I234" s="230">
        <f>(INDEX(Data!1109:1109,1,'Summary - Dollars'!$U$1))</f>
        <v>898587780</v>
      </c>
      <c r="J234" s="230">
        <f>(INDEX(Data!1109:1109,1,'Summary - Dollars'!$U$1+1))</f>
        <v>890536019</v>
      </c>
    </row>
    <row r="235" spans="8:10">
      <c r="H235" s="755" t="s">
        <v>1563</v>
      </c>
      <c r="I235" s="24">
        <f ca="1">(INDEX(Data!1110:1110,1,'Summary - Dollars'!$U$1))</f>
        <v>2950361</v>
      </c>
      <c r="J235" s="24">
        <f ca="1">(INDEX(Data!1110:1110,1,'Summary - Dollars'!$U$1+1))</f>
        <v>2950361</v>
      </c>
    </row>
    <row r="236" spans="8:10">
      <c r="H236" s="757" t="s">
        <v>1562</v>
      </c>
      <c r="I236" s="24">
        <f ca="1">(INDEX(Data!1111:1111,1,'Summary - Dollars'!$U$1))</f>
        <v>3339193</v>
      </c>
      <c r="J236" s="24">
        <f ca="1">(INDEX(Data!1111:1111,1,'Summary - Dollars'!$U$1+1))</f>
        <v>3339193</v>
      </c>
    </row>
  </sheetData>
  <mergeCells count="2">
    <mergeCell ref="A179:C179"/>
    <mergeCell ref="H2:J2"/>
  </mergeCell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219"/>
  <sheetViews>
    <sheetView showGridLines="0" topLeftCell="A172" workbookViewId="0">
      <selection activeCell="D191" sqref="D191:G191"/>
    </sheetView>
  </sheetViews>
  <sheetFormatPr defaultRowHeight="12.75"/>
  <cols>
    <col min="1" max="1" width="36.42578125" style="697" customWidth="1"/>
    <col min="2" max="2" width="17.28515625" style="697" customWidth="1"/>
    <col min="3" max="3" width="17.42578125" style="697" customWidth="1"/>
    <col min="4" max="4" width="16.28515625" style="697" customWidth="1"/>
    <col min="5" max="5" width="5.85546875" style="697" customWidth="1"/>
    <col min="6" max="6" width="5" style="697" customWidth="1"/>
    <col min="7" max="7" width="17" style="697" customWidth="1"/>
    <col min="8" max="8" width="31.85546875" style="697" customWidth="1"/>
    <col min="9" max="9" width="17.140625" style="697" customWidth="1"/>
    <col min="10" max="10" width="15.85546875" style="697" customWidth="1"/>
    <col min="11" max="11" width="2" style="697" customWidth="1"/>
    <col min="12" max="12" width="38.7109375" style="697" customWidth="1"/>
    <col min="13" max="13" width="14" style="697" customWidth="1"/>
    <col min="14" max="14" width="14.42578125" style="697" customWidth="1"/>
  </cols>
  <sheetData>
    <row r="1" spans="1:12" ht="18">
      <c r="A1" s="697" t="s">
        <v>1803</v>
      </c>
      <c r="B1" s="754" t="s">
        <v>16</v>
      </c>
      <c r="F1" s="751" t="s">
        <v>1804</v>
      </c>
      <c r="H1" s="697" t="s">
        <v>1802</v>
      </c>
      <c r="L1" s="754" t="s">
        <v>16</v>
      </c>
    </row>
    <row r="2" spans="1:12">
      <c r="H2" s="595" t="s">
        <v>99</v>
      </c>
    </row>
    <row r="3" spans="1:12">
      <c r="A3" s="753" t="s">
        <v>1306</v>
      </c>
      <c r="B3" s="752" t="str">
        <f>'Summary - Dollars'!E62</f>
        <v>2020</v>
      </c>
      <c r="C3" s="752">
        <f>'Summary - Dollars'!F62</f>
        <v>2021</v>
      </c>
      <c r="I3" s="752" t="str">
        <f>B3</f>
        <v>2020</v>
      </c>
      <c r="J3" s="752">
        <f>C3</f>
        <v>2021</v>
      </c>
    </row>
    <row r="4" spans="1:12">
      <c r="A4" s="79" t="s">
        <v>19</v>
      </c>
      <c r="B4" s="750">
        <f>'Summary - Dollars'!N63</f>
        <v>22742391008</v>
      </c>
      <c r="C4" s="749">
        <f>'Summary - Dollars'!O63</f>
        <v>21979471649</v>
      </c>
      <c r="D4" s="721">
        <f>I4+M4</f>
        <v>22742391008</v>
      </c>
      <c r="E4" s="766">
        <f>B4-D4</f>
        <v>0</v>
      </c>
      <c r="F4" s="721">
        <f>C4-G4</f>
        <v>0</v>
      </c>
      <c r="G4" s="721">
        <f>J4+N4</f>
        <v>21979471649</v>
      </c>
      <c r="H4" s="20" t="s">
        <v>19</v>
      </c>
      <c r="I4" s="742">
        <f>(INDEX(Data!131:131,1,'Summary - Dollars'!$U$1)-INDEX(Data!1211:1211,1,$V$1))</f>
        <v>22742391008</v>
      </c>
      <c r="J4" s="742">
        <f>(INDEX(Data!131:131,1,'Summary - Dollars'!$U$1+1)-INDEX(Data!1211:1211,1,$V$1+1))</f>
        <v>21979471649</v>
      </c>
      <c r="L4" s="80">
        <f>(INDEX(Data!131:131,1,$V$1))</f>
        <v>0</v>
      </c>
    </row>
    <row r="5" spans="1:12">
      <c r="A5" s="79" t="s">
        <v>773</v>
      </c>
      <c r="B5" s="706">
        <f>'Summary - Dollars'!N64</f>
        <v>0</v>
      </c>
      <c r="C5" s="705">
        <f>'Summary - Dollars'!O64</f>
        <v>0</v>
      </c>
      <c r="H5" s="20" t="s">
        <v>20</v>
      </c>
      <c r="I5" s="715">
        <f>(INDEX(Data!132:132,1,'Summary - Dollars'!$U$1)-INDEX(Data!1212:1212,1,$V$1))</f>
        <v>0</v>
      </c>
      <c r="J5" s="745">
        <f>(INDEX(Data!132:132,1,'Summary - Dollars'!$U$1+1)-INDEX(Data!1212:1212,1,$V$1+1))</f>
        <v>0</v>
      </c>
    </row>
    <row r="6" spans="1:12" ht="25.5">
      <c r="A6" s="79" t="s">
        <v>774</v>
      </c>
      <c r="B6" s="748">
        <f>'Summary - Dollars'!N65</f>
        <v>16597224</v>
      </c>
      <c r="C6" s="747">
        <f>'Summary - Dollars'!O65</f>
        <v>16422226</v>
      </c>
      <c r="D6" s="721">
        <f t="shared" ref="D6:D7" si="0">I6+M6</f>
        <v>16597224</v>
      </c>
      <c r="E6" s="766">
        <f t="shared" ref="E6:E7" si="1">B6-D6</f>
        <v>0</v>
      </c>
      <c r="F6" s="721">
        <f t="shared" ref="F6:F7" si="2">C6-G6</f>
        <v>0</v>
      </c>
      <c r="G6" s="721">
        <f t="shared" ref="G6:G7" si="3">J6+N6</f>
        <v>16422226</v>
      </c>
      <c r="H6" s="20" t="s">
        <v>21</v>
      </c>
      <c r="I6" s="742">
        <f>(INDEX(Data!133:133,1,'Summary - Dollars'!$U$1)-INDEX(Data!1213:1213,1,$V$1))</f>
        <v>16597224</v>
      </c>
      <c r="J6" s="742">
        <f>(INDEX(Data!133:133,1,'Summary - Dollars'!$U$1+1)-INDEX(Data!1213:1213,1,$V$1+1))</f>
        <v>16422226</v>
      </c>
    </row>
    <row r="7" spans="1:12">
      <c r="A7" s="79" t="s">
        <v>775</v>
      </c>
      <c r="B7" s="748">
        <f>'Summary - Dollars'!N66</f>
        <v>24347311</v>
      </c>
      <c r="C7" s="747">
        <f>'Summary - Dollars'!O66</f>
        <v>19353738</v>
      </c>
      <c r="D7" s="721">
        <f t="shared" si="0"/>
        <v>24347311</v>
      </c>
      <c r="E7" s="766">
        <f t="shared" si="1"/>
        <v>0</v>
      </c>
      <c r="F7" s="721">
        <f t="shared" si="2"/>
        <v>0</v>
      </c>
      <c r="G7" s="721">
        <f t="shared" si="3"/>
        <v>19353738</v>
      </c>
      <c r="H7" s="20" t="s">
        <v>22</v>
      </c>
      <c r="I7" s="742">
        <f>(INDEX(Data!134:134,1,'Summary - Dollars'!$U$1)-INDEX(Data!1214:1214,1,$V$1))</f>
        <v>24347311</v>
      </c>
      <c r="J7" s="742">
        <f>(INDEX(Data!134:134,1,'Summary - Dollars'!$U$1+1)-INDEX(Data!1214:1214,1,$V$1+1))</f>
        <v>19353738</v>
      </c>
    </row>
    <row r="8" spans="1:12">
      <c r="A8" s="104" t="s">
        <v>776</v>
      </c>
      <c r="B8" s="746">
        <f>'Summary - Dollars'!N67</f>
        <v>22783335543</v>
      </c>
      <c r="C8" s="746">
        <f>'Summary - Dollars'!O67</f>
        <v>22015247613</v>
      </c>
      <c r="H8" s="20" t="s">
        <v>23</v>
      </c>
      <c r="I8" s="715">
        <f>(INDEX(Data!135:135,1,'Summary - Dollars'!$U$1)-INDEX(Data!1215:1215,1,$V$1))</f>
        <v>0</v>
      </c>
      <c r="J8" s="745">
        <f>(INDEX(Data!135:135,1,'Summary - Dollars'!$U$1+1)-INDEX(Data!1215:1215,1,$V$1+1))</f>
        <v>0</v>
      </c>
    </row>
    <row r="9" spans="1:12" ht="25.5">
      <c r="A9" s="104" t="s">
        <v>777</v>
      </c>
      <c r="B9" s="744">
        <f>'Summary - Dollars'!N68</f>
        <v>0</v>
      </c>
      <c r="C9" s="743">
        <f>'Summary - Dollars'!O68</f>
        <v>0</v>
      </c>
      <c r="H9" s="20" t="s">
        <v>24</v>
      </c>
      <c r="I9" s="742">
        <f>(INDEX(Data!136:136,1,'Summary - Dollars'!$U$1)-INDEX(Data!1216:1216,1,$V$1))</f>
        <v>2653019677</v>
      </c>
      <c r="J9" s="742">
        <f>(INDEX(Data!136:136,1,'Summary - Dollars'!$U$1+1)-INDEX(Data!1216:1216,1,$V$1+1))</f>
        <v>2520392507</v>
      </c>
    </row>
    <row r="10" spans="1:12">
      <c r="A10" s="92" t="s">
        <v>778</v>
      </c>
      <c r="B10" s="741">
        <f>'Summary - Dollars'!N69</f>
        <v>2653019677</v>
      </c>
      <c r="C10" s="740">
        <f>'Summary - Dollars'!O69</f>
        <v>2520392507</v>
      </c>
      <c r="D10" s="721">
        <f>I9+M10</f>
        <v>2653019677</v>
      </c>
      <c r="E10" s="766">
        <f t="shared" ref="E10:E13" si="4">B10-D10</f>
        <v>0</v>
      </c>
      <c r="F10" s="721">
        <f t="shared" ref="F10:F13" si="5">C10-G10</f>
        <v>0</v>
      </c>
      <c r="G10" s="721">
        <f>J9+N10</f>
        <v>2520392507</v>
      </c>
      <c r="H10" s="20" t="s">
        <v>25</v>
      </c>
      <c r="I10" s="742">
        <f>(INDEX(Data!137:137,1,'Summary - Dollars'!$U$1)-INDEX(Data!1217:1217,1,$V$1))</f>
        <v>122024371</v>
      </c>
      <c r="J10" s="742">
        <f>(INDEX(Data!137:137,1,'Summary - Dollars'!$U$1+1)-INDEX(Data!1217:1217,1,$V$1+1))</f>
        <v>121204367</v>
      </c>
    </row>
    <row r="11" spans="1:12">
      <c r="A11" s="92" t="s">
        <v>25</v>
      </c>
      <c r="B11" s="741">
        <f>'Summary - Dollars'!N70</f>
        <v>122024371</v>
      </c>
      <c r="C11" s="740">
        <f>'Summary - Dollars'!O70</f>
        <v>121204367</v>
      </c>
      <c r="D11" s="721">
        <f>I10</f>
        <v>122024371</v>
      </c>
      <c r="E11" s="766">
        <f t="shared" si="4"/>
        <v>0</v>
      </c>
      <c r="F11" s="721">
        <f t="shared" si="5"/>
        <v>0</v>
      </c>
      <c r="G11" s="721">
        <f>J10</f>
        <v>121204367</v>
      </c>
      <c r="H11" s="226" t="s">
        <v>26</v>
      </c>
      <c r="I11" s="722">
        <f>(INDEX(Data!138:138,1,'Summary - Dollars'!$U$1)-INDEX(Data!1218:1218,1,$V$1))</f>
        <v>708935833</v>
      </c>
      <c r="J11" s="722">
        <f>(INDEX(Data!138:138,1,'Summary - Dollars'!$U$1+1)-INDEX(Data!1218:1218,1,$V$1+1))</f>
        <v>708935830</v>
      </c>
    </row>
    <row r="12" spans="1:12">
      <c r="A12" s="92" t="s">
        <v>779</v>
      </c>
      <c r="B12" s="739">
        <f>'Summary - Dollars'!N71</f>
        <v>307005027</v>
      </c>
      <c r="C12" s="738">
        <f>'Summary - Dollars'!O71</f>
        <v>313315355</v>
      </c>
      <c r="D12" s="721">
        <f>I96</f>
        <v>307005027</v>
      </c>
      <c r="E12" s="766">
        <f t="shared" si="4"/>
        <v>0</v>
      </c>
      <c r="F12" s="721">
        <f t="shared" si="5"/>
        <v>0</v>
      </c>
      <c r="G12" s="721">
        <f>J96</f>
        <v>313315355</v>
      </c>
      <c r="H12" s="27" t="s">
        <v>27</v>
      </c>
      <c r="I12" s="713">
        <f>(INDEX(Data!139:139,1,'Summary - Dollars'!$U$1)-INDEX(Data!1219:1219,1,$V$1))</f>
        <v>822604121</v>
      </c>
      <c r="J12" s="713">
        <f>(INDEX(Data!139:139,1,'Summary - Dollars'!$U$1+1)-INDEX(Data!1219:1219,1,$V$1+1))</f>
        <v>815918716</v>
      </c>
    </row>
    <row r="13" spans="1:12">
      <c r="A13" s="112" t="s">
        <v>780</v>
      </c>
      <c r="B13" s="739">
        <f>'Summary - Dollars'!N72</f>
        <v>7228252</v>
      </c>
      <c r="C13" s="738">
        <f>'Summary - Dollars'!O72</f>
        <v>7933400</v>
      </c>
      <c r="D13" s="721">
        <f>I99</f>
        <v>7228252</v>
      </c>
      <c r="E13" s="766">
        <f t="shared" si="4"/>
        <v>0</v>
      </c>
      <c r="F13" s="721">
        <f t="shared" si="5"/>
        <v>0</v>
      </c>
      <c r="G13" s="721">
        <f>J99</f>
        <v>7933400</v>
      </c>
      <c r="H13" s="20" t="s">
        <v>28</v>
      </c>
      <c r="I13" s="742">
        <f>(INDEX(Data!140:140,1,'Summary - Dollars'!$U$1)-INDEX(Data!1220:1220,1,$V$1))</f>
        <v>393750000</v>
      </c>
      <c r="J13" s="742">
        <f>(INDEX(Data!140:140,1,'Summary - Dollars'!$U$1+1)-INDEX(Data!1220:1220,1,$V$1+1))</f>
        <v>393750000</v>
      </c>
    </row>
    <row r="14" spans="1:12">
      <c r="A14" s="104" t="s">
        <v>781</v>
      </c>
      <c r="B14" s="712">
        <f>'Summary - Dollars'!N73</f>
        <v>3089277327</v>
      </c>
      <c r="C14" s="743">
        <f>'Summary - Dollars'!O73</f>
        <v>2962845629</v>
      </c>
      <c r="H14" s="224" t="s">
        <v>1693</v>
      </c>
      <c r="I14" s="716">
        <f>(INDEX(Data!218:218,1,'Summary - Dollars'!$U$1)-INDEX(Data!1221:1221,1,$V$1))</f>
        <v>0</v>
      </c>
      <c r="J14" s="716">
        <f>(INDEX(Data!218:218,1,'Summary - Dollars'!$U$1+1)-INDEX(Data!1221:1221,1,$V$1+1))</f>
        <v>0</v>
      </c>
    </row>
    <row r="15" spans="1:12">
      <c r="A15" s="113" t="s">
        <v>782</v>
      </c>
      <c r="B15" s="704">
        <f>'Summary - Dollars'!N74</f>
        <v>7471617727.2312622</v>
      </c>
      <c r="C15" s="703">
        <f>'Summary - Dollars'!O74</f>
        <v>7392614124</v>
      </c>
      <c r="H15" s="592" t="s">
        <v>1428</v>
      </c>
      <c r="I15" s="715">
        <f>(INDEX(Data!141:141,1,'Summary - Dollars'!$U$1)-INDEX(Data!1222:1222,1,$V$1))</f>
        <v>8820703</v>
      </c>
      <c r="J15" s="715">
        <f>(INDEX(Data!141:141,1,'Summary - Dollars'!$U$1+1)-INDEX(Data!1222:1222,1,$V$1+1))</f>
        <v>8166643</v>
      </c>
    </row>
    <row r="16" spans="1:12" ht="13.5" thickBot="1">
      <c r="A16" s="95" t="s">
        <v>783</v>
      </c>
      <c r="B16" s="737">
        <f>'Summary - Dollars'!N75</f>
        <v>33344230597.231262</v>
      </c>
      <c r="C16" s="736">
        <f>'Summary - Dollars'!O75</f>
        <v>32370707366</v>
      </c>
      <c r="D16" s="720"/>
      <c r="E16" s="720"/>
      <c r="H16" s="617" t="s">
        <v>1927</v>
      </c>
      <c r="I16" s="715">
        <f>(INDEX(Data!142:142,1,'Summary - Dollars'!$U$1)-INDEX(Data!1223:1223,1,$V$1))</f>
        <v>15000000</v>
      </c>
      <c r="J16" s="715">
        <f>(INDEX(Data!142:142,1,'Summary - Dollars'!$U$1+1)-INDEX(Data!1223:1223,1,$V$1+1))</f>
        <v>15000000</v>
      </c>
    </row>
    <row r="17" spans="1:15">
      <c r="H17" s="20" t="s">
        <v>754</v>
      </c>
      <c r="I17" s="715">
        <f>(INDEX(Data!143:143,1,'Summary - Dollars'!$U$1)-INDEX(Data!1223:1223,1,$V$1))</f>
        <v>125093925</v>
      </c>
      <c r="J17" s="715">
        <f>(INDEX(Data!143:143,1,'Summary - Dollars'!$U$1+1)-INDEX(Data!1223:1223,1,$V$1+1))</f>
        <v>124996206</v>
      </c>
    </row>
    <row r="18" spans="1:15">
      <c r="B18" s="720">
        <f>I101-B16</f>
        <v>0</v>
      </c>
      <c r="C18" s="720">
        <f>J101-C16</f>
        <v>0</v>
      </c>
      <c r="D18" s="762"/>
      <c r="E18" s="762"/>
      <c r="H18" s="224" t="s">
        <v>749</v>
      </c>
      <c r="I18" s="715">
        <f>(INDEX(Data!144:144,1,'Summary - Dollars'!$U$1)-INDEX(Data!1224:1224,1,$V$1))</f>
        <v>304458654.23126221</v>
      </c>
      <c r="J18" s="715">
        <f>(INDEX(Data!144:144,1,'Summary - Dollars'!$U$1+1)-INDEX(Data!1224:1224,1,$V$1+1))</f>
        <v>294913673</v>
      </c>
    </row>
    <row r="19" spans="1:15">
      <c r="H19" s="20" t="s">
        <v>755</v>
      </c>
      <c r="I19" s="715">
        <f>(INDEX(Data!145:145,1,'Summary - Dollars'!$U$1)-INDEX(Data!1225:1225,1,$V$1))</f>
        <v>99582898</v>
      </c>
      <c r="J19" s="715">
        <f>(INDEX(Data!145:145,1,'Summary - Dollars'!$U$1+1)-INDEX(Data!1225:1225,1,$V$1+1))</f>
        <v>99321497</v>
      </c>
    </row>
    <row r="20" spans="1:15">
      <c r="H20" s="20" t="s">
        <v>756</v>
      </c>
      <c r="I20" s="715">
        <f>(INDEX(Data!146:146,1,'Summary - Dollars'!$U$1)-INDEX(Data!1227:1227,1,$V$1))</f>
        <v>87763535</v>
      </c>
      <c r="J20" s="715">
        <f>(INDEX(Data!146:146,1,'Summary - Dollars'!$U$1+1)-INDEX(Data!1227:1227,1,$V$1+1))</f>
        <v>87709125</v>
      </c>
    </row>
    <row r="21" spans="1:15">
      <c r="H21" s="224" t="s">
        <v>1669</v>
      </c>
      <c r="I21" s="715">
        <f>(INDEX(Data!147:147,1,'Summary - Dollars'!$U$1)-INDEX(Data!1228:1228,1,$V$1))</f>
        <v>97104134</v>
      </c>
      <c r="J21" s="715">
        <f>(INDEX(Data!147:147,1,'Summary - Dollars'!$U$1+1)-INDEX(Data!1228:1228,1,$V$1+1))</f>
        <v>97095892</v>
      </c>
    </row>
    <row r="22" spans="1:15">
      <c r="H22" s="20" t="s">
        <v>1356</v>
      </c>
      <c r="I22" s="715">
        <f>(INDEX(Data!148:148,1,'Summary - Dollars'!$U$1)-INDEX(Data!1229:1229,1,$V$1))</f>
        <v>0</v>
      </c>
      <c r="J22" s="715">
        <f>(INDEX(Data!148:148,1,'Summary - Dollars'!$U$1+1)-INDEX(Data!1229:1229,1,$V$1+1))</f>
        <v>0</v>
      </c>
    </row>
    <row r="23" spans="1:15">
      <c r="H23" s="20" t="s">
        <v>1357</v>
      </c>
      <c r="I23" s="715">
        <f>(INDEX(Data!149:149,1,'Summary - Dollars'!$U$1)-INDEX(Data!1230:1230,1,$V$1))</f>
        <v>0</v>
      </c>
      <c r="J23" s="715">
        <f>(INDEX(Data!149:149,1,'Summary - Dollars'!$U$1+1)-INDEX(Data!1230:1230,1,$V$1+1))</f>
        <v>0</v>
      </c>
    </row>
    <row r="24" spans="1:15">
      <c r="A24" s="753" t="s">
        <v>1307</v>
      </c>
      <c r="B24" s="752" t="str">
        <f>'Summary - Dollars'!E99</f>
        <v>2020</v>
      </c>
      <c r="C24" s="752">
        <f>'Summary - Dollars'!F99</f>
        <v>2021</v>
      </c>
      <c r="H24" s="20" t="s">
        <v>1358</v>
      </c>
      <c r="I24" s="715">
        <f>(INDEX(Data!150:150,1,'Summary - Dollars'!$U$1)-INDEX(Data!1231:1231,1,$V$1))</f>
        <v>31866072</v>
      </c>
      <c r="J24" s="715">
        <f>(INDEX(Data!150:150,1,'Summary - Dollars'!$U$1+1)-INDEX(Data!1231:1231,1,$V$1+1))</f>
        <v>31856430</v>
      </c>
      <c r="L24" s="595" t="s">
        <v>1454</v>
      </c>
      <c r="M24" s="752" t="str">
        <f>I3</f>
        <v>2020</v>
      </c>
      <c r="N24" s="752">
        <f>J3</f>
        <v>2021</v>
      </c>
    </row>
    <row r="25" spans="1:15">
      <c r="A25" s="728" t="s">
        <v>754</v>
      </c>
      <c r="B25" s="735">
        <f>'Summary - Dollars'!N100</f>
        <v>137374528</v>
      </c>
      <c r="C25" s="734">
        <f>'Summary - Dollars'!O100</f>
        <v>137276808</v>
      </c>
      <c r="D25" s="721">
        <f>I17+M27</f>
        <v>137374528</v>
      </c>
      <c r="E25" s="766">
        <f t="shared" ref="E25:E29" si="6">B25-D25</f>
        <v>0</v>
      </c>
      <c r="F25" s="721">
        <f t="shared" ref="F25:F29" si="7">C25-G25</f>
        <v>0</v>
      </c>
      <c r="G25" s="721">
        <f>J17+N27</f>
        <v>137276808</v>
      </c>
      <c r="H25" s="20" t="s">
        <v>757</v>
      </c>
      <c r="I25" s="715">
        <f>(INDEX(Data!151:151,1,'Summary - Dollars'!$U$1)-INDEX(Data!1232:1232,1,$V$1))</f>
        <v>114621965</v>
      </c>
      <c r="J25" s="715">
        <f>(INDEX(Data!151:151,1,'Summary - Dollars'!$U$1+1)-INDEX(Data!1232:1232,1,$V$1+1))</f>
        <v>114586252</v>
      </c>
      <c r="L25" s="32" t="s">
        <v>1231</v>
      </c>
      <c r="M25" s="24">
        <f>(INDEX(Data!751:751,1,'Summary - Dollars'!$U$1))</f>
        <v>3438293</v>
      </c>
      <c r="N25" s="24">
        <f>(INDEX(Data!751:751,1,'Summary - Dollars'!$U$1+1))</f>
        <v>3509169</v>
      </c>
      <c r="O25" t="s">
        <v>1928</v>
      </c>
    </row>
    <row r="26" spans="1:15">
      <c r="A26" s="729" t="s">
        <v>749</v>
      </c>
      <c r="B26" s="706">
        <f>'Summary - Dollars'!N101</f>
        <v>332601728.23126221</v>
      </c>
      <c r="C26" s="705">
        <f>'Summary - Dollars'!O101</f>
        <v>323056748</v>
      </c>
      <c r="D26" s="721">
        <f>I18+M28</f>
        <v>332601728.23126221</v>
      </c>
      <c r="E26" s="766">
        <f t="shared" si="6"/>
        <v>0</v>
      </c>
      <c r="F26" s="721">
        <f t="shared" si="7"/>
        <v>0</v>
      </c>
      <c r="G26" s="721">
        <f>J18+N28</f>
        <v>323056748</v>
      </c>
      <c r="H26" s="20" t="s">
        <v>1359</v>
      </c>
      <c r="I26" s="715">
        <f>(INDEX(Data!152:152,1,'Summary - Dollars'!$U$1)-INDEX(Data!1233:1233,1,$V$1))</f>
        <v>36070813</v>
      </c>
      <c r="J26" s="715">
        <f>(INDEX(Data!152:152,1,'Summary - Dollars'!$U$1+1)-INDEX(Data!1233:1233,1,$V$1+1))</f>
        <v>36056229</v>
      </c>
      <c r="L26" s="32"/>
      <c r="M26" s="1061"/>
      <c r="N26" s="1061"/>
    </row>
    <row r="27" spans="1:15">
      <c r="A27" s="728" t="s">
        <v>755</v>
      </c>
      <c r="B27" s="706">
        <f>'Summary - Dollars'!N102</f>
        <v>107875072</v>
      </c>
      <c r="C27" s="705">
        <f>'Summary - Dollars'!O102</f>
        <v>107613671</v>
      </c>
      <c r="D27" s="721">
        <f>I19+M29</f>
        <v>107875072</v>
      </c>
      <c r="E27" s="766">
        <f t="shared" si="6"/>
        <v>0</v>
      </c>
      <c r="F27" s="721">
        <f t="shared" si="7"/>
        <v>0</v>
      </c>
      <c r="G27" s="721">
        <f>J19+N29</f>
        <v>107613671</v>
      </c>
      <c r="H27" s="592" t="s">
        <v>1429</v>
      </c>
      <c r="I27" s="715">
        <f>(INDEX(Data!153:153,1,'Summary - Dollars'!$U$1)-INDEX(Data!1234:1234,1,$V$1))</f>
        <v>770028</v>
      </c>
      <c r="J27" s="715">
        <f>(INDEX(Data!153:153,1,'Summary - Dollars'!$U$1+1)-INDEX(Data!1234:1234,1,$V$1+1))</f>
        <v>770027</v>
      </c>
      <c r="L27" s="20" t="s">
        <v>754</v>
      </c>
      <c r="M27" s="715">
        <f>(INDEX(Data!752:752,1,'Summary - Dollars'!$U$1))</f>
        <v>12280603</v>
      </c>
      <c r="N27" s="715">
        <f>(INDEX(Data!752:752,1,'Summary - Dollars'!$U$1+1))</f>
        <v>12280602</v>
      </c>
    </row>
    <row r="28" spans="1:15">
      <c r="A28" s="728" t="s">
        <v>756</v>
      </c>
      <c r="B28" s="706">
        <f>'Summary - Dollars'!N103</f>
        <v>102319586</v>
      </c>
      <c r="C28" s="705">
        <f>'Summary - Dollars'!O103</f>
        <v>102265178</v>
      </c>
      <c r="D28" s="721">
        <f>I20+M30</f>
        <v>102319586</v>
      </c>
      <c r="E28" s="766">
        <f t="shared" si="6"/>
        <v>0</v>
      </c>
      <c r="F28" s="721">
        <f t="shared" si="7"/>
        <v>0</v>
      </c>
      <c r="G28" s="721">
        <f>J20+N30</f>
        <v>102265178</v>
      </c>
      <c r="H28" s="20" t="s">
        <v>751</v>
      </c>
      <c r="I28" s="715">
        <f>(INDEX(Data!154:154,1,'Summary - Dollars'!$U$1)-INDEX(Data!1235:1235,1,$V$1))</f>
        <v>342078776</v>
      </c>
      <c r="J28" s="715">
        <f>(INDEX(Data!154:154,1,'Summary - Dollars'!$U$1+1)-INDEX(Data!1235:1235,1,$V$1+1))</f>
        <v>341803641</v>
      </c>
      <c r="L28" s="20" t="s">
        <v>749</v>
      </c>
      <c r="M28" s="715">
        <f>(INDEX(Data!753:753,1,'Summary - Dollars'!$U$1))</f>
        <v>28143074</v>
      </c>
      <c r="N28" s="715">
        <f>(INDEX(Data!753:753,1,'Summary - Dollars'!$U$1+1))</f>
        <v>28143075</v>
      </c>
    </row>
    <row r="29" spans="1:15">
      <c r="A29" s="728" t="s">
        <v>1667</v>
      </c>
      <c r="B29" s="706">
        <f>'Summary - Dollars'!N104</f>
        <v>108873093</v>
      </c>
      <c r="C29" s="705">
        <f>'Summary - Dollars'!O104</f>
        <v>108864851</v>
      </c>
      <c r="D29" s="721">
        <f>I21+M31</f>
        <v>108873093</v>
      </c>
      <c r="E29" s="766">
        <f t="shared" si="6"/>
        <v>0</v>
      </c>
      <c r="F29" s="721">
        <f t="shared" si="7"/>
        <v>0</v>
      </c>
      <c r="G29" s="721">
        <f>J21+N31</f>
        <v>108864851</v>
      </c>
      <c r="H29" s="20" t="s">
        <v>876</v>
      </c>
      <c r="I29" s="715">
        <f>(INDEX(Data!155:155,1,'Summary - Dollars'!$U$1)-INDEX(Data!1236:1236,1,$V$1))</f>
        <v>22161422</v>
      </c>
      <c r="J29" s="715">
        <f>(INDEX(Data!155:155,1,'Summary - Dollars'!$U$1+1)-INDEX(Data!1236:1236,1,$V$1+1))</f>
        <v>22143056</v>
      </c>
      <c r="L29" s="20" t="s">
        <v>755</v>
      </c>
      <c r="M29" s="715">
        <f>(INDEX(Data!754:754,1,'Summary - Dollars'!$U$1))</f>
        <v>8292174</v>
      </c>
      <c r="N29" s="715">
        <f>(INDEX(Data!754:754,1,'Summary - Dollars'!$U$1+1))</f>
        <v>8292174</v>
      </c>
    </row>
    <row r="30" spans="1:15">
      <c r="A30" s="728" t="s">
        <v>1356</v>
      </c>
      <c r="B30" s="706">
        <f>'Summary - Dollars'!N105</f>
        <v>0</v>
      </c>
      <c r="C30" s="705">
        <f>'Summary - Dollars'!O105</f>
        <v>0</v>
      </c>
      <c r="H30" s="20" t="s">
        <v>750</v>
      </c>
      <c r="I30" s="715">
        <f>(INDEX(Data!156:156,1,'Summary - Dollars'!$U$1)-INDEX(Data!1237:1237,1,$V$1))</f>
        <v>48230831</v>
      </c>
      <c r="J30" s="715">
        <f>(INDEX(Data!156:156,1,'Summary - Dollars'!$U$1+1)-INDEX(Data!1237:1237,1,$V$1+1))</f>
        <v>48191613</v>
      </c>
      <c r="L30" s="20" t="s">
        <v>756</v>
      </c>
      <c r="M30" s="715">
        <f>(INDEX(Data!755:755,1,'Summary - Dollars'!$U$1))</f>
        <v>14556051</v>
      </c>
      <c r="N30" s="715">
        <f>(INDEX(Data!755:755,1,'Summary - Dollars'!$U$1+1))</f>
        <v>14556053</v>
      </c>
    </row>
    <row r="31" spans="1:15">
      <c r="A31" s="728" t="s">
        <v>1357</v>
      </c>
      <c r="B31" s="706">
        <f>'Summary - Dollars'!N106</f>
        <v>0</v>
      </c>
      <c r="C31" s="705">
        <f>'Summary - Dollars'!O106</f>
        <v>0</v>
      </c>
      <c r="D31" s="733"/>
      <c r="E31" s="733"/>
      <c r="F31" s="733"/>
      <c r="H31" s="20" t="s">
        <v>1209</v>
      </c>
      <c r="I31" s="715">
        <f>(INDEX(Data!157:157,1,'Summary - Dollars'!$U$1)-INDEX(Data!1238:1238,1,$V$1))</f>
        <v>45738384</v>
      </c>
      <c r="J31" s="715">
        <f>(INDEX(Data!157:157,1,'Summary - Dollars'!$U$1+1)-INDEX(Data!1238:1238,1,$V$1+1))</f>
        <v>45724236</v>
      </c>
      <c r="L31" s="224" t="s">
        <v>1667</v>
      </c>
      <c r="M31" s="715">
        <f>(INDEX(Data!756:756,1,'Summary - Dollars'!$U$1))</f>
        <v>11768959</v>
      </c>
      <c r="N31" s="715">
        <f>(INDEX(Data!756:756,1,'Summary - Dollars'!$U$1+1))</f>
        <v>11768959</v>
      </c>
    </row>
    <row r="32" spans="1:15">
      <c r="A32" s="728" t="s">
        <v>1358</v>
      </c>
      <c r="B32" s="706">
        <f>'Summary - Dollars'!N107</f>
        <v>33739692</v>
      </c>
      <c r="C32" s="705">
        <f>'Summary - Dollars'!O107</f>
        <v>33730050</v>
      </c>
      <c r="D32" s="721">
        <f>I24+M34</f>
        <v>33739692</v>
      </c>
      <c r="E32" s="766">
        <f t="shared" ref="E32:E63" si="8">B32-D32</f>
        <v>0</v>
      </c>
      <c r="F32" s="721">
        <f t="shared" ref="F32" si="9">B32+C32-D32-G32</f>
        <v>0</v>
      </c>
      <c r="G32" s="721">
        <f>J24+N34</f>
        <v>33730050</v>
      </c>
      <c r="H32" s="224" t="s">
        <v>1210</v>
      </c>
      <c r="I32" s="715">
        <f>(INDEX(Data!158:158,1,'Summary - Dollars'!$U$1)-INDEX(Data!1239:1239,1,$V$1))</f>
        <v>17299692</v>
      </c>
      <c r="J32" s="715">
        <f>(INDEX(Data!158:158,1,'Summary - Dollars'!$U$1+1)-INDEX(Data!1239:1239,1,$V$1+1))</f>
        <v>17293373</v>
      </c>
      <c r="L32" s="20" t="s">
        <v>1356</v>
      </c>
      <c r="M32" s="715">
        <f>(INDEX(Data!757:757,1,'Summary - Dollars'!$U$1))</f>
        <v>0</v>
      </c>
      <c r="N32" s="715">
        <f>(INDEX(Data!757:757,1,'Summary - Dollars'!$U$1+1))</f>
        <v>0</v>
      </c>
    </row>
    <row r="33" spans="1:14">
      <c r="A33" s="728" t="s">
        <v>757</v>
      </c>
      <c r="B33" s="706">
        <f>'Summary - Dollars'!N108</f>
        <v>127500894</v>
      </c>
      <c r="C33" s="705">
        <f>'Summary - Dollars'!O108</f>
        <v>127465180</v>
      </c>
      <c r="D33" s="721">
        <f>I25+M35</f>
        <v>127500894</v>
      </c>
      <c r="E33" s="766">
        <f t="shared" si="8"/>
        <v>0</v>
      </c>
      <c r="F33" s="721">
        <f t="shared" ref="F33:F63" si="10">C33-G33</f>
        <v>0</v>
      </c>
      <c r="G33" s="721">
        <f>J25+N35</f>
        <v>127465180</v>
      </c>
      <c r="H33" s="224" t="s">
        <v>1211</v>
      </c>
      <c r="I33" s="715">
        <f>(INDEX(Data!159:159,1,'Summary - Dollars'!$U$1)-INDEX(Data!1240:1240,1,$V$1))</f>
        <v>51905781</v>
      </c>
      <c r="J33" s="715">
        <f>(INDEX(Data!159:159,1,'Summary - Dollars'!$U$1+1)-INDEX(Data!1240:1240,1,$V$1+1))</f>
        <v>51873543</v>
      </c>
      <c r="L33" s="20" t="s">
        <v>1357</v>
      </c>
      <c r="M33" s="715">
        <f>(INDEX(Data!758:758,1,'Summary - Dollars'!$U$1))</f>
        <v>0</v>
      </c>
      <c r="N33" s="715">
        <f>(INDEX(Data!758:758,1,'Summary - Dollars'!$U$1+1))</f>
        <v>0</v>
      </c>
    </row>
    <row r="34" spans="1:14">
      <c r="A34" s="728" t="s">
        <v>1359</v>
      </c>
      <c r="B34" s="706">
        <f>'Summary - Dollars'!N109</f>
        <v>39413452</v>
      </c>
      <c r="C34" s="705">
        <f>'Summary - Dollars'!O109</f>
        <v>39398867</v>
      </c>
      <c r="D34" s="721">
        <f>I26+M36</f>
        <v>39413452</v>
      </c>
      <c r="E34" s="766">
        <f t="shared" si="8"/>
        <v>0</v>
      </c>
      <c r="F34" s="721">
        <f t="shared" si="10"/>
        <v>0</v>
      </c>
      <c r="G34" s="721">
        <f>J26+N36</f>
        <v>39398867</v>
      </c>
      <c r="H34" s="224" t="s">
        <v>1212</v>
      </c>
      <c r="I34" s="715">
        <f>(INDEX(Data!160:160,1,'Summary - Dollars'!$U$1)-INDEX(Data!1241:1241,1,$V$1))</f>
        <v>38836780</v>
      </c>
      <c r="J34" s="715">
        <f>(INDEX(Data!160:160,1,'Summary - Dollars'!$U$1+1)-INDEX(Data!1241:1241,1,$V$1+1))</f>
        <v>38784047</v>
      </c>
      <c r="L34" s="20" t="s">
        <v>1358</v>
      </c>
      <c r="M34" s="715">
        <f>(INDEX(Data!759:759,1,'Summary - Dollars'!$U$1))</f>
        <v>1873620</v>
      </c>
      <c r="N34" s="715">
        <f>(INDEX(Data!759:759,1,'Summary - Dollars'!$U$1+1))</f>
        <v>1873620</v>
      </c>
    </row>
    <row r="35" spans="1:14">
      <c r="A35" s="728" t="s">
        <v>751</v>
      </c>
      <c r="B35" s="706">
        <f>'Summary - Dollars'!N110</f>
        <v>381152914</v>
      </c>
      <c r="C35" s="705">
        <f>'Summary - Dollars'!O110</f>
        <v>380877779</v>
      </c>
      <c r="D35" s="721">
        <f>I28+M45</f>
        <v>381152914</v>
      </c>
      <c r="E35" s="766">
        <f t="shared" si="8"/>
        <v>0</v>
      </c>
      <c r="F35" s="721">
        <f t="shared" si="10"/>
        <v>0</v>
      </c>
      <c r="G35" s="721">
        <f>J28+N45</f>
        <v>380877779</v>
      </c>
      <c r="H35" s="224" t="s">
        <v>1213</v>
      </c>
      <c r="I35" s="715">
        <f>(INDEX(Data!161:161,1,'Summary - Dollars'!$U$1)-INDEX(Data!1242:1242,1,$V$1))</f>
        <v>31565412</v>
      </c>
      <c r="J35" s="715">
        <f>(INDEX(Data!161:161,1,'Summary - Dollars'!$U$1+1)-INDEX(Data!1242:1242,1,$V$1+1))</f>
        <v>31566021</v>
      </c>
      <c r="L35" s="20" t="s">
        <v>757</v>
      </c>
      <c r="M35" s="715">
        <f>(INDEX(Data!760:760,1,'Summary - Dollars'!$U$1))</f>
        <v>12878929</v>
      </c>
      <c r="N35" s="715">
        <f>(INDEX(Data!760:760,1,'Summary - Dollars'!$U$1+1))</f>
        <v>12878928</v>
      </c>
    </row>
    <row r="36" spans="1:14">
      <c r="A36" s="728" t="s">
        <v>876</v>
      </c>
      <c r="B36" s="706">
        <f>'Summary - Dollars'!N111</f>
        <v>24073090</v>
      </c>
      <c r="C36" s="705">
        <f>'Summary - Dollars'!O111</f>
        <v>24054724</v>
      </c>
      <c r="D36" s="721">
        <f t="shared" ref="D36:D46" si="11">I29+M47</f>
        <v>24073090</v>
      </c>
      <c r="E36" s="766">
        <f t="shared" si="8"/>
        <v>0</v>
      </c>
      <c r="F36" s="721">
        <f t="shared" si="10"/>
        <v>0</v>
      </c>
      <c r="G36" s="721">
        <f t="shared" ref="G36:G46" si="12">J29+N47</f>
        <v>24054724</v>
      </c>
      <c r="H36" s="20" t="s">
        <v>861</v>
      </c>
      <c r="I36" s="715">
        <f>(INDEX(Data!162:162,1,'Summary - Dollars'!$U$1)-INDEX(Data!1243:1243,1,$V$1))</f>
        <v>32088813</v>
      </c>
      <c r="J36" s="715">
        <f>(INDEX(Data!162:162,1,'Summary - Dollars'!$U$1+1)-INDEX(Data!1243:1243,1,$V$1+1))</f>
        <v>32070239</v>
      </c>
      <c r="L36" s="20" t="s">
        <v>1359</v>
      </c>
      <c r="M36" s="715">
        <f>(INDEX(Data!761:761,1,'Summary - Dollars'!$U$1))</f>
        <v>3342639</v>
      </c>
      <c r="N36" s="715">
        <f>(INDEX(Data!761:761,1,'Summary - Dollars'!$U$1+1))</f>
        <v>3342638</v>
      </c>
    </row>
    <row r="37" spans="1:14">
      <c r="A37" s="728" t="s">
        <v>750</v>
      </c>
      <c r="B37" s="706">
        <f>'Summary - Dollars'!N112</f>
        <v>53749929</v>
      </c>
      <c r="C37" s="705">
        <f>'Summary - Dollars'!O112</f>
        <v>53710711</v>
      </c>
      <c r="D37" s="721">
        <f t="shared" si="11"/>
        <v>53749929</v>
      </c>
      <c r="E37" s="766">
        <f t="shared" si="8"/>
        <v>0</v>
      </c>
      <c r="F37" s="721">
        <f t="shared" si="10"/>
        <v>0</v>
      </c>
      <c r="G37" s="721">
        <f t="shared" si="12"/>
        <v>53710711</v>
      </c>
      <c r="H37" s="20" t="s">
        <v>871</v>
      </c>
      <c r="I37" s="715">
        <f>(INDEX(Data!163:163,1,'Summary - Dollars'!$U$1)-INDEX(Data!1244:1244,1,$V$1))</f>
        <v>35174681</v>
      </c>
      <c r="J37" s="715">
        <f>(INDEX(Data!163:163,1,'Summary - Dollars'!$U$1+1)-INDEX(Data!1244:1244,1,$V$1+1))</f>
        <v>35145294</v>
      </c>
      <c r="L37" s="593" t="s">
        <v>1433</v>
      </c>
      <c r="M37" s="715">
        <f>(INDEX(Data!762:762,1,'Summary - Dollars'!$U$1))</f>
        <v>14180288</v>
      </c>
      <c r="N37" s="715">
        <f>(INDEX(Data!762:762,1,'Summary - Dollars'!$U$1+1))</f>
        <v>14180288</v>
      </c>
    </row>
    <row r="38" spans="1:14">
      <c r="A38" s="728" t="s">
        <v>1209</v>
      </c>
      <c r="B38" s="706">
        <f>'Summary - Dollars'!N113</f>
        <v>50981271</v>
      </c>
      <c r="C38" s="705">
        <f>'Summary - Dollars'!O113</f>
        <v>50967123</v>
      </c>
      <c r="D38" s="721">
        <f t="shared" si="11"/>
        <v>50981271</v>
      </c>
      <c r="E38" s="766">
        <f t="shared" si="8"/>
        <v>0</v>
      </c>
      <c r="F38" s="721">
        <f t="shared" si="10"/>
        <v>0</v>
      </c>
      <c r="G38" s="721">
        <f t="shared" si="12"/>
        <v>50967123</v>
      </c>
      <c r="H38" s="224" t="s">
        <v>1361</v>
      </c>
      <c r="I38" s="715">
        <f>(INDEX(Data!164:164,1,'Summary - Dollars'!$U$1)-INDEX(Data!1245:1245,1,$V$1))</f>
        <v>42111692</v>
      </c>
      <c r="J38" s="715">
        <f>(INDEX(Data!164:164,1,'Summary - Dollars'!$U$1+1)-INDEX(Data!1245:1245,1,$V$1+1))</f>
        <v>42075234</v>
      </c>
      <c r="L38" s="593" t="s">
        <v>1434</v>
      </c>
      <c r="M38" s="715">
        <f>(INDEX(Data!763:763,1,'Summary - Dollars'!$U$1))</f>
        <v>57778532</v>
      </c>
      <c r="N38" s="715">
        <f>(INDEX(Data!763:763,1,'Summary - Dollars'!$U$1+1))</f>
        <v>57778530</v>
      </c>
    </row>
    <row r="39" spans="1:14">
      <c r="A39" s="729" t="s">
        <v>1210</v>
      </c>
      <c r="B39" s="706">
        <f>'Summary - Dollars'!N114</f>
        <v>22377037</v>
      </c>
      <c r="C39" s="705">
        <f>'Summary - Dollars'!O114</f>
        <v>22370718</v>
      </c>
      <c r="D39" s="721">
        <f t="shared" si="11"/>
        <v>22377037</v>
      </c>
      <c r="E39" s="766">
        <f t="shared" si="8"/>
        <v>0</v>
      </c>
      <c r="F39" s="721">
        <f t="shared" si="10"/>
        <v>0</v>
      </c>
      <c r="G39" s="721">
        <f t="shared" si="12"/>
        <v>22370718</v>
      </c>
      <c r="H39" s="20" t="s">
        <v>1425</v>
      </c>
      <c r="I39" s="715">
        <f>(INDEX(Data!165:165,1,'Summary - Dollars'!$U$1)-INDEX(Data!1246:1246,1,$V$1))</f>
        <v>22530738</v>
      </c>
      <c r="J39" s="715">
        <f>(INDEX(Data!165:165,1,'Summary - Dollars'!$U$1+1)-INDEX(Data!1246:1246,1,$V$1+1))</f>
        <v>22527497</v>
      </c>
      <c r="L39" s="593" t="s">
        <v>1435</v>
      </c>
      <c r="M39" s="715">
        <f>(INDEX(Data!764:764,1,'Summary - Dollars'!$U$1))</f>
        <v>24310015</v>
      </c>
      <c r="N39" s="715">
        <f>(INDEX(Data!764:764,1,'Summary - Dollars'!$U$1+1))</f>
        <v>24310014</v>
      </c>
    </row>
    <row r="40" spans="1:14">
      <c r="A40" s="729" t="s">
        <v>1211</v>
      </c>
      <c r="B40" s="706">
        <f>'Summary - Dollars'!N115</f>
        <v>52834381</v>
      </c>
      <c r="C40" s="705">
        <f>'Summary - Dollars'!O115</f>
        <v>52802143</v>
      </c>
      <c r="D40" s="721">
        <f t="shared" si="11"/>
        <v>52834381</v>
      </c>
      <c r="E40" s="766">
        <f t="shared" si="8"/>
        <v>0</v>
      </c>
      <c r="F40" s="721">
        <f t="shared" si="10"/>
        <v>0</v>
      </c>
      <c r="G40" s="721">
        <f t="shared" si="12"/>
        <v>52802143</v>
      </c>
      <c r="H40" s="592" t="s">
        <v>1430</v>
      </c>
      <c r="I40" s="715">
        <f>(INDEX(Data!166:166,1,'Summary - Dollars'!$U$1)-INDEX(Data!1247:1247,1,$V$1))</f>
        <v>41521585</v>
      </c>
      <c r="J40" s="715">
        <f>(INDEX(Data!166:166,1,'Summary - Dollars'!$U$1+1)-INDEX(Data!1247:1247,1,$V$1+1))</f>
        <v>41557889</v>
      </c>
      <c r="L40" s="593" t="s">
        <v>1436</v>
      </c>
      <c r="M40" s="715">
        <f>(INDEX(Data!765:765,1,'Summary - Dollars'!$U$1))</f>
        <v>20939282</v>
      </c>
      <c r="N40" s="715">
        <f>(INDEX(Data!765:765,1,'Summary - Dollars'!$U$1+1))</f>
        <v>20939282</v>
      </c>
    </row>
    <row r="41" spans="1:14">
      <c r="A41" s="729" t="s">
        <v>1212</v>
      </c>
      <c r="B41" s="706">
        <f>'Summary - Dollars'!N116</f>
        <v>40769914</v>
      </c>
      <c r="C41" s="705">
        <f>'Summary - Dollars'!O116</f>
        <v>40717181</v>
      </c>
      <c r="D41" s="721">
        <f t="shared" si="11"/>
        <v>40769914</v>
      </c>
      <c r="E41" s="766">
        <f t="shared" si="8"/>
        <v>0</v>
      </c>
      <c r="F41" s="721">
        <f t="shared" si="10"/>
        <v>0</v>
      </c>
      <c r="G41" s="721">
        <f t="shared" si="12"/>
        <v>40717181</v>
      </c>
      <c r="H41" s="20" t="s">
        <v>726</v>
      </c>
      <c r="I41" s="715">
        <f>(INDEX(Data!167:167,1,'Summary - Dollars'!$U$1)-INDEX(Data!1248:1248,1,$V$1))</f>
        <v>221750099</v>
      </c>
      <c r="J41" s="715">
        <f>(INDEX(Data!167:167,1,'Summary - Dollars'!$U$1+1)-INDEX(Data!1248:1248,1,$V$1+1))</f>
        <v>176618417</v>
      </c>
      <c r="L41" s="616" t="s">
        <v>1668</v>
      </c>
      <c r="M41" s="715">
        <f>(INDEX(Data!768:768,1,'Summary - Dollars'!$U$1))</f>
        <v>1750151</v>
      </c>
      <c r="N41" s="715">
        <f>(INDEX(Data!768:768,1,'Summary - Dollars'!$U$1+1))</f>
        <v>1750151</v>
      </c>
    </row>
    <row r="42" spans="1:14">
      <c r="A42" s="729" t="s">
        <v>1213</v>
      </c>
      <c r="B42" s="706">
        <f>'Summary - Dollars'!N117</f>
        <v>36760857</v>
      </c>
      <c r="C42" s="705">
        <f>'Summary - Dollars'!O117</f>
        <v>36761466</v>
      </c>
      <c r="D42" s="721">
        <f t="shared" si="11"/>
        <v>36760857</v>
      </c>
      <c r="E42" s="766">
        <f t="shared" si="8"/>
        <v>0</v>
      </c>
      <c r="F42" s="721">
        <f t="shared" si="10"/>
        <v>0</v>
      </c>
      <c r="G42" s="721">
        <f t="shared" si="12"/>
        <v>36761466</v>
      </c>
      <c r="H42" s="20" t="s">
        <v>1363</v>
      </c>
      <c r="I42" s="715">
        <f>(INDEX(Data!168:168,1,'Summary - Dollars'!$U$1)-INDEX(Data!1249:1249,1,$V$1))</f>
        <v>29180801</v>
      </c>
      <c r="J42" s="715">
        <f>(INDEX(Data!168:168,1,'Summary - Dollars'!$U$1+1)-INDEX(Data!1249:1249,1,$V$1+1))</f>
        <v>29150624</v>
      </c>
      <c r="L42" s="593" t="s">
        <v>1437</v>
      </c>
      <c r="M42" s="715">
        <f>(INDEX(Data!766:766,1,'Summary - Dollars'!$U$1))</f>
        <v>7009502</v>
      </c>
      <c r="N42" s="715">
        <f>(INDEX(Data!766:766,1,'Summary - Dollars'!$U$1+1))</f>
        <v>7009502</v>
      </c>
    </row>
    <row r="43" spans="1:14">
      <c r="A43" s="728" t="s">
        <v>861</v>
      </c>
      <c r="B43" s="706">
        <f>'Summary - Dollars'!N118</f>
        <v>34938468</v>
      </c>
      <c r="C43" s="705">
        <f>'Summary - Dollars'!O118</f>
        <v>34919894</v>
      </c>
      <c r="D43" s="721">
        <f t="shared" si="11"/>
        <v>34938468</v>
      </c>
      <c r="E43" s="766">
        <f t="shared" si="8"/>
        <v>0</v>
      </c>
      <c r="F43" s="721">
        <f t="shared" si="10"/>
        <v>0</v>
      </c>
      <c r="G43" s="721">
        <f t="shared" si="12"/>
        <v>34919894</v>
      </c>
      <c r="H43" s="20" t="s">
        <v>1364</v>
      </c>
      <c r="I43" s="730">
        <f>(INDEX(Data!169:169,1,'Summary - Dollars'!$U$1)-INDEX(Data!1250:1250,1,$V$1))</f>
        <v>25549503</v>
      </c>
      <c r="J43" s="730">
        <f>(INDEX(Data!169:169,1,'Summary - Dollars'!$U$1+1)-INDEX(Data!1250:1250,1,$V$1+1))</f>
        <v>25528807</v>
      </c>
      <c r="L43" s="593" t="s">
        <v>1438</v>
      </c>
      <c r="M43" s="732">
        <f>(INDEX(Data!767:767,1,'Summary - Dollars'!$U$1))</f>
        <v>4412027</v>
      </c>
      <c r="N43" s="732">
        <f>(INDEX(Data!767:767,1,'Summary - Dollars'!$U$1+1))</f>
        <v>4412027</v>
      </c>
    </row>
    <row r="44" spans="1:14">
      <c r="A44" s="728" t="s">
        <v>871</v>
      </c>
      <c r="B44" s="706">
        <f>'Summary - Dollars'!N119</f>
        <v>39889868</v>
      </c>
      <c r="C44" s="705">
        <f>'Summary - Dollars'!O119</f>
        <v>39860481</v>
      </c>
      <c r="D44" s="721">
        <f t="shared" si="11"/>
        <v>39889868</v>
      </c>
      <c r="E44" s="766">
        <f t="shared" si="8"/>
        <v>0</v>
      </c>
      <c r="F44" s="721">
        <f t="shared" si="10"/>
        <v>0</v>
      </c>
      <c r="G44" s="721">
        <f t="shared" si="12"/>
        <v>39860481</v>
      </c>
      <c r="H44" s="20" t="s">
        <v>1365</v>
      </c>
      <c r="I44" s="731">
        <f>(INDEX(Data!170:170,1,'Summary - Dollars'!$U$1)-INDEX(Data!1251:1251,1,$V$1))</f>
        <v>14650338</v>
      </c>
      <c r="J44" s="730">
        <f>(INDEX(Data!170:170,1,'Summary - Dollars'!$U$1+1)-INDEX(Data!1251:1251,1,$V$1+1))</f>
        <v>14646687</v>
      </c>
      <c r="L44" s="592" t="s">
        <v>1428</v>
      </c>
      <c r="M44" s="715">
        <f>(INDEX(Data!769:769,1,'Summary - Dollars'!$U$1))</f>
        <v>0</v>
      </c>
      <c r="N44" s="715">
        <f>(INDEX(Data!769:769,1,'Summary - Dollars'!$U$1+1))</f>
        <v>0</v>
      </c>
    </row>
    <row r="45" spans="1:14">
      <c r="A45" s="729" t="s">
        <v>1361</v>
      </c>
      <c r="B45" s="706">
        <f>'Summary - Dollars'!N120</f>
        <v>48764686</v>
      </c>
      <c r="C45" s="705">
        <f>'Summary - Dollars'!O120</f>
        <v>48728228</v>
      </c>
      <c r="D45" s="721">
        <f t="shared" si="11"/>
        <v>48764686</v>
      </c>
      <c r="E45" s="766">
        <f t="shared" si="8"/>
        <v>0</v>
      </c>
      <c r="F45" s="721">
        <f t="shared" si="10"/>
        <v>0</v>
      </c>
      <c r="G45" s="721">
        <f t="shared" si="12"/>
        <v>48728228</v>
      </c>
      <c r="H45" s="20" t="s">
        <v>730</v>
      </c>
      <c r="I45" s="730">
        <f>(INDEX(Data!171:171,1,'Summary - Dollars'!$U$1)-INDEX(Data!1252:1252,1,$V$1))</f>
        <v>20745590</v>
      </c>
      <c r="J45" s="730">
        <f>(INDEX(Data!171:171,1,'Summary - Dollars'!$U$1+1)-INDEX(Data!1252:1252,1,$V$1+1))</f>
        <v>20649160</v>
      </c>
      <c r="L45" s="20" t="s">
        <v>751</v>
      </c>
      <c r="M45" s="715">
        <f>(INDEX(Data!770:770,1,'Summary - Dollars'!$U$1))</f>
        <v>39074138</v>
      </c>
      <c r="N45" s="715">
        <f>(INDEX(Data!770:770,1,'Summary - Dollars'!$U$1+1))</f>
        <v>39074138</v>
      </c>
    </row>
    <row r="46" spans="1:14">
      <c r="A46" s="728" t="s">
        <v>1425</v>
      </c>
      <c r="B46" s="706">
        <f>'Summary - Dollars'!N121</f>
        <v>24370133</v>
      </c>
      <c r="C46" s="705">
        <f>'Summary - Dollars'!O121</f>
        <v>24366892</v>
      </c>
      <c r="D46" s="721">
        <f t="shared" si="11"/>
        <v>24370133</v>
      </c>
      <c r="E46" s="766">
        <f t="shared" si="8"/>
        <v>0</v>
      </c>
      <c r="F46" s="721">
        <f t="shared" si="10"/>
        <v>0</v>
      </c>
      <c r="G46" s="721">
        <f t="shared" si="12"/>
        <v>24366892</v>
      </c>
      <c r="H46" s="592" t="s">
        <v>1431</v>
      </c>
      <c r="I46" s="730">
        <f>(INDEX(Data!172:172,1,'Summary - Dollars'!$U$1)-INDEX(Data!1253:1253,1,$V$1))</f>
        <v>6149199</v>
      </c>
      <c r="J46" s="730">
        <f>(INDEX(Data!172:172,1,'Summary - Dollars'!$U$1+1)-INDEX(Data!1253:1253,1,$V$1+1))</f>
        <v>6153846</v>
      </c>
      <c r="L46" s="593" t="s">
        <v>1439</v>
      </c>
      <c r="M46" s="715">
        <f>(INDEX(Data!771:771,1,'Summary - Dollars'!$U$1))</f>
        <v>8698942</v>
      </c>
      <c r="N46" s="715">
        <f>(INDEX(Data!771:771,1,'Summary - Dollars'!$U$1+1))</f>
        <v>8698942</v>
      </c>
    </row>
    <row r="47" spans="1:14">
      <c r="A47" s="728" t="s">
        <v>726</v>
      </c>
      <c r="B47" s="706">
        <f>'Summary - Dollars'!N122</f>
        <v>238684966</v>
      </c>
      <c r="C47" s="705">
        <f>'Summary - Dollars'!O122</f>
        <v>193553284</v>
      </c>
      <c r="D47" s="721">
        <f>I41+M67</f>
        <v>238684966</v>
      </c>
      <c r="E47" s="766">
        <f t="shared" si="8"/>
        <v>0</v>
      </c>
      <c r="F47" s="721">
        <f t="shared" si="10"/>
        <v>0</v>
      </c>
      <c r="G47" s="721">
        <f>J41+N67</f>
        <v>193553284</v>
      </c>
      <c r="H47" s="20" t="s">
        <v>731</v>
      </c>
      <c r="I47" s="730">
        <f>(INDEX(Data!173:173,1,'Summary - Dollars'!$U$1)-INDEX(Data!1254:1254,1,$V$1))</f>
        <v>112969831</v>
      </c>
      <c r="J47" s="730">
        <f>(INDEX(Data!173:173,1,'Summary - Dollars'!$U$1+1)-INDEX(Data!1254:1254,1,$V$1+1))</f>
        <v>112969831</v>
      </c>
      <c r="L47" s="20" t="s">
        <v>876</v>
      </c>
      <c r="M47" s="715">
        <f>(INDEX(Data!772:772,1,'Summary - Dollars'!$U$1))</f>
        <v>1911668</v>
      </c>
      <c r="N47" s="715">
        <f>(INDEX(Data!772:772,1,'Summary - Dollars'!$U$1+1))</f>
        <v>1911668</v>
      </c>
    </row>
    <row r="48" spans="1:14">
      <c r="A48" s="728" t="s">
        <v>1363</v>
      </c>
      <c r="B48" s="706">
        <f>'Summary - Dollars'!N123</f>
        <v>33000233</v>
      </c>
      <c r="C48" s="705">
        <f>'Summary - Dollars'!O123</f>
        <v>32970056</v>
      </c>
      <c r="D48" s="721">
        <f>I42+M68</f>
        <v>33000233</v>
      </c>
      <c r="E48" s="766">
        <f t="shared" si="8"/>
        <v>0</v>
      </c>
      <c r="F48" s="721">
        <f t="shared" si="10"/>
        <v>0</v>
      </c>
      <c r="G48" s="721">
        <f>J42+N68</f>
        <v>32970056</v>
      </c>
      <c r="H48" s="224" t="s">
        <v>1453</v>
      </c>
      <c r="I48" s="715">
        <f>(INDEX(Data!174:174,1,'Summary - Dollars'!$U$1)-INDEX(Data!1255:1255,1,$V$1))</f>
        <v>24512594</v>
      </c>
      <c r="J48" s="715">
        <f>(INDEX(Data!174:174,1,'Summary - Dollars'!$U$1+1)-INDEX(Data!1255:1255,1,$V$1+1))</f>
        <v>24503453</v>
      </c>
      <c r="L48" s="20" t="s">
        <v>750</v>
      </c>
      <c r="M48" s="715">
        <f>(INDEX(Data!773:773,1,'Summary - Dollars'!$U$1))</f>
        <v>5519098</v>
      </c>
      <c r="N48" s="715">
        <f>(INDEX(Data!773:773,1,'Summary - Dollars'!$U$1+1))</f>
        <v>5519098</v>
      </c>
    </row>
    <row r="49" spans="1:14">
      <c r="A49" s="728" t="s">
        <v>1364</v>
      </c>
      <c r="B49" s="706">
        <f>'Summary - Dollars'!N124</f>
        <v>28981962</v>
      </c>
      <c r="C49" s="705">
        <f>'Summary - Dollars'!O124</f>
        <v>28961266</v>
      </c>
      <c r="D49" s="721">
        <f>I43+M69</f>
        <v>28981962</v>
      </c>
      <c r="E49" s="766">
        <f t="shared" si="8"/>
        <v>0</v>
      </c>
      <c r="F49" s="721">
        <f t="shared" si="10"/>
        <v>0</v>
      </c>
      <c r="G49" s="721">
        <f>J43+N69</f>
        <v>28961266</v>
      </c>
      <c r="H49" s="20" t="s">
        <v>1426</v>
      </c>
      <c r="I49" s="715">
        <f>(INDEX(Data!175:175,1,'Summary - Dollars'!$U$1)-INDEX(Data!1256:1256,1,$V$1))</f>
        <v>39106062</v>
      </c>
      <c r="J49" s="715">
        <f>(INDEX(Data!175:175,1,'Summary - Dollars'!$U$1+1)-INDEX(Data!1256:1256,1,$V$1+1))</f>
        <v>38039484</v>
      </c>
      <c r="L49" s="20" t="s">
        <v>1209</v>
      </c>
      <c r="M49" s="715">
        <f>(INDEX(Data!774:774,1,'Summary - Dollars'!$U$1))</f>
        <v>5242887</v>
      </c>
      <c r="N49" s="715">
        <f>(INDEX(Data!774:774,1,'Summary - Dollars'!$U$1+1))</f>
        <v>5242887</v>
      </c>
    </row>
    <row r="50" spans="1:14">
      <c r="A50" s="728" t="s">
        <v>1365</v>
      </c>
      <c r="B50" s="706">
        <f>'Summary - Dollars'!N125</f>
        <v>16461187</v>
      </c>
      <c r="C50" s="705">
        <f>'Summary - Dollars'!O125</f>
        <v>16457536</v>
      </c>
      <c r="D50" s="721">
        <f>I44+M70</f>
        <v>16461187</v>
      </c>
      <c r="E50" s="766">
        <f t="shared" si="8"/>
        <v>0</v>
      </c>
      <c r="F50" s="721">
        <f t="shared" si="10"/>
        <v>0</v>
      </c>
      <c r="G50" s="721">
        <f>J44+N70</f>
        <v>16457536</v>
      </c>
      <c r="H50" s="20" t="s">
        <v>733</v>
      </c>
      <c r="I50" s="715">
        <f>(INDEX(Data!176:176,1,'Summary - Dollars'!$U$1)-INDEX(Data!1257:1257,1,$V$1))</f>
        <v>51561004</v>
      </c>
      <c r="J50" s="715">
        <f>(INDEX(Data!176:176,1,'Summary - Dollars'!$U$1+1)-INDEX(Data!1257:1257,1,$V$1+1))</f>
        <v>51491043</v>
      </c>
      <c r="L50" s="224" t="s">
        <v>1210</v>
      </c>
      <c r="M50" s="715">
        <f>(INDEX(Data!776:776,1,'Summary - Dollars'!$U$1))</f>
        <v>5077345</v>
      </c>
      <c r="N50" s="715">
        <f>(INDEX(Data!776:776,1,'Summary - Dollars'!$U$1+1))</f>
        <v>5077345</v>
      </c>
    </row>
    <row r="51" spans="1:14">
      <c r="A51" s="728" t="s">
        <v>730</v>
      </c>
      <c r="B51" s="706">
        <f>'Summary - Dollars'!N126</f>
        <v>24375285</v>
      </c>
      <c r="C51" s="705">
        <f>'Summary - Dollars'!O126</f>
        <v>24278855</v>
      </c>
      <c r="D51" s="721">
        <f>I45+M82</f>
        <v>24375285</v>
      </c>
      <c r="E51" s="766">
        <f t="shared" si="8"/>
        <v>0</v>
      </c>
      <c r="F51" s="721">
        <f t="shared" si="10"/>
        <v>0</v>
      </c>
      <c r="G51" s="721">
        <f>J45+N82</f>
        <v>24278855</v>
      </c>
      <c r="H51" s="592" t="s">
        <v>1432</v>
      </c>
      <c r="I51" s="715">
        <f>(INDEX(Data!177:177,1,'Summary - Dollars'!$U$1)-INDEX(Data!1258:1258,1,$V$1))</f>
        <v>1368000</v>
      </c>
      <c r="J51" s="715">
        <f>(INDEX(Data!177:177,1,'Summary - Dollars'!$U$1+1)-INDEX(Data!1258:1258,1,$V$1+1))</f>
        <v>1368000</v>
      </c>
      <c r="L51" s="224" t="s">
        <v>1211</v>
      </c>
      <c r="M51" s="715">
        <f>(INDEX(Data!775:775,1,'Summary - Dollars'!$U$1))</f>
        <v>928600</v>
      </c>
      <c r="N51" s="715">
        <f>(INDEX(Data!775:775,1,'Summary - Dollars'!$U$1+1))</f>
        <v>928600</v>
      </c>
    </row>
    <row r="52" spans="1:14">
      <c r="A52" s="728" t="s">
        <v>731</v>
      </c>
      <c r="B52" s="706">
        <f>'Summary - Dollars'!N127</f>
        <v>127815112</v>
      </c>
      <c r="C52" s="705">
        <f>'Summary - Dollars'!O127</f>
        <v>127815112</v>
      </c>
      <c r="D52" s="721">
        <f>I47+M83</f>
        <v>127815112</v>
      </c>
      <c r="E52" s="766">
        <f t="shared" si="8"/>
        <v>0</v>
      </c>
      <c r="F52" s="721">
        <f t="shared" si="10"/>
        <v>0</v>
      </c>
      <c r="G52" s="721">
        <f>J47+N83</f>
        <v>127815112</v>
      </c>
      <c r="H52" s="20" t="s">
        <v>735</v>
      </c>
      <c r="I52" s="715">
        <f>(INDEX(Data!178:178,1,'Summary - Dollars'!$U$1)-INDEX(Data!1259:1259,1,$V$1))</f>
        <v>167441568</v>
      </c>
      <c r="J52" s="715">
        <f>(INDEX(Data!178:178,1,'Summary - Dollars'!$U$1+1)-INDEX(Data!1259:1259,1,$V$1+1))</f>
        <v>169681575</v>
      </c>
      <c r="L52" s="224" t="s">
        <v>1212</v>
      </c>
      <c r="M52" s="715">
        <f>(INDEX(Data!778:778,1,'Summary - Dollars'!$U$1))</f>
        <v>1933134</v>
      </c>
      <c r="N52" s="715">
        <f>(INDEX(Data!778:778,1,'Summary - Dollars'!$U$1+1))</f>
        <v>1933134</v>
      </c>
    </row>
    <row r="53" spans="1:14">
      <c r="A53" s="729" t="s">
        <v>1453</v>
      </c>
      <c r="B53" s="706">
        <f>'Summary - Dollars'!N128</f>
        <v>26012591</v>
      </c>
      <c r="C53" s="705">
        <f>'Summary - Dollars'!O128</f>
        <v>26003450</v>
      </c>
      <c r="D53" s="721">
        <f>I48+M84</f>
        <v>26012591</v>
      </c>
      <c r="E53" s="766">
        <f t="shared" si="8"/>
        <v>0</v>
      </c>
      <c r="F53" s="721">
        <f t="shared" si="10"/>
        <v>0</v>
      </c>
      <c r="G53" s="721">
        <f>J48+N84</f>
        <v>26003450</v>
      </c>
      <c r="H53" s="20" t="s">
        <v>855</v>
      </c>
      <c r="I53" s="715">
        <f>(INDEX(Data!179:179,1,'Summary - Dollars'!$U$1)-INDEX(Data!1260:1260,1,$V$1))</f>
        <v>29506087</v>
      </c>
      <c r="J53" s="715">
        <f>(INDEX(Data!179:179,1,'Summary - Dollars'!$U$1+1)-INDEX(Data!1260:1260,1,$V$1+1))</f>
        <v>29468357</v>
      </c>
      <c r="L53" s="224" t="s">
        <v>1213</v>
      </c>
      <c r="M53" s="715">
        <f>(INDEX(Data!777:777,1,'Summary - Dollars'!$U$1))</f>
        <v>5195445</v>
      </c>
      <c r="N53" s="715">
        <f>(INDEX(Data!777:777,1,'Summary - Dollars'!$U$1+1))</f>
        <v>5195445</v>
      </c>
    </row>
    <row r="54" spans="1:14">
      <c r="A54" s="728" t="s">
        <v>1426</v>
      </c>
      <c r="B54" s="706">
        <f>'Summary - Dollars'!N129</f>
        <v>45529642</v>
      </c>
      <c r="C54" s="705">
        <f>'Summary - Dollars'!O129</f>
        <v>44463064</v>
      </c>
      <c r="D54" s="721">
        <f>I49+M86</f>
        <v>45529642</v>
      </c>
      <c r="E54" s="766">
        <f t="shared" si="8"/>
        <v>0</v>
      </c>
      <c r="F54" s="721">
        <f t="shared" si="10"/>
        <v>0</v>
      </c>
      <c r="G54" s="721">
        <f>J49+N86</f>
        <v>44463064</v>
      </c>
      <c r="H54" s="20" t="s">
        <v>737</v>
      </c>
      <c r="I54" s="715">
        <f>(INDEX(Data!180:180,1,'Summary - Dollars'!$U$1)-INDEX(Data!1261:1261,1,$V$1))</f>
        <v>63168756</v>
      </c>
      <c r="J54" s="715">
        <f>(INDEX(Data!180:180,1,'Summary - Dollars'!$U$1+1)-INDEX(Data!1261:1261,1,$V$1+1))</f>
        <v>63150934</v>
      </c>
      <c r="L54" s="20" t="s">
        <v>861</v>
      </c>
      <c r="M54" s="715">
        <f>(INDEX(Data!779:779,1,'Summary - Dollars'!$U$1))</f>
        <v>2849655</v>
      </c>
      <c r="N54" s="715">
        <f>(INDEX(Data!779:779,1,'Summary - Dollars'!$U$1+1))</f>
        <v>2849655</v>
      </c>
    </row>
    <row r="55" spans="1:14">
      <c r="A55" s="728" t="s">
        <v>733</v>
      </c>
      <c r="B55" s="706">
        <f>'Summary - Dollars'!N130</f>
        <v>56871792</v>
      </c>
      <c r="C55" s="705">
        <f>'Summary - Dollars'!O130</f>
        <v>56801831</v>
      </c>
      <c r="D55" s="721">
        <f>I50+M87</f>
        <v>56871792</v>
      </c>
      <c r="E55" s="766">
        <f t="shared" si="8"/>
        <v>0</v>
      </c>
      <c r="F55" s="721">
        <f t="shared" si="10"/>
        <v>0</v>
      </c>
      <c r="G55" s="721">
        <f>J50+N87</f>
        <v>56801831</v>
      </c>
      <c r="H55" s="592" t="s">
        <v>60</v>
      </c>
      <c r="I55" s="715">
        <f>(INDEX(Data!181:181,1,'Summary - Dollars'!$U$1)-INDEX(Data!1262:1262,1,$V$1))</f>
        <v>1368000</v>
      </c>
      <c r="J55" s="715">
        <f>(INDEX(Data!181:181,1,'Summary - Dollars'!$U$1+1)-INDEX(Data!1262:1262,1,$V$1+1))</f>
        <v>1368000</v>
      </c>
      <c r="L55" s="20" t="s">
        <v>871</v>
      </c>
      <c r="M55" s="715">
        <f>(INDEX(Data!780:780,1,'Summary - Dollars'!$U$1))</f>
        <v>4715187</v>
      </c>
      <c r="N55" s="715">
        <f>(INDEX(Data!780:780,1,'Summary - Dollars'!$U$1+1))</f>
        <v>4715187</v>
      </c>
    </row>
    <row r="56" spans="1:14">
      <c r="A56" s="728" t="s">
        <v>735</v>
      </c>
      <c r="B56" s="706">
        <f>'Summary - Dollars'!N131</f>
        <v>188829269</v>
      </c>
      <c r="C56" s="705">
        <f>'Summary - Dollars'!O131</f>
        <v>191069276</v>
      </c>
      <c r="D56" s="721">
        <f>I52+M88</f>
        <v>188829269</v>
      </c>
      <c r="E56" s="766">
        <f t="shared" si="8"/>
        <v>0</v>
      </c>
      <c r="F56" s="721">
        <f t="shared" si="10"/>
        <v>0</v>
      </c>
      <c r="G56" s="721">
        <f>J52+N88</f>
        <v>191069276</v>
      </c>
      <c r="H56" s="20" t="s">
        <v>738</v>
      </c>
      <c r="I56" s="715">
        <f>(INDEX(Data!182:182,1,'Summary - Dollars'!$U$1)-INDEX(Data!1263:1263,1,$V$1))</f>
        <v>49642353</v>
      </c>
      <c r="J56" s="715">
        <f>(INDEX(Data!182:182,1,'Summary - Dollars'!$U$1+1)-INDEX(Data!1263:1263,1,$V$1+1))</f>
        <v>49580547</v>
      </c>
      <c r="L56" s="224" t="s">
        <v>1361</v>
      </c>
      <c r="M56" s="715">
        <f>(INDEX(Data!781:781,1,'Summary - Dollars'!$U$1))</f>
        <v>6652994</v>
      </c>
      <c r="N56" s="715">
        <f>(INDEX(Data!781:781,1,'Summary - Dollars'!$U$1+1))</f>
        <v>6652994</v>
      </c>
    </row>
    <row r="57" spans="1:14">
      <c r="A57" s="728" t="s">
        <v>855</v>
      </c>
      <c r="B57" s="706">
        <f>'Summary - Dollars'!N132</f>
        <v>34628585</v>
      </c>
      <c r="C57" s="705">
        <f>'Summary - Dollars'!O132</f>
        <v>34590855</v>
      </c>
      <c r="D57" s="721">
        <f>I53+M76</f>
        <v>34628585</v>
      </c>
      <c r="E57" s="766">
        <f t="shared" si="8"/>
        <v>0</v>
      </c>
      <c r="F57" s="721">
        <f t="shared" si="10"/>
        <v>0</v>
      </c>
      <c r="G57" s="721">
        <f>J53+N76</f>
        <v>34590855</v>
      </c>
      <c r="H57" s="20" t="s">
        <v>1446</v>
      </c>
      <c r="I57" s="715">
        <f>(INDEX(Data!183:183,1,'Summary - Dollars'!$U$1)-INDEX(Data!1264:1264,1,$V$1))</f>
        <v>14297451</v>
      </c>
      <c r="J57" s="715">
        <f>(INDEX(Data!183:183,1,'Summary - Dollars'!$U$1+1)-INDEX(Data!1264:1264,1,$V$1+1))</f>
        <v>14282770</v>
      </c>
      <c r="L57" s="20" t="s">
        <v>1425</v>
      </c>
      <c r="M57" s="715">
        <f>(INDEX(Data!782:782,1,'Summary - Dollars'!$U$1))</f>
        <v>1839395</v>
      </c>
      <c r="N57" s="715">
        <f>(INDEX(Data!782:782,1,'Summary - Dollars'!$U$1+1))</f>
        <v>1839395</v>
      </c>
    </row>
    <row r="58" spans="1:14">
      <c r="A58" s="728" t="s">
        <v>737</v>
      </c>
      <c r="B58" s="706">
        <f>'Summary - Dollars'!N133</f>
        <v>70302076</v>
      </c>
      <c r="C58" s="705">
        <f>'Summary - Dollars'!O133</f>
        <v>70284254</v>
      </c>
      <c r="D58" s="721">
        <f>I54+M91</f>
        <v>70302076</v>
      </c>
      <c r="E58" s="766">
        <f t="shared" si="8"/>
        <v>0</v>
      </c>
      <c r="F58" s="721">
        <f t="shared" si="10"/>
        <v>0</v>
      </c>
      <c r="G58" s="721">
        <f>J54+N91</f>
        <v>70284254</v>
      </c>
      <c r="H58" s="20" t="s">
        <v>1447</v>
      </c>
      <c r="I58" s="715">
        <f>(INDEX(Data!184:184,1,'Summary - Dollars'!$U$1)-INDEX(Data!1265:1265,1,$V$1))</f>
        <v>10449161</v>
      </c>
      <c r="J58" s="715">
        <f>(INDEX(Data!184:184,1,'Summary - Dollars'!$U$1+1)-INDEX(Data!1265:1265,1,$V$1+1))</f>
        <v>10443155</v>
      </c>
      <c r="L58" s="20" t="s">
        <v>83</v>
      </c>
      <c r="M58" s="715">
        <f>(INDEX(Data!783:783,1,'Summary - Dollars'!$U$1))</f>
        <v>9622317</v>
      </c>
      <c r="N58" s="715">
        <f>(INDEX(Data!783:783,1,'Summary - Dollars'!$U$1+1))</f>
        <v>9622317</v>
      </c>
    </row>
    <row r="59" spans="1:14">
      <c r="A59" s="728" t="s">
        <v>738</v>
      </c>
      <c r="B59" s="706">
        <f>'Summary - Dollars'!N134</f>
        <v>57834446</v>
      </c>
      <c r="C59" s="705">
        <f>'Summary - Dollars'!O134</f>
        <v>57772640</v>
      </c>
      <c r="D59" s="721">
        <f>I56+M72</f>
        <v>57834446</v>
      </c>
      <c r="E59" s="766">
        <f t="shared" si="8"/>
        <v>0</v>
      </c>
      <c r="F59" s="721">
        <f t="shared" si="10"/>
        <v>0</v>
      </c>
      <c r="G59" s="721">
        <f>J56+N72</f>
        <v>57772640</v>
      </c>
      <c r="H59" s="20" t="s">
        <v>1448</v>
      </c>
      <c r="I59" s="715">
        <f>(INDEX(Data!185:185,1,'Summary - Dollars'!$U$1)-INDEX(Data!1266:1266,1,$V$1))</f>
        <v>12934838</v>
      </c>
      <c r="J59" s="715">
        <f>(INDEX(Data!185:185,1,'Summary - Dollars'!$U$1+1)-INDEX(Data!1266:1266,1,$V$1+1))</f>
        <v>12914280</v>
      </c>
      <c r="L59" s="20" t="s">
        <v>84</v>
      </c>
      <c r="M59" s="715">
        <f>(INDEX(Data!784:784,1,'Summary - Dollars'!$U$1))</f>
        <v>14226158</v>
      </c>
      <c r="N59" s="715">
        <f>(INDEX(Data!784:784,1,'Summary - Dollars'!$U$1+1))</f>
        <v>14226158</v>
      </c>
    </row>
    <row r="60" spans="1:14">
      <c r="A60" s="728" t="s">
        <v>1367</v>
      </c>
      <c r="B60" s="706">
        <f>'Summary - Dollars'!N135</f>
        <v>67658394</v>
      </c>
      <c r="C60" s="705">
        <f>'Summary - Dollars'!O135</f>
        <v>67504057</v>
      </c>
      <c r="D60" s="721">
        <f>I60+M77</f>
        <v>67658394</v>
      </c>
      <c r="E60" s="766">
        <f t="shared" si="8"/>
        <v>0</v>
      </c>
      <c r="F60" s="721">
        <f t="shared" si="10"/>
        <v>0</v>
      </c>
      <c r="G60" s="721">
        <f>J60+N77</f>
        <v>67504057</v>
      </c>
      <c r="H60" s="20" t="s">
        <v>1367</v>
      </c>
      <c r="I60" s="715">
        <f>(INDEX(Data!186:186,1,'Summary - Dollars'!$U$1)-INDEX(Data!1267:1267,1,$V$1))</f>
        <v>58530469</v>
      </c>
      <c r="J60" s="715">
        <f>(INDEX(Data!186:186,1,'Summary - Dollars'!$U$1+1)-INDEX(Data!1267:1267,1,$V$1+1))</f>
        <v>58376132</v>
      </c>
      <c r="L60" s="20" t="s">
        <v>85</v>
      </c>
      <c r="M60" s="715">
        <f>(INDEX(Data!785:785,1,'Summary - Dollars'!$U$1))</f>
        <v>2650481</v>
      </c>
      <c r="N60" s="715">
        <f>(INDEX(Data!785:785,1,'Summary - Dollars'!$U$1+1))</f>
        <v>2650481</v>
      </c>
    </row>
    <row r="61" spans="1:14">
      <c r="A61" s="729" t="s">
        <v>1094</v>
      </c>
      <c r="B61" s="706">
        <f>'Summary - Dollars'!N136</f>
        <v>135334268</v>
      </c>
      <c r="C61" s="705">
        <f>'Summary - Dollars'!O136</f>
        <v>134734227</v>
      </c>
      <c r="D61" s="721">
        <f>I61+M78</f>
        <v>135334268</v>
      </c>
      <c r="E61" s="766">
        <f t="shared" si="8"/>
        <v>0</v>
      </c>
      <c r="F61" s="721">
        <f t="shared" si="10"/>
        <v>0</v>
      </c>
      <c r="G61" s="721">
        <f>J61+N78</f>
        <v>134734227</v>
      </c>
      <c r="H61" s="224" t="s">
        <v>1094</v>
      </c>
      <c r="I61" s="715">
        <f>(INDEX(Data!187:187,1,'Summary - Dollars'!$U$1)-INDEX(Data!1268:1268,1,$V$1))</f>
        <v>120815161</v>
      </c>
      <c r="J61" s="715">
        <f>(INDEX(Data!187:187,1,'Summary - Dollars'!$U$1+1)-INDEX(Data!1268:1268,1,$V$1+1))</f>
        <v>120215120</v>
      </c>
      <c r="L61" s="20" t="s">
        <v>86</v>
      </c>
      <c r="M61" s="715">
        <f>(INDEX(Data!786:786,1,'Summary - Dollars'!$U$1))</f>
        <v>1730687</v>
      </c>
      <c r="N61" s="715">
        <f>(INDEX(Data!786:786,1,'Summary - Dollars'!$U$1+1))</f>
        <v>1730687</v>
      </c>
    </row>
    <row r="62" spans="1:14">
      <c r="A62" s="728" t="s">
        <v>859</v>
      </c>
      <c r="B62" s="706">
        <f>'Summary - Dollars'!N137</f>
        <v>13503616</v>
      </c>
      <c r="C62" s="705">
        <f>'Summary - Dollars'!O137</f>
        <v>13464453</v>
      </c>
      <c r="D62" s="721">
        <f>I62+M79</f>
        <v>13503616</v>
      </c>
      <c r="E62" s="766">
        <f t="shared" si="8"/>
        <v>0</v>
      </c>
      <c r="F62" s="721">
        <f t="shared" si="10"/>
        <v>0</v>
      </c>
      <c r="G62" s="721">
        <f>J62+N79</f>
        <v>13464453</v>
      </c>
      <c r="H62" s="20" t="s">
        <v>859</v>
      </c>
      <c r="I62" s="715">
        <f>(INDEX(Data!188:188,1,'Summary - Dollars'!$U$1)-INDEX(Data!1269:1269,1,$V$1))</f>
        <v>11001146</v>
      </c>
      <c r="J62" s="715">
        <f>(INDEX(Data!188:188,1,'Summary - Dollars'!$U$1+1)-INDEX(Data!1269:1269,1,$V$1+1))</f>
        <v>10961983</v>
      </c>
      <c r="L62" s="20" t="s">
        <v>87</v>
      </c>
      <c r="M62" s="715">
        <f>(INDEX(Data!787:787,1,'Summary - Dollars'!$U$1))</f>
        <v>633204</v>
      </c>
      <c r="N62" s="715">
        <f>(INDEX(Data!787:787,1,'Summary - Dollars'!$U$1+1))</f>
        <v>633204</v>
      </c>
    </row>
    <row r="63" spans="1:14">
      <c r="A63" s="728" t="s">
        <v>1427</v>
      </c>
      <c r="B63" s="706">
        <f>'Summary - Dollars'!N138</f>
        <v>5346373</v>
      </c>
      <c r="C63" s="705">
        <f>'Summary - Dollars'!O138</f>
        <v>5346170</v>
      </c>
      <c r="D63" s="721">
        <f>I63+M80</f>
        <v>5346373</v>
      </c>
      <c r="E63" s="766">
        <f t="shared" si="8"/>
        <v>0</v>
      </c>
      <c r="F63" s="721">
        <f t="shared" si="10"/>
        <v>0</v>
      </c>
      <c r="G63" s="721">
        <f>J63+N80</f>
        <v>5346170</v>
      </c>
      <c r="H63" s="20" t="s">
        <v>1427</v>
      </c>
      <c r="I63" s="715">
        <f>(INDEX(Data!189:189,1,'Summary - Dollars'!$U$1)-INDEX(Data!1270:1270,1,$V$1))</f>
        <v>5035990</v>
      </c>
      <c r="J63" s="715">
        <f>(INDEX(Data!189:189,1,'Summary - Dollars'!$U$1+1)-INDEX(Data!1270:1270,1,$V$1+1))</f>
        <v>5035787</v>
      </c>
      <c r="L63" s="20" t="s">
        <v>88</v>
      </c>
      <c r="M63" s="715">
        <f>(INDEX(Data!788:788,1,'Summary - Dollars'!$U$1))</f>
        <v>4153278</v>
      </c>
      <c r="N63" s="715">
        <f>(INDEX(Data!788:788,1,'Summary - Dollars'!$U$1+1))</f>
        <v>4153278</v>
      </c>
    </row>
    <row r="64" spans="1:14" ht="25.5">
      <c r="A64" s="113" t="s">
        <v>784</v>
      </c>
      <c r="B64" s="704">
        <f>'Summary - Dollars'!N139</f>
        <v>2971530390.2312622</v>
      </c>
      <c r="C64" s="703">
        <f>'Summary - Dollars'!O139</f>
        <v>2915879079</v>
      </c>
      <c r="D64" s="700"/>
      <c r="E64" s="700"/>
      <c r="F64" s="700"/>
      <c r="H64" s="1149" t="s">
        <v>1433</v>
      </c>
      <c r="I64" s="715">
        <f>(INDEX(Data!190:190,1,'Summary - Dollars'!$U$1)-INDEX(Data!1271:1271,1,$V$1))</f>
        <v>169568982</v>
      </c>
      <c r="J64" s="715">
        <f>(INDEX(Data!190:190,1,'Summary - Dollars'!$U$1+1)-INDEX(Data!1271:1271,1,$V$1+1))</f>
        <v>169569682</v>
      </c>
      <c r="L64" s="20" t="s">
        <v>89</v>
      </c>
      <c r="M64" s="715">
        <f>(INDEX(Data!789:789,1,'Summary - Dollars'!$U$1))</f>
        <v>505450</v>
      </c>
      <c r="N64" s="715">
        <f>(INDEX(Data!789:789,1,'Summary - Dollars'!$U$1+1))</f>
        <v>505450</v>
      </c>
    </row>
    <row r="65" spans="1:14" ht="25.5">
      <c r="A65" s="677" t="s">
        <v>1428</v>
      </c>
      <c r="B65" s="706">
        <f>'Summary - Dollars'!N140</f>
        <v>8820703</v>
      </c>
      <c r="C65" s="705">
        <f>'Summary - Dollars'!O140</f>
        <v>8166643</v>
      </c>
      <c r="D65" s="721">
        <f>I15+M44</f>
        <v>8820703</v>
      </c>
      <c r="E65" s="766">
        <f t="shared" ref="E65:E70" si="13">B65-D65</f>
        <v>0</v>
      </c>
      <c r="F65" s="721">
        <f t="shared" ref="F65:F70" si="14">C65-G65</f>
        <v>0</v>
      </c>
      <c r="G65" s="721">
        <f>J15+N44</f>
        <v>8166643</v>
      </c>
      <c r="H65" s="1149" t="s">
        <v>1434</v>
      </c>
      <c r="I65" s="715">
        <f>(INDEX(Data!191:191,1,'Summary - Dollars'!$U$1)-INDEX(Data!1272:1272,1,$V$1))</f>
        <v>267775848</v>
      </c>
      <c r="J65" s="715">
        <f>(INDEX(Data!191:191,1,'Summary - Dollars'!$U$1+1)-INDEX(Data!1272:1272,1,$V$1+1))</f>
        <v>267775350</v>
      </c>
      <c r="L65" s="1054" t="s">
        <v>2051</v>
      </c>
      <c r="M65" s="715">
        <f>(INDEX(Data!790:790,1,'Summary - Dollars'!$U$1))</f>
        <v>1196545</v>
      </c>
      <c r="N65" s="715">
        <f>(INDEX(Data!790:790,1,'Summary - Dollars'!$U$1+1))</f>
        <v>1196545</v>
      </c>
    </row>
    <row r="66" spans="1:14" ht="25.5">
      <c r="A66" s="677" t="s">
        <v>1429</v>
      </c>
      <c r="B66" s="706">
        <f>'Summary - Dollars'!N141</f>
        <v>770028</v>
      </c>
      <c r="C66" s="705">
        <f>'Summary - Dollars'!O141</f>
        <v>770027</v>
      </c>
      <c r="D66" s="721">
        <f>I27+M66</f>
        <v>770028</v>
      </c>
      <c r="E66" s="766">
        <f t="shared" si="13"/>
        <v>0</v>
      </c>
      <c r="F66" s="721">
        <f t="shared" si="14"/>
        <v>0</v>
      </c>
      <c r="G66" s="721">
        <f>J27+N66</f>
        <v>770027</v>
      </c>
      <c r="H66" s="1149" t="s">
        <v>1435</v>
      </c>
      <c r="I66" s="715">
        <f>(INDEX(Data!192:192,1,'Summary - Dollars'!$U$1)-INDEX(Data!1273:1273,1,$V$1))</f>
        <v>188280861</v>
      </c>
      <c r="J66" s="715">
        <f>(INDEX(Data!192:192,1,'Summary - Dollars'!$U$1+1)-INDEX(Data!1273:1273,1,$V$1+1))</f>
        <v>188280561</v>
      </c>
      <c r="L66" s="592" t="s">
        <v>1429</v>
      </c>
      <c r="M66" s="715">
        <f>(INDEX(Data!791:791,1,'Summary - Dollars'!$U$1))</f>
        <v>0</v>
      </c>
      <c r="N66" s="715">
        <f>(INDEX(Data!791:791,1,'Summary - Dollars'!$U$1+1))</f>
        <v>0</v>
      </c>
    </row>
    <row r="67" spans="1:14" ht="25.5">
      <c r="A67" s="677" t="s">
        <v>1430</v>
      </c>
      <c r="B67" s="706">
        <f>'Summary - Dollars'!N142</f>
        <v>41788433</v>
      </c>
      <c r="C67" s="705">
        <f>'Summary - Dollars'!O142</f>
        <v>41824737</v>
      </c>
      <c r="D67" s="721">
        <f>I40+M71</f>
        <v>41788433</v>
      </c>
      <c r="E67" s="766">
        <f t="shared" si="13"/>
        <v>0</v>
      </c>
      <c r="F67" s="721">
        <f t="shared" si="14"/>
        <v>0</v>
      </c>
      <c r="G67" s="721">
        <f>J40+N71</f>
        <v>41824737</v>
      </c>
      <c r="H67" s="1149" t="s">
        <v>1436</v>
      </c>
      <c r="I67" s="715">
        <f>(INDEX(Data!193:193,1,'Summary - Dollars'!$U$1)-INDEX(Data!1274:1274,1,$V$1))</f>
        <v>147460472</v>
      </c>
      <c r="J67" s="715">
        <f>(INDEX(Data!193:193,1,'Summary - Dollars'!$U$1+1)-INDEX(Data!1274:1274,1,$V$1+1))</f>
        <v>147460709</v>
      </c>
      <c r="L67" s="20" t="s">
        <v>726</v>
      </c>
      <c r="M67" s="715">
        <f>(INDEX(Data!792:792,1,'Summary - Dollars'!$U$1))</f>
        <v>16934867</v>
      </c>
      <c r="N67" s="715">
        <f>(INDEX(Data!792:792,1,'Summary - Dollars'!$U$1+1))</f>
        <v>16934867</v>
      </c>
    </row>
    <row r="68" spans="1:14" ht="25.5">
      <c r="A68" s="677" t="s">
        <v>1431</v>
      </c>
      <c r="B68" s="706">
        <f>'Summary - Dollars'!N143</f>
        <v>7202031</v>
      </c>
      <c r="C68" s="705">
        <f>'Summary - Dollars'!O143</f>
        <v>7206678</v>
      </c>
      <c r="D68" s="721">
        <f>I46+M99</f>
        <v>7202031</v>
      </c>
      <c r="E68" s="766">
        <f t="shared" si="13"/>
        <v>0</v>
      </c>
      <c r="F68" s="721">
        <f t="shared" si="14"/>
        <v>0</v>
      </c>
      <c r="G68" s="721">
        <f>J46+N99</f>
        <v>7206678</v>
      </c>
      <c r="H68" s="1150" t="s">
        <v>1670</v>
      </c>
      <c r="I68" s="715">
        <f>(INDEX(Data!194:194,1,'Summary - Dollars'!$U$1)-INDEX(Data!1275:1275,1,$V$1))</f>
        <v>32285815</v>
      </c>
      <c r="J68" s="715">
        <f>(INDEX(Data!194:194,1,'Summary - Dollars'!$U$1+1)-INDEX(Data!1275:1275,1,$V$1+1))</f>
        <v>32285815</v>
      </c>
      <c r="L68" s="20" t="s">
        <v>1363</v>
      </c>
      <c r="M68" s="715">
        <f>(INDEX(Data!793:793,1,'Summary - Dollars'!$U$1))</f>
        <v>3819432</v>
      </c>
      <c r="N68" s="715">
        <f>(INDEX(Data!793:793,1,'Summary - Dollars'!$U$1+1))</f>
        <v>3819432</v>
      </c>
    </row>
    <row r="69" spans="1:14" ht="25.5">
      <c r="A69" s="677" t="s">
        <v>1432</v>
      </c>
      <c r="B69" s="706">
        <f>'Summary - Dollars'!N144</f>
        <v>2110381</v>
      </c>
      <c r="C69" s="705">
        <f>'Summary - Dollars'!O144</f>
        <v>2110381</v>
      </c>
      <c r="D69" s="721">
        <f>I51+M100</f>
        <v>2110381</v>
      </c>
      <c r="E69" s="766">
        <f t="shared" si="13"/>
        <v>0</v>
      </c>
      <c r="F69" s="721">
        <f t="shared" si="14"/>
        <v>0</v>
      </c>
      <c r="G69" s="721">
        <f>J51+N100</f>
        <v>2110381</v>
      </c>
      <c r="H69" s="1149" t="s">
        <v>1437</v>
      </c>
      <c r="I69" s="715">
        <f>(INDEX(Data!195:195,1,'Summary - Dollars'!$U$1)-INDEX(Data!1276:1276,1,$V$1))</f>
        <v>202092811</v>
      </c>
      <c r="J69" s="715">
        <f>(INDEX(Data!195:195,1,'Summary - Dollars'!$U$1+1)-INDEX(Data!1276:1276,1,$V$1+1))</f>
        <v>202093162</v>
      </c>
      <c r="L69" s="20" t="s">
        <v>1364</v>
      </c>
      <c r="M69" s="715">
        <f>(INDEX(Data!794:794,1,'Summary - Dollars'!$U$1))</f>
        <v>3432459</v>
      </c>
      <c r="N69" s="715">
        <f>(INDEX(Data!794:794,1,'Summary - Dollars'!$U$1+1))</f>
        <v>3432459</v>
      </c>
    </row>
    <row r="70" spans="1:14" ht="25.5">
      <c r="A70" s="677" t="s">
        <v>60</v>
      </c>
      <c r="B70" s="706">
        <f>'Summary - Dollars'!N145</f>
        <v>1631127</v>
      </c>
      <c r="C70" s="705">
        <f>'Summary - Dollars'!O145</f>
        <v>1631127</v>
      </c>
      <c r="D70" s="721">
        <f>I55+M81</f>
        <v>1631127</v>
      </c>
      <c r="E70" s="766">
        <f t="shared" si="13"/>
        <v>0</v>
      </c>
      <c r="F70" s="721">
        <f t="shared" si="14"/>
        <v>0</v>
      </c>
      <c r="G70" s="721">
        <f>J55+N81</f>
        <v>1631127</v>
      </c>
      <c r="H70" s="1149" t="s">
        <v>1438</v>
      </c>
      <c r="I70" s="715">
        <f>(INDEX(Data!196:196,1,'Summary - Dollars'!$U$1)-INDEX(Data!1277:1277,1,$V$1))</f>
        <v>48604141</v>
      </c>
      <c r="J70" s="715">
        <f>(INDEX(Data!196:196,1,'Summary - Dollars'!$U$1+1)-INDEX(Data!1277:1277,1,$V$1+1))</f>
        <v>48603941</v>
      </c>
      <c r="L70" s="20" t="s">
        <v>1365</v>
      </c>
      <c r="M70" s="715">
        <f>(INDEX(Data!795:795,1,'Summary - Dollars'!$U$1))</f>
        <v>1810849</v>
      </c>
      <c r="N70" s="715">
        <f>(INDEX(Data!795:795,1,'Summary - Dollars'!$U$1+1))</f>
        <v>1810849</v>
      </c>
    </row>
    <row r="71" spans="1:14" ht="25.5">
      <c r="A71" s="113" t="s">
        <v>785</v>
      </c>
      <c r="B71" s="704">
        <f>'Summary - Dollars'!N146</f>
        <v>62322703</v>
      </c>
      <c r="C71" s="703">
        <f>'Summary - Dollars'!O146</f>
        <v>61709593</v>
      </c>
      <c r="D71" s="700"/>
      <c r="E71" s="700"/>
      <c r="F71" s="700"/>
      <c r="H71" s="1149" t="s">
        <v>1439</v>
      </c>
      <c r="I71" s="715">
        <f>(INDEX(Data!197:197,1,'Summary - Dollars'!$U$1)-INDEX(Data!1278:1278,1,$V$1))</f>
        <v>145469479</v>
      </c>
      <c r="J71" s="715">
        <f>(INDEX(Data!197:197,1,'Summary - Dollars'!$U$1+1)-INDEX(Data!1278:1278,1,$V$1+1))</f>
        <v>145473871</v>
      </c>
      <c r="L71" s="592" t="s">
        <v>1430</v>
      </c>
      <c r="M71" s="715">
        <f>(INDEX(Data!796:796,1,'Summary - Dollars'!$U$1))</f>
        <v>266848</v>
      </c>
      <c r="N71" s="715">
        <f>(INDEX(Data!796:796,1,'Summary - Dollars'!$U$1+1))</f>
        <v>266848</v>
      </c>
    </row>
    <row r="72" spans="1:14" ht="25.5">
      <c r="A72" s="79" t="s">
        <v>1433</v>
      </c>
      <c r="B72" s="706">
        <f>'Summary - Dollars'!N147</f>
        <v>183749270</v>
      </c>
      <c r="C72" s="705">
        <f>'Summary - Dollars'!O147</f>
        <v>183749970</v>
      </c>
      <c r="D72" s="721">
        <f t="shared" ref="D72:D78" si="15">I64+M37</f>
        <v>183749270</v>
      </c>
      <c r="E72" s="766">
        <f t="shared" ref="E72:E92" si="16">B72-D72</f>
        <v>0</v>
      </c>
      <c r="F72" s="721">
        <f t="shared" ref="F72:F84" si="17">C72-G72</f>
        <v>0</v>
      </c>
      <c r="G72" s="721">
        <f t="shared" ref="G72:G78" si="18">J64+N37</f>
        <v>183749970</v>
      </c>
      <c r="H72" s="1149" t="s">
        <v>1440</v>
      </c>
      <c r="I72" s="715">
        <f>(INDEX(Data!198:198,1,'Summary - Dollars'!$U$1)-INDEX(Data!1279:1279,1,$V$1))</f>
        <v>95901581</v>
      </c>
      <c r="J72" s="715">
        <f>(INDEX(Data!198:198,1,'Summary - Dollars'!$U$1+1)-INDEX(Data!1279:1279,1,$V$1+1))</f>
        <v>95616953</v>
      </c>
      <c r="L72" s="20" t="s">
        <v>738</v>
      </c>
      <c r="M72" s="715">
        <f>(INDEX(Data!797:797,1,'Summary - Dollars'!$U$1))</f>
        <v>8192093</v>
      </c>
      <c r="N72" s="715">
        <f>(INDEX(Data!797:797,1,'Summary - Dollars'!$U$1+1))</f>
        <v>8192093</v>
      </c>
    </row>
    <row r="73" spans="1:14" ht="25.5">
      <c r="A73" s="79" t="s">
        <v>1434</v>
      </c>
      <c r="B73" s="706">
        <f>'Summary - Dollars'!N148</f>
        <v>325554380</v>
      </c>
      <c r="C73" s="705">
        <f>'Summary - Dollars'!O148</f>
        <v>325553880</v>
      </c>
      <c r="D73" s="721">
        <f t="shared" si="15"/>
        <v>325554380</v>
      </c>
      <c r="E73" s="766">
        <f t="shared" si="16"/>
        <v>0</v>
      </c>
      <c r="F73" s="721">
        <f t="shared" si="17"/>
        <v>0</v>
      </c>
      <c r="G73" s="721">
        <f t="shared" si="18"/>
        <v>325553880</v>
      </c>
      <c r="H73" s="1149" t="s">
        <v>942</v>
      </c>
      <c r="I73" s="715">
        <f>(INDEX(Data!199:199,1,'Summary - Dollars'!$U$1)-INDEX(Data!1280:1280,1,$V$1))</f>
        <v>148184642</v>
      </c>
      <c r="J73" s="715">
        <f>(INDEX(Data!199:199,1,'Summary - Dollars'!$U$1+1)-INDEX(Data!1280:1280,1,$V$1+1))</f>
        <v>148167963</v>
      </c>
      <c r="L73" s="20" t="s">
        <v>1446</v>
      </c>
      <c r="M73" s="715">
        <f>(INDEX(Data!798:798,1,'Summary - Dollars'!$U$1))</f>
        <v>1368070</v>
      </c>
      <c r="N73" s="715">
        <f>(INDEX(Data!798:798,1,'Summary - Dollars'!$U$1+1))</f>
        <v>1368070</v>
      </c>
    </row>
    <row r="74" spans="1:14" ht="25.5">
      <c r="A74" s="79" t="s">
        <v>1435</v>
      </c>
      <c r="B74" s="706">
        <f>'Summary - Dollars'!N149</f>
        <v>212590876</v>
      </c>
      <c r="C74" s="705">
        <f>'Summary - Dollars'!O149</f>
        <v>212590575</v>
      </c>
      <c r="D74" s="721">
        <f t="shared" si="15"/>
        <v>212590876</v>
      </c>
      <c r="E74" s="766">
        <f t="shared" si="16"/>
        <v>0</v>
      </c>
      <c r="F74" s="721">
        <f t="shared" si="17"/>
        <v>0</v>
      </c>
      <c r="G74" s="721">
        <f t="shared" si="18"/>
        <v>212590575</v>
      </c>
      <c r="H74" s="1150" t="s">
        <v>1556</v>
      </c>
      <c r="I74" s="1093">
        <f>(INDEX(Data!200:200,1,'Summary - Dollars'!$U$1)-INDEX(Data!1281:1281,1,$V$1))</f>
        <v>70254352</v>
      </c>
      <c r="J74" s="1093">
        <f>(INDEX(Data!200:200,1,'Summary - Dollars'!$U$1+1)-INDEX(Data!1281:1281,1,$V$1+1))</f>
        <v>70238744</v>
      </c>
      <c r="L74" s="20" t="s">
        <v>1447</v>
      </c>
      <c r="M74" s="715">
        <f>(INDEX(Data!799:799,1,'Summary - Dollars'!$U$1))</f>
        <v>1131300</v>
      </c>
      <c r="N74" s="715">
        <f>(INDEX(Data!799:799,1,'Summary - Dollars'!$U$1+1))</f>
        <v>1131300</v>
      </c>
    </row>
    <row r="75" spans="1:14" ht="26.25" thickBot="1">
      <c r="A75" s="79" t="s">
        <v>1436</v>
      </c>
      <c r="B75" s="706">
        <f>'Summary - Dollars'!N150</f>
        <v>168399754</v>
      </c>
      <c r="C75" s="705">
        <f>'Summary - Dollars'!O150</f>
        <v>168399991</v>
      </c>
      <c r="D75" s="721">
        <f t="shared" si="15"/>
        <v>168399754</v>
      </c>
      <c r="E75" s="766">
        <f t="shared" si="16"/>
        <v>0</v>
      </c>
      <c r="F75" s="721">
        <f t="shared" si="17"/>
        <v>0</v>
      </c>
      <c r="G75" s="721">
        <f t="shared" si="18"/>
        <v>168399991</v>
      </c>
      <c r="H75" s="1151" t="s">
        <v>1843</v>
      </c>
      <c r="I75" s="1093">
        <f>(INDEX(Data!201:201,1,'Summary - Dollars'!$U$1)-INDEX(Data!1282:1282,1,$V$1))</f>
        <v>10985359</v>
      </c>
      <c r="J75" s="1093">
        <f>(INDEX(Data!201:201,1,'Summary - Dollars'!$U$1+1)-INDEX(Data!1282:1282,1,$V$1+1))</f>
        <v>10985359</v>
      </c>
      <c r="L75" s="20" t="s">
        <v>1448</v>
      </c>
      <c r="M75" s="715">
        <f>(INDEX(Data!800:800,1,'Summary - Dollars'!$U$1))</f>
        <v>1335184</v>
      </c>
      <c r="N75" s="715">
        <f>(INDEX(Data!800:800,1,'Summary - Dollars'!$U$1+1))</f>
        <v>1335184</v>
      </c>
    </row>
    <row r="76" spans="1:14" ht="26.25" thickBot="1">
      <c r="A76" s="79" t="s">
        <v>1670</v>
      </c>
      <c r="B76" s="706">
        <f>'Summary - Dollars'!N158</f>
        <v>34035966</v>
      </c>
      <c r="C76" s="705">
        <f>'Summary - Dollars'!O158</f>
        <v>34035966</v>
      </c>
      <c r="D76" s="721">
        <f t="shared" si="15"/>
        <v>34035966</v>
      </c>
      <c r="E76" s="766">
        <f t="shared" si="16"/>
        <v>0</v>
      </c>
      <c r="F76" s="721">
        <f t="shared" si="17"/>
        <v>0</v>
      </c>
      <c r="G76" s="721">
        <f t="shared" si="18"/>
        <v>34035966</v>
      </c>
      <c r="H76" s="1092" t="s">
        <v>77</v>
      </c>
      <c r="I76" s="1095">
        <f>(INDEX(Data!202:202,1,'Summary - Dollars'!$U$1)-INDEX(Data!1282:1282,1,$V$1))</f>
        <v>936193916</v>
      </c>
      <c r="J76" s="1095">
        <f>(INDEX(Data!202:202,1,'Summary - Dollars'!$U$1+1)-INDEX(Data!1282:1282,1,$V$1+1))</f>
        <v>931497068</v>
      </c>
      <c r="L76" s="20" t="s">
        <v>855</v>
      </c>
      <c r="M76" s="715">
        <f>(INDEX(Data!801:801,1,'Summary - Dollars'!$U$1))</f>
        <v>5122498</v>
      </c>
      <c r="N76" s="715">
        <f>(INDEX(Data!801:801,1,'Summary - Dollars'!$U$1+1))</f>
        <v>5122498</v>
      </c>
    </row>
    <row r="77" spans="1:14" ht="25.5">
      <c r="A77" s="79" t="s">
        <v>1437</v>
      </c>
      <c r="B77" s="706">
        <f>'Summary - Dollars'!N151</f>
        <v>209102313</v>
      </c>
      <c r="C77" s="705">
        <f>'Summary - Dollars'!O151</f>
        <v>209102664</v>
      </c>
      <c r="D77" s="721">
        <f t="shared" si="15"/>
        <v>209102313</v>
      </c>
      <c r="E77" s="766">
        <f t="shared" si="16"/>
        <v>0</v>
      </c>
      <c r="F77" s="721">
        <f t="shared" si="17"/>
        <v>0</v>
      </c>
      <c r="G77" s="721">
        <f t="shared" si="18"/>
        <v>209102664</v>
      </c>
      <c r="H77" s="20" t="s">
        <v>1441</v>
      </c>
      <c r="I77" s="1094">
        <f>(INDEX(Data!203:203,1,'Summary - Dollars'!$U$1)-INDEX(Data!1283:1283,1,$V$1))</f>
        <v>3043910</v>
      </c>
      <c r="J77" s="1094">
        <f>(INDEX(Data!203:203,1,'Summary - Dollars'!$U$1+1)-INDEX(Data!1283:1283,1,$V$1+1))</f>
        <v>3042093</v>
      </c>
      <c r="L77" s="20" t="s">
        <v>1367</v>
      </c>
      <c r="M77" s="715">
        <f>(INDEX(Data!802:802,1,'Summary - Dollars'!$U$1))</f>
        <v>9127925</v>
      </c>
      <c r="N77" s="715">
        <f>(INDEX(Data!802:802,1,'Summary - Dollars'!$U$1+1))</f>
        <v>9127925</v>
      </c>
    </row>
    <row r="78" spans="1:14" ht="25.5">
      <c r="A78" s="79" t="s">
        <v>1438</v>
      </c>
      <c r="B78" s="706">
        <f>'Summary - Dollars'!N152</f>
        <v>53016168</v>
      </c>
      <c r="C78" s="705">
        <f>'Summary - Dollars'!O152</f>
        <v>53015968</v>
      </c>
      <c r="D78" s="721">
        <f t="shared" si="15"/>
        <v>53016168</v>
      </c>
      <c r="E78" s="766">
        <f t="shared" si="16"/>
        <v>0</v>
      </c>
      <c r="F78" s="721">
        <f t="shared" si="17"/>
        <v>0</v>
      </c>
      <c r="G78" s="721">
        <f t="shared" si="18"/>
        <v>53015968</v>
      </c>
      <c r="H78" s="20" t="s">
        <v>1442</v>
      </c>
      <c r="I78" s="715">
        <f>(INDEX(Data!204:204,1,'Summary - Dollars'!$U$1)-INDEX(Data!1284:1284,1,$V$1))</f>
        <v>27009390</v>
      </c>
      <c r="J78" s="715">
        <f>(INDEX(Data!204:204,1,'Summary - Dollars'!$U$1+1)-INDEX(Data!1284:1284,1,$V$1+1))</f>
        <v>27199749</v>
      </c>
      <c r="L78" s="224" t="s">
        <v>1094</v>
      </c>
      <c r="M78" s="715">
        <f>(INDEX(Data!803:803,1,'Summary - Dollars'!$U$1))</f>
        <v>14519107</v>
      </c>
      <c r="N78" s="715">
        <f>(INDEX(Data!803:803,1,'Summary - Dollars'!$U$1+1))</f>
        <v>14519107</v>
      </c>
    </row>
    <row r="79" spans="1:14" ht="25.5">
      <c r="A79" s="79" t="s">
        <v>1439</v>
      </c>
      <c r="B79" s="706">
        <f>'Summary - Dollars'!N153</f>
        <v>154168421</v>
      </c>
      <c r="C79" s="705">
        <f>'Summary - Dollars'!O153</f>
        <v>154172813</v>
      </c>
      <c r="D79" s="721">
        <f>I71+M46</f>
        <v>154168421</v>
      </c>
      <c r="E79" s="766">
        <f t="shared" si="16"/>
        <v>0</v>
      </c>
      <c r="F79" s="721">
        <f t="shared" si="17"/>
        <v>0</v>
      </c>
      <c r="G79" s="721">
        <f>J71+N46</f>
        <v>154172813</v>
      </c>
      <c r="H79" s="20" t="s">
        <v>1443</v>
      </c>
      <c r="I79" s="717">
        <f>(INDEX(Data!205:205,1,'Summary - Dollars'!$U$1)-INDEX(Data!1285:1285,1,$V$1))</f>
        <v>11688197</v>
      </c>
      <c r="J79" s="717">
        <f>(INDEX(Data!205:205,1,'Summary - Dollars'!$U$1+1)-INDEX(Data!1285:1285,1,$V$1+1))</f>
        <v>11685060</v>
      </c>
      <c r="L79" s="20" t="s">
        <v>859</v>
      </c>
      <c r="M79" s="715">
        <f>(INDEX(Data!804:804,1,'Summary - Dollars'!$U$1))</f>
        <v>2502470</v>
      </c>
      <c r="N79" s="715">
        <f>(INDEX(Data!804:804,1,'Summary - Dollars'!$U$1+1))</f>
        <v>2502470</v>
      </c>
    </row>
    <row r="80" spans="1:14" ht="25.5">
      <c r="A80" s="79" t="s">
        <v>1440</v>
      </c>
      <c r="B80" s="706">
        <f>'Summary - Dollars'!N154</f>
        <v>102402794</v>
      </c>
      <c r="C80" s="705">
        <f>'Summary - Dollars'!O154</f>
        <v>102118166</v>
      </c>
      <c r="D80" s="721">
        <f>I72+M85</f>
        <v>102402794</v>
      </c>
      <c r="E80" s="766">
        <f t="shared" si="16"/>
        <v>0</v>
      </c>
      <c r="F80" s="721">
        <f t="shared" si="17"/>
        <v>0</v>
      </c>
      <c r="G80" s="721">
        <f>J72+N85</f>
        <v>102118166</v>
      </c>
      <c r="H80" s="20" t="s">
        <v>1444</v>
      </c>
      <c r="I80" s="715">
        <f>(INDEX(Data!206:206,1,'Summary - Dollars'!$U$1)-INDEX(Data!1286:1286,1,$V$1))</f>
        <v>6556685</v>
      </c>
      <c r="J80" s="715">
        <f>(INDEX(Data!206:206,1,'Summary - Dollars'!$U$1+1)-INDEX(Data!1286:1286,1,$V$1+1))</f>
        <v>6555047</v>
      </c>
      <c r="L80" s="20" t="s">
        <v>1427</v>
      </c>
      <c r="M80" s="715">
        <f>(INDEX(Data!805:805,1,'Summary - Dollars'!$U$1))</f>
        <v>310383</v>
      </c>
      <c r="N80" s="715">
        <f>(INDEX(Data!805:805,1,'Summary - Dollars'!$U$1+1))</f>
        <v>310383</v>
      </c>
    </row>
    <row r="81" spans="1:14" ht="25.5">
      <c r="A81" s="79" t="s">
        <v>942</v>
      </c>
      <c r="B81" s="706">
        <f>'Summary - Dollars'!N155</f>
        <v>167335498</v>
      </c>
      <c r="C81" s="705">
        <f>'Summary - Dollars'!O155</f>
        <v>167318819</v>
      </c>
      <c r="D81" s="721">
        <f>I73+M89</f>
        <v>167335498</v>
      </c>
      <c r="E81" s="766">
        <f t="shared" si="16"/>
        <v>0</v>
      </c>
      <c r="F81" s="721">
        <f t="shared" si="17"/>
        <v>0</v>
      </c>
      <c r="G81" s="721">
        <f>J73+N89</f>
        <v>167318819</v>
      </c>
      <c r="H81" s="20" t="s">
        <v>1445</v>
      </c>
      <c r="I81" s="715">
        <f>(INDEX(Data!207:207,1,'Summary - Dollars'!$U$1)-INDEX(Data!1287:1287,1,$V$1))</f>
        <v>34904948</v>
      </c>
      <c r="J81" s="715">
        <f>(INDEX(Data!207:207,1,'Summary - Dollars'!$U$1+1)-INDEX(Data!1287:1287,1,$V$1+1))</f>
        <v>34894816</v>
      </c>
      <c r="L81" s="592" t="s">
        <v>60</v>
      </c>
      <c r="M81" s="715">
        <f>(INDEX(Data!806:806,1,'Summary - Dollars'!$U$1))</f>
        <v>263127</v>
      </c>
      <c r="N81" s="715">
        <f>(INDEX(Data!806:806,1,'Summary - Dollars'!$U$1+1))</f>
        <v>263127</v>
      </c>
    </row>
    <row r="82" spans="1:14" ht="25.5">
      <c r="A82" s="79" t="s">
        <v>1556</v>
      </c>
      <c r="B82" s="706">
        <f>'Summary - Dollars'!N156</f>
        <v>75244916</v>
      </c>
      <c r="C82" s="705">
        <f>'Summary - Dollars'!O156</f>
        <v>75229308</v>
      </c>
      <c r="D82" s="721">
        <f>I74+M90</f>
        <v>75244916</v>
      </c>
      <c r="E82" s="766">
        <f t="shared" si="16"/>
        <v>0</v>
      </c>
      <c r="F82" s="721">
        <f t="shared" si="17"/>
        <v>0</v>
      </c>
      <c r="G82" s="721">
        <f>J74+N90</f>
        <v>75229308</v>
      </c>
      <c r="H82" s="1047" t="s">
        <v>1848</v>
      </c>
      <c r="I82" s="715">
        <f>(INDEX(Data!208:208,1,'Summary - Dollars'!$U$1)-INDEX(Data!1288:1288,1,$V$1))</f>
        <v>5962649</v>
      </c>
      <c r="J82" s="715">
        <f>(INDEX(Data!208:208,1,'Summary - Dollars'!$U$1+1)-INDEX(Data!1288:1288,1,$V$1+1))</f>
        <v>5956640</v>
      </c>
      <c r="L82" s="20" t="s">
        <v>730</v>
      </c>
      <c r="M82" s="715">
        <f>(INDEX(Data!807:807,1,'Summary - Dollars'!$U$1))</f>
        <v>3629695</v>
      </c>
      <c r="N82" s="715">
        <f>(INDEX(Data!807:807,1,'Summary - Dollars'!$U$1+1))</f>
        <v>3629695</v>
      </c>
    </row>
    <row r="83" spans="1:14" ht="25.5">
      <c r="A83" s="79" t="s">
        <v>1843</v>
      </c>
      <c r="B83" s="706">
        <f>'Summary - Dollars'!N157</f>
        <v>10985359</v>
      </c>
      <c r="C83" s="705">
        <f>'Summary - Dollars'!O157</f>
        <v>10985359</v>
      </c>
      <c r="D83" s="721">
        <f>I75</f>
        <v>10985359</v>
      </c>
      <c r="E83" s="766">
        <f t="shared" ref="E83" si="19">B83-D83</f>
        <v>0</v>
      </c>
      <c r="F83" s="721">
        <f t="shared" ref="F83" si="20">C83-G83</f>
        <v>0</v>
      </c>
      <c r="G83" s="721">
        <f>J75</f>
        <v>10985359</v>
      </c>
      <c r="H83" s="1047" t="s">
        <v>1849</v>
      </c>
      <c r="I83" s="715">
        <f>(INDEX(Data!209:209,1,'Summary - Dollars'!$U$1)-INDEX(Data!1289:1289,1,$V$1))</f>
        <v>3717575</v>
      </c>
      <c r="J83" s="715">
        <f>(INDEX(Data!209:209,1,'Summary - Dollars'!$U$1+1)-INDEX(Data!1289:1289,1,$V$1+1))</f>
        <v>3717377</v>
      </c>
      <c r="L83" s="20" t="s">
        <v>731</v>
      </c>
      <c r="M83" s="715">
        <f>(INDEX(Data!808:808,1,'Summary - Dollars'!$U$1))</f>
        <v>14845281</v>
      </c>
      <c r="N83" s="715">
        <f>(INDEX(Data!808:808,1,'Summary - Dollars'!$U$1+1))</f>
        <v>14845281</v>
      </c>
    </row>
    <row r="84" spans="1:14">
      <c r="A84" s="79" t="s">
        <v>221</v>
      </c>
      <c r="B84" s="706">
        <f>'Summary - Dollars'!N159</f>
        <v>45105243</v>
      </c>
      <c r="C84" s="705">
        <f>'Summary - Dollars'!O159</f>
        <v>45087292</v>
      </c>
      <c r="D84" s="721">
        <f>I190</f>
        <v>45105243</v>
      </c>
      <c r="E84" s="766">
        <f t="shared" si="16"/>
        <v>0</v>
      </c>
      <c r="F84" s="721">
        <f t="shared" si="17"/>
        <v>0</v>
      </c>
      <c r="G84" s="721">
        <f>J190</f>
        <v>45087292</v>
      </c>
      <c r="H84" s="20" t="s">
        <v>83</v>
      </c>
      <c r="I84" s="715">
        <f>(INDEX(Data!210:210,1,'Summary - Dollars'!$U$1)-INDEX(Data!1288:1288,1,$V$1))</f>
        <v>55228148</v>
      </c>
      <c r="J84" s="715">
        <f>(INDEX(Data!210:210,1,'Summary - Dollars'!$U$1+1)-INDEX(Data!1288:1288,1,$V$1+1))</f>
        <v>55228147</v>
      </c>
      <c r="L84" s="224" t="s">
        <v>1453</v>
      </c>
      <c r="M84" s="715">
        <f>(INDEX(Data!809:809,1,'Summary - Dollars'!$U$1))</f>
        <v>1499997</v>
      </c>
      <c r="N84" s="715">
        <f>(INDEX(Data!809:809,1,'Summary - Dollars'!$U$1+1))</f>
        <v>1499997</v>
      </c>
    </row>
    <row r="85" spans="1:14" ht="25.5">
      <c r="A85" s="113" t="s">
        <v>1284</v>
      </c>
      <c r="B85" s="704">
        <f>'Summary - Dollars'!N160</f>
        <v>1741690958</v>
      </c>
      <c r="C85" s="703">
        <f>'Summary - Dollars'!O160</f>
        <v>1741360771</v>
      </c>
      <c r="D85" s="700"/>
      <c r="E85" s="700"/>
      <c r="F85" s="700"/>
      <c r="H85" s="20" t="s">
        <v>84</v>
      </c>
      <c r="I85" s="715">
        <f>(INDEX(Data!211:211,1,'Summary - Dollars'!$U$1)-INDEX(Data!1289:1289,1,$V$1))</f>
        <v>48497887</v>
      </c>
      <c r="J85" s="715">
        <f>(INDEX(Data!211:211,1,'Summary - Dollars'!$U$1+1)-INDEX(Data!1289:1289,1,$V$1+1))</f>
        <v>48497887</v>
      </c>
      <c r="L85" s="593" t="s">
        <v>1440</v>
      </c>
      <c r="M85" s="715">
        <f>(INDEX(Data!810:810,1,'Summary - Dollars'!$U$1))</f>
        <v>6501213</v>
      </c>
      <c r="N85" s="715">
        <f>(INDEX(Data!810:810,1,'Summary - Dollars'!$U$1+1))</f>
        <v>6501213</v>
      </c>
    </row>
    <row r="86" spans="1:14">
      <c r="A86" s="79" t="s">
        <v>83</v>
      </c>
      <c r="B86" s="706">
        <f>'Summary - Dollars'!N161</f>
        <v>64850465</v>
      </c>
      <c r="C86" s="705">
        <f>'Summary - Dollars'!O161</f>
        <v>64850464</v>
      </c>
      <c r="D86" s="721">
        <f t="shared" ref="D86:D93" si="21">I84+M58</f>
        <v>64850465</v>
      </c>
      <c r="E86" s="766">
        <f t="shared" si="16"/>
        <v>0</v>
      </c>
      <c r="F86" s="721">
        <f t="shared" ref="F86:F91" si="22">C86-G86</f>
        <v>0</v>
      </c>
      <c r="G86" s="721">
        <f t="shared" ref="G86:G93" si="23">J84+N58</f>
        <v>64850464</v>
      </c>
      <c r="H86" s="20" t="s">
        <v>85</v>
      </c>
      <c r="I86" s="715">
        <f>(INDEX(Data!212:212,1,'Summary - Dollars'!$U$1)-INDEX(Data!1290:1290,1,$V$1))</f>
        <v>23126275</v>
      </c>
      <c r="J86" s="715">
        <f>(INDEX(Data!212:212,1,'Summary - Dollars'!$U$1+1)-INDEX(Data!1290:1290,1,$V$1+1))</f>
        <v>23127274</v>
      </c>
      <c r="L86" s="20" t="s">
        <v>1426</v>
      </c>
      <c r="M86" s="715">
        <f>(INDEX(Data!811:811,1,'Summary - Dollars'!$U$1))</f>
        <v>6423580</v>
      </c>
      <c r="N86" s="715">
        <f>(INDEX(Data!811:811,1,'Summary - Dollars'!$U$1+1))</f>
        <v>6423580</v>
      </c>
    </row>
    <row r="87" spans="1:14">
      <c r="A87" s="79" t="s">
        <v>84</v>
      </c>
      <c r="B87" s="706">
        <f>'Summary - Dollars'!N162</f>
        <v>62724045</v>
      </c>
      <c r="C87" s="705">
        <f>'Summary - Dollars'!O162</f>
        <v>62724045</v>
      </c>
      <c r="D87" s="721">
        <f t="shared" si="21"/>
        <v>62724045</v>
      </c>
      <c r="E87" s="766">
        <f t="shared" si="16"/>
        <v>0</v>
      </c>
      <c r="F87" s="721">
        <f t="shared" si="22"/>
        <v>0</v>
      </c>
      <c r="G87" s="721">
        <f t="shared" si="23"/>
        <v>62724045</v>
      </c>
      <c r="H87" s="20" t="s">
        <v>86</v>
      </c>
      <c r="I87" s="715">
        <f>(INDEX(Data!213:213,1,'Summary - Dollars'!$U$1)-INDEX(Data!1291:1291,1,$V$1))</f>
        <v>7613283</v>
      </c>
      <c r="J87" s="715">
        <f>(INDEX(Data!213:213,1,'Summary - Dollars'!$U$1+1)-INDEX(Data!1291:1291,1,$V$1+1))</f>
        <v>7613282</v>
      </c>
      <c r="L87" s="20" t="s">
        <v>733</v>
      </c>
      <c r="M87" s="715">
        <f>(INDEX(Data!812:812,1,'Summary - Dollars'!$U$1))</f>
        <v>5310788</v>
      </c>
      <c r="N87" s="715">
        <f>(INDEX(Data!812:812,1,'Summary - Dollars'!$U$1+1))</f>
        <v>5310788</v>
      </c>
    </row>
    <row r="88" spans="1:14">
      <c r="A88" s="79" t="s">
        <v>85</v>
      </c>
      <c r="B88" s="706">
        <f>'Summary - Dollars'!N163</f>
        <v>25776756</v>
      </c>
      <c r="C88" s="705">
        <f>'Summary - Dollars'!O163</f>
        <v>25777755</v>
      </c>
      <c r="D88" s="721">
        <f t="shared" si="21"/>
        <v>25776756</v>
      </c>
      <c r="E88" s="766">
        <f t="shared" si="16"/>
        <v>0</v>
      </c>
      <c r="F88" s="721">
        <f t="shared" si="22"/>
        <v>0</v>
      </c>
      <c r="G88" s="721">
        <f t="shared" si="23"/>
        <v>25777755</v>
      </c>
      <c r="H88" s="20" t="s">
        <v>87</v>
      </c>
      <c r="I88" s="715">
        <f>(INDEX(Data!214:214,1,'Summary - Dollars'!$U$1)-INDEX(Data!1292:1292,1,$V$1))</f>
        <v>8923537</v>
      </c>
      <c r="J88" s="715">
        <f>(INDEX(Data!214:214,1,'Summary - Dollars'!$U$1+1)-INDEX(Data!1292:1292,1,$V$1+1))</f>
        <v>8923537</v>
      </c>
      <c r="L88" s="20" t="s">
        <v>735</v>
      </c>
      <c r="M88" s="715">
        <f>(INDEX(Data!813:813,1,'Summary - Dollars'!$U$1))</f>
        <v>21387701</v>
      </c>
      <c r="N88" s="715">
        <f>(INDEX(Data!813:813,1,'Summary - Dollars'!$U$1+1))</f>
        <v>21387701</v>
      </c>
    </row>
    <row r="89" spans="1:14">
      <c r="A89" s="390" t="s">
        <v>86</v>
      </c>
      <c r="B89" s="706">
        <f>'Summary - Dollars'!N164</f>
        <v>9343970</v>
      </c>
      <c r="C89" s="705">
        <f>'Summary - Dollars'!O164</f>
        <v>9343969</v>
      </c>
      <c r="D89" s="721">
        <f t="shared" si="21"/>
        <v>9343970</v>
      </c>
      <c r="E89" s="766">
        <f t="shared" si="16"/>
        <v>0</v>
      </c>
      <c r="F89" s="721">
        <f t="shared" si="22"/>
        <v>0</v>
      </c>
      <c r="G89" s="721">
        <f t="shared" si="23"/>
        <v>9343969</v>
      </c>
      <c r="H89" s="20" t="s">
        <v>88</v>
      </c>
      <c r="I89" s="715">
        <f>(INDEX(Data!215:215,1,'Summary - Dollars'!$U$1)-INDEX(Data!1293:1293,1,$V$1))</f>
        <v>32604399</v>
      </c>
      <c r="J89" s="715">
        <f>(INDEX(Data!215:215,1,'Summary - Dollars'!$U$1+1)-INDEX(Data!1293:1293,1,$V$1+1))</f>
        <v>32604398</v>
      </c>
      <c r="L89" s="593" t="s">
        <v>942</v>
      </c>
      <c r="M89" s="715">
        <f>(INDEX(Data!814:814,1,'Summary - Dollars'!$U$1))</f>
        <v>19150856</v>
      </c>
      <c r="N89" s="715">
        <f>(INDEX(Data!814:814,1,'Summary - Dollars'!$U$1+1))</f>
        <v>19150856</v>
      </c>
    </row>
    <row r="90" spans="1:14">
      <c r="A90" s="79" t="s">
        <v>87</v>
      </c>
      <c r="B90" s="706">
        <f>'Summary - Dollars'!N165</f>
        <v>9556741</v>
      </c>
      <c r="C90" s="705">
        <f>'Summary - Dollars'!O165</f>
        <v>9556741</v>
      </c>
      <c r="D90" s="721">
        <f t="shared" si="21"/>
        <v>9556741</v>
      </c>
      <c r="E90" s="766">
        <f t="shared" si="16"/>
        <v>0</v>
      </c>
      <c r="F90" s="721">
        <f t="shared" si="22"/>
        <v>0</v>
      </c>
      <c r="G90" s="721">
        <f t="shared" si="23"/>
        <v>9556741</v>
      </c>
      <c r="H90" s="20" t="s">
        <v>89</v>
      </c>
      <c r="I90" s="715">
        <f>(INDEX(Data!216:216,1,'Summary - Dollars'!$U$1)-INDEX(Data!1294:1294,1,$V$1))</f>
        <v>9273893</v>
      </c>
      <c r="J90" s="715">
        <f>(INDEX(Data!216:216,1,'Summary - Dollars'!$U$1+1)-INDEX(Data!1294:1294,1,$V$1+1))</f>
        <v>9273891</v>
      </c>
      <c r="L90" s="616" t="s">
        <v>1556</v>
      </c>
      <c r="M90" s="715">
        <f>(INDEX(Data!815:815,1,'Summary - Dollars'!$U$1))</f>
        <v>4990564</v>
      </c>
      <c r="N90" s="715">
        <f>(INDEX(Data!815:815,1,'Summary - Dollars'!$U$1+1))</f>
        <v>4990564</v>
      </c>
    </row>
    <row r="91" spans="1:14">
      <c r="A91" s="79" t="s">
        <v>88</v>
      </c>
      <c r="B91" s="706">
        <f>'Summary - Dollars'!N166</f>
        <v>36757677</v>
      </c>
      <c r="C91" s="705">
        <f>'Summary - Dollars'!O166</f>
        <v>36757676</v>
      </c>
      <c r="D91" s="721">
        <f t="shared" si="21"/>
        <v>36757677</v>
      </c>
      <c r="E91" s="766">
        <f t="shared" si="16"/>
        <v>0</v>
      </c>
      <c r="F91" s="721">
        <f t="shared" si="22"/>
        <v>0</v>
      </c>
      <c r="G91" s="721">
        <f t="shared" si="23"/>
        <v>36757676</v>
      </c>
      <c r="H91" s="1054" t="s">
        <v>2051</v>
      </c>
      <c r="I91" s="715">
        <f>(INDEX(Data!217:217,1,'Summary - Dollars'!$U$1)-INDEX(Data!1295:1295,1,$V$1))</f>
        <v>20987423</v>
      </c>
      <c r="J91" s="715">
        <f>(INDEX(Data!217:217,1,'Summary - Dollars'!$U$1+1)-INDEX(Data!1295:1295,1,$V$1+1))</f>
        <v>9815553</v>
      </c>
      <c r="L91" s="20" t="s">
        <v>737</v>
      </c>
      <c r="M91" s="715">
        <f>(INDEX(Data!816:816,1,'Summary - Dollars'!$U$1))</f>
        <v>7133320</v>
      </c>
      <c r="N91" s="715">
        <f>(INDEX(Data!816:816,1,'Summary - Dollars'!$U$1+1))</f>
        <v>7133320</v>
      </c>
    </row>
    <row r="92" spans="1:14" ht="25.5">
      <c r="A92" s="79" t="s">
        <v>89</v>
      </c>
      <c r="B92" s="706">
        <f>'Summary - Dollars'!N167</f>
        <v>9779343</v>
      </c>
      <c r="C92" s="705">
        <f>'Summary - Dollars'!O167</f>
        <v>9779341</v>
      </c>
      <c r="D92" s="721">
        <f t="shared" si="21"/>
        <v>9779343</v>
      </c>
      <c r="E92" s="766">
        <f t="shared" si="16"/>
        <v>0</v>
      </c>
      <c r="F92" s="721">
        <f>C92-G92</f>
        <v>0</v>
      </c>
      <c r="G92" s="721">
        <f t="shared" si="23"/>
        <v>9779341</v>
      </c>
      <c r="H92" s="224" t="s">
        <v>1693</v>
      </c>
      <c r="I92" s="715">
        <f>(INDEX(Data!218:218,1,'Summary - Dollars'!$U$1)-INDEX(Data!1296:1296,1,$V$1))</f>
        <v>0</v>
      </c>
      <c r="J92" s="715">
        <f>(INDEX(Data!218:218,1,'Summary - Dollars'!$U$1+1)-INDEX(Data!1296:1296,1,$V$1+1))</f>
        <v>0</v>
      </c>
      <c r="L92" s="20" t="s">
        <v>1441</v>
      </c>
      <c r="M92" s="715">
        <f>(INDEX(Data!823:823,1,'Summary - Dollars'!$U$1))</f>
        <v>5465338</v>
      </c>
      <c r="N92" s="715">
        <f>(INDEX(Data!823:823,1,'Summary - Dollars'!$U$1+1))</f>
        <v>5465338</v>
      </c>
    </row>
    <row r="93" spans="1:14" ht="25.5">
      <c r="A93" s="1173" t="s">
        <v>2051</v>
      </c>
      <c r="B93" s="706">
        <f>'Summary - Dollars'!N168</f>
        <v>22183968</v>
      </c>
      <c r="C93" s="705">
        <f>'Summary - Dollars'!O168</f>
        <v>11012098</v>
      </c>
      <c r="D93" s="721">
        <f t="shared" si="21"/>
        <v>22183968</v>
      </c>
      <c r="E93" s="766">
        <f t="shared" ref="E93" si="24">B93-D93</f>
        <v>0</v>
      </c>
      <c r="F93" s="721">
        <f>C93-G93</f>
        <v>0</v>
      </c>
      <c r="G93" s="721">
        <f t="shared" si="23"/>
        <v>11012098</v>
      </c>
      <c r="H93" s="27" t="s">
        <v>90</v>
      </c>
      <c r="I93" s="713">
        <f>(INDEX(Data!219:219,1,'Summary - Dollars'!$U$1)-INDEX(Data!1297:1297,1,$V$1))</f>
        <v>33029997318.231262</v>
      </c>
      <c r="J93" s="713">
        <f>(INDEX(Data!219:219,1,'Summary - Dollars'!$U$1+1)-INDEX(Data!1297:1297,1,$V$1+1))</f>
        <v>32049458611</v>
      </c>
      <c r="L93" s="20" t="s">
        <v>1442</v>
      </c>
      <c r="M93" s="715">
        <f>(INDEX(Data!817:817,1,'Summary - Dollars'!$U$1))</f>
        <v>2808206</v>
      </c>
      <c r="N93" s="715">
        <f>(INDEX(Data!817:817,1,'Summary - Dollars'!$U$1+1))</f>
        <v>2808206</v>
      </c>
    </row>
    <row r="94" spans="1:14">
      <c r="A94" s="113" t="s">
        <v>787</v>
      </c>
      <c r="B94" s="704">
        <f>'Summary - Dollars'!N169</f>
        <v>240972965</v>
      </c>
      <c r="C94" s="703">
        <f>'Summary - Dollars'!O169</f>
        <v>229802089</v>
      </c>
      <c r="D94" s="700"/>
      <c r="E94" s="700"/>
      <c r="F94" s="700"/>
      <c r="H94" s="20" t="s">
        <v>91</v>
      </c>
      <c r="I94" s="715">
        <f>(INDEX(Data!220:220,1,'Summary - Dollars'!$U$1)-INDEX(Data!1298:1298,1,$V$1))</f>
        <v>37704232</v>
      </c>
      <c r="J94" s="715">
        <f>(INDEX(Data!220:220,1,'Summary - Dollars'!$U$1+1)-INDEX(Data!1298:1298,1,$V$1+1))</f>
        <v>38676292</v>
      </c>
      <c r="L94" s="20" t="s">
        <v>1443</v>
      </c>
      <c r="M94" s="715">
        <f>(INDEX(Data!818:818,1,'Summary - Dollars'!$U$1))</f>
        <v>1330224</v>
      </c>
      <c r="N94" s="715">
        <f>(INDEX(Data!818:818,1,'Summary - Dollars'!$U$1+1))</f>
        <v>1330224</v>
      </c>
    </row>
    <row r="95" spans="1:14" ht="25.5">
      <c r="A95" s="79" t="s">
        <v>1441</v>
      </c>
      <c r="B95" s="706">
        <f>'Summary - Dollars'!N170</f>
        <v>8509248</v>
      </c>
      <c r="C95" s="705">
        <f>'Summary - Dollars'!O170</f>
        <v>8507431</v>
      </c>
      <c r="D95" s="721">
        <f t="shared" ref="D95:D101" si="25">I77+M92</f>
        <v>8509248</v>
      </c>
      <c r="E95" s="766">
        <f t="shared" ref="E95:E97" si="26">B95-D95</f>
        <v>0</v>
      </c>
      <c r="F95" s="721">
        <f t="shared" ref="F95:F97" si="27">C95-G95</f>
        <v>0</v>
      </c>
      <c r="G95" s="721">
        <f t="shared" ref="G95:G101" si="28">J77+N92</f>
        <v>8507431</v>
      </c>
      <c r="H95" s="20" t="s">
        <v>92</v>
      </c>
      <c r="I95" s="715">
        <f>(INDEX(Data!221:221,1,'Summary - Dollars'!$U$1)-INDEX(Data!1299:1299,1,$V$1))</f>
        <v>269300795</v>
      </c>
      <c r="J95" s="715">
        <f>(INDEX(Data!221:221,1,'Summary - Dollars'!$U$1+1)-INDEX(Data!1299:1299,1,$V$1+1))</f>
        <v>274639063</v>
      </c>
      <c r="L95" s="20" t="s">
        <v>1444</v>
      </c>
      <c r="M95" s="715">
        <f>(INDEX(Data!819:819,1,'Summary - Dollars'!$U$1))</f>
        <v>551937</v>
      </c>
      <c r="N95" s="715">
        <f>(INDEX(Data!819:819,1,'Summary - Dollars'!$U$1+1))</f>
        <v>551937</v>
      </c>
    </row>
    <row r="96" spans="1:14" ht="25.5">
      <c r="A96" s="79" t="s">
        <v>1442</v>
      </c>
      <c r="B96" s="706">
        <f>'Summary - Dollars'!N171</f>
        <v>29817596</v>
      </c>
      <c r="C96" s="705">
        <f>'Summary - Dollars'!O171</f>
        <v>30007955</v>
      </c>
      <c r="D96" s="721">
        <f t="shared" si="25"/>
        <v>29817596</v>
      </c>
      <c r="E96" s="766">
        <f t="shared" si="26"/>
        <v>0</v>
      </c>
      <c r="F96" s="721">
        <f t="shared" si="27"/>
        <v>0</v>
      </c>
      <c r="G96" s="721">
        <f t="shared" si="28"/>
        <v>30007955</v>
      </c>
      <c r="H96" s="27" t="s">
        <v>93</v>
      </c>
      <c r="I96" s="713">
        <f>(INDEX(Data!222:222,1,'Summary - Dollars'!$U$1)-INDEX(Data!1300:1300,1,$V$1))</f>
        <v>307005027</v>
      </c>
      <c r="J96" s="713">
        <f>(INDEX(Data!222:222,1,'Summary - Dollars'!$U$1+1)-INDEX(Data!1300:1300,1,$V$1+1))</f>
        <v>313315355</v>
      </c>
      <c r="L96" s="20" t="s">
        <v>1445</v>
      </c>
      <c r="M96" s="717">
        <f>(INDEX(Data!820:820,1,'Summary - Dollars'!$U$1))</f>
        <v>3392035</v>
      </c>
      <c r="N96" s="717">
        <f>(INDEX(Data!820:820,1,'Summary - Dollars'!$U$1+1))</f>
        <v>3392035</v>
      </c>
    </row>
    <row r="97" spans="1:14" ht="25.5">
      <c r="A97" s="79" t="s">
        <v>1443</v>
      </c>
      <c r="B97" s="706">
        <f>'Summary - Dollars'!N172</f>
        <v>13018421</v>
      </c>
      <c r="C97" s="705">
        <f>'Summary - Dollars'!O172</f>
        <v>13015284</v>
      </c>
      <c r="D97" s="721">
        <f t="shared" si="25"/>
        <v>13018421</v>
      </c>
      <c r="E97" s="766">
        <f t="shared" si="26"/>
        <v>0</v>
      </c>
      <c r="F97" s="721">
        <f t="shared" si="27"/>
        <v>0</v>
      </c>
      <c r="G97" s="721">
        <f t="shared" si="28"/>
        <v>13015284</v>
      </c>
      <c r="H97" s="20" t="s">
        <v>94</v>
      </c>
      <c r="I97" s="715">
        <f>(INDEX(Data!223:223,1,'Summary - Dollars'!$U$1)-INDEX(Data!1301:1301,1,$V$1))</f>
        <v>7228252</v>
      </c>
      <c r="J97" s="715">
        <f>(INDEX(Data!223:223,1,'Summary - Dollars'!$U$1+1)-INDEX(Data!1301:1301,1,$V$1+1))</f>
        <v>7933400</v>
      </c>
      <c r="L97" s="1047" t="s">
        <v>1848</v>
      </c>
      <c r="M97" s="717">
        <f>(INDEX(Data!821:821,1,'Summary - Dollars'!$U$1))</f>
        <v>361312</v>
      </c>
      <c r="N97" s="717">
        <f>(INDEX(Data!821:821,1,'Summary - Dollars'!$U$1+1))</f>
        <v>361312</v>
      </c>
    </row>
    <row r="98" spans="1:14" ht="25.5">
      <c r="A98" s="79" t="s">
        <v>1444</v>
      </c>
      <c r="B98" s="706">
        <f>'Summary - Dollars'!N173</f>
        <v>7108622</v>
      </c>
      <c r="C98" s="705">
        <f>'Summary - Dollars'!O173</f>
        <v>7106984</v>
      </c>
      <c r="D98" s="721">
        <f t="shared" si="25"/>
        <v>7108622</v>
      </c>
      <c r="E98" s="766">
        <f t="shared" ref="E98:E101" si="29">B98-D98</f>
        <v>0</v>
      </c>
      <c r="F98" s="721">
        <f t="shared" ref="F98:F101" si="30">C98-G98</f>
        <v>0</v>
      </c>
      <c r="G98" s="721">
        <f t="shared" si="28"/>
        <v>7106984</v>
      </c>
      <c r="H98" s="20" t="s">
        <v>95</v>
      </c>
      <c r="I98" s="715">
        <f>(INDEX(Data!224:224,1,'Summary - Dollars'!$U$1)-INDEX(Data!1302:1302,1,$V$1))</f>
        <v>0</v>
      </c>
      <c r="J98" s="715">
        <f>(INDEX(Data!224:224,1,'Summary - Dollars'!$U$1+1)-INDEX(Data!1302:1302,1,$V$1+1))</f>
        <v>0</v>
      </c>
      <c r="L98" s="1047" t="s">
        <v>1849</v>
      </c>
      <c r="M98" s="717">
        <f>(INDEX(Data!822:822,1,'Summary - Dollars'!$U$1))</f>
        <v>254770</v>
      </c>
      <c r="N98" s="717">
        <f>(INDEX(Data!822:822,1,'Summary - Dollars'!$U$1+1))</f>
        <v>254770</v>
      </c>
    </row>
    <row r="99" spans="1:14">
      <c r="A99" s="79" t="s">
        <v>1445</v>
      </c>
      <c r="B99" s="706">
        <f>'Summary - Dollars'!N174</f>
        <v>38296983</v>
      </c>
      <c r="C99" s="705">
        <f>'Summary - Dollars'!O174</f>
        <v>38286851</v>
      </c>
      <c r="D99" s="721">
        <f t="shared" si="25"/>
        <v>38296983</v>
      </c>
      <c r="E99" s="766">
        <f t="shared" si="29"/>
        <v>0</v>
      </c>
      <c r="F99" s="721">
        <f t="shared" si="30"/>
        <v>0</v>
      </c>
      <c r="G99" s="721">
        <f t="shared" si="28"/>
        <v>38286851</v>
      </c>
      <c r="H99" s="27" t="s">
        <v>96</v>
      </c>
      <c r="I99" s="713">
        <f>(INDEX(Data!225:225,1,'Summary - Dollars'!$U$1)-INDEX(Data!1303:1303,1,$V$1))</f>
        <v>7228252</v>
      </c>
      <c r="J99" s="713">
        <f>(INDEX(Data!225:225,1,'Summary - Dollars'!$U$1+1)-INDEX(Data!1303:1303,1,$V$1+1))</f>
        <v>7933400</v>
      </c>
      <c r="L99" s="592" t="s">
        <v>1431</v>
      </c>
      <c r="M99" s="724">
        <f>(INDEX(Data!824:824,1,'Summary - Dollars'!$U$1))</f>
        <v>1052832</v>
      </c>
      <c r="N99" s="724">
        <f>(INDEX(Data!824:824,1,'Summary - Dollars'!$U$1+1))</f>
        <v>1052832</v>
      </c>
    </row>
    <row r="100" spans="1:14">
      <c r="A100" s="1047" t="s">
        <v>1848</v>
      </c>
      <c r="B100" s="706">
        <f>'Summary - Dollars'!N175</f>
        <v>6323961</v>
      </c>
      <c r="C100" s="705">
        <f>'Summary - Dollars'!O175</f>
        <v>6317952</v>
      </c>
      <c r="D100" s="721">
        <f t="shared" si="25"/>
        <v>6323961</v>
      </c>
      <c r="E100" s="766">
        <f t="shared" si="29"/>
        <v>0</v>
      </c>
      <c r="F100" s="721">
        <f t="shared" si="30"/>
        <v>0</v>
      </c>
      <c r="G100" s="721">
        <f t="shared" si="28"/>
        <v>6317952</v>
      </c>
      <c r="H100" s="1054" t="s">
        <v>1693</v>
      </c>
      <c r="I100" s="717">
        <f>(INDEX(Data!226:226,1,'Summary - Dollars'!$U$1)-INDEX(Data!1304:1304,1,$V$1))</f>
        <v>0</v>
      </c>
      <c r="J100" s="717">
        <f>(INDEX(Data!226:226,1,'Summary - Dollars'!$U$1+1)-INDEX(Data!1304:1304,1,$V$1+1))</f>
        <v>0</v>
      </c>
      <c r="L100" s="592" t="s">
        <v>1432</v>
      </c>
      <c r="M100" s="717">
        <f>(INDEX(Data!825:825,1,'Summary - Dollars'!$U$1))</f>
        <v>742381</v>
      </c>
      <c r="N100" s="717">
        <f>(INDEX(Data!825:825,1,'Summary - Dollars'!$U$1+1))</f>
        <v>742381</v>
      </c>
    </row>
    <row r="101" spans="1:14">
      <c r="A101" s="1047" t="s">
        <v>1849</v>
      </c>
      <c r="B101" s="706">
        <f>'Summary - Dollars'!N176</f>
        <v>3972345</v>
      </c>
      <c r="C101" s="705">
        <f>'Summary - Dollars'!O176</f>
        <v>3972147</v>
      </c>
      <c r="D101" s="721">
        <f t="shared" si="25"/>
        <v>3972345</v>
      </c>
      <c r="E101" s="766">
        <f t="shared" si="29"/>
        <v>0</v>
      </c>
      <c r="F101" s="721">
        <f t="shared" si="30"/>
        <v>0</v>
      </c>
      <c r="G101" s="721">
        <f t="shared" si="28"/>
        <v>3972147</v>
      </c>
      <c r="H101" s="27" t="s">
        <v>1463</v>
      </c>
      <c r="I101" s="722">
        <f>(INDEX(Data!227:227,1,'Summary - Dollars'!$U$1)-INDEX(Data!1305:1305,1,$V$1))</f>
        <v>33344230597.231262</v>
      </c>
      <c r="J101" s="722">
        <f>(INDEX(Data!227:227,1,'Summary - Dollars'!$U$1+1)-INDEX(Data!1305:1305,1,$V$1+1))</f>
        <v>32370707366</v>
      </c>
      <c r="L101" s="226" t="s">
        <v>77</v>
      </c>
      <c r="M101" s="713">
        <f>(INDEX(Data!826:826,1,'Summary - Dollars'!$U$1))</f>
        <v>184094737</v>
      </c>
      <c r="N101" s="713">
        <f>(INDEX(Data!826:826,1,'Summary - Dollars'!$U$1+1))</f>
        <v>184094737</v>
      </c>
    </row>
    <row r="102" spans="1:14">
      <c r="A102" s="113" t="s">
        <v>788</v>
      </c>
      <c r="B102" s="704">
        <f>'Summary - Dollars'!N177</f>
        <v>107047176</v>
      </c>
      <c r="C102" s="703">
        <f>'Summary - Dollars'!O177</f>
        <v>107214604</v>
      </c>
      <c r="D102" s="699"/>
      <c r="E102" s="699"/>
      <c r="F102" s="699"/>
      <c r="H102" s="714"/>
      <c r="I102" s="713"/>
      <c r="J102" s="713"/>
      <c r="L102" s="20" t="s">
        <v>155</v>
      </c>
      <c r="M102" s="715">
        <f>(INDEX(Data!827:827,1,'Summary - Dollars'!$U$1))</f>
        <v>0</v>
      </c>
      <c r="N102" s="715">
        <f>(INDEX(Data!827:827,1,'Summary - Dollars'!$U$1+1))</f>
        <v>0</v>
      </c>
    </row>
    <row r="103" spans="1:14">
      <c r="A103" s="79" t="s">
        <v>1446</v>
      </c>
      <c r="B103" s="706">
        <f>'Summary - Dollars'!N178</f>
        <v>15665521</v>
      </c>
      <c r="C103" s="705">
        <f>'Summary - Dollars'!O178</f>
        <v>15650840</v>
      </c>
      <c r="D103" s="721">
        <f>I57+M73</f>
        <v>15665521</v>
      </c>
      <c r="E103" s="766">
        <f t="shared" ref="E103:E105" si="31">B103-D103</f>
        <v>0</v>
      </c>
      <c r="F103" s="721">
        <f>C103-G103</f>
        <v>0</v>
      </c>
      <c r="G103" s="721">
        <f>J57+N73</f>
        <v>15650840</v>
      </c>
      <c r="L103" s="20" t="s">
        <v>156</v>
      </c>
      <c r="M103" s="715">
        <f>(INDEX(Data!828:828,1,'Summary - Dollars'!$U$1))</f>
        <v>0</v>
      </c>
      <c r="N103" s="715">
        <f>(INDEX(Data!828:828,1,'Summary - Dollars'!$U$1+1))</f>
        <v>0</v>
      </c>
    </row>
    <row r="104" spans="1:14">
      <c r="A104" s="79" t="s">
        <v>1447</v>
      </c>
      <c r="B104" s="706">
        <f>'Summary - Dollars'!N179</f>
        <v>11580461</v>
      </c>
      <c r="C104" s="705">
        <f>'Summary - Dollars'!O179</f>
        <v>11574455</v>
      </c>
      <c r="D104" s="721">
        <f>I58+M74</f>
        <v>11580461</v>
      </c>
      <c r="E104" s="766">
        <f t="shared" si="31"/>
        <v>0</v>
      </c>
      <c r="F104" s="721">
        <f t="shared" ref="F104:F105" si="32">C104-G104</f>
        <v>0</v>
      </c>
      <c r="G104" s="721">
        <f>J58+N74</f>
        <v>11574455</v>
      </c>
      <c r="L104" s="27" t="s">
        <v>157</v>
      </c>
      <c r="M104" s="713">
        <f>(INDEX(Data!829:829,1,'Summary - Dollars'!$U$1))</f>
        <v>708935833</v>
      </c>
      <c r="N104" s="713">
        <f>(INDEX(Data!829:829,1,'Summary - Dollars'!$U$1+1))</f>
        <v>708935830</v>
      </c>
    </row>
    <row r="105" spans="1:14">
      <c r="A105" s="79" t="s">
        <v>1448</v>
      </c>
      <c r="B105" s="706">
        <f>'Summary - Dollars'!N180</f>
        <v>14270022</v>
      </c>
      <c r="C105" s="705">
        <f>'Summary - Dollars'!O180</f>
        <v>14249464</v>
      </c>
      <c r="D105" s="721">
        <f>I59+M75</f>
        <v>14270022</v>
      </c>
      <c r="E105" s="766">
        <f t="shared" si="31"/>
        <v>0</v>
      </c>
      <c r="F105" s="721">
        <f t="shared" si="32"/>
        <v>0</v>
      </c>
      <c r="G105" s="721">
        <f>J59+N75</f>
        <v>14249464</v>
      </c>
      <c r="H105" s="596" t="s">
        <v>266</v>
      </c>
      <c r="I105" s="371"/>
      <c r="J105" s="371"/>
    </row>
    <row r="106" spans="1:14">
      <c r="A106" s="113" t="s">
        <v>789</v>
      </c>
      <c r="B106" s="704">
        <f>'Summary - Dollars'!N181</f>
        <v>41516004</v>
      </c>
      <c r="C106" s="703">
        <f>'Summary - Dollars'!O181</f>
        <v>41474759</v>
      </c>
      <c r="D106" s="700"/>
      <c r="E106" s="700"/>
      <c r="F106" s="700"/>
      <c r="H106" s="755" t="s">
        <v>183</v>
      </c>
      <c r="I106" s="24"/>
      <c r="J106" s="24"/>
      <c r="M106" s="720">
        <f>M104-I11</f>
        <v>0</v>
      </c>
      <c r="N106" s="720">
        <f>N104-J11</f>
        <v>0</v>
      </c>
    </row>
    <row r="107" spans="1:14">
      <c r="A107" s="79" t="s">
        <v>1407</v>
      </c>
      <c r="B107" s="706">
        <f>'Summary - Dollars'!N182</f>
        <v>80089402</v>
      </c>
      <c r="C107" s="705">
        <f>'Summary - Dollars'!O182</f>
        <v>80089410</v>
      </c>
      <c r="D107" s="700"/>
      <c r="E107" s="700"/>
      <c r="F107" s="700"/>
      <c r="H107" s="756" t="s">
        <v>184</v>
      </c>
      <c r="I107" s="24">
        <f>(INDEX(Data!1114:1114,1,'Summary - Dollars'!$U$1))</f>
        <v>1153301</v>
      </c>
      <c r="J107" s="24">
        <f>(INDEX(Data!1114:1114,1,'Summary - Dollars'!$U$1+1))</f>
        <v>1153301</v>
      </c>
      <c r="M107" s="720">
        <f>SUM(I11:I90)</f>
        <v>7450630304.2312622</v>
      </c>
    </row>
    <row r="108" spans="1:14">
      <c r="A108" s="79" t="s">
        <v>102</v>
      </c>
      <c r="B108" s="706">
        <f>'Summary - Dollars'!N183</f>
        <v>9501290</v>
      </c>
      <c r="C108" s="705">
        <f>'Summary - Dollars'!O183</f>
        <v>9501290</v>
      </c>
      <c r="D108" s="699"/>
      <c r="E108" s="699"/>
      <c r="F108" s="699"/>
      <c r="H108" s="756" t="s">
        <v>185</v>
      </c>
      <c r="I108" s="24">
        <f>(INDEX(Data!1115:1115,1,'Summary - Dollars'!$U$1))</f>
        <v>200000</v>
      </c>
      <c r="J108" s="24">
        <f>(INDEX(Data!1115:1115,1,'Summary - Dollars'!$U$1+1))</f>
        <v>200000</v>
      </c>
    </row>
    <row r="109" spans="1:14">
      <c r="A109" s="79" t="s">
        <v>103</v>
      </c>
      <c r="B109" s="706">
        <f>'Summary - Dollars'!N184</f>
        <v>18851554</v>
      </c>
      <c r="C109" s="705">
        <f>'Summary - Dollars'!O184</f>
        <v>18851552</v>
      </c>
      <c r="D109" s="700"/>
      <c r="E109" s="700"/>
      <c r="F109" s="700"/>
      <c r="H109" s="756" t="s">
        <v>267</v>
      </c>
      <c r="I109" s="24">
        <f>(INDEX(Data!1116:1116,1,'Summary - Dollars'!$U$1))</f>
        <v>729443</v>
      </c>
      <c r="J109" s="24">
        <f>(INDEX(Data!1116:1116,1,'Summary - Dollars'!$U$1+1))</f>
        <v>729443</v>
      </c>
    </row>
    <row r="110" spans="1:14">
      <c r="A110" s="79" t="s">
        <v>104</v>
      </c>
      <c r="B110" s="706">
        <f>'Summary - Dollars'!N185</f>
        <v>10155619</v>
      </c>
      <c r="C110" s="705">
        <f>'Summary - Dollars'!O185</f>
        <v>10155618</v>
      </c>
      <c r="D110" s="700"/>
      <c r="E110" s="700"/>
      <c r="F110" s="700"/>
      <c r="H110" s="756" t="s">
        <v>186</v>
      </c>
      <c r="I110" s="24">
        <f>(INDEX(Data!1117:1117,1,'Summary - Dollars'!$U$1))</f>
        <v>0</v>
      </c>
      <c r="J110" s="24">
        <f>(INDEX(Data!1117:1117,1,'Summary - Dollars'!$U$1+1))</f>
        <v>0</v>
      </c>
    </row>
    <row r="111" spans="1:14">
      <c r="A111" s="79" t="s">
        <v>105</v>
      </c>
      <c r="B111" s="706">
        <f>'Summary - Dollars'!N186</f>
        <v>60455242</v>
      </c>
      <c r="C111" s="705">
        <f>'Summary - Dollars'!O186</f>
        <v>55895241</v>
      </c>
      <c r="D111" s="700"/>
      <c r="E111" s="700"/>
      <c r="F111" s="700"/>
      <c r="H111" s="756" t="s">
        <v>187</v>
      </c>
      <c r="I111" s="24">
        <f>(INDEX(Data!1118:1118,1,'Summary - Dollars'!$U$1))</f>
        <v>0</v>
      </c>
      <c r="J111" s="24">
        <f>(INDEX(Data!1118:1118,1,'Summary - Dollars'!$U$1+1))</f>
        <v>0</v>
      </c>
    </row>
    <row r="112" spans="1:14">
      <c r="A112" s="79" t="s">
        <v>106</v>
      </c>
      <c r="B112" s="706">
        <f>'Summary - Dollars'!N187</f>
        <v>28481478</v>
      </c>
      <c r="C112" s="705">
        <f>'Summary - Dollars'!O187</f>
        <v>28344677</v>
      </c>
      <c r="D112" s="699"/>
      <c r="E112" s="699"/>
      <c r="F112" s="699"/>
      <c r="H112" s="756" t="s">
        <v>188</v>
      </c>
      <c r="I112" s="24">
        <f>(INDEX(Data!1119:1119,1,'Summary - Dollars'!$U$1))</f>
        <v>0</v>
      </c>
      <c r="J112" s="24">
        <f>(INDEX(Data!1119:1119,1,'Summary - Dollars'!$U$1+1))</f>
        <v>0</v>
      </c>
    </row>
    <row r="113" spans="1:10">
      <c r="A113" s="79" t="s">
        <v>107</v>
      </c>
      <c r="B113" s="706">
        <f>'Summary - Dollars'!N188</f>
        <v>7506195</v>
      </c>
      <c r="C113" s="705">
        <f>'Summary - Dollars'!O188</f>
        <v>7506194</v>
      </c>
      <c r="D113" s="700"/>
      <c r="E113" s="700"/>
      <c r="F113" s="700"/>
      <c r="H113" s="757" t="s">
        <v>1264</v>
      </c>
      <c r="I113" s="24">
        <f>(INDEX(Data!1120:1120,1,'Summary - Dollars'!$U$1))</f>
        <v>1873602</v>
      </c>
      <c r="J113" s="24">
        <f>(INDEX(Data!1120:1120,1,'Summary - Dollars'!$U$1+1))</f>
        <v>1873602</v>
      </c>
    </row>
    <row r="114" spans="1:10">
      <c r="A114" s="79" t="s">
        <v>108</v>
      </c>
      <c r="B114" s="706">
        <f>'Summary - Dollars'!N189</f>
        <v>19318491</v>
      </c>
      <c r="C114" s="705">
        <f>'Summary - Dollars'!O189</f>
        <v>19318490</v>
      </c>
      <c r="D114" s="700"/>
      <c r="E114" s="700"/>
      <c r="F114" s="700"/>
      <c r="H114" s="756" t="s">
        <v>189</v>
      </c>
      <c r="I114" s="24">
        <f>(INDEX(Data!1121:1121,1,'Summary - Dollars'!$U$1))</f>
        <v>2591815</v>
      </c>
      <c r="J114" s="24">
        <f>(INDEX(Data!1121:1121,1,'Summary - Dollars'!$U$1+1))</f>
        <v>2591815</v>
      </c>
    </row>
    <row r="115" spans="1:10">
      <c r="A115" s="79" t="s">
        <v>1404</v>
      </c>
      <c r="B115" s="706">
        <f>'Summary - Dollars'!N190</f>
        <v>6381547</v>
      </c>
      <c r="C115" s="705">
        <f>'Summary - Dollars'!O190</f>
        <v>6381546</v>
      </c>
      <c r="D115" s="700"/>
      <c r="E115" s="700"/>
      <c r="F115" s="700"/>
      <c r="H115" s="756" t="s">
        <v>190</v>
      </c>
      <c r="I115" s="24">
        <f>(INDEX(Data!1122:1122,1,'Summary - Dollars'!$U$1))</f>
        <v>282636</v>
      </c>
      <c r="J115" s="24">
        <f>(INDEX(Data!1122:1122,1,'Summary - Dollars'!$U$1+1))</f>
        <v>282636</v>
      </c>
    </row>
    <row r="116" spans="1:10">
      <c r="A116" s="79" t="s">
        <v>110</v>
      </c>
      <c r="B116" s="706">
        <f>'Summary - Dollars'!N191</f>
        <v>3451866</v>
      </c>
      <c r="C116" s="705">
        <f>'Summary - Dollars'!O191</f>
        <v>3451865</v>
      </c>
      <c r="D116" s="700"/>
      <c r="E116" s="700"/>
      <c r="F116" s="700"/>
      <c r="H116" s="1051" t="s">
        <v>1862</v>
      </c>
      <c r="I116" s="1061">
        <f>(INDEX(Data!1123:1123,1,'Summary - Dollars'!$U$1))</f>
        <v>250000</v>
      </c>
      <c r="J116" s="1061">
        <f>(INDEX(Data!1123:1123,1,'Summary - Dollars'!$U$1+1))</f>
        <v>250000</v>
      </c>
    </row>
    <row r="117" spans="1:10">
      <c r="A117" s="79" t="s">
        <v>167</v>
      </c>
      <c r="B117" s="706">
        <f>'Summary - Dollars'!N192</f>
        <v>8113361</v>
      </c>
      <c r="C117" s="705">
        <f>'Summary - Dollars'!O192</f>
        <v>8113361</v>
      </c>
      <c r="D117" s="700"/>
      <c r="E117" s="700"/>
      <c r="F117" s="700"/>
      <c r="H117" s="1051" t="s">
        <v>1863</v>
      </c>
      <c r="I117" s="1061">
        <f>(INDEX(Data!1124:1124,1,'Summary - Dollars'!$U$1))</f>
        <v>115397</v>
      </c>
      <c r="J117" s="1061">
        <f>(INDEX(Data!1124:1124,1,'Summary - Dollars'!$U$1+1))</f>
        <v>115397</v>
      </c>
    </row>
    <row r="118" spans="1:10" ht="25.5">
      <c r="A118" s="79" t="s">
        <v>1410</v>
      </c>
      <c r="B118" s="706">
        <f>'Summary - Dollars'!N193</f>
        <v>8958154</v>
      </c>
      <c r="C118" s="705">
        <f>'Summary - Dollars'!O193</f>
        <v>8958153</v>
      </c>
      <c r="D118" s="700"/>
      <c r="E118" s="700"/>
      <c r="F118" s="700"/>
      <c r="H118" s="755" t="s">
        <v>191</v>
      </c>
      <c r="I118" s="920">
        <f>(INDEX(Data!1125:1125,1,'Summary - Dollars'!$U$1))</f>
        <v>7196194</v>
      </c>
      <c r="J118" s="920">
        <f>(INDEX(Data!1125:1125,1,'Summary - Dollars'!$U$1+1))</f>
        <v>7196194</v>
      </c>
    </row>
    <row r="119" spans="1:10" ht="25.5">
      <c r="A119" s="79" t="s">
        <v>885</v>
      </c>
      <c r="B119" s="706">
        <f>'Summary - Dollars'!N194</f>
        <v>44613000</v>
      </c>
      <c r="C119" s="705">
        <f>'Summary - Dollars'!O194</f>
        <v>44612999</v>
      </c>
      <c r="D119" s="700"/>
      <c r="E119" s="700"/>
      <c r="F119" s="700"/>
      <c r="H119" s="755" t="s">
        <v>192</v>
      </c>
      <c r="I119" s="24">
        <f>(INDEX(Data!1126:1126,1,'Summary - Dollars'!$U$1))</f>
        <v>0</v>
      </c>
      <c r="J119" s="24">
        <f>(INDEX(Data!1126:1126,1,'Summary - Dollars'!$U$1+1))</f>
        <v>0</v>
      </c>
    </row>
    <row r="120" spans="1:10" ht="25.5">
      <c r="A120" s="79" t="s">
        <v>1411</v>
      </c>
      <c r="B120" s="706">
        <f>'Summary - Dollars'!N195</f>
        <v>114623533</v>
      </c>
      <c r="C120" s="705">
        <f>'Summary - Dollars'!O195</f>
        <v>114623532</v>
      </c>
      <c r="D120" s="700"/>
      <c r="E120" s="700"/>
      <c r="F120" s="700"/>
      <c r="H120" s="756" t="s">
        <v>193</v>
      </c>
      <c r="I120" s="24">
        <f>(INDEX(Data!1127:1127,1,'Summary - Dollars'!$U$1))</f>
        <v>0</v>
      </c>
      <c r="J120" s="24">
        <f>(INDEX(Data!1127:1127,1,'Summary - Dollars'!$U$1+1))</f>
        <v>0</v>
      </c>
    </row>
    <row r="121" spans="1:10">
      <c r="A121" s="79" t="s">
        <v>114</v>
      </c>
      <c r="B121" s="706">
        <f>'Summary - Dollars'!N196</f>
        <v>20791314</v>
      </c>
      <c r="C121" s="705">
        <f>'Summary - Dollars'!O196</f>
        <v>20791312</v>
      </c>
      <c r="D121" s="700"/>
      <c r="E121" s="700"/>
      <c r="F121" s="700"/>
      <c r="H121" s="756" t="s">
        <v>194</v>
      </c>
      <c r="I121" s="24">
        <f>(INDEX(Data!1128:1128,1,'Summary - Dollars'!$U$1))</f>
        <v>0</v>
      </c>
      <c r="J121" s="24">
        <f>(INDEX(Data!1128:1128,1,'Summary - Dollars'!$U$1+1))</f>
        <v>0</v>
      </c>
    </row>
    <row r="122" spans="1:10">
      <c r="A122" s="79" t="s">
        <v>1412</v>
      </c>
      <c r="B122" s="706">
        <f>'Summary - Dollars'!N197</f>
        <v>39162659</v>
      </c>
      <c r="C122" s="705">
        <f>'Summary - Dollars'!O197</f>
        <v>39162657</v>
      </c>
      <c r="D122" s="700"/>
      <c r="E122" s="700"/>
      <c r="F122" s="700"/>
      <c r="H122" s="756" t="s">
        <v>195</v>
      </c>
      <c r="I122" s="24">
        <f>(INDEX(Data!1129:1129,1,'Summary - Dollars'!$U$1))</f>
        <v>0</v>
      </c>
      <c r="J122" s="24">
        <f>(INDEX(Data!1129:1129,1,'Summary - Dollars'!$U$1+1))</f>
        <v>0</v>
      </c>
    </row>
    <row r="123" spans="1:10">
      <c r="A123" s="79" t="s">
        <v>116</v>
      </c>
      <c r="B123" s="706">
        <f>'Summary - Dollars'!N198</f>
        <v>3023661</v>
      </c>
      <c r="C123" s="705">
        <f>'Summary - Dollars'!O198</f>
        <v>3023661</v>
      </c>
      <c r="D123" s="700"/>
      <c r="E123" s="700"/>
      <c r="F123" s="700"/>
      <c r="H123" s="756" t="s">
        <v>196</v>
      </c>
      <c r="I123" s="24">
        <f>(INDEX(Data!1130:1130,1,'Summary - Dollars'!$U$1))</f>
        <v>0</v>
      </c>
      <c r="J123" s="24">
        <f>(INDEX(Data!1130:1130,1,'Summary - Dollars'!$U$1+1))</f>
        <v>0</v>
      </c>
    </row>
    <row r="124" spans="1:10">
      <c r="A124" s="79" t="s">
        <v>117</v>
      </c>
      <c r="B124" s="706">
        <f>'Summary - Dollars'!N199</f>
        <v>5472035</v>
      </c>
      <c r="C124" s="705">
        <f>'Summary - Dollars'!O199</f>
        <v>5472034</v>
      </c>
      <c r="D124" s="700"/>
      <c r="E124" s="700"/>
      <c r="F124" s="700"/>
      <c r="H124" s="756" t="s">
        <v>197</v>
      </c>
      <c r="I124" s="24">
        <f>(INDEX(Data!1131:1131,1,'Summary - Dollars'!$U$1))</f>
        <v>500000</v>
      </c>
      <c r="J124" s="24">
        <f>(INDEX(Data!1131:1131,1,'Summary - Dollars'!$U$1+1))</f>
        <v>500000</v>
      </c>
    </row>
    <row r="125" spans="1:10">
      <c r="A125" s="79" t="s">
        <v>1406</v>
      </c>
      <c r="B125" s="706">
        <f>'Summary - Dollars'!N200</f>
        <v>8716458</v>
      </c>
      <c r="C125" s="705">
        <f>'Summary - Dollars'!O200</f>
        <v>8716458</v>
      </c>
      <c r="D125" s="700"/>
      <c r="E125" s="700"/>
      <c r="F125" s="700"/>
      <c r="H125" s="756" t="s">
        <v>198</v>
      </c>
      <c r="I125" s="24">
        <f>(INDEX(Data!1132:1132,1,'Summary - Dollars'!$U$1))</f>
        <v>0</v>
      </c>
      <c r="J125" s="24">
        <f>(INDEX(Data!1132:1132,1,'Summary - Dollars'!$U$1+1))</f>
        <v>0</v>
      </c>
    </row>
    <row r="126" spans="1:10">
      <c r="A126" s="79" t="s">
        <v>119</v>
      </c>
      <c r="B126" s="706">
        <f>'Summary - Dollars'!N201</f>
        <v>8265218</v>
      </c>
      <c r="C126" s="705">
        <f>'Summary - Dollars'!O201</f>
        <v>8265217</v>
      </c>
      <c r="D126" s="700"/>
      <c r="E126" s="700"/>
      <c r="F126" s="700"/>
      <c r="H126" s="756" t="s">
        <v>199</v>
      </c>
      <c r="I126" s="24">
        <f>(INDEX(Data!1133:1133,1,'Summary - Dollars'!$U$1))</f>
        <v>0</v>
      </c>
      <c r="J126" s="24">
        <f>(INDEX(Data!1133:1133,1,'Summary - Dollars'!$U$1+1))</f>
        <v>0</v>
      </c>
    </row>
    <row r="127" spans="1:10">
      <c r="A127" s="79" t="s">
        <v>120</v>
      </c>
      <c r="B127" s="706">
        <f>'Summary - Dollars'!N202</f>
        <v>80986878</v>
      </c>
      <c r="C127" s="705">
        <f>'Summary - Dollars'!O202</f>
        <v>80986876</v>
      </c>
      <c r="D127" s="700"/>
      <c r="E127" s="700"/>
      <c r="F127" s="700"/>
      <c r="H127" s="756" t="s">
        <v>200</v>
      </c>
      <c r="I127" s="24">
        <f>(INDEX(Data!1134:1134,1,'Summary - Dollars'!$U$1))</f>
        <v>0</v>
      </c>
      <c r="J127" s="24">
        <f>(INDEX(Data!1134:1134,1,'Summary - Dollars'!$U$1+1))</f>
        <v>0</v>
      </c>
    </row>
    <row r="128" spans="1:10">
      <c r="A128" s="79" t="s">
        <v>1415</v>
      </c>
      <c r="B128" s="706">
        <f>'Summary - Dollars'!N203</f>
        <v>11856414</v>
      </c>
      <c r="C128" s="705">
        <f>'Summary - Dollars'!O203</f>
        <v>11856413</v>
      </c>
      <c r="D128" s="700"/>
      <c r="E128" s="700"/>
      <c r="F128" s="700"/>
      <c r="H128" s="755" t="s">
        <v>201</v>
      </c>
      <c r="I128" s="24">
        <f>(INDEX(Data!1135:1135,1,'Summary - Dollars'!$U$1))</f>
        <v>580123673</v>
      </c>
      <c r="J128" s="24">
        <f>(INDEX(Data!1135:1135,1,'Summary - Dollars'!$U$1+1))</f>
        <v>579923674</v>
      </c>
    </row>
    <row r="129" spans="1:10">
      <c r="A129" s="79" t="s">
        <v>122</v>
      </c>
      <c r="B129" s="706">
        <f>'Summary - Dollars'!N204</f>
        <v>11710383</v>
      </c>
      <c r="C129" s="705">
        <f>'Summary - Dollars'!O204</f>
        <v>11710382</v>
      </c>
      <c r="D129" s="700"/>
      <c r="E129" s="700"/>
      <c r="F129" s="700"/>
      <c r="H129" s="758" t="s">
        <v>202</v>
      </c>
      <c r="I129" s="24">
        <f>(INDEX(Data!1136:1136,1,'Summary - Dollars'!$U$1))</f>
        <v>9404639</v>
      </c>
      <c r="J129" s="24">
        <f>(INDEX(Data!1136:1136,1,'Summary - Dollars'!$U$1+1))</f>
        <v>9404639</v>
      </c>
    </row>
    <row r="130" spans="1:10">
      <c r="A130" s="79" t="s">
        <v>123</v>
      </c>
      <c r="B130" s="706">
        <f>'Summary - Dollars'!N205</f>
        <v>15127755</v>
      </c>
      <c r="C130" s="705">
        <f>'Summary - Dollars'!O205</f>
        <v>15127754</v>
      </c>
      <c r="D130" s="700"/>
      <c r="E130" s="700"/>
      <c r="F130" s="700"/>
      <c r="H130" s="1096" t="s">
        <v>1929</v>
      </c>
      <c r="I130" s="24">
        <f>(INDEX(Data!1137:1137,1,'Summary - Dollars'!$U$1))</f>
        <v>44236458</v>
      </c>
      <c r="J130" s="24">
        <f>(INDEX(Data!1137:1137,1,'Summary - Dollars'!$U$1+1))</f>
        <v>44236459</v>
      </c>
    </row>
    <row r="131" spans="1:10">
      <c r="A131" s="79" t="s">
        <v>174</v>
      </c>
      <c r="B131" s="706">
        <f>'Summary - Dollars'!N206</f>
        <v>12659974</v>
      </c>
      <c r="C131" s="705">
        <f>'Summary - Dollars'!O206</f>
        <v>12659972</v>
      </c>
      <c r="D131" s="700"/>
      <c r="E131" s="700"/>
      <c r="F131" s="700"/>
      <c r="H131" s="949" t="s">
        <v>1864</v>
      </c>
      <c r="I131" s="1061">
        <f>(INDEX(Data!1138:1138,1,'Summary - Dollars'!$U$1))</f>
        <v>3759692</v>
      </c>
      <c r="J131" s="1061">
        <f>(INDEX(Data!1138:1138,1,'Summary - Dollars'!$U$1+1))</f>
        <v>3759692</v>
      </c>
    </row>
    <row r="132" spans="1:10">
      <c r="A132" s="79" t="s">
        <v>892</v>
      </c>
      <c r="B132" s="706">
        <f>'Summary - Dollars'!N207</f>
        <v>90176300</v>
      </c>
      <c r="C132" s="705">
        <f>'Summary - Dollars'!O207</f>
        <v>90176299</v>
      </c>
      <c r="D132" s="700"/>
      <c r="E132" s="700"/>
      <c r="F132" s="700"/>
      <c r="H132" s="758" t="s">
        <v>204</v>
      </c>
      <c r="I132" s="24">
        <f>(INDEX(Data!1139:1139,1,'Summary - Dollars'!$U$1))</f>
        <v>89305147</v>
      </c>
      <c r="J132" s="24">
        <f>(INDEX(Data!1139:1139,1,'Summary - Dollars'!$U$1+1))</f>
        <v>89305147</v>
      </c>
    </row>
    <row r="133" spans="1:10">
      <c r="A133" s="79" t="s">
        <v>126</v>
      </c>
      <c r="B133" s="706">
        <f>'Summary - Dollars'!N208</f>
        <v>15591347</v>
      </c>
      <c r="C133" s="705">
        <f>'Summary - Dollars'!O208</f>
        <v>15591347</v>
      </c>
      <c r="D133" s="700"/>
      <c r="E133" s="700"/>
      <c r="F133" s="700"/>
      <c r="H133" s="761" t="s">
        <v>205</v>
      </c>
      <c r="I133" s="24">
        <f>(INDEX(Data!1140:1140,1,'Summary - Dollars'!$U$1))</f>
        <v>433217737</v>
      </c>
      <c r="J133" s="24">
        <f>(INDEX(Data!1140:1140,1,'Summary - Dollars'!$U$1+1))</f>
        <v>433217737</v>
      </c>
    </row>
    <row r="134" spans="1:10">
      <c r="A134" s="79" t="s">
        <v>127</v>
      </c>
      <c r="B134" s="706">
        <f>'Summary - Dollars'!N209</f>
        <v>10197782</v>
      </c>
      <c r="C134" s="705">
        <f>'Summary - Dollars'!O209</f>
        <v>10197779</v>
      </c>
      <c r="D134" s="700"/>
      <c r="E134" s="700"/>
      <c r="F134" s="700"/>
      <c r="H134" s="758" t="s">
        <v>206</v>
      </c>
      <c r="I134" s="24">
        <f>(INDEX(Data!1141:1141,1,'Summary - Dollars'!$U$1))</f>
        <v>0</v>
      </c>
      <c r="J134" s="24">
        <f>(INDEX(Data!1141:1141,1,'Summary - Dollars'!$U$1+1))</f>
        <v>0</v>
      </c>
    </row>
    <row r="135" spans="1:10">
      <c r="A135" s="79" t="s">
        <v>128</v>
      </c>
      <c r="B135" s="706">
        <f>'Summary - Dollars'!N210</f>
        <v>15214595</v>
      </c>
      <c r="C135" s="705">
        <f>'Summary - Dollars'!O210</f>
        <v>15214593</v>
      </c>
      <c r="D135" s="700"/>
      <c r="E135" s="700"/>
      <c r="F135" s="700"/>
      <c r="H135" s="949" t="s">
        <v>1865</v>
      </c>
      <c r="I135" s="1061">
        <f>(INDEX(Data!1142:1142,1,'Summary - Dollars'!$U$1))</f>
        <v>200000</v>
      </c>
      <c r="J135" s="1061">
        <f>(INDEX(Data!1142:1142,1,'Summary - Dollars'!$U$1+1))</f>
        <v>0</v>
      </c>
    </row>
    <row r="136" spans="1:10">
      <c r="A136" s="79" t="s">
        <v>1405</v>
      </c>
      <c r="B136" s="706">
        <f>'Summary - Dollars'!N211</f>
        <v>13442020</v>
      </c>
      <c r="C136" s="705">
        <f>'Summary - Dollars'!O211</f>
        <v>13442020</v>
      </c>
      <c r="D136" s="700"/>
      <c r="E136" s="700"/>
      <c r="F136" s="700"/>
      <c r="H136" s="756" t="s">
        <v>207</v>
      </c>
      <c r="I136" s="24">
        <f>(INDEX(Data!1143:1143,1,'Summary - Dollars'!$U$1))</f>
        <v>0</v>
      </c>
      <c r="J136" s="24">
        <f>(INDEX(Data!1143:1143,1,'Summary - Dollars'!$U$1+1))</f>
        <v>0</v>
      </c>
    </row>
    <row r="137" spans="1:10">
      <c r="A137" s="79" t="s">
        <v>1413</v>
      </c>
      <c r="B137" s="706">
        <f>'Summary - Dollars'!N212</f>
        <v>6001970</v>
      </c>
      <c r="C137" s="705">
        <f>'Summary - Dollars'!O212</f>
        <v>6001969</v>
      </c>
      <c r="D137" s="700"/>
      <c r="E137" s="700"/>
      <c r="F137" s="700"/>
      <c r="H137" s="756" t="s">
        <v>208</v>
      </c>
      <c r="I137" s="24">
        <f>(INDEX(Data!1144:1144,1,'Summary - Dollars'!$U$1))</f>
        <v>0</v>
      </c>
      <c r="J137" s="24">
        <f>(INDEX(Data!1144:1144,1,'Summary - Dollars'!$U$1+1))</f>
        <v>0</v>
      </c>
    </row>
    <row r="138" spans="1:10">
      <c r="A138" s="79" t="s">
        <v>131</v>
      </c>
      <c r="B138" s="706">
        <f>'Summary - Dollars'!N213</f>
        <v>11878760</v>
      </c>
      <c r="C138" s="705">
        <f>'Summary - Dollars'!O213</f>
        <v>11878759</v>
      </c>
      <c r="D138" s="700"/>
      <c r="E138" s="700"/>
      <c r="F138" s="700"/>
      <c r="H138" s="756" t="s">
        <v>209</v>
      </c>
      <c r="I138" s="24">
        <f>(INDEX(Data!1145:1145,1,'Summary - Dollars'!$U$1))</f>
        <v>0</v>
      </c>
      <c r="J138" s="24">
        <f>(INDEX(Data!1145:1145,1,'Summary - Dollars'!$U$1+1))</f>
        <v>0</v>
      </c>
    </row>
    <row r="139" spans="1:10">
      <c r="A139" s="79" t="s">
        <v>132</v>
      </c>
      <c r="B139" s="706">
        <f>'Summary - Dollars'!N214</f>
        <v>5859569</v>
      </c>
      <c r="C139" s="705">
        <f>'Summary - Dollars'!O214</f>
        <v>5859568</v>
      </c>
      <c r="D139" s="700"/>
      <c r="E139" s="700"/>
      <c r="F139" s="700"/>
      <c r="H139" s="761" t="s">
        <v>210</v>
      </c>
      <c r="I139" s="24">
        <f>(INDEX(Data!1146:1146,1,'Summary - Dollars'!$U$1))</f>
        <v>0</v>
      </c>
      <c r="J139" s="24">
        <f>(INDEX(Data!1146:1146,1,'Summary - Dollars'!$U$1+1))</f>
        <v>0</v>
      </c>
    </row>
    <row r="140" spans="1:10">
      <c r="A140" s="79" t="s">
        <v>133</v>
      </c>
      <c r="B140" s="706">
        <f>'Summary - Dollars'!N215</f>
        <v>9303715</v>
      </c>
      <c r="C140" s="705">
        <f>'Summary - Dollars'!O215</f>
        <v>9303713</v>
      </c>
      <c r="D140" s="700"/>
      <c r="E140" s="700"/>
      <c r="F140" s="700"/>
      <c r="H140" s="756" t="s">
        <v>211</v>
      </c>
      <c r="I140" s="24">
        <f>(INDEX(Data!1147:1147,1,'Summary - Dollars'!$U$1))</f>
        <v>3420000</v>
      </c>
      <c r="J140" s="24">
        <f>(INDEX(Data!1147:1147,1,'Summary - Dollars'!$U$1+1))</f>
        <v>3420000</v>
      </c>
    </row>
    <row r="141" spans="1:10">
      <c r="A141" s="79" t="s">
        <v>134</v>
      </c>
      <c r="B141" s="706">
        <f>'Summary - Dollars'!N216</f>
        <v>4370353</v>
      </c>
      <c r="C141" s="705">
        <f>'Summary - Dollars'!O216</f>
        <v>4370352</v>
      </c>
      <c r="D141" s="700"/>
      <c r="E141" s="700"/>
      <c r="F141" s="700"/>
      <c r="H141" s="757" t="s">
        <v>1000</v>
      </c>
      <c r="I141" s="24">
        <f>(INDEX(Data!1148:1148,1,'Summary - Dollars'!$U$1))</f>
        <v>0</v>
      </c>
      <c r="J141" s="24">
        <f>(INDEX(Data!1148:1148,1,'Summary - Dollars'!$U$1+1))</f>
        <v>0</v>
      </c>
    </row>
    <row r="142" spans="1:10">
      <c r="A142" s="79" t="s">
        <v>1414</v>
      </c>
      <c r="B142" s="706">
        <f>'Summary - Dollars'!N217</f>
        <v>50394661</v>
      </c>
      <c r="C142" s="705">
        <f>'Summary - Dollars'!O217</f>
        <v>50394661</v>
      </c>
      <c r="D142" s="700"/>
      <c r="E142" s="700"/>
      <c r="F142" s="700"/>
      <c r="H142" s="756" t="s">
        <v>212</v>
      </c>
      <c r="I142" s="24">
        <f>(INDEX(Data!1149:1149,1,'Summary - Dollars'!$U$1))</f>
        <v>0</v>
      </c>
      <c r="J142" s="24">
        <f>(INDEX(Data!1149:1149,1,'Summary - Dollars'!$U$1+1))</f>
        <v>0</v>
      </c>
    </row>
    <row r="143" spans="1:10">
      <c r="A143" s="79" t="s">
        <v>136</v>
      </c>
      <c r="B143" s="706">
        <f>'Summary - Dollars'!N218</f>
        <v>17104445</v>
      </c>
      <c r="C143" s="705">
        <f>'Summary - Dollars'!O218</f>
        <v>17104444</v>
      </c>
      <c r="D143" s="700"/>
      <c r="E143" s="700"/>
      <c r="F143" s="700"/>
      <c r="H143" s="756" t="s">
        <v>213</v>
      </c>
      <c r="I143" s="24">
        <f>(INDEX(Data!1150:1150,1,'Summary - Dollars'!$U$1))</f>
        <v>0</v>
      </c>
      <c r="J143" s="24">
        <f>(INDEX(Data!1150:1150,1,'Summary - Dollars'!$U$1+1))</f>
        <v>0</v>
      </c>
    </row>
    <row r="144" spans="1:10">
      <c r="A144" s="79" t="s">
        <v>137</v>
      </c>
      <c r="B144" s="706">
        <f>'Summary - Dollars'!N219</f>
        <v>47751868</v>
      </c>
      <c r="C144" s="705">
        <f>'Summary - Dollars'!O219</f>
        <v>47751866</v>
      </c>
      <c r="D144" s="700"/>
      <c r="E144" s="700"/>
      <c r="F144" s="700"/>
      <c r="H144" s="757" t="s">
        <v>753</v>
      </c>
      <c r="I144" s="24">
        <f>(INDEX(Data!1151:1151,1,'Summary - Dollars'!$U$1))</f>
        <v>0</v>
      </c>
      <c r="J144" s="24">
        <f>(INDEX(Data!1151:1151,1,'Summary - Dollars'!$U$1+1))</f>
        <v>0</v>
      </c>
    </row>
    <row r="145" spans="1:10">
      <c r="A145" s="79" t="s">
        <v>138</v>
      </c>
      <c r="B145" s="706">
        <f>'Summary - Dollars'!N220</f>
        <v>10003183</v>
      </c>
      <c r="C145" s="705">
        <f>'Summary - Dollars'!O220</f>
        <v>10003182</v>
      </c>
      <c r="D145" s="700"/>
      <c r="E145" s="700"/>
      <c r="F145" s="700"/>
      <c r="H145" s="757" t="s">
        <v>1697</v>
      </c>
      <c r="I145" s="24">
        <f>(INDEX(Data!1153:1153,1,'Summary - Dollars'!$U$1))</f>
        <v>0</v>
      </c>
      <c r="J145" s="24">
        <f>(INDEX(Data!1153:1153,1,'Summary - Dollars'!$U$1+1))</f>
        <v>0</v>
      </c>
    </row>
    <row r="146" spans="1:10">
      <c r="A146" s="79" t="s">
        <v>1408</v>
      </c>
      <c r="B146" s="706">
        <f>'Summary - Dollars'!N221</f>
        <v>70979769</v>
      </c>
      <c r="C146" s="705">
        <f>'Summary - Dollars'!O221</f>
        <v>70979768</v>
      </c>
      <c r="D146" s="700"/>
      <c r="E146" s="700"/>
      <c r="F146" s="700"/>
      <c r="H146" s="755" t="s">
        <v>215</v>
      </c>
      <c r="I146" s="920">
        <f>(INDEX(Data!1154:1154,1,'Summary - Dollars'!$U$1))</f>
        <v>584309698</v>
      </c>
      <c r="J146" s="920">
        <f>(INDEX(Data!1154:1154,1,'Summary - Dollars'!$U$1+1))</f>
        <v>584039698</v>
      </c>
    </row>
    <row r="147" spans="1:10">
      <c r="A147" s="79" t="s">
        <v>1409</v>
      </c>
      <c r="B147" s="706">
        <f>'Summary - Dollars'!N222</f>
        <v>8627081</v>
      </c>
      <c r="C147" s="705">
        <f>'Summary - Dollars'!O222</f>
        <v>8627079</v>
      </c>
      <c r="D147" s="700"/>
      <c r="E147" s="700"/>
      <c r="F147" s="700"/>
      <c r="H147" s="961" t="s">
        <v>1873</v>
      </c>
      <c r="I147" s="920"/>
      <c r="J147" s="920"/>
    </row>
    <row r="148" spans="1:10">
      <c r="A148" s="79" t="s">
        <v>141</v>
      </c>
      <c r="B148" s="706">
        <f>'Summary - Dollars'!N223</f>
        <v>9098841</v>
      </c>
      <c r="C148" s="705">
        <f>'Summary - Dollars'!O223</f>
        <v>9098839</v>
      </c>
      <c r="D148" s="700"/>
      <c r="E148" s="700"/>
      <c r="F148" s="700"/>
      <c r="H148" s="1051" t="s">
        <v>1697</v>
      </c>
      <c r="I148" s="925">
        <f>(INDEX(Data!1156:1156,1,'Summary - Dollars'!$U$1))</f>
        <v>2000000</v>
      </c>
      <c r="J148" s="925">
        <f>(INDEX(Data!1156:1156,1,'Summary - Dollars'!$U$1+1))</f>
        <v>2000000</v>
      </c>
    </row>
    <row r="149" spans="1:10">
      <c r="A149" s="79" t="s">
        <v>142</v>
      </c>
      <c r="B149" s="706">
        <f>'Summary - Dollars'!N224</f>
        <v>9268823</v>
      </c>
      <c r="C149" s="705">
        <f>'Summary - Dollars'!O224</f>
        <v>9268821</v>
      </c>
      <c r="D149" s="700"/>
      <c r="E149" s="700"/>
      <c r="F149" s="700"/>
      <c r="H149" s="953" t="s">
        <v>1866</v>
      </c>
      <c r="I149" s="925">
        <f>(INDEX(Data!1162:1162,1,'Summary - Dollars'!$U$1))</f>
        <v>300000</v>
      </c>
      <c r="J149" s="925">
        <f>(INDEX(Data!1162:1162,1,'Summary - Dollars'!$U$1+1))</f>
        <v>0</v>
      </c>
    </row>
    <row r="150" spans="1:10">
      <c r="A150" s="79" t="s">
        <v>143</v>
      </c>
      <c r="B150" s="706">
        <f>'Summary - Dollars'!N225</f>
        <v>13969124</v>
      </c>
      <c r="C150" s="705">
        <f>'Summary - Dollars'!O225</f>
        <v>13969123</v>
      </c>
      <c r="D150" s="700"/>
      <c r="E150" s="700"/>
      <c r="F150" s="700"/>
      <c r="H150" s="961" t="s">
        <v>1867</v>
      </c>
      <c r="I150" s="920">
        <f>(INDEX(Data!1163:1163,1,'Summary - Dollars'!$U$1))</f>
        <v>4068000</v>
      </c>
      <c r="J150" s="920">
        <f>(INDEX(Data!1163:1163,1,'Summary - Dollars'!$U$1+1))</f>
        <v>3768000</v>
      </c>
    </row>
    <row r="151" spans="1:10">
      <c r="A151" s="79" t="s">
        <v>144</v>
      </c>
      <c r="B151" s="706">
        <f>'Summary - Dollars'!N226</f>
        <v>21959427</v>
      </c>
      <c r="C151" s="705">
        <f>'Summary - Dollars'!O226</f>
        <v>21959425</v>
      </c>
      <c r="D151" s="700"/>
      <c r="E151" s="700"/>
      <c r="F151" s="700"/>
      <c r="H151" s="968" t="s">
        <v>1874</v>
      </c>
      <c r="I151" s="920"/>
      <c r="J151" s="920"/>
    </row>
    <row r="152" spans="1:10">
      <c r="A152" s="79" t="s">
        <v>180</v>
      </c>
      <c r="B152" s="706">
        <f>'Summary - Dollars'!N227</f>
        <v>6533910</v>
      </c>
      <c r="C152" s="705">
        <f>'Summary - Dollars'!O227</f>
        <v>6533909</v>
      </c>
      <c r="D152" s="700"/>
      <c r="E152" s="700"/>
      <c r="F152" s="700"/>
      <c r="H152" s="1030" t="s">
        <v>198</v>
      </c>
      <c r="I152" s="925">
        <f>(INDEX(Data!1165:1165,1,'Summary - Dollars'!$U$1))</f>
        <v>1337500</v>
      </c>
      <c r="J152" s="925">
        <f>(INDEX(Data!1165:1165,1,'Summary - Dollars'!$U$1+1))</f>
        <v>1337500</v>
      </c>
    </row>
    <row r="153" spans="1:10">
      <c r="A153" s="79" t="s">
        <v>146</v>
      </c>
      <c r="B153" s="706">
        <f>'Summary - Dollars'!N228</f>
        <v>7078243</v>
      </c>
      <c r="C153" s="705">
        <f>'Summary - Dollars'!O228</f>
        <v>7078241</v>
      </c>
      <c r="D153" s="700"/>
      <c r="E153" s="700"/>
      <c r="F153" s="700"/>
      <c r="H153" s="1051" t="s">
        <v>1869</v>
      </c>
      <c r="I153" s="925">
        <f>(INDEX(Data!1166:1166,1,'Summary - Dollars'!$U$1))</f>
        <v>1287500</v>
      </c>
      <c r="J153" s="925">
        <f>(INDEX(Data!1166:1166,1,'Summary - Dollars'!$U$1+1))</f>
        <v>1287500</v>
      </c>
    </row>
    <row r="154" spans="1:10">
      <c r="A154" s="79" t="s">
        <v>147</v>
      </c>
      <c r="B154" s="706">
        <f>'Summary - Dollars'!N229</f>
        <v>10799559</v>
      </c>
      <c r="C154" s="705">
        <f>'Summary - Dollars'!O229</f>
        <v>10799559</v>
      </c>
      <c r="D154" s="700"/>
      <c r="E154" s="700"/>
      <c r="F154" s="700"/>
      <c r="H154" s="1051" t="s">
        <v>1931</v>
      </c>
      <c r="I154" s="925">
        <f>(INDEX(Data!1167:1167,1,'Summary - Dollars'!$U$1))</f>
        <v>1250000</v>
      </c>
      <c r="J154" s="925">
        <f>(INDEX(Data!1167:1167,1,'Summary - Dollars'!$U$1+1))</f>
        <v>1250000</v>
      </c>
    </row>
    <row r="155" spans="1:10">
      <c r="A155" s="79" t="s">
        <v>148</v>
      </c>
      <c r="B155" s="706">
        <f>'Summary - Dollars'!N230</f>
        <v>4731724</v>
      </c>
      <c r="C155" s="705">
        <f>'Summary - Dollars'!O230</f>
        <v>4731723</v>
      </c>
      <c r="D155" s="700"/>
      <c r="E155" s="700"/>
      <c r="F155" s="700"/>
      <c r="H155" s="1051" t="s">
        <v>1870</v>
      </c>
      <c r="I155" s="925">
        <f>(INDEX(Data!1169:1169,1,'Summary - Dollars'!$U$1))</f>
        <v>137003</v>
      </c>
      <c r="J155" s="925">
        <f>(INDEX(Data!1169:1169,1,'Summary - Dollars'!$U$1+1))</f>
        <v>4096344</v>
      </c>
    </row>
    <row r="156" spans="1:10">
      <c r="A156" s="79" t="s">
        <v>149</v>
      </c>
      <c r="B156" s="706">
        <f>'Summary - Dollars'!N231</f>
        <v>11678103</v>
      </c>
      <c r="C156" s="705">
        <f>'Summary - Dollars'!O231</f>
        <v>11678102</v>
      </c>
      <c r="D156" s="700"/>
      <c r="E156" s="700"/>
      <c r="F156" s="700"/>
      <c r="H156" s="985" t="s">
        <v>1875</v>
      </c>
      <c r="I156" s="920">
        <f>(INDEX(Data!1170:1170,1,'Summary - Dollars'!$U$1))</f>
        <v>4762003</v>
      </c>
      <c r="J156" s="920">
        <f>(INDEX(Data!1170:1170,1,'Summary - Dollars'!$U$1+1))</f>
        <v>8721344</v>
      </c>
    </row>
    <row r="157" spans="1:10">
      <c r="A157" s="113" t="s">
        <v>77</v>
      </c>
      <c r="B157" s="712">
        <f>'Summary - Dollars'!N232</f>
        <v>1120288653</v>
      </c>
      <c r="C157" s="711">
        <f>'Summary - Dollars'!O232</f>
        <v>1115591805</v>
      </c>
      <c r="D157" s="720">
        <f>I76+M101</f>
        <v>1120288653</v>
      </c>
      <c r="E157" s="766">
        <f>B157-D157</f>
        <v>0</v>
      </c>
      <c r="F157" s="721">
        <f t="shared" ref="F157" si="33">C157-G157</f>
        <v>0</v>
      </c>
      <c r="G157" s="720">
        <f>J76+N101</f>
        <v>1115591805</v>
      </c>
      <c r="H157" s="755" t="s">
        <v>216</v>
      </c>
      <c r="I157" s="24">
        <f>(INDEX(Data!1171:1171,1,'Summary - Dollars'!$U$1))</f>
        <v>0</v>
      </c>
      <c r="J157" s="24">
        <f>(INDEX(Data!1171:1171,1,'Summary - Dollars'!$U$1+1))</f>
        <v>0</v>
      </c>
    </row>
    <row r="158" spans="1:10">
      <c r="A158" s="120" t="s">
        <v>27</v>
      </c>
      <c r="B158" s="706">
        <f>'Summary - Dollars'!N233</f>
        <v>0</v>
      </c>
      <c r="C158" s="705">
        <f>'Summary - Dollars'!O233</f>
        <v>0</v>
      </c>
      <c r="D158" s="700"/>
      <c r="E158" s="700"/>
      <c r="F158" s="700"/>
      <c r="H158" s="756" t="s">
        <v>268</v>
      </c>
      <c r="I158" s="24">
        <f>(INDEX(Data!1172:1172,1,'Summary - Dollars'!$U$1))</f>
        <v>0</v>
      </c>
      <c r="J158" s="24">
        <f>(INDEX(Data!1172:1172,1,'Summary - Dollars'!$U$1+1))</f>
        <v>0</v>
      </c>
    </row>
    <row r="159" spans="1:10">
      <c r="A159" s="92" t="s">
        <v>790</v>
      </c>
      <c r="B159" s="706">
        <f>'Summary - Dollars'!N234</f>
        <v>7196194</v>
      </c>
      <c r="C159" s="705">
        <f>'Summary - Dollars'!O234</f>
        <v>7196194</v>
      </c>
      <c r="D159" s="720">
        <f>I118</f>
        <v>7196194</v>
      </c>
      <c r="E159" s="766">
        <f t="shared" ref="E159:E163" si="34">B159-D159</f>
        <v>0</v>
      </c>
      <c r="F159" s="721">
        <f t="shared" ref="F159:F163" si="35">C159-G159</f>
        <v>0</v>
      </c>
      <c r="G159" s="720">
        <f>J118</f>
        <v>7196194</v>
      </c>
      <c r="H159" s="757" t="s">
        <v>753</v>
      </c>
      <c r="I159" s="24">
        <f>(INDEX(Data!1173:1173,1,'Summary - Dollars'!$U$1))</f>
        <v>17500000</v>
      </c>
      <c r="J159" s="24">
        <f>(INDEX(Data!1173:1173,1,'Summary - Dollars'!$U$1+1))</f>
        <v>17500000</v>
      </c>
    </row>
    <row r="160" spans="1:10">
      <c r="A160" s="92" t="s">
        <v>791</v>
      </c>
      <c r="B160" s="706">
        <f>'Summary - Dollars'!N235</f>
        <v>584309698</v>
      </c>
      <c r="C160" s="705">
        <f>'Summary - Dollars'!O235</f>
        <v>584039698</v>
      </c>
      <c r="D160" s="720">
        <f>I146</f>
        <v>584309698</v>
      </c>
      <c r="E160" s="766">
        <f t="shared" si="34"/>
        <v>0</v>
      </c>
      <c r="F160" s="721">
        <f t="shared" si="35"/>
        <v>0</v>
      </c>
      <c r="G160" s="720">
        <f>J146</f>
        <v>584039698</v>
      </c>
      <c r="H160" s="755" t="s">
        <v>219</v>
      </c>
      <c r="I160" s="920">
        <f>(INDEX(Data!1175:1175,1,'Summary - Dollars'!$U$1))</f>
        <v>21400000</v>
      </c>
      <c r="J160" s="920">
        <f>(INDEX(Data!1175:1175,1,'Summary - Dollars'!$U$1+1))</f>
        <v>21400000</v>
      </c>
    </row>
    <row r="161" spans="1:10">
      <c r="A161" s="92" t="s">
        <v>1873</v>
      </c>
      <c r="B161" s="706">
        <f>'Summary - Dollars'!N236</f>
        <v>4068000</v>
      </c>
      <c r="C161" s="705">
        <f>'Summary - Dollars'!O236</f>
        <v>3768000</v>
      </c>
      <c r="D161" s="720">
        <f>I150</f>
        <v>4068000</v>
      </c>
      <c r="E161" s="766">
        <f t="shared" ref="E161" si="36">B161-D161</f>
        <v>0</v>
      </c>
      <c r="F161" s="721">
        <f t="shared" ref="F161" si="37">C161-G161</f>
        <v>0</v>
      </c>
      <c r="G161" s="720">
        <f>J150</f>
        <v>3768000</v>
      </c>
      <c r="H161" s="755" t="s">
        <v>220</v>
      </c>
      <c r="I161" s="24">
        <f>(INDEX(Data!1176:1176,1,'Summary - Dollars'!$U$1))</f>
        <v>0</v>
      </c>
      <c r="J161" s="24">
        <f>(INDEX(Data!1176:1176,1,'Summary - Dollars'!$U$1+1))</f>
        <v>0</v>
      </c>
    </row>
    <row r="162" spans="1:10">
      <c r="A162" s="92" t="s">
        <v>792</v>
      </c>
      <c r="B162" s="706">
        <f>'Summary - Dollars'!N237</f>
        <v>21400000</v>
      </c>
      <c r="C162" s="705">
        <f>'Summary - Dollars'!O237</f>
        <v>21400000</v>
      </c>
      <c r="D162" s="720">
        <f>I160</f>
        <v>21400000</v>
      </c>
      <c r="E162" s="766">
        <f t="shared" si="34"/>
        <v>0</v>
      </c>
      <c r="F162" s="721">
        <f t="shared" si="35"/>
        <v>0</v>
      </c>
      <c r="G162" s="720">
        <f>J160</f>
        <v>21400000</v>
      </c>
      <c r="H162" s="756" t="s">
        <v>221</v>
      </c>
      <c r="I162" s="24">
        <f>(INDEX(Data!1177:1177,1,'Summary - Dollars'!$U$1))</f>
        <v>0</v>
      </c>
      <c r="J162" s="24">
        <f>(INDEX(Data!1177:1177,1,'Summary - Dollars'!$U$1+1))</f>
        <v>0</v>
      </c>
    </row>
    <row r="163" spans="1:10" ht="15" customHeight="1">
      <c r="A163" s="92" t="s">
        <v>793</v>
      </c>
      <c r="B163" s="709">
        <f>'Summary - Dollars'!N238</f>
        <v>148370568</v>
      </c>
      <c r="C163" s="709">
        <f>'Summary - Dollars'!O238</f>
        <v>138163774</v>
      </c>
      <c r="D163" s="720">
        <f>I186</f>
        <v>148370568</v>
      </c>
      <c r="E163" s="766">
        <f t="shared" si="34"/>
        <v>0</v>
      </c>
      <c r="F163" s="721">
        <f t="shared" si="35"/>
        <v>0</v>
      </c>
      <c r="G163" s="720">
        <f>J186</f>
        <v>138163774</v>
      </c>
      <c r="H163" s="756" t="s">
        <v>222</v>
      </c>
      <c r="I163" s="24">
        <f>(INDEX(Data!1178:1178,1,'Summary - Dollars'!$U$1))</f>
        <v>0</v>
      </c>
      <c r="J163" s="24">
        <f>(INDEX(Data!1178:1178,1,'Summary - Dollars'!$U$1+1))</f>
        <v>0</v>
      </c>
    </row>
    <row r="164" spans="1:10" ht="25.5">
      <c r="A164" s="92" t="s">
        <v>1287</v>
      </c>
      <c r="B164" s="706">
        <f>'Summary - Dollars'!N239</f>
        <v>0</v>
      </c>
      <c r="C164" s="705">
        <f>'Summary - Dollars'!O239</f>
        <v>0</v>
      </c>
      <c r="D164" s="700"/>
      <c r="E164" s="700"/>
      <c r="F164" s="700"/>
      <c r="H164" s="756" t="s">
        <v>223</v>
      </c>
      <c r="I164" s="24">
        <f>(INDEX(Data!1179:1179,1,'Summary - Dollars'!$U$1))</f>
        <v>5000000</v>
      </c>
      <c r="J164" s="24">
        <f>(INDEX(Data!1179:1179,1,'Summary - Dollars'!$U$1+1))</f>
        <v>5000000</v>
      </c>
    </row>
    <row r="165" spans="1:10">
      <c r="A165" s="92" t="s">
        <v>794</v>
      </c>
      <c r="B165" s="706">
        <f>'Summary - Dollars'!N240</f>
        <v>0</v>
      </c>
      <c r="C165" s="705">
        <f>'Summary - Dollars'!O240</f>
        <v>0</v>
      </c>
      <c r="D165" s="720">
        <f>I206</f>
        <v>0</v>
      </c>
      <c r="E165" s="766">
        <f>B165-D165</f>
        <v>0</v>
      </c>
      <c r="F165" s="721">
        <f t="shared" ref="F165" si="38">C165-G165</f>
        <v>0</v>
      </c>
      <c r="G165" s="720">
        <f>J206</f>
        <v>0</v>
      </c>
      <c r="H165" s="756" t="s">
        <v>224</v>
      </c>
      <c r="I165" s="24">
        <f>(INDEX(Data!1180:1180,1,'Summary - Dollars'!$U$1))</f>
        <v>1500000</v>
      </c>
      <c r="J165" s="24">
        <f>(INDEX(Data!1180:1180,1,'Summary - Dollars'!$U$1+1))</f>
        <v>1500000</v>
      </c>
    </row>
    <row r="166" spans="1:10">
      <c r="A166" s="92" t="s">
        <v>1989</v>
      </c>
      <c r="B166" s="706">
        <f>'Summary - Dollars'!N241</f>
        <v>4762003</v>
      </c>
      <c r="C166" s="705">
        <f>'Summary - Dollars'!O241</f>
        <v>8721344</v>
      </c>
      <c r="D166" s="720">
        <f>I156</f>
        <v>4762003</v>
      </c>
      <c r="E166" s="766">
        <f>B166-D166</f>
        <v>0</v>
      </c>
      <c r="F166" s="721">
        <f t="shared" ref="F166" si="39">C166-G166</f>
        <v>0</v>
      </c>
      <c r="G166" s="720">
        <f>J156</f>
        <v>8721344</v>
      </c>
      <c r="H166" s="1051" t="s">
        <v>1977</v>
      </c>
      <c r="I166" s="1061">
        <f>(INDEX(Data!1181:1181,1,'Summary - Dollars'!$U$1))</f>
        <v>2061250</v>
      </c>
      <c r="J166" s="1061">
        <f>(INDEX(Data!1181:1181,1,'Summary - Dollars'!$U$1+1))</f>
        <v>2061250</v>
      </c>
    </row>
    <row r="167" spans="1:10">
      <c r="A167" s="92" t="s">
        <v>796</v>
      </c>
      <c r="B167" s="709">
        <f>'Summary - Dollars'!N242</f>
        <v>0</v>
      </c>
      <c r="C167" s="709">
        <f>'Summary - Dollars'!O242</f>
        <v>0</v>
      </c>
      <c r="D167" s="720"/>
      <c r="E167" s="720"/>
      <c r="F167" s="700"/>
      <c r="G167" s="720"/>
      <c r="H167" s="756" t="s">
        <v>225</v>
      </c>
      <c r="I167" s="24">
        <f>(INDEX(Data!1182:1182,1,'Summary - Dollars'!$U$1))</f>
        <v>0</v>
      </c>
      <c r="J167" s="24">
        <f>(INDEX(Data!1182:1182,1,'Summary - Dollars'!$U$1+1))</f>
        <v>0</v>
      </c>
    </row>
    <row r="168" spans="1:10">
      <c r="A168" s="92" t="s">
        <v>260</v>
      </c>
      <c r="B168" s="706">
        <f>'Summary - Dollars'!N243</f>
        <v>7392415</v>
      </c>
      <c r="C168" s="705">
        <f>'Summary - Dollars'!O243</f>
        <v>7542414</v>
      </c>
      <c r="D168" s="720">
        <f>I211</f>
        <v>7392415</v>
      </c>
      <c r="E168" s="766">
        <f>B168-D168</f>
        <v>0</v>
      </c>
      <c r="F168" s="721">
        <f t="shared" ref="F168" si="40">C168-G168</f>
        <v>0</v>
      </c>
      <c r="G168" s="720">
        <f>J211</f>
        <v>7542414</v>
      </c>
      <c r="H168" s="756" t="s">
        <v>226</v>
      </c>
      <c r="I168" s="24">
        <f>(INDEX(Data!1183:1183,1,'Summary - Dollars'!$U$1))</f>
        <v>0</v>
      </c>
      <c r="J168" s="24">
        <f>(INDEX(Data!1183:1183,1,'Summary - Dollars'!$U$1+1))</f>
        <v>0</v>
      </c>
    </row>
    <row r="169" spans="1:10">
      <c r="A169" s="92" t="s">
        <v>797</v>
      </c>
      <c r="B169" s="706">
        <f>'Summary - Dollars'!N244</f>
        <v>0</v>
      </c>
      <c r="C169" s="705">
        <f>'Summary - Dollars'!O244</f>
        <v>0</v>
      </c>
      <c r="D169" s="708"/>
      <c r="E169" s="708"/>
      <c r="F169" s="708"/>
      <c r="H169" s="757" t="s">
        <v>1005</v>
      </c>
      <c r="I169" s="24">
        <f>(INDEX(Data!1184:1184,1,'Summary - Dollars'!$U$1))</f>
        <v>0</v>
      </c>
      <c r="J169" s="24">
        <f>(INDEX(Data!1184:1184,1,'Summary - Dollars'!$U$1+1))</f>
        <v>0</v>
      </c>
    </row>
    <row r="170" spans="1:10">
      <c r="A170" s="113" t="s">
        <v>27</v>
      </c>
      <c r="B170" s="704">
        <f>'Summary - Dollars'!N245</f>
        <v>777498878</v>
      </c>
      <c r="C170" s="703">
        <f>'Summary - Dollars'!O245</f>
        <v>770831424</v>
      </c>
      <c r="D170" s="700"/>
      <c r="E170" s="700"/>
      <c r="F170" s="700"/>
      <c r="H170" s="761" t="s">
        <v>227</v>
      </c>
      <c r="I170" s="24">
        <f>(INDEX(Data!1185:1185,1,'Summary - Dollars'!$U$1))</f>
        <v>10206794</v>
      </c>
      <c r="J170" s="24">
        <f>(INDEX(Data!1185:1185,1,'Summary - Dollars'!$U$1+1))</f>
        <v>0</v>
      </c>
    </row>
    <row r="171" spans="1:10" ht="25.5">
      <c r="A171" s="92" t="s">
        <v>798</v>
      </c>
      <c r="B171" s="706">
        <f>'Summary - Dollars'!N246</f>
        <v>0</v>
      </c>
      <c r="C171" s="705">
        <f>'Summary - Dollars'!O246</f>
        <v>0</v>
      </c>
      <c r="D171" s="700"/>
      <c r="E171" s="700"/>
      <c r="F171" s="700"/>
      <c r="H171" s="756" t="s">
        <v>228</v>
      </c>
      <c r="I171" s="24">
        <f>(INDEX(Data!1186:1186,1,'Summary - Dollars'!$U$1))</f>
        <v>0</v>
      </c>
      <c r="J171" s="24">
        <f>(INDEX(Data!1186:1186,1,'Summary - Dollars'!$U$1+1))</f>
        <v>0</v>
      </c>
    </row>
    <row r="172" spans="1:10" ht="25.5">
      <c r="A172" s="92" t="s">
        <v>799</v>
      </c>
      <c r="B172" s="706">
        <f>'Summary - Dollars'!N247</f>
        <v>0</v>
      </c>
      <c r="C172" s="705">
        <f>'Summary - Dollars'!O247</f>
        <v>0</v>
      </c>
      <c r="D172" s="700"/>
      <c r="E172" s="700"/>
      <c r="F172" s="700"/>
      <c r="H172" s="1051" t="s">
        <v>1876</v>
      </c>
      <c r="I172" s="1061">
        <f>(INDEX(Data!1187:1187,1,'Summary - Dollars'!$U$1))</f>
        <v>1500000</v>
      </c>
      <c r="J172" s="1061">
        <f>(INDEX(Data!1187:1187,1,'Summary - Dollars'!$U$1+1))</f>
        <v>1500000</v>
      </c>
    </row>
    <row r="173" spans="1:10">
      <c r="A173" s="92" t="s">
        <v>717</v>
      </c>
      <c r="B173" s="706">
        <f>'Summary - Dollars'!N248</f>
        <v>393750000</v>
      </c>
      <c r="C173" s="705">
        <f>'Summary - Dollars'!O248</f>
        <v>393750000</v>
      </c>
      <c r="D173" s="720">
        <f>I13</f>
        <v>393750000</v>
      </c>
      <c r="E173" s="766">
        <f>B173-D173</f>
        <v>0</v>
      </c>
      <c r="F173" s="721">
        <f t="shared" ref="F173" si="41">C173-G173</f>
        <v>0</v>
      </c>
      <c r="G173" s="720">
        <f>J13</f>
        <v>393750000</v>
      </c>
      <c r="H173" s="756" t="s">
        <v>229</v>
      </c>
      <c r="I173" s="24">
        <f>(INDEX(Data!1188:1188,1,'Summary - Dollars'!$U$1))</f>
        <v>0</v>
      </c>
      <c r="J173" s="24">
        <f>(INDEX(Data!1188:1188,1,'Summary - Dollars'!$U$1+1))</f>
        <v>0</v>
      </c>
    </row>
    <row r="174" spans="1:10">
      <c r="A174" s="92" t="s">
        <v>29</v>
      </c>
      <c r="B174" s="706">
        <f>'Summary - Dollars'!N249</f>
        <v>0</v>
      </c>
      <c r="C174" s="705">
        <f>'Summary - Dollars'!O249</f>
        <v>0</v>
      </c>
      <c r="D174" s="720"/>
      <c r="E174" s="720"/>
      <c r="F174" s="700"/>
      <c r="G174" s="720"/>
      <c r="H174" s="756" t="s">
        <v>230</v>
      </c>
      <c r="I174" s="24">
        <f>(INDEX(Data!1189:1189,1,'Summary - Dollars'!$U$1))</f>
        <v>0</v>
      </c>
      <c r="J174" s="24">
        <f>(INDEX(Data!1189:1189,1,'Summary - Dollars'!$U$1+1))</f>
        <v>0</v>
      </c>
    </row>
    <row r="175" spans="1:10" ht="25.5">
      <c r="A175" s="92" t="s">
        <v>800</v>
      </c>
      <c r="B175" s="1099" t="s">
        <v>162</v>
      </c>
      <c r="C175" s="1099" t="s">
        <v>162</v>
      </c>
      <c r="D175" s="720"/>
      <c r="E175" s="720"/>
      <c r="F175" s="700"/>
      <c r="G175" s="720"/>
      <c r="H175" s="756" t="s">
        <v>269</v>
      </c>
      <c r="I175" s="24">
        <f>(INDEX(Data!1190:1190,1,'Summary - Dollars'!$U$1))</f>
        <v>0</v>
      </c>
      <c r="J175" s="24">
        <f>(INDEX(Data!1190:1190,1,'Summary - Dollars'!$U$1+1))</f>
        <v>0</v>
      </c>
    </row>
    <row r="176" spans="1:10" ht="25.5">
      <c r="A176" s="112" t="s">
        <v>1666</v>
      </c>
      <c r="B176" s="706">
        <f>'Summary - Dollars'!N251</f>
        <v>15000000</v>
      </c>
      <c r="C176" s="705">
        <f>'Summary - Dollars'!O251</f>
        <v>15000000</v>
      </c>
      <c r="D176" s="720">
        <f>I16</f>
        <v>15000000</v>
      </c>
      <c r="E176" s="766">
        <f>B176-D176</f>
        <v>0</v>
      </c>
      <c r="F176" s="721">
        <f t="shared" ref="F176" si="42">C176-G176</f>
        <v>0</v>
      </c>
      <c r="G176" s="720">
        <f>J16</f>
        <v>15000000</v>
      </c>
      <c r="H176" s="1051" t="s">
        <v>1978</v>
      </c>
      <c r="I176" s="1061">
        <f>(INDEX(Data!1191:1191,1,'Summary - Dollars'!$U$1))</f>
        <v>49500000</v>
      </c>
      <c r="J176" s="1061">
        <f>(INDEX(Data!1191:1191,1,'Summary - Dollars'!$U$1+1))</f>
        <v>49500000</v>
      </c>
    </row>
    <row r="177" spans="1:10">
      <c r="A177" s="224" t="s">
        <v>1226</v>
      </c>
      <c r="B177" s="706">
        <f>'Summary - Dollars'!N252</f>
        <v>0</v>
      </c>
      <c r="C177" s="705">
        <f>'Summary - Dollars'!O252</f>
        <v>0</v>
      </c>
      <c r="D177" s="700"/>
      <c r="E177" s="700"/>
      <c r="F177" s="700"/>
      <c r="H177" s="756" t="s">
        <v>231</v>
      </c>
      <c r="I177" s="24">
        <f>(INDEX(Data!1192:1192,1,'Summary - Dollars'!$U$1))</f>
        <v>9940024</v>
      </c>
      <c r="J177" s="24">
        <f>(INDEX(Data!1192:1192,1,'Summary - Dollars'!$U$1+1))</f>
        <v>9940024</v>
      </c>
    </row>
    <row r="178" spans="1:10">
      <c r="A178" s="113" t="s">
        <v>715</v>
      </c>
      <c r="B178" s="704">
        <f>'Summary - Dollars'!N253</f>
        <v>408750000</v>
      </c>
      <c r="C178" s="703">
        <f>'Summary - Dollars'!O253</f>
        <v>408750000</v>
      </c>
      <c r="D178" s="700"/>
      <c r="E178" s="700"/>
      <c r="F178" s="700"/>
      <c r="H178" s="756" t="s">
        <v>232</v>
      </c>
      <c r="I178" s="24">
        <f>(INDEX(Data!1193:1193,1,'Summary - Dollars'!$U$1))</f>
        <v>0</v>
      </c>
      <c r="J178" s="24">
        <f>(INDEX(Data!1193:1193,1,'Summary - Dollars'!$U$1+1))</f>
        <v>0</v>
      </c>
    </row>
    <row r="179" spans="1:10" ht="13.5" thickBot="1">
      <c r="A179" s="95" t="s">
        <v>1229</v>
      </c>
      <c r="B179" s="702">
        <f>'Summary - Dollars'!N254</f>
        <v>7471617727.2312622</v>
      </c>
      <c r="C179" s="701">
        <f>'Summary - Dollars'!O254</f>
        <v>7392614124</v>
      </c>
      <c r="D179" s="700"/>
      <c r="E179" s="700"/>
      <c r="F179" s="700"/>
      <c r="H179" s="756" t="s">
        <v>233</v>
      </c>
      <c r="I179" s="24">
        <f>(INDEX(Data!1194:1194,1,'Summary - Dollars'!$U$1))</f>
        <v>0</v>
      </c>
      <c r="J179" s="24">
        <f>(INDEX(Data!1194:1194,1,'Summary - Dollars'!$U$1+1))</f>
        <v>0</v>
      </c>
    </row>
    <row r="180" spans="1:10">
      <c r="D180" s="700"/>
      <c r="E180" s="700"/>
      <c r="F180" s="700"/>
      <c r="H180" s="756" t="s">
        <v>234</v>
      </c>
      <c r="I180" s="24">
        <f>(INDEX(Data!1195:1195,1,'Summary - Dollars'!$U$1))</f>
        <v>0</v>
      </c>
      <c r="J180" s="24">
        <f>(INDEX(Data!1195:1195,1,'Summary - Dollars'!$U$1+1))</f>
        <v>0</v>
      </c>
    </row>
    <row r="181" spans="1:10">
      <c r="B181" s="762">
        <f>B179-B15</f>
        <v>0</v>
      </c>
      <c r="C181" s="762">
        <f>C179-C15</f>
        <v>0</v>
      </c>
      <c r="D181" s="700"/>
      <c r="E181" s="700"/>
      <c r="F181" s="700"/>
      <c r="H181" s="757" t="s">
        <v>1703</v>
      </c>
      <c r="I181" s="24">
        <f>(INDEX(Data!1196:1196,1,'Summary - Dollars'!$U$1))</f>
        <v>67600000</v>
      </c>
      <c r="J181" s="24">
        <f>(INDEX(Data!1196:1196,1,'Summary - Dollars'!$U$1+1))</f>
        <v>67600000</v>
      </c>
    </row>
    <row r="182" spans="1:10">
      <c r="D182" s="700"/>
      <c r="E182" s="700"/>
      <c r="F182" s="700"/>
      <c r="H182" s="757" t="s">
        <v>1215</v>
      </c>
      <c r="I182" s="24">
        <f>(INDEX(Data!1197:1197,1,'Summary - Dollars'!$U$1))</f>
        <v>0</v>
      </c>
      <c r="J182" s="24">
        <f>(INDEX(Data!1197:1197,1,'Summary - Dollars'!$U$1+1))</f>
        <v>0</v>
      </c>
    </row>
    <row r="183" spans="1:10">
      <c r="D183" s="699"/>
      <c r="E183" s="699"/>
      <c r="F183" s="699"/>
      <c r="H183" s="757" t="s">
        <v>235</v>
      </c>
      <c r="I183" s="24">
        <f>(INDEX(Data!1198:1198,1,'Summary - Dollars'!$U$1))</f>
        <v>0</v>
      </c>
      <c r="J183" s="24">
        <f>(INDEX(Data!1198:1198,1,'Summary - Dollars'!$U$1+1))</f>
        <v>0</v>
      </c>
    </row>
    <row r="184" spans="1:10">
      <c r="D184" s="698">
        <f>SUM(D4:D183)</f>
        <v>33344230597.231262</v>
      </c>
      <c r="E184" s="766">
        <f>SUM(E3:E183)</f>
        <v>0</v>
      </c>
      <c r="F184" s="766">
        <f>SUM(F3:F183)</f>
        <v>0</v>
      </c>
      <c r="G184" s="698">
        <f>SUM(G4:G183)</f>
        <v>32370707366</v>
      </c>
      <c r="H184" s="757" t="s">
        <v>1700</v>
      </c>
      <c r="I184" s="24">
        <f>(INDEX(Data!1199:1199,1,'Summary - Dollars'!$U$1))</f>
        <v>0</v>
      </c>
      <c r="J184" s="24">
        <f>(INDEX(Data!1199:1199,1,'Summary - Dollars'!$U$1+1))</f>
        <v>0</v>
      </c>
    </row>
    <row r="185" spans="1:10">
      <c r="H185" s="757" t="s">
        <v>1701</v>
      </c>
      <c r="I185" s="24">
        <f>(INDEX(Data!1200:1200,1,'Summary - Dollars'!$U$1))</f>
        <v>1062500</v>
      </c>
      <c r="J185" s="24">
        <f>(INDEX(Data!1200:1200,1,'Summary - Dollars'!$U$1+1))</f>
        <v>1062500</v>
      </c>
    </row>
    <row r="186" spans="1:10">
      <c r="C186" s="767" t="s">
        <v>1272</v>
      </c>
      <c r="D186" s="720">
        <f>I101</f>
        <v>33344230597.231262</v>
      </c>
      <c r="G186" s="720">
        <f>J101</f>
        <v>32370707366</v>
      </c>
      <c r="H186" s="755" t="s">
        <v>236</v>
      </c>
      <c r="I186" s="920">
        <f>(INDEX(Data!1201:1201,1,'Summary - Dollars'!$U$1))</f>
        <v>148370568</v>
      </c>
      <c r="J186" s="920">
        <f>(INDEX(Data!1201:1201,1,'Summary - Dollars'!$U$1+1))</f>
        <v>138163774</v>
      </c>
    </row>
    <row r="187" spans="1:10">
      <c r="H187" s="755" t="s">
        <v>221</v>
      </c>
      <c r="I187" s="24">
        <f>(INDEX(Data!1202:1202,1,'Summary - Dollars'!$U$1))</f>
        <v>0</v>
      </c>
      <c r="J187" s="24">
        <f>(INDEX(Data!1202:1202,1,'Summary - Dollars'!$U$1+1))</f>
        <v>0</v>
      </c>
    </row>
    <row r="188" spans="1:10">
      <c r="D188" s="762">
        <f>D184-D186</f>
        <v>0</v>
      </c>
      <c r="G188" s="762">
        <f>G184-G186</f>
        <v>0</v>
      </c>
      <c r="H188" s="757" t="s">
        <v>1001</v>
      </c>
      <c r="I188" s="24">
        <f>(INDEX(Data!1203:1203,1,'Summary - Dollars'!$U$1))</f>
        <v>36508620</v>
      </c>
      <c r="J188" s="24">
        <f>(INDEX(Data!1203:1203,1,'Summary - Dollars'!$U$1+1))</f>
        <v>36490669</v>
      </c>
    </row>
    <row r="189" spans="1:10">
      <c r="H189" s="757" t="s">
        <v>1002</v>
      </c>
      <c r="I189" s="24">
        <f>(INDEX(Data!1204:1204,1,'Summary - Dollars'!$U$1))</f>
        <v>8596623</v>
      </c>
      <c r="J189" s="24">
        <f>(INDEX(Data!1204:1204,1,'Summary - Dollars'!$U$1+1))</f>
        <v>8596623</v>
      </c>
    </row>
    <row r="190" spans="1:10">
      <c r="A190" s="767" t="s">
        <v>1984</v>
      </c>
      <c r="B190" s="1097">
        <f>B170</f>
        <v>777498878</v>
      </c>
      <c r="C190" s="1097">
        <f>C170</f>
        <v>770831424</v>
      </c>
      <c r="H190" s="755" t="s">
        <v>237</v>
      </c>
      <c r="I190" s="920">
        <f>(INDEX(Data!1205:1205,1,'Summary - Dollars'!$U$1))</f>
        <v>45105243</v>
      </c>
      <c r="J190" s="920">
        <f>(INDEX(Data!1205:1205,1,'Summary - Dollars'!$U$1+1))</f>
        <v>45087292</v>
      </c>
    </row>
    <row r="191" spans="1:10">
      <c r="A191" s="767" t="s">
        <v>1983</v>
      </c>
      <c r="B191" s="1142">
        <f>B84</f>
        <v>45105243</v>
      </c>
      <c r="C191" s="1142">
        <f>C84</f>
        <v>45087292</v>
      </c>
      <c r="D191" s="697">
        <v>33344230597</v>
      </c>
      <c r="G191" s="697">
        <v>32370595091</v>
      </c>
      <c r="H191" s="755" t="s">
        <v>238</v>
      </c>
      <c r="I191" s="24">
        <f>(INDEX(Data!1206:1206,1,'Summary - Dollars'!$U$1))</f>
        <v>0</v>
      </c>
      <c r="J191" s="24">
        <f>(INDEX(Data!1206:1206,1,'Summary - Dollars'!$U$1+1))</f>
        <v>0</v>
      </c>
    </row>
    <row r="192" spans="1:10">
      <c r="B192" s="1097">
        <f>SUM(B190:B191)</f>
        <v>822604121</v>
      </c>
      <c r="C192" s="1097">
        <f>SUM(C190:C191)</f>
        <v>815918716</v>
      </c>
      <c r="H192" s="756" t="s">
        <v>239</v>
      </c>
      <c r="I192" s="24">
        <f>(INDEX(Data!1207:1207,1,'Summary - Dollars'!$U$1))</f>
        <v>0</v>
      </c>
      <c r="J192" s="24">
        <f>(INDEX(Data!1207:1207,1,'Summary - Dollars'!$U$1+1))</f>
        <v>0</v>
      </c>
    </row>
    <row r="193" spans="1:10">
      <c r="A193" s="767" t="s">
        <v>1985</v>
      </c>
      <c r="B193" s="1143">
        <f>I212</f>
        <v>822604121</v>
      </c>
      <c r="C193" s="1143">
        <f>J212</f>
        <v>815918716</v>
      </c>
      <c r="H193" s="757" t="s">
        <v>1460</v>
      </c>
      <c r="I193" s="24">
        <f>(INDEX(Data!1208:1208,1,'Summary - Dollars'!$U$1))</f>
        <v>0</v>
      </c>
      <c r="J193" s="24">
        <f>(INDEX(Data!1208:1208,1,'Summary - Dollars'!$U$1+1))</f>
        <v>0</v>
      </c>
    </row>
    <row r="194" spans="1:10">
      <c r="B194" s="1097">
        <f>B192-B193</f>
        <v>0</v>
      </c>
      <c r="C194" s="1097">
        <f>C192-C193</f>
        <v>0</v>
      </c>
      <c r="H194" s="756" t="s">
        <v>240</v>
      </c>
      <c r="I194" s="24">
        <f>(INDEX(Data!1209:1209,1,'Summary - Dollars'!$U$1))</f>
        <v>0</v>
      </c>
      <c r="J194" s="24">
        <f>(INDEX(Data!1209:1209,1,'Summary - Dollars'!$U$1+1))</f>
        <v>0</v>
      </c>
    </row>
    <row r="195" spans="1:10">
      <c r="H195" s="756" t="s">
        <v>241</v>
      </c>
      <c r="I195" s="24">
        <f>(INDEX(Data!1210:1210,1,'Summary - Dollars'!$U$1))</f>
        <v>0</v>
      </c>
      <c r="J195" s="24">
        <f>(INDEX(Data!1210:1210,1,'Summary - Dollars'!$U$1+1))</f>
        <v>0</v>
      </c>
    </row>
    <row r="196" spans="1:10">
      <c r="H196" s="756" t="s">
        <v>242</v>
      </c>
      <c r="I196" s="24">
        <f>(INDEX(Data!1211:1211,1,'Summary - Dollars'!$U$1))</f>
        <v>0</v>
      </c>
      <c r="J196" s="24">
        <f>(INDEX(Data!1211:1211,1,'Summary - Dollars'!$U$1+1))</f>
        <v>0</v>
      </c>
    </row>
    <row r="197" spans="1:10">
      <c r="H197" s="756" t="s">
        <v>243</v>
      </c>
      <c r="I197" s="24">
        <f>(INDEX(Data!1212:1212,1,'Summary - Dollars'!$U$1))</f>
        <v>0</v>
      </c>
      <c r="J197" s="24">
        <f>(INDEX(Data!1212:1212,1,'Summary - Dollars'!$U$1+1))</f>
        <v>0</v>
      </c>
    </row>
    <row r="198" spans="1:10">
      <c r="D198" s="767" t="s">
        <v>1201</v>
      </c>
      <c r="F198" s="751"/>
      <c r="H198" s="756" t="s">
        <v>244</v>
      </c>
      <c r="I198" s="24">
        <f>(INDEX(Data!1213:1213,1,'Summary - Dollars'!$U$1))</f>
        <v>0</v>
      </c>
      <c r="J198" s="24">
        <f>(INDEX(Data!1213:1213,1,'Summary - Dollars'!$U$1+1))</f>
        <v>0</v>
      </c>
    </row>
    <row r="199" spans="1:10">
      <c r="D199" s="720">
        <f>D157</f>
        <v>1120288653</v>
      </c>
      <c r="F199" s="751"/>
      <c r="G199" s="720">
        <f>G157</f>
        <v>1115591805</v>
      </c>
      <c r="H199" s="756" t="s">
        <v>245</v>
      </c>
      <c r="I199" s="24">
        <f>(INDEX(Data!1214:1214,1,'Summary - Dollars'!$U$1))</f>
        <v>0</v>
      </c>
      <c r="J199" s="24">
        <f>(INDEX(Data!1214:1214,1,'Summary - Dollars'!$U$1+1))</f>
        <v>0</v>
      </c>
    </row>
    <row r="200" spans="1:10">
      <c r="F200" s="751"/>
      <c r="H200" s="756" t="s">
        <v>246</v>
      </c>
      <c r="I200" s="24">
        <f>(INDEX(Data!1215:1215,1,'Summary - Dollars'!$U$1))</f>
        <v>0</v>
      </c>
      <c r="J200" s="24">
        <f>(INDEX(Data!1215:1215,1,'Summary - Dollars'!$U$1+1))</f>
        <v>0</v>
      </c>
    </row>
    <row r="201" spans="1:10">
      <c r="D201" s="720">
        <f>I76</f>
        <v>936193916</v>
      </c>
      <c r="F201" s="751"/>
      <c r="G201" s="720">
        <f>J76</f>
        <v>931497068</v>
      </c>
      <c r="H201" s="756" t="s">
        <v>247</v>
      </c>
      <c r="I201" s="24">
        <f>(INDEX(Data!1216:1216,1,'Summary - Dollars'!$U$1))</f>
        <v>0</v>
      </c>
      <c r="J201" s="24">
        <f>(INDEX(Data!1216:1216,1,'Summary - Dollars'!$U$1+1))</f>
        <v>0</v>
      </c>
    </row>
    <row r="202" spans="1:10">
      <c r="D202" s="1143">
        <f>M101</f>
        <v>184094737</v>
      </c>
      <c r="E202" s="1144"/>
      <c r="F202" s="1145"/>
      <c r="G202" s="1146">
        <f>N101</f>
        <v>184094737</v>
      </c>
      <c r="H202" s="757" t="s">
        <v>1003</v>
      </c>
      <c r="I202" s="24">
        <f>(INDEX(Data!1217:1217,1,'Summary - Dollars'!$U$1))</f>
        <v>0</v>
      </c>
      <c r="J202" s="24">
        <f>(INDEX(Data!1217:1217,1,'Summary - Dollars'!$U$1+1))</f>
        <v>0</v>
      </c>
    </row>
    <row r="203" spans="1:10">
      <c r="D203" s="720">
        <f>SUM(D201:D202)</f>
        <v>1120288653</v>
      </c>
      <c r="F203" s="751"/>
      <c r="G203" s="720">
        <f>SUM(G201:G202)</f>
        <v>1115591805</v>
      </c>
      <c r="H203" s="370" t="s">
        <v>1702</v>
      </c>
      <c r="I203" s="24">
        <f>(INDEX(Data!1218:1218,1,'Summary - Dollars'!$U$1))</f>
        <v>0</v>
      </c>
      <c r="J203" s="24">
        <f>(INDEX(Data!1218:1218,1,'Summary - Dollars'!$U$1+1))</f>
        <v>0</v>
      </c>
    </row>
    <row r="204" spans="1:10">
      <c r="D204" s="720">
        <f>D199-D203</f>
        <v>0</v>
      </c>
      <c r="F204" s="751"/>
      <c r="G204" s="720">
        <f>G199-G203</f>
        <v>0</v>
      </c>
      <c r="H204" s="370" t="s">
        <v>1216</v>
      </c>
      <c r="I204" s="24">
        <f>(INDEX(Data!1219:1219,1,'Summary - Dollars'!$U$1))</f>
        <v>0</v>
      </c>
      <c r="J204" s="24">
        <f>(INDEX(Data!1219:1219,1,'Summary - Dollars'!$U$1+1))</f>
        <v>0</v>
      </c>
    </row>
    <row r="205" spans="1:10">
      <c r="H205" s="370" t="s">
        <v>1304</v>
      </c>
      <c r="I205" s="24">
        <f>(INDEX(Data!1220:1220,1,'Summary - Dollars'!$U$1))</f>
        <v>0</v>
      </c>
      <c r="J205" s="24">
        <f>(INDEX(Data!1220:1220,1,'Summary - Dollars'!$U$1+1))</f>
        <v>0</v>
      </c>
    </row>
    <row r="206" spans="1:10">
      <c r="H206" s="755" t="s">
        <v>249</v>
      </c>
      <c r="I206" s="24">
        <f>(INDEX(Data!1221:1221,1,'Summary - Dollars'!$U$1))</f>
        <v>0</v>
      </c>
      <c r="J206" s="24">
        <f>(INDEX(Data!1221:1221,1,'Summary - Dollars'!$U$1+1))</f>
        <v>0</v>
      </c>
    </row>
    <row r="207" spans="1:10">
      <c r="H207" s="755" t="s">
        <v>260</v>
      </c>
      <c r="I207" s="24">
        <f>(INDEX(Data!1222:1222,1,'Summary - Dollars'!$U$1))</f>
        <v>0</v>
      </c>
      <c r="J207" s="24">
        <f>(INDEX(Data!1222:1222,1,'Summary - Dollars'!$U$1+1))</f>
        <v>0</v>
      </c>
    </row>
    <row r="208" spans="1:10">
      <c r="H208" s="756" t="s">
        <v>261</v>
      </c>
      <c r="I208" s="24">
        <f>(INDEX(Data!1223:1223,1,'Summary - Dollars'!$U$1))</f>
        <v>3307573</v>
      </c>
      <c r="J208" s="24">
        <f>(INDEX(Data!1223:1223,1,'Summary - Dollars'!$U$1+1))</f>
        <v>3307572</v>
      </c>
    </row>
    <row r="209" spans="8:10">
      <c r="H209" s="756" t="s">
        <v>262</v>
      </c>
      <c r="I209" s="24">
        <f>(INDEX(Data!1224:1224,1,'Summary - Dollars'!$U$1))</f>
        <v>3288504</v>
      </c>
      <c r="J209" s="24">
        <f>(INDEX(Data!1224:1224,1,'Summary - Dollars'!$U$1+1))</f>
        <v>3288504</v>
      </c>
    </row>
    <row r="210" spans="8:10">
      <c r="H210" s="756" t="s">
        <v>263</v>
      </c>
      <c r="I210" s="24">
        <f>(INDEX(Data!1225:1225,1,'Summary - Dollars'!$U$1))</f>
        <v>483471</v>
      </c>
      <c r="J210" s="24">
        <f>(INDEX(Data!1225:1225,1,'Summary - Dollars'!$U$1+1))</f>
        <v>633471</v>
      </c>
    </row>
    <row r="211" spans="8:10">
      <c r="H211" s="755" t="s">
        <v>264</v>
      </c>
      <c r="I211" s="920">
        <f>(INDEX(Data!1227:1227,1,'Summary - Dollars'!$U$1))</f>
        <v>7392415</v>
      </c>
      <c r="J211" s="920">
        <f>(INDEX(Data!1227:1227,1,'Summary - Dollars'!$U$1+1))</f>
        <v>7542414</v>
      </c>
    </row>
    <row r="212" spans="8:10">
      <c r="H212" s="755" t="s">
        <v>1004</v>
      </c>
      <c r="I212" s="230">
        <f>(INDEX(Data!1228:1228,1,'Summary - Dollars'!$U$1))</f>
        <v>822604121</v>
      </c>
      <c r="J212" s="230">
        <f>(INDEX(Data!1228:1228,1,'Summary - Dollars'!$U$1+1))</f>
        <v>815918716</v>
      </c>
    </row>
    <row r="213" spans="8:10">
      <c r="H213" s="755"/>
      <c r="I213" s="24"/>
      <c r="J213" s="24"/>
    </row>
    <row r="214" spans="8:10">
      <c r="H214" s="755"/>
      <c r="I214" s="24">
        <f>I212-I12</f>
        <v>0</v>
      </c>
      <c r="J214" s="24">
        <f>J212-J12</f>
        <v>0</v>
      </c>
    </row>
    <row r="217" spans="8:10">
      <c r="H217" s="767" t="s">
        <v>1930</v>
      </c>
      <c r="I217" s="1097">
        <f>I212-'Summary - Dollars'!N245</f>
        <v>45105243</v>
      </c>
      <c r="J217" s="1097">
        <f>J212-'Summary - Dollars'!O245</f>
        <v>45087292</v>
      </c>
    </row>
    <row r="219" spans="8:10">
      <c r="I219" s="1097">
        <f>I212-I217</f>
        <v>777498878</v>
      </c>
      <c r="J219" s="1097">
        <f>J212-J217</f>
        <v>770831424</v>
      </c>
    </row>
  </sheetData>
  <pageMargins left="0.2" right="0.2" top="0.5" bottom="0.5" header="0.3" footer="0.3"/>
  <pageSetup paperSize="5" scale="67"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39997558519241921"/>
  </sheetPr>
  <dimension ref="A1:Z679"/>
  <sheetViews>
    <sheetView showGridLines="0" workbookViewId="0">
      <pane xSplit="3" ySplit="2" topLeftCell="D3" activePane="bottomRight" state="frozen"/>
      <selection activeCell="F8" sqref="F8"/>
      <selection pane="topRight" activeCell="F8" sqref="F8"/>
      <selection pane="bottomLeft" activeCell="F8" sqref="F8"/>
      <selection pane="bottomRight" activeCell="H1" sqref="H1"/>
    </sheetView>
  </sheetViews>
  <sheetFormatPr defaultRowHeight="12.75" outlineLevelRow="1" outlineLevelCol="1"/>
  <cols>
    <col min="1" max="1" width="37.140625" style="67" customWidth="1"/>
    <col min="2" max="3" width="17.140625" style="67" hidden="1" customWidth="1" outlineLevel="1"/>
    <col min="4" max="4" width="17.140625" style="67" customWidth="1" collapsed="1"/>
    <col min="5" max="5" width="17.5703125" style="67" hidden="1" customWidth="1" outlineLevel="1"/>
    <col min="6" max="6" width="18" style="67" hidden="1" customWidth="1" outlineLevel="1"/>
    <col min="7" max="7" width="17.42578125" style="67" bestFit="1" customWidth="1" collapsed="1"/>
    <col min="8" max="8" width="17.42578125" style="67" bestFit="1" customWidth="1"/>
    <col min="9" max="9" width="10.5703125" style="67" customWidth="1"/>
    <col min="10" max="10" width="10.5703125" style="410" customWidth="1"/>
    <col min="11" max="12" width="17.28515625" style="67" hidden="1" customWidth="1" outlineLevel="1"/>
    <col min="13" max="13" width="17.28515625" style="67" bestFit="1" customWidth="1" collapsed="1"/>
    <col min="14" max="15" width="17.28515625" style="67" hidden="1" customWidth="1" outlineLevel="1"/>
    <col min="16" max="16" width="17.28515625" style="67" customWidth="1" collapsed="1"/>
    <col min="17" max="17" width="16.28515625" style="67" bestFit="1" customWidth="1"/>
    <col min="18" max="18" width="11" style="67" customWidth="1"/>
    <col min="19" max="20" width="9.85546875" style="67" customWidth="1"/>
    <col min="21" max="21" width="9.5703125" style="67" bestFit="1" customWidth="1"/>
    <col min="22" max="22" width="16.140625" style="67" customWidth="1"/>
  </cols>
  <sheetData>
    <row r="1" spans="1:26" ht="15.75" customHeight="1" thickBot="1">
      <c r="A1" s="66" t="s">
        <v>160</v>
      </c>
      <c r="F1" s="68"/>
      <c r="P1" s="69"/>
      <c r="Q1" s="70"/>
      <c r="R1" s="1167" t="str">
        <f>'Summary - Millions'!R1</f>
        <v>2020-2021</v>
      </c>
      <c r="S1" s="1166" t="s">
        <v>763</v>
      </c>
      <c r="T1" s="1164" t="str">
        <f>LEFT(R1,4)</f>
        <v>2020</v>
      </c>
      <c r="U1" s="1164">
        <f>MATCH(VALUE(LEFT(R1,4)),Data!1:1,0)</f>
        <v>42</v>
      </c>
      <c r="V1" s="1164" t="e">
        <f>MATCH(VALUE(LEFT(R1,4)),Footnotes!1:1,0)</f>
        <v>#N/A</v>
      </c>
      <c r="W1" s="462"/>
      <c r="X1" s="462"/>
      <c r="Y1" s="462"/>
      <c r="Z1" s="462"/>
    </row>
    <row r="2" spans="1:26" s="1044" customFormat="1" ht="26.25" thickBot="1">
      <c r="A2" s="73" t="s">
        <v>766</v>
      </c>
      <c r="B2" s="74">
        <f>E2-2</f>
        <v>2018</v>
      </c>
      <c r="C2" s="75">
        <f>B2+1</f>
        <v>2019</v>
      </c>
      <c r="D2" s="76" t="str">
        <f>B2&amp;"-"&amp;C2</f>
        <v>2018-2019</v>
      </c>
      <c r="E2" s="74" t="str">
        <f>$T$1</f>
        <v>2020</v>
      </c>
      <c r="F2" s="75">
        <f>E2+1</f>
        <v>2021</v>
      </c>
      <c r="G2" s="76" t="str">
        <f>E2&amp;"-"&amp;F2</f>
        <v>2020-2021</v>
      </c>
      <c r="H2" s="74" t="s">
        <v>767</v>
      </c>
      <c r="I2" s="75" t="s">
        <v>768</v>
      </c>
      <c r="J2" s="76" t="s">
        <v>769</v>
      </c>
      <c r="K2" s="77">
        <f>N2-2</f>
        <v>2018</v>
      </c>
      <c r="L2" s="75">
        <f>K2+1</f>
        <v>2019</v>
      </c>
      <c r="M2" s="76" t="str">
        <f>K2&amp;"-"&amp;L2</f>
        <v>2018-2019</v>
      </c>
      <c r="N2" s="74" t="str">
        <f>$T$1</f>
        <v>2020</v>
      </c>
      <c r="O2" s="75">
        <f>N2+1</f>
        <v>2021</v>
      </c>
      <c r="P2" s="76" t="str">
        <f>N2&amp;"-"&amp;O2</f>
        <v>2020-2021</v>
      </c>
      <c r="Q2" s="74" t="s">
        <v>767</v>
      </c>
      <c r="R2" s="75" t="s">
        <v>768</v>
      </c>
      <c r="S2" s="78" t="s">
        <v>769</v>
      </c>
      <c r="T2" s="78" t="s">
        <v>770</v>
      </c>
      <c r="U2" s="67"/>
      <c r="V2" s="67"/>
    </row>
    <row r="3" spans="1:26" ht="26.25" thickBot="1">
      <c r="A3" s="72" t="s">
        <v>1319</v>
      </c>
      <c r="B3" s="1292" t="s">
        <v>2</v>
      </c>
      <c r="C3" s="1293"/>
      <c r="D3" s="1293"/>
      <c r="E3" s="1293"/>
      <c r="F3" s="1293"/>
      <c r="G3" s="1293"/>
      <c r="H3" s="1293"/>
      <c r="I3" s="1293"/>
      <c r="J3" s="1294"/>
      <c r="K3" s="1295" t="s">
        <v>764</v>
      </c>
      <c r="L3" s="1295"/>
      <c r="M3" s="1295"/>
      <c r="N3" s="1295"/>
      <c r="O3" s="1295"/>
      <c r="P3" s="1295"/>
      <c r="Q3" s="1295"/>
      <c r="R3" s="1295"/>
      <c r="S3" s="1295"/>
      <c r="T3" s="1296"/>
    </row>
    <row r="4" spans="1:26" s="173" customFormat="1">
      <c r="A4" s="1175"/>
      <c r="B4" s="422"/>
      <c r="C4" s="423"/>
      <c r="D4" s="424"/>
      <c r="E4" s="422"/>
      <c r="F4" s="422"/>
      <c r="G4" s="424"/>
      <c r="H4" s="422"/>
      <c r="I4" s="422"/>
      <c r="J4" s="425"/>
      <c r="K4" s="422"/>
      <c r="L4" s="422"/>
      <c r="M4" s="424"/>
      <c r="N4" s="422"/>
      <c r="O4" s="422"/>
      <c r="P4" s="424"/>
      <c r="Q4" s="422"/>
      <c r="R4" s="422"/>
      <c r="S4" s="422"/>
      <c r="T4" s="1178"/>
      <c r="U4" s="129"/>
      <c r="V4" s="129"/>
    </row>
    <row r="5" spans="1:26">
      <c r="T5" s="410"/>
    </row>
    <row r="6" spans="1:26">
      <c r="T6" s="410"/>
    </row>
    <row r="7" spans="1:26">
      <c r="T7" s="410"/>
    </row>
    <row r="8" spans="1:26">
      <c r="T8" s="410"/>
    </row>
    <row r="9" spans="1:26">
      <c r="T9" s="410"/>
    </row>
    <row r="10" spans="1:26">
      <c r="T10" s="410"/>
    </row>
    <row r="11" spans="1:26">
      <c r="T11" s="410"/>
    </row>
    <row r="12" spans="1:26">
      <c r="T12" s="410"/>
    </row>
    <row r="13" spans="1:26">
      <c r="T13" s="410"/>
    </row>
    <row r="14" spans="1:26">
      <c r="T14" s="410"/>
    </row>
    <row r="15" spans="1:26">
      <c r="T15" s="410"/>
    </row>
    <row r="16" spans="1:26">
      <c r="T16" s="410"/>
    </row>
    <row r="17" spans="1:20">
      <c r="T17" s="410"/>
    </row>
    <row r="18" spans="1:20">
      <c r="T18" s="410"/>
    </row>
    <row r="19" spans="1:20">
      <c r="T19" s="410"/>
    </row>
    <row r="20" spans="1:20">
      <c r="T20" s="410"/>
    </row>
    <row r="21" spans="1:20">
      <c r="T21" s="410"/>
    </row>
    <row r="22" spans="1:20">
      <c r="T22" s="410"/>
    </row>
    <row r="23" spans="1:20">
      <c r="J23" s="411" t="str">
        <f>"Higher Education is "&amp;TEXT(G74/G39*100,"#.00")&amp;" percent of Total State Appropriations "</f>
        <v xml:space="preserve">Higher Education is 9.68 percent of Total State Appropriations </v>
      </c>
      <c r="T23" s="411" t="str">
        <f>"Higher Education is "&amp;TEXT(P74/P39*100,"#.00")&amp;" percent of Total State Appropriations "</f>
        <v xml:space="preserve">Higher Education is 12.56 percent of Total State Appropriations </v>
      </c>
    </row>
    <row r="24" spans="1:20" ht="13.5" thickBot="1">
      <c r="T24" s="1179"/>
    </row>
    <row r="25" spans="1:20" ht="13.5" customHeight="1" thickBot="1">
      <c r="A25" s="536" t="s">
        <v>765</v>
      </c>
      <c r="B25" s="537"/>
      <c r="C25" s="537"/>
      <c r="D25" s="537"/>
      <c r="E25" s="537"/>
      <c r="F25" s="537"/>
      <c r="G25" s="537"/>
      <c r="H25" s="537"/>
      <c r="I25" s="537"/>
      <c r="J25" s="537"/>
      <c r="K25" s="537"/>
      <c r="L25" s="537"/>
      <c r="M25" s="537"/>
      <c r="N25" s="537"/>
      <c r="O25" s="537"/>
      <c r="P25" s="537"/>
      <c r="Q25" s="537"/>
      <c r="R25" s="537"/>
      <c r="S25" s="537"/>
      <c r="T25" s="538"/>
    </row>
    <row r="26" spans="1:20" ht="13.5" thickBot="1">
      <c r="A26" s="535" t="s">
        <v>1318</v>
      </c>
      <c r="B26" s="1292" t="s">
        <v>2</v>
      </c>
      <c r="C26" s="1293"/>
      <c r="D26" s="1293"/>
      <c r="E26" s="1293"/>
      <c r="F26" s="1293"/>
      <c r="G26" s="1293"/>
      <c r="H26" s="1293"/>
      <c r="I26" s="1293"/>
      <c r="J26" s="1294"/>
      <c r="K26" s="1295" t="s">
        <v>764</v>
      </c>
      <c r="L26" s="1295"/>
      <c r="M26" s="1295"/>
      <c r="N26" s="1295"/>
      <c r="O26" s="1295"/>
      <c r="P26" s="1295"/>
      <c r="Q26" s="1295"/>
      <c r="R26" s="1295"/>
      <c r="S26" s="1295"/>
      <c r="T26" s="1296"/>
    </row>
    <row r="27" spans="1:20" ht="25.5">
      <c r="A27" s="73" t="s">
        <v>766</v>
      </c>
      <c r="B27" s="74">
        <f>E27-2</f>
        <v>2018</v>
      </c>
      <c r="C27" s="75">
        <f>B27+1</f>
        <v>2019</v>
      </c>
      <c r="D27" s="76" t="str">
        <f>B27&amp;"-"&amp;C27</f>
        <v>2018-2019</v>
      </c>
      <c r="E27" s="74" t="str">
        <f>$T$1</f>
        <v>2020</v>
      </c>
      <c r="F27" s="75">
        <f>E27+1</f>
        <v>2021</v>
      </c>
      <c r="G27" s="76" t="str">
        <f>E27&amp;"-"&amp;F27</f>
        <v>2020-2021</v>
      </c>
      <c r="H27" s="74" t="s">
        <v>767</v>
      </c>
      <c r="I27" s="75" t="s">
        <v>768</v>
      </c>
      <c r="J27" s="76" t="s">
        <v>769</v>
      </c>
      <c r="K27" s="77">
        <f>N27-2</f>
        <v>2018</v>
      </c>
      <c r="L27" s="75">
        <f>K27+1</f>
        <v>2019</v>
      </c>
      <c r="M27" s="76" t="str">
        <f>K27&amp;"-"&amp;L27</f>
        <v>2018-2019</v>
      </c>
      <c r="N27" s="74" t="str">
        <f>$T$1</f>
        <v>2020</v>
      </c>
      <c r="O27" s="75">
        <f>N27+1</f>
        <v>2021</v>
      </c>
      <c r="P27" s="76" t="str">
        <f>N27&amp;"-"&amp;O27</f>
        <v>2020-2021</v>
      </c>
      <c r="Q27" s="74" t="s">
        <v>767</v>
      </c>
      <c r="R27" s="75" t="s">
        <v>768</v>
      </c>
      <c r="S27" s="78" t="s">
        <v>769</v>
      </c>
      <c r="T27" s="78" t="s">
        <v>770</v>
      </c>
    </row>
    <row r="28" spans="1:20">
      <c r="A28" s="79" t="s">
        <v>3</v>
      </c>
      <c r="B28" s="80">
        <f>(INDEX(Data!4:4,1,$U$1-2)-INDEX(Data!1236:1236,1,$U$1-2))</f>
        <v>3354275449</v>
      </c>
      <c r="C28" s="81">
        <f>(INDEX(Data!4:4,1,$U$1-1)-INDEX(Data!1236:1236,1,$U$1-1))</f>
        <v>2888815212</v>
      </c>
      <c r="D28" s="82">
        <f>B28+C28</f>
        <v>6243090661</v>
      </c>
      <c r="E28" s="80">
        <f>(INDEX(Data!4:4,1,$U$1)-INDEX(Data!1236:1236,1,$U$1))</f>
        <v>4348316826</v>
      </c>
      <c r="F28" s="81">
        <f>(INDEX(Data!4:4,1,$U$1+1)-INDEX(Data!1236:1236,1,$U$1+1))</f>
        <v>3104372598</v>
      </c>
      <c r="G28" s="82">
        <f>E28+F28</f>
        <v>7452689424</v>
      </c>
      <c r="H28" s="83">
        <f>G28-D28</f>
        <v>1209598763</v>
      </c>
      <c r="I28" s="443">
        <f>IFERROR(H28/D28,"")</f>
        <v>0.19374999157969139</v>
      </c>
      <c r="J28" s="444">
        <f t="shared" ref="J28:J39" si="0">IFERROR(G28/G$39,"")</f>
        <v>3.0013186546421239E-2</v>
      </c>
      <c r="K28" s="402">
        <f>(INDEX(Data!17:17,1,$U$1-2)-INDEX(Data!1393:1393,1,$U$1-2))</f>
        <v>1633275753</v>
      </c>
      <c r="L28" s="81">
        <f>(INDEX(Data!17:17,1,$U$1-1)-INDEX(Data!1393:1393,1,$U$1-1))</f>
        <v>1640481069</v>
      </c>
      <c r="M28" s="82">
        <f>K28+L28</f>
        <v>3273756822</v>
      </c>
      <c r="N28" s="80">
        <f>(INDEX(Data!17:17,1,$U$1)-INDEX(Data!1393:1393,1,$U$1))</f>
        <v>2265217895</v>
      </c>
      <c r="O28" s="81">
        <f>(INDEX(Data!17:17,1,$U$1+1)-INDEX(Data!1393:1393,1,$U$1+1))</f>
        <v>1763416850</v>
      </c>
      <c r="P28" s="82">
        <f>N28+O28</f>
        <v>4028634745</v>
      </c>
      <c r="Q28" s="83">
        <f>P28-M28</f>
        <v>754877923</v>
      </c>
      <c r="R28" s="84">
        <f>IFERROR(Q28/M28,"")</f>
        <v>0.23058460479628134</v>
      </c>
      <c r="S28" s="85">
        <f t="shared" ref="S28:S39" si="1">IFERROR(P28/P$39,"")</f>
        <v>3.405047952347532E-2</v>
      </c>
      <c r="T28" s="85">
        <f>IFERROR(P28/G28,"")</f>
        <v>0.54056120090373427</v>
      </c>
    </row>
    <row r="29" spans="1:20">
      <c r="A29" s="79" t="s">
        <v>4</v>
      </c>
      <c r="B29" s="86">
        <f>(INDEX(Data!5:5,1,$U$1-2)-INDEX(Data!1237:1237,1,$U$1-2))</f>
        <v>39650748870</v>
      </c>
      <c r="C29" s="87">
        <f>(INDEX(Data!5:5,1,$U$1-1)-INDEX(Data!1237:1237,1,$U$1-1))</f>
        <v>39220908359</v>
      </c>
      <c r="D29" s="88">
        <f>B29+C29</f>
        <v>78871657229</v>
      </c>
      <c r="E29" s="89">
        <f>(INDEX(Data!5:5,1,$U$1)-INDEX(Data!1237:1237,1,$U$1))</f>
        <v>41794425151</v>
      </c>
      <c r="F29" s="90">
        <f>(INDEX(Data!5:5,1,$U$1+1)-INDEX(Data!1237:1237,1,$U$1+1))</f>
        <v>42509403920</v>
      </c>
      <c r="G29" s="88">
        <f>E29+F29</f>
        <v>84303829071</v>
      </c>
      <c r="H29" s="86">
        <f>G29-D29</f>
        <v>5432171842</v>
      </c>
      <c r="I29" s="443">
        <f>IFERROR(H29/D29,"")</f>
        <v>6.8873560323804969E-2</v>
      </c>
      <c r="J29" s="444">
        <f t="shared" si="0"/>
        <v>0.33950516444941459</v>
      </c>
      <c r="K29" s="402">
        <f>(INDEX(Data!18:18,1,$U$1-2)-INDEX(Data!1394:1394,1,$U$1-2))</f>
        <v>16754256216</v>
      </c>
      <c r="L29" s="81">
        <f>(INDEX(Data!18:18,1,$U$1-1)-INDEX(Data!1394:1394,1,$U$1-1))</f>
        <v>16134147188</v>
      </c>
      <c r="M29" s="82">
        <f>K29+L29</f>
        <v>32888403404</v>
      </c>
      <c r="N29" s="80">
        <f>(INDEX(Data!18:18,1,$U$1)-INDEX(Data!1394:1394,1,$U$1))</f>
        <v>16781828351</v>
      </c>
      <c r="O29" s="81">
        <f>(INDEX(Data!18:18,1,$U$1+1)-INDEX(Data!1394:1394,1,$U$1+1))</f>
        <v>16861428631</v>
      </c>
      <c r="P29" s="82">
        <f>N29+O29</f>
        <v>33643256982</v>
      </c>
      <c r="Q29" s="86">
        <f t="shared" ref="Q29:Q37" si="2">P29-M29</f>
        <v>754853578</v>
      </c>
      <c r="R29" s="84">
        <f t="shared" ref="R29:R39" si="3">IFERROR(Q29/M29,"")</f>
        <v>2.2951967863182807E-2</v>
      </c>
      <c r="S29" s="85">
        <f t="shared" si="1"/>
        <v>0.28435663828556118</v>
      </c>
      <c r="T29" s="85">
        <f>IFERROR(P29/G29,"")</f>
        <v>0.39907151730517393</v>
      </c>
    </row>
    <row r="30" spans="1:20">
      <c r="A30" s="421" t="s">
        <v>5</v>
      </c>
      <c r="B30" s="86">
        <f>B75</f>
        <v>41170746188</v>
      </c>
      <c r="C30" s="87">
        <f>C75</f>
        <v>39831529690</v>
      </c>
      <c r="D30" s="88">
        <f t="shared" ref="D30:D37" si="4">B30+C30</f>
        <v>81002275878</v>
      </c>
      <c r="E30" s="86">
        <f>E75</f>
        <v>47927983109</v>
      </c>
      <c r="F30" s="87">
        <f>F75</f>
        <v>47973937749</v>
      </c>
      <c r="G30" s="88">
        <f t="shared" ref="G30:G31" si="5">E30+F30</f>
        <v>95901920858</v>
      </c>
      <c r="H30" s="86">
        <f t="shared" ref="H30:H37" si="6">G30-D30</f>
        <v>14899644980</v>
      </c>
      <c r="I30" s="443">
        <f t="shared" ref="I30:I38" si="7">IFERROR(H30/D30,"")</f>
        <v>0.18394106608116556</v>
      </c>
      <c r="J30" s="444">
        <f t="shared" si="0"/>
        <v>0.3862125572551271</v>
      </c>
      <c r="K30" s="91">
        <f>K75</f>
        <v>29202145511</v>
      </c>
      <c r="L30" s="87">
        <f>L75</f>
        <v>27257651438</v>
      </c>
      <c r="M30" s="88">
        <f t="shared" ref="M30:M37" si="8">K30+L30</f>
        <v>56459796949</v>
      </c>
      <c r="N30" s="86">
        <f>N75</f>
        <v>33344230597.231262</v>
      </c>
      <c r="O30" s="87">
        <f>O75</f>
        <v>32370707366</v>
      </c>
      <c r="P30" s="88">
        <f t="shared" ref="P30:P37" si="9">N30+O30</f>
        <v>65714937963.231262</v>
      </c>
      <c r="Q30" s="86">
        <f t="shared" si="2"/>
        <v>9255141014.2312622</v>
      </c>
      <c r="R30" s="84">
        <f t="shared" si="3"/>
        <v>0.16392444738317796</v>
      </c>
      <c r="S30" s="85">
        <f t="shared" si="1"/>
        <v>0.55543013728921631</v>
      </c>
      <c r="T30" s="85">
        <f t="shared" ref="T30:T38" si="10">IFERROR(P30/G30,"")</f>
        <v>0.68523067499903378</v>
      </c>
    </row>
    <row r="31" spans="1:20">
      <c r="A31" s="92" t="s">
        <v>7</v>
      </c>
      <c r="B31" s="86">
        <f>(INDEX(Data!8:8,1,$U$1-2)-INDEX(Data!1239:1239,1,$U$1-2))</f>
        <v>6233999000</v>
      </c>
      <c r="C31" s="87">
        <f>(INDEX(Data!8:8,1,$U$1-1)-INDEX(Data!1239:1239,1,$U$1-1))</f>
        <v>6071655059</v>
      </c>
      <c r="D31" s="88">
        <f t="shared" si="4"/>
        <v>12305654059</v>
      </c>
      <c r="E31" s="93">
        <f>(INDEX(Data!8:8,1,$U$1)-INDEX(Data!1239:1239,1,$U$1))</f>
        <v>6321296888</v>
      </c>
      <c r="F31" s="94">
        <f>(INDEX(Data!8:8,1,$U$1+1)-INDEX(Data!1239:1239,1,$U$1+1))</f>
        <v>6227598550</v>
      </c>
      <c r="G31" s="88">
        <f t="shared" si="5"/>
        <v>12548895438</v>
      </c>
      <c r="H31" s="86">
        <f t="shared" si="6"/>
        <v>243241379</v>
      </c>
      <c r="I31" s="443">
        <f t="shared" si="7"/>
        <v>1.9766635550923867E-2</v>
      </c>
      <c r="J31" s="444">
        <f t="shared" si="0"/>
        <v>5.0536432998181044E-2</v>
      </c>
      <c r="K31" s="91">
        <f>(INDEX(Data!21:21,1,$U$1-2)-INDEX(Data!1396:1396,1,$U$1-2))</f>
        <v>5701516402</v>
      </c>
      <c r="L31" s="87">
        <f>(INDEX(Data!21:21,1,$U$1-1)-INDEX(Data!1396:1396,1,$U$1-1))</f>
        <v>5709841698</v>
      </c>
      <c r="M31" s="88">
        <f t="shared" si="8"/>
        <v>11411358100</v>
      </c>
      <c r="N31" s="93">
        <f>(INDEX(Data!21:21,1,$U$1)-INDEX(Data!1396:1396,1,$U$1))</f>
        <v>6070165525</v>
      </c>
      <c r="O31" s="94">
        <f>(INDEX(Data!21:21,1,$U$1+1)-INDEX(Data!1396:1396,1,$U$1+1))</f>
        <v>6002089309</v>
      </c>
      <c r="P31" s="88">
        <f t="shared" si="9"/>
        <v>12072254834</v>
      </c>
      <c r="Q31" s="86">
        <f t="shared" si="2"/>
        <v>660896734</v>
      </c>
      <c r="R31" s="84">
        <f t="shared" si="3"/>
        <v>5.79156948899886E-2</v>
      </c>
      <c r="S31" s="85">
        <f t="shared" si="1"/>
        <v>0.10203607227919416</v>
      </c>
      <c r="T31" s="85">
        <f t="shared" si="10"/>
        <v>0.96201732603838119</v>
      </c>
    </row>
    <row r="32" spans="1:20">
      <c r="A32" s="92" t="s">
        <v>6</v>
      </c>
      <c r="B32" s="86">
        <f>(INDEX(Data!7:7,1,$U$1-2)-INDEX(Data!1238:1238,1,$U$1-2))</f>
        <v>420857444</v>
      </c>
      <c r="C32" s="87">
        <f>(INDEX(Data!7:7,1,$U$1-1)-INDEX(Data!1238:1238,1,$U$1-1))</f>
        <v>409736656</v>
      </c>
      <c r="D32" s="88">
        <f t="shared" si="4"/>
        <v>830594100</v>
      </c>
      <c r="E32" s="93">
        <f>(INDEX(Data!7:7,1,$U$1)-INDEX(Data!1238:1238,1,$U$1))</f>
        <v>485536042</v>
      </c>
      <c r="F32" s="94">
        <f>(INDEX(Data!7:7,1,$U$1+1)-INDEX(Data!1238:1238,1,$U$1+1))</f>
        <v>448219056</v>
      </c>
      <c r="G32" s="88">
        <f>E32+F32</f>
        <v>933755098</v>
      </c>
      <c r="H32" s="86">
        <f>G32-D32</f>
        <v>103160998</v>
      </c>
      <c r="I32" s="443">
        <f>IFERROR(H32/D32,"")</f>
        <v>0.12420145772766746</v>
      </c>
      <c r="J32" s="444">
        <f t="shared" si="0"/>
        <v>3.7603829101876506E-3</v>
      </c>
      <c r="K32" s="91">
        <f>(INDEX(Data!20:20,1,$U$1-2)-INDEX(Data!1395:1395,1,$U$1-2))</f>
        <v>245986939</v>
      </c>
      <c r="L32" s="87">
        <f>(INDEX(Data!20:20,1,$U$1-1)-INDEX(Data!1395:1395,1,$U$1-1))</f>
        <v>245443419</v>
      </c>
      <c r="M32" s="88">
        <f t="shared" si="8"/>
        <v>491430358</v>
      </c>
      <c r="N32" s="93">
        <f>(INDEX(Data!20:20,1,$U$1)-INDEX(Data!1395:1395,1,$U$1))</f>
        <v>279125324</v>
      </c>
      <c r="O32" s="94">
        <f>(INDEX(Data!20:20,1,$U$1+1)-INDEX(Data!1395:1395,1,$U$1+1))</f>
        <v>266573017</v>
      </c>
      <c r="P32" s="88">
        <f t="shared" si="9"/>
        <v>545698341</v>
      </c>
      <c r="Q32" s="86">
        <f>P32-M32</f>
        <v>54267983</v>
      </c>
      <c r="R32" s="84">
        <f>IFERROR(Q32/M32,"")</f>
        <v>0.1104286337149729</v>
      </c>
      <c r="S32" s="85">
        <f t="shared" si="1"/>
        <v>4.6123045057079133E-3</v>
      </c>
      <c r="T32" s="85">
        <f>IFERROR(P32/G32,"")</f>
        <v>0.58441270325465999</v>
      </c>
    </row>
    <row r="33" spans="1:20">
      <c r="A33" s="92" t="s">
        <v>8</v>
      </c>
      <c r="B33" s="86">
        <f>(INDEX(Data!9:9,1,$U$1-2)-INDEX(Data!1240:1240,1,$U$1-2))</f>
        <v>2291973265</v>
      </c>
      <c r="C33" s="87">
        <f>(INDEX(Data!9:9,1,$U$1-1)-INDEX(Data!1240:1240,1,$U$1-1))</f>
        <v>2162868555</v>
      </c>
      <c r="D33" s="88">
        <f t="shared" si="4"/>
        <v>4454841820</v>
      </c>
      <c r="E33" s="93">
        <f>(INDEX(Data!9:9,1,$U$1)-INDEX(Data!1240:1240,1,$U$1))</f>
        <v>4578975436</v>
      </c>
      <c r="F33" s="94">
        <f>(INDEX(Data!9:9,1,$U$1+1)-INDEX(Data!1240:1240,1,$U$1+1))</f>
        <v>4433399605</v>
      </c>
      <c r="G33" s="88">
        <f t="shared" ref="G33:G37" si="11">E33+F33</f>
        <v>9012375041</v>
      </c>
      <c r="H33" s="86">
        <f t="shared" ref="H33:H36" si="12">G33-D33</f>
        <v>4557533221</v>
      </c>
      <c r="I33" s="443">
        <f t="shared" ref="I33:I36" si="13">IFERROR(H33/D33,"")</f>
        <v>1.0230516380040626</v>
      </c>
      <c r="J33" s="444">
        <f t="shared" si="0"/>
        <v>3.6294292965004117E-2</v>
      </c>
      <c r="K33" s="91">
        <f>(INDEX(Data!22:22,1,$U$1-2)-INDEX(Data!1397:1397,1,$U$1-2))</f>
        <v>452124070</v>
      </c>
      <c r="L33" s="87">
        <f>(INDEX(Data!22:22,1,$U$1-1)-INDEX(Data!1397:1397,1,$U$1-1))</f>
        <v>438216832</v>
      </c>
      <c r="M33" s="88">
        <f t="shared" si="8"/>
        <v>890340902</v>
      </c>
      <c r="N33" s="93">
        <f>(INDEX(Data!22:22,1,$U$1)-INDEX(Data!1397:1397,1,$U$1))</f>
        <v>525323318</v>
      </c>
      <c r="O33" s="94">
        <f>(INDEX(Data!22:22,1,$U$1+1)-INDEX(Data!1397:1397,1,$U$1+1))</f>
        <v>486405634</v>
      </c>
      <c r="P33" s="88">
        <f t="shared" si="9"/>
        <v>1011728952</v>
      </c>
      <c r="Q33" s="86">
        <f t="shared" ref="Q33:Q36" si="14">P33-M33</f>
        <v>121388050</v>
      </c>
      <c r="R33" s="84">
        <f t="shared" ref="R33:R36" si="15">IFERROR(Q33/M33,"")</f>
        <v>0.13633884473612559</v>
      </c>
      <c r="S33" s="85">
        <f t="shared" si="1"/>
        <v>8.5512482873110751E-3</v>
      </c>
      <c r="T33" s="85">
        <f t="shared" si="10"/>
        <v>0.11225997002980249</v>
      </c>
    </row>
    <row r="34" spans="1:20">
      <c r="A34" s="92" t="s">
        <v>9</v>
      </c>
      <c r="B34" s="86">
        <f>(INDEX(Data!10:10,1,$U$1-2)-INDEX(Data!1241:1241,1,$U$1-2))</f>
        <v>15068789158</v>
      </c>
      <c r="C34" s="87">
        <f>(INDEX(Data!10:10,1,$U$1-1)-INDEX(Data!1241:1241,1,$U$1-1))</f>
        <v>16772841822</v>
      </c>
      <c r="D34" s="88">
        <f t="shared" si="4"/>
        <v>31841630980</v>
      </c>
      <c r="E34" s="93">
        <f>(INDEX(Data!10:10,1,$U$1)-INDEX(Data!1241:1241,1,$U$1))</f>
        <v>19098789850</v>
      </c>
      <c r="F34" s="94">
        <f>(INDEX(Data!10:10,1,$U$1+1)-INDEX(Data!1241:1241,1,$U$1+1))</f>
        <v>17962318337</v>
      </c>
      <c r="G34" s="88">
        <f t="shared" si="11"/>
        <v>37061108187</v>
      </c>
      <c r="H34" s="86">
        <f t="shared" si="12"/>
        <v>5219477207</v>
      </c>
      <c r="I34" s="443">
        <f t="shared" si="13"/>
        <v>0.16391990756624239</v>
      </c>
      <c r="J34" s="444">
        <f t="shared" si="0"/>
        <v>0.14925108109986504</v>
      </c>
      <c r="K34" s="91">
        <f>(INDEX(Data!23:23,1,$U$1-2)-INDEX(Data!1398:1398,1,$U$1-2))</f>
        <v>256800689</v>
      </c>
      <c r="L34" s="87">
        <f>(INDEX(Data!23:23,1,$U$1-1)-INDEX(Data!1398:1398,1,$U$1-1))</f>
        <v>256805179</v>
      </c>
      <c r="M34" s="88">
        <f t="shared" si="8"/>
        <v>513605868</v>
      </c>
      <c r="N34" s="93">
        <f>(INDEX(Data!23:23,1,$U$1)-INDEX(Data!1398:1398,1,$U$1))</f>
        <v>278414309</v>
      </c>
      <c r="O34" s="94">
        <f>(INDEX(Data!23:23,1,$U$1+1)-INDEX(Data!1398:1398,1,$U$1+1))</f>
        <v>247457256</v>
      </c>
      <c r="P34" s="88">
        <f t="shared" si="9"/>
        <v>525871565</v>
      </c>
      <c r="Q34" s="86">
        <f t="shared" si="14"/>
        <v>12265697</v>
      </c>
      <c r="R34" s="84">
        <f t="shared" si="15"/>
        <v>2.3881535948495042E-2</v>
      </c>
      <c r="S34" s="85">
        <f t="shared" si="1"/>
        <v>4.4447263376840131E-3</v>
      </c>
      <c r="T34" s="85">
        <f t="shared" si="10"/>
        <v>1.4189310323549932E-2</v>
      </c>
    </row>
    <row r="35" spans="1:20">
      <c r="A35" s="92" t="s">
        <v>10</v>
      </c>
      <c r="B35" s="86">
        <f>(INDEX(Data!11:11,1,$U$1-2)-INDEX(Data!1242:1242,1,$U$1-2))</f>
        <v>330239968</v>
      </c>
      <c r="C35" s="87">
        <f>(INDEX(Data!11:11,1,$U$1-1)-INDEX(Data!1242:1242,1,$U$1-1))</f>
        <v>345012787</v>
      </c>
      <c r="D35" s="88">
        <f t="shared" si="4"/>
        <v>675252755</v>
      </c>
      <c r="E35" s="93">
        <f>(INDEX(Data!11:11,1,$U$1)-INDEX(Data!1242:1242,1,$U$1))</f>
        <v>344480102</v>
      </c>
      <c r="F35" s="94">
        <f>(INDEX(Data!11:11,1,$U$1+1)-INDEX(Data!1242:1242,1,$U$1+1))</f>
        <v>362553596</v>
      </c>
      <c r="G35" s="88">
        <f t="shared" si="11"/>
        <v>707033698</v>
      </c>
      <c r="H35" s="86">
        <f t="shared" si="12"/>
        <v>31780943</v>
      </c>
      <c r="I35" s="443">
        <f t="shared" si="13"/>
        <v>4.7065254846683301E-2</v>
      </c>
      <c r="J35" s="444">
        <f t="shared" si="0"/>
        <v>2.8473391369756959E-3</v>
      </c>
      <c r="K35" s="91">
        <f>(INDEX(Data!24:24,1,$U$1-2)-INDEX(Data!1399:1399,1,$U$1-2))</f>
        <v>173926131</v>
      </c>
      <c r="L35" s="87">
        <f>(INDEX(Data!24:24,1,$U$1-1)-INDEX(Data!1399:1399,1,$U$1-1))</f>
        <v>173303639</v>
      </c>
      <c r="M35" s="88">
        <f t="shared" si="8"/>
        <v>347229770</v>
      </c>
      <c r="N35" s="93">
        <f>(INDEX(Data!24:24,1,$U$1)-INDEX(Data!1399:1399,1,$U$1))</f>
        <v>189230201</v>
      </c>
      <c r="O35" s="94">
        <f>(INDEX(Data!24:24,1,$U$1+1)-INDEX(Data!1399:1399,1,$U$1+1))</f>
        <v>189959981</v>
      </c>
      <c r="P35" s="88">
        <f t="shared" si="9"/>
        <v>379190182</v>
      </c>
      <c r="Q35" s="86">
        <f t="shared" si="14"/>
        <v>31960412</v>
      </c>
      <c r="R35" s="84">
        <f t="shared" si="15"/>
        <v>9.2043985744655471E-2</v>
      </c>
      <c r="S35" s="85">
        <f t="shared" si="1"/>
        <v>3.2049585889409983E-3</v>
      </c>
      <c r="T35" s="85">
        <f t="shared" si="10"/>
        <v>0.53631132868577924</v>
      </c>
    </row>
    <row r="36" spans="1:20">
      <c r="A36" s="92" t="s">
        <v>11</v>
      </c>
      <c r="B36" s="86">
        <f>(INDEX(Data!12:12,1,$U$1-2)-INDEX(Data!1243:1243,1,$U$1-2))</f>
        <v>0</v>
      </c>
      <c r="C36" s="87">
        <f>(INDEX(Data!12:12,1,$U$1-1)-INDEX(Data!1243:1243,1,$U$1-1))</f>
        <v>0</v>
      </c>
      <c r="D36" s="88">
        <f t="shared" si="4"/>
        <v>0</v>
      </c>
      <c r="E36" s="93">
        <f>(INDEX(Data!12:12,1,$U$1)-INDEX(Data!1243:1243,1,$U$1))</f>
        <v>0</v>
      </c>
      <c r="F36" s="94">
        <f>(INDEX(Data!12:12,1,$U$1+1)-INDEX(Data!1243:1243,1,$U$1+1))</f>
        <v>0</v>
      </c>
      <c r="G36" s="88">
        <f t="shared" si="11"/>
        <v>0</v>
      </c>
      <c r="H36" s="86">
        <f t="shared" si="12"/>
        <v>0</v>
      </c>
      <c r="I36" s="443" t="str">
        <f t="shared" si="13"/>
        <v/>
      </c>
      <c r="J36" s="444">
        <f t="shared" si="0"/>
        <v>0</v>
      </c>
      <c r="K36" s="91">
        <f>(INDEX(Data!25:25,1,$U$1-2)-INDEX(Data!1400:1400,1,$U$1-2))</f>
        <v>0</v>
      </c>
      <c r="L36" s="87">
        <f>(INDEX(Data!25:25,1,$U$1-1)-INDEX(Data!1400:1400,1,$U$1-1))</f>
        <v>0</v>
      </c>
      <c r="M36" s="88">
        <f t="shared" si="8"/>
        <v>0</v>
      </c>
      <c r="N36" s="93">
        <f>(INDEX(Data!25:25,1,$U$1)-INDEX(Data!1400:1400,1,$U$1))</f>
        <v>0</v>
      </c>
      <c r="O36" s="94">
        <f>(INDEX(Data!25:25,1,$U$1+1)-INDEX(Data!1400:1400,1,$U$1+1))</f>
        <v>0</v>
      </c>
      <c r="P36" s="88">
        <f t="shared" si="9"/>
        <v>0</v>
      </c>
      <c r="Q36" s="86">
        <f t="shared" si="14"/>
        <v>0</v>
      </c>
      <c r="R36" s="84" t="str">
        <f t="shared" si="15"/>
        <v/>
      </c>
      <c r="S36" s="85">
        <f t="shared" si="1"/>
        <v>0</v>
      </c>
      <c r="T36" s="85" t="str">
        <f t="shared" si="10"/>
        <v/>
      </c>
    </row>
    <row r="37" spans="1:20">
      <c r="A37" s="79" t="s">
        <v>12</v>
      </c>
      <c r="B37" s="86">
        <f>(INDEX(Data!13:13,1,$U$1-2)-INDEX(Data!1244:1244,1,$U$1-2))</f>
        <v>189082075</v>
      </c>
      <c r="C37" s="87">
        <f>(INDEX(Data!13:13,1,$U$1-1)-INDEX(Data!1244:1244,1,$U$1-1))</f>
        <v>198434928</v>
      </c>
      <c r="D37" s="88">
        <f t="shared" si="4"/>
        <v>387517003</v>
      </c>
      <c r="E37" s="93">
        <f>(INDEX(Data!13:13,1,$U$1)-INDEX(Data!1244:1244,1,$U$1))</f>
        <v>193165103</v>
      </c>
      <c r="F37" s="94">
        <f>(INDEX(Data!13:13,1,$U$1+1)-INDEX(Data!1244:1244,1,$U$1+1))</f>
        <v>199062152</v>
      </c>
      <c r="G37" s="88">
        <f t="shared" si="11"/>
        <v>392227255</v>
      </c>
      <c r="H37" s="86">
        <f t="shared" si="6"/>
        <v>4710252</v>
      </c>
      <c r="I37" s="443">
        <f t="shared" si="7"/>
        <v>1.2154955688486268E-2</v>
      </c>
      <c r="J37" s="444">
        <f t="shared" si="0"/>
        <v>1.5795626388235406E-3</v>
      </c>
      <c r="K37" s="91">
        <f>(INDEX(Data!26:26,1,$U$1-2)-INDEX(Data!1401:1401,1,$U$1-2))</f>
        <v>188980650</v>
      </c>
      <c r="L37" s="87">
        <f>(INDEX(Data!26:26,1,$U$1-1)-INDEX(Data!1401:1401,1,$U$1-1))</f>
        <v>198333503</v>
      </c>
      <c r="M37" s="88">
        <f t="shared" si="8"/>
        <v>387314153</v>
      </c>
      <c r="N37" s="93">
        <f>(INDEX(Data!26:26,1,$U$1)-INDEX(Data!1401:1401,1,$U$1))</f>
        <v>193063678</v>
      </c>
      <c r="O37" s="94">
        <f>(INDEX(Data!26:26,1,$U$1+1)-INDEX(Data!1401:1401,1,$U$1+1))</f>
        <v>198960727</v>
      </c>
      <c r="P37" s="88">
        <f t="shared" si="9"/>
        <v>392024405</v>
      </c>
      <c r="Q37" s="86">
        <f t="shared" si="2"/>
        <v>4710252</v>
      </c>
      <c r="R37" s="84">
        <f t="shared" si="3"/>
        <v>1.2161321664896661E-2</v>
      </c>
      <c r="S37" s="85">
        <f t="shared" si="1"/>
        <v>3.3134349029090488E-3</v>
      </c>
      <c r="T37" s="85">
        <f t="shared" si="10"/>
        <v>0.99948282533298205</v>
      </c>
    </row>
    <row r="38" spans="1:20">
      <c r="A38" s="92" t="s">
        <v>715</v>
      </c>
      <c r="B38" s="86">
        <f t="shared" ref="B38:H38" si="16">SUM(B32:B37)</f>
        <v>18300941910</v>
      </c>
      <c r="C38" s="87">
        <f t="shared" si="16"/>
        <v>19888894748</v>
      </c>
      <c r="D38" s="88">
        <f t="shared" si="16"/>
        <v>38189836658</v>
      </c>
      <c r="E38" s="93">
        <f t="shared" si="16"/>
        <v>24700946533</v>
      </c>
      <c r="F38" s="94">
        <f t="shared" si="16"/>
        <v>23405552746</v>
      </c>
      <c r="G38" s="88">
        <f t="shared" si="16"/>
        <v>48106499279</v>
      </c>
      <c r="H38" s="86">
        <f t="shared" si="16"/>
        <v>9916662621</v>
      </c>
      <c r="I38" s="443">
        <f t="shared" si="7"/>
        <v>0.25966758406971763</v>
      </c>
      <c r="J38" s="444">
        <f t="shared" si="0"/>
        <v>0.19373265875085605</v>
      </c>
      <c r="K38" s="91">
        <f t="shared" ref="K38:Q38" si="17">SUM(K32:K37)</f>
        <v>1317818479</v>
      </c>
      <c r="L38" s="87">
        <f t="shared" si="17"/>
        <v>1312102572</v>
      </c>
      <c r="M38" s="88">
        <f t="shared" si="17"/>
        <v>2629921051</v>
      </c>
      <c r="N38" s="93">
        <f t="shared" si="17"/>
        <v>1465156830</v>
      </c>
      <c r="O38" s="94">
        <f t="shared" si="17"/>
        <v>1389356615</v>
      </c>
      <c r="P38" s="88">
        <f t="shared" si="17"/>
        <v>2854513445</v>
      </c>
      <c r="Q38" s="86">
        <f t="shared" si="17"/>
        <v>224592394</v>
      </c>
      <c r="R38" s="84">
        <f t="shared" si="3"/>
        <v>8.5398911086932094E-2</v>
      </c>
      <c r="S38" s="85">
        <f t="shared" si="1"/>
        <v>2.4126672622553049E-2</v>
      </c>
      <c r="T38" s="85">
        <f t="shared" si="10"/>
        <v>5.9337376192037425E-2</v>
      </c>
    </row>
    <row r="39" spans="1:20" ht="13.5" thickBot="1">
      <c r="A39" s="95" t="s">
        <v>280</v>
      </c>
      <c r="B39" s="96">
        <f t="shared" ref="B39:C39" si="18">SUM(B28:B37)</f>
        <v>108710711417</v>
      </c>
      <c r="C39" s="97">
        <f t="shared" si="18"/>
        <v>107901803068</v>
      </c>
      <c r="D39" s="98">
        <f>SUM(D28:D37)</f>
        <v>216612514485</v>
      </c>
      <c r="E39" s="96">
        <f t="shared" ref="E39:H39" si="19">SUM(E28:E37)</f>
        <v>125092968507</v>
      </c>
      <c r="F39" s="97">
        <f t="shared" si="19"/>
        <v>123220865563</v>
      </c>
      <c r="G39" s="98">
        <f t="shared" si="19"/>
        <v>248313834070</v>
      </c>
      <c r="H39" s="96">
        <f t="shared" si="19"/>
        <v>31701319585</v>
      </c>
      <c r="I39" s="445">
        <f>IFERROR(H39/D39,"")</f>
        <v>0.14635036050604203</v>
      </c>
      <c r="J39" s="446">
        <f t="shared" si="0"/>
        <v>1</v>
      </c>
      <c r="K39" s="100">
        <f t="shared" ref="K39:Q39" si="20">SUM(K28:K37)</f>
        <v>54609012361</v>
      </c>
      <c r="L39" s="97">
        <f t="shared" si="20"/>
        <v>52054223965</v>
      </c>
      <c r="M39" s="98">
        <f t="shared" si="20"/>
        <v>106663236326</v>
      </c>
      <c r="N39" s="96">
        <f t="shared" si="20"/>
        <v>59926599198.231262</v>
      </c>
      <c r="O39" s="97">
        <f t="shared" si="20"/>
        <v>58386998771</v>
      </c>
      <c r="P39" s="98">
        <f t="shared" si="20"/>
        <v>118313597969.23126</v>
      </c>
      <c r="Q39" s="96">
        <f t="shared" si="20"/>
        <v>11650361643.231262</v>
      </c>
      <c r="R39" s="99">
        <f t="shared" si="3"/>
        <v>0.10922565304153813</v>
      </c>
      <c r="S39" s="101">
        <f t="shared" si="1"/>
        <v>1</v>
      </c>
      <c r="T39" s="101">
        <f>IFERROR(P39/G39,"")</f>
        <v>0.47646800836669656</v>
      </c>
    </row>
    <row r="40" spans="1:20">
      <c r="T40" s="1180"/>
    </row>
    <row r="41" spans="1:20">
      <c r="T41" s="410"/>
    </row>
    <row r="42" spans="1:20">
      <c r="T42" s="410"/>
    </row>
    <row r="43" spans="1:20">
      <c r="T43" s="410"/>
    </row>
    <row r="44" spans="1:20">
      <c r="T44" s="410"/>
    </row>
    <row r="45" spans="1:20">
      <c r="T45" s="410"/>
    </row>
    <row r="46" spans="1:20">
      <c r="T46" s="410"/>
    </row>
    <row r="47" spans="1:20">
      <c r="T47" s="410"/>
    </row>
    <row r="48" spans="1:20">
      <c r="T48" s="410"/>
    </row>
    <row r="49" spans="1:20">
      <c r="T49" s="410"/>
    </row>
    <row r="50" spans="1:20">
      <c r="T50" s="410"/>
    </row>
    <row r="51" spans="1:20">
      <c r="T51" s="410"/>
    </row>
    <row r="52" spans="1:20">
      <c r="T52" s="410"/>
    </row>
    <row r="53" spans="1:20">
      <c r="T53" s="410"/>
    </row>
    <row r="54" spans="1:20">
      <c r="T54" s="410"/>
    </row>
    <row r="55" spans="1:20">
      <c r="T55" s="410"/>
    </row>
    <row r="56" spans="1:20">
      <c r="T56" s="410"/>
    </row>
    <row r="57" spans="1:20">
      <c r="T57" s="410"/>
    </row>
    <row r="58" spans="1:20">
      <c r="J58" s="411"/>
      <c r="T58" s="411"/>
    </row>
    <row r="59" spans="1:20" ht="13.5" thickBot="1">
      <c r="T59" s="1179"/>
    </row>
    <row r="60" spans="1:20" ht="13.5" customHeight="1" thickBot="1">
      <c r="A60" s="536" t="s">
        <v>771</v>
      </c>
      <c r="B60" s="537"/>
      <c r="C60" s="537"/>
      <c r="D60" s="537"/>
      <c r="E60" s="537"/>
      <c r="F60" s="537"/>
      <c r="G60" s="537"/>
      <c r="H60" s="537"/>
      <c r="I60" s="537"/>
      <c r="J60" s="537"/>
      <c r="K60" s="537"/>
      <c r="L60" s="537"/>
      <c r="M60" s="537"/>
      <c r="N60" s="537"/>
      <c r="O60" s="537"/>
      <c r="P60" s="537"/>
      <c r="Q60" s="537"/>
      <c r="R60" s="537"/>
      <c r="S60" s="537"/>
      <c r="T60" s="538"/>
    </row>
    <row r="61" spans="1:20" ht="13.5" thickBot="1">
      <c r="A61" s="535" t="s">
        <v>1318</v>
      </c>
      <c r="B61" s="1292" t="s">
        <v>2</v>
      </c>
      <c r="C61" s="1293"/>
      <c r="D61" s="1293"/>
      <c r="E61" s="1293"/>
      <c r="F61" s="1293"/>
      <c r="G61" s="1293"/>
      <c r="H61" s="1293"/>
      <c r="I61" s="1293"/>
      <c r="J61" s="1294"/>
      <c r="K61" s="1295" t="s">
        <v>764</v>
      </c>
      <c r="L61" s="1295"/>
      <c r="M61" s="1295"/>
      <c r="N61" s="1295"/>
      <c r="O61" s="1295"/>
      <c r="P61" s="1295"/>
      <c r="Q61" s="1295"/>
      <c r="R61" s="1295"/>
      <c r="S61" s="1295"/>
      <c r="T61" s="1296"/>
    </row>
    <row r="62" spans="1:20" ht="25.5">
      <c r="A62" s="73" t="s">
        <v>772</v>
      </c>
      <c r="B62" s="74">
        <f>E62-2</f>
        <v>2018</v>
      </c>
      <c r="C62" s="75">
        <f>B62+1</f>
        <v>2019</v>
      </c>
      <c r="D62" s="76" t="str">
        <f>B62&amp;"-"&amp;C62</f>
        <v>2018-2019</v>
      </c>
      <c r="E62" s="74" t="str">
        <f>$T$1</f>
        <v>2020</v>
      </c>
      <c r="F62" s="75">
        <f>E62+1</f>
        <v>2021</v>
      </c>
      <c r="G62" s="76" t="str">
        <f>E62&amp;"-"&amp;F62</f>
        <v>2020-2021</v>
      </c>
      <c r="H62" s="74" t="s">
        <v>767</v>
      </c>
      <c r="I62" s="75" t="s">
        <v>768</v>
      </c>
      <c r="J62" s="76" t="s">
        <v>769</v>
      </c>
      <c r="K62" s="77">
        <f>N62-2</f>
        <v>2018</v>
      </c>
      <c r="L62" s="75">
        <f>K62+1</f>
        <v>2019</v>
      </c>
      <c r="M62" s="76" t="str">
        <f>K62&amp;"-"&amp;L62</f>
        <v>2018-2019</v>
      </c>
      <c r="N62" s="74" t="str">
        <f>$T$1</f>
        <v>2020</v>
      </c>
      <c r="O62" s="75">
        <f>N62+1</f>
        <v>2021</v>
      </c>
      <c r="P62" s="76" t="str">
        <f>N62&amp;"-"&amp;O62</f>
        <v>2020-2021</v>
      </c>
      <c r="Q62" s="74" t="s">
        <v>767</v>
      </c>
      <c r="R62" s="75" t="s">
        <v>768</v>
      </c>
      <c r="S62" s="78" t="s">
        <v>769</v>
      </c>
      <c r="T62" s="78" t="s">
        <v>770</v>
      </c>
    </row>
    <row r="63" spans="1:20" hidden="1" outlineLevel="1">
      <c r="A63" s="79" t="s">
        <v>19</v>
      </c>
      <c r="B63" s="83">
        <f>(INDEX(Data!30:30,1,$U$1-2)-INDEX(Data!1245:1245,1,$U$1-2))</f>
        <v>28182057587</v>
      </c>
      <c r="C63" s="81">
        <f>(INDEX(Data!30:30,1,$U$1-1)-INDEX(Data!1245:1245,1,$U$1-1))</f>
        <v>27176504317</v>
      </c>
      <c r="D63" s="82">
        <f>B63+C63</f>
        <v>55358561904</v>
      </c>
      <c r="E63" s="102">
        <f>(INDEX(Data!30:30,1,$U$1)-INDEX(Data!1245:1245,1,$U$1))</f>
        <v>32530797778</v>
      </c>
      <c r="F63" s="103">
        <f>(INDEX(Data!30:30,1,$U$1+1)-INDEX(Data!1245:1245,1,$U$1+1))</f>
        <v>32081980785</v>
      </c>
      <c r="G63" s="82">
        <f t="shared" ref="G63:G66" si="21">E63+F63</f>
        <v>64612778563</v>
      </c>
      <c r="H63" s="83">
        <f>G63-D63</f>
        <v>9254216659</v>
      </c>
      <c r="I63" s="447">
        <f>IFERROR(H63/D63,"")</f>
        <v>0.16716866083060813</v>
      </c>
      <c r="J63" s="453">
        <f>IFERROR(G63/G$39,"")</f>
        <v>0.26020611700911345</v>
      </c>
      <c r="K63" s="403">
        <f>(INDEX(Data!131:131,1,$U$1-2)-INDEX(Data!1402:1402,1,$U$1-2))</f>
        <v>19121701027</v>
      </c>
      <c r="L63" s="103">
        <f>(INDEX(Data!131:131,1,$U$1-1)-INDEX(Data!1402:1402,1,$U$1-1))</f>
        <v>17493445466</v>
      </c>
      <c r="M63" s="82">
        <f>K63+L63</f>
        <v>36615146493</v>
      </c>
      <c r="N63" s="102">
        <f>(INDEX(Data!131:131,1,$U$1)-INDEX(Data!1402:1402,1,$U$1))</f>
        <v>22742391008</v>
      </c>
      <c r="O63" s="103">
        <f>(INDEX(Data!131:131,1,$U$1+1)-INDEX(Data!1402:1402,1,$U$1+1))</f>
        <v>21979471649</v>
      </c>
      <c r="P63" s="82">
        <f>N63+O63</f>
        <v>44721862657</v>
      </c>
      <c r="Q63" s="83">
        <f>P63-M63</f>
        <v>8106716164</v>
      </c>
      <c r="R63" s="84">
        <f>IFERROR(Q63/M63,"")</f>
        <v>0.22140335190383093</v>
      </c>
      <c r="S63" s="85">
        <f t="shared" ref="S63:S75" si="22">IFERROR(P63/P$75,"")</f>
        <v>0.6805433291593872</v>
      </c>
      <c r="T63" s="85">
        <f t="shared" ref="T63:T75" si="23">IFERROR(P63/G63,"")</f>
        <v>0.69215198063947092</v>
      </c>
    </row>
    <row r="64" spans="1:20" hidden="1" outlineLevel="1">
      <c r="A64" s="79" t="s">
        <v>773</v>
      </c>
      <c r="B64" s="86">
        <f>(INDEX(Data!31:31,1,$U$1-2)-INDEX(Data!1246:1246,1,$U$1-2))</f>
        <v>0</v>
      </c>
      <c r="C64" s="87">
        <f>(INDEX(Data!31:31,1,$U$1-1)-INDEX(Data!1246:1246,1,$U$1-1))</f>
        <v>0</v>
      </c>
      <c r="D64" s="88">
        <f t="shared" ref="D64:D66" si="24">B64+C64</f>
        <v>0</v>
      </c>
      <c r="E64" s="89">
        <f>(INDEX(Data!31:31,1,$U$1)-INDEX(Data!1246:1246,1,$U$1))</f>
        <v>0</v>
      </c>
      <c r="F64" s="90">
        <f>(INDEX(Data!31:31,1,$U$1+1)-INDEX(Data!1246:1246,1,$U$1+1))</f>
        <v>0</v>
      </c>
      <c r="G64" s="88">
        <f t="shared" si="21"/>
        <v>0</v>
      </c>
      <c r="H64" s="86">
        <f t="shared" ref="H64:H71" si="25">G64-D64</f>
        <v>0</v>
      </c>
      <c r="I64" s="447" t="str">
        <f t="shared" ref="I64:I75" si="26">IFERROR(H64/D64,"")</f>
        <v/>
      </c>
      <c r="J64" s="453">
        <f t="shared" ref="J64:J75" si="27">IFERROR(G64/G$75,"")</f>
        <v>0</v>
      </c>
      <c r="K64" s="404">
        <f>(INDEX(Data!132:132,1,$U$1-2)-INDEX(Data!1403:1403,1,$U$1-2))</f>
        <v>0</v>
      </c>
      <c r="L64" s="90">
        <f>(INDEX(Data!132:132,1,$U$1-1)-INDEX(Data!1403:1403,1,$U$1-1))</f>
        <v>0</v>
      </c>
      <c r="M64" s="88">
        <f t="shared" ref="M64:M66" si="28">K64+L64</f>
        <v>0</v>
      </c>
      <c r="N64" s="89">
        <f>(INDEX(Data!132:132,1,$U$1)-INDEX(Data!1403:1403,1,$U$1))</f>
        <v>0</v>
      </c>
      <c r="O64" s="90">
        <f>(INDEX(Data!132:132,1,$U$1+1)-INDEX(Data!1403:1403,1,$U$1+1))</f>
        <v>0</v>
      </c>
      <c r="P64" s="88">
        <f t="shared" ref="P64:P66" si="29">N64+O64</f>
        <v>0</v>
      </c>
      <c r="Q64" s="86">
        <f t="shared" ref="Q64:Q74" si="30">P64-M64</f>
        <v>0</v>
      </c>
      <c r="R64" s="84" t="str">
        <f t="shared" ref="R64:R75" si="31">IFERROR(Q64/M64,"")</f>
        <v/>
      </c>
      <c r="S64" s="85">
        <f t="shared" si="22"/>
        <v>0</v>
      </c>
      <c r="T64" s="85" t="str">
        <f t="shared" si="23"/>
        <v/>
      </c>
    </row>
    <row r="65" spans="1:20" ht="25.5" hidden="1" outlineLevel="1">
      <c r="A65" s="79" t="s">
        <v>774</v>
      </c>
      <c r="B65" s="86">
        <f>(INDEX(Data!32:32,1,$U$1-2)-INDEX(Data!1247:1247,1,$U$1-2))</f>
        <v>27744991</v>
      </c>
      <c r="C65" s="87">
        <f>(INDEX(Data!32:32,1,$U$1-1)-INDEX(Data!1247:1247,1,$U$1-1))</f>
        <v>25843749</v>
      </c>
      <c r="D65" s="88">
        <f t="shared" si="24"/>
        <v>53588740</v>
      </c>
      <c r="E65" s="89">
        <f>(INDEX(Data!32:32,1,$U$1)-INDEX(Data!1247:1247,1,$U$1))</f>
        <v>24229502</v>
      </c>
      <c r="F65" s="90">
        <f>(INDEX(Data!32:32,1,$U$1+1)-INDEX(Data!1247:1247,1,$U$1+1))</f>
        <v>24054504</v>
      </c>
      <c r="G65" s="88">
        <f t="shared" si="21"/>
        <v>48284006</v>
      </c>
      <c r="H65" s="86">
        <f t="shared" si="25"/>
        <v>-5304734</v>
      </c>
      <c r="I65" s="447">
        <f t="shared" si="26"/>
        <v>-9.8989713137498658E-2</v>
      </c>
      <c r="J65" s="453">
        <f t="shared" si="27"/>
        <v>5.0347277268296983E-4</v>
      </c>
      <c r="K65" s="404">
        <f>(INDEX(Data!133:133,1,$U$1-2)-INDEX(Data!1404:1404,1,$U$1-2))</f>
        <v>15593250</v>
      </c>
      <c r="L65" s="90">
        <f>(INDEX(Data!133:133,1,$U$1-1)-INDEX(Data!1404:1404,1,$U$1-1))</f>
        <v>15692008</v>
      </c>
      <c r="M65" s="88">
        <f t="shared" si="28"/>
        <v>31285258</v>
      </c>
      <c r="N65" s="89">
        <f>(INDEX(Data!133:133,1,$U$1)-INDEX(Data!1404:1404,1,$U$1))</f>
        <v>16597224</v>
      </c>
      <c r="O65" s="90">
        <f>(INDEX(Data!133:133,1,$U$1+1)-INDEX(Data!1404:1404,1,$U$1+1))</f>
        <v>16422226</v>
      </c>
      <c r="P65" s="88">
        <f t="shared" si="29"/>
        <v>33019450</v>
      </c>
      <c r="Q65" s="86">
        <f t="shared" si="30"/>
        <v>1734192</v>
      </c>
      <c r="R65" s="84">
        <f t="shared" si="31"/>
        <v>5.5431602961369217E-2</v>
      </c>
      <c r="S65" s="85">
        <f t="shared" si="22"/>
        <v>5.024649040751587E-4</v>
      </c>
      <c r="T65" s="85">
        <f t="shared" si="23"/>
        <v>0.68385895735329005</v>
      </c>
    </row>
    <row r="66" spans="1:20" hidden="1" outlineLevel="1">
      <c r="A66" s="79" t="s">
        <v>775</v>
      </c>
      <c r="B66" s="86">
        <f>(INDEX(Data!33:33,1,$U$1-2)-INDEX(Data!1248:1248,1,$U$1-2))</f>
        <v>45307357</v>
      </c>
      <c r="C66" s="87">
        <f>(INDEX(Data!33:33,1,$U$1-1)-INDEX(Data!1248:1248,1,$U$1-1))</f>
        <v>30835565</v>
      </c>
      <c r="D66" s="88">
        <f t="shared" si="24"/>
        <v>76142922</v>
      </c>
      <c r="E66" s="89">
        <f>(INDEX(Data!33:33,1,$U$1)-INDEX(Data!1248:1248,1,$U$1))</f>
        <v>35108592</v>
      </c>
      <c r="F66" s="90">
        <f>(INDEX(Data!33:33,1,$U$1+1)-INDEX(Data!1248:1248,1,$U$1+1))</f>
        <v>30115019</v>
      </c>
      <c r="G66" s="88">
        <f t="shared" si="21"/>
        <v>65223611</v>
      </c>
      <c r="H66" s="86">
        <f t="shared" si="25"/>
        <v>-10919311</v>
      </c>
      <c r="I66" s="447">
        <f t="shared" si="26"/>
        <v>-0.14340546321560918</v>
      </c>
      <c r="J66" s="453">
        <f t="shared" si="27"/>
        <v>6.8010745161794269E-4</v>
      </c>
      <c r="K66" s="404">
        <f>(INDEX(Data!134:134,1,$U$1-2)-INDEX(Data!1405:1405,1,$U$1-2))</f>
        <v>18569327</v>
      </c>
      <c r="L66" s="90">
        <f>(INDEX(Data!134:134,1,$U$1-1)-INDEX(Data!1405:1405,1,$U$1-1))</f>
        <v>18710036</v>
      </c>
      <c r="M66" s="88">
        <f t="shared" si="28"/>
        <v>37279363</v>
      </c>
      <c r="N66" s="89">
        <f>(INDEX(Data!134:134,1,$U$1)-INDEX(Data!1405:1405,1,$U$1))</f>
        <v>24347311</v>
      </c>
      <c r="O66" s="90">
        <f>(INDEX(Data!134:134,1,$U$1+1)-INDEX(Data!1405:1405,1,$U$1+1))</f>
        <v>19353738</v>
      </c>
      <c r="P66" s="88">
        <f t="shared" si="29"/>
        <v>43701049</v>
      </c>
      <c r="Q66" s="86">
        <f t="shared" si="30"/>
        <v>6421686</v>
      </c>
      <c r="R66" s="84">
        <f t="shared" si="31"/>
        <v>0.17225846911600931</v>
      </c>
      <c r="S66" s="85">
        <f t="shared" si="22"/>
        <v>6.6500936247480835E-4</v>
      </c>
      <c r="T66" s="85">
        <f t="shared" si="23"/>
        <v>0.67001885252872617</v>
      </c>
    </row>
    <row r="67" spans="1:20" collapsed="1">
      <c r="A67" s="104" t="s">
        <v>776</v>
      </c>
      <c r="B67" s="429">
        <f t="shared" ref="B67:G67" si="32">SUM(B63:B66)</f>
        <v>28255109935</v>
      </c>
      <c r="C67" s="429">
        <f t="shared" si="32"/>
        <v>27233183631</v>
      </c>
      <c r="D67" s="429">
        <f t="shared" si="32"/>
        <v>55488293566</v>
      </c>
      <c r="E67" s="429">
        <f t="shared" si="32"/>
        <v>32590135872</v>
      </c>
      <c r="F67" s="429">
        <f t="shared" si="32"/>
        <v>32136150308</v>
      </c>
      <c r="G67" s="429">
        <f t="shared" si="32"/>
        <v>64726286180</v>
      </c>
      <c r="H67" s="430">
        <f t="shared" si="25"/>
        <v>9237992614</v>
      </c>
      <c r="I67" s="450">
        <f t="shared" si="26"/>
        <v>0.1664854335989259</v>
      </c>
      <c r="J67" s="454">
        <f t="shared" si="27"/>
        <v>0.67492168666609798</v>
      </c>
      <c r="K67" s="442">
        <f t="shared" ref="K67:P67" si="33">SUM(K63:K66)</f>
        <v>19155863604</v>
      </c>
      <c r="L67" s="429">
        <f t="shared" si="33"/>
        <v>17527847510</v>
      </c>
      <c r="M67" s="429">
        <f t="shared" si="33"/>
        <v>36683711114</v>
      </c>
      <c r="N67" s="429">
        <f t="shared" si="33"/>
        <v>22783335543</v>
      </c>
      <c r="O67" s="429">
        <f t="shared" si="33"/>
        <v>22015247613</v>
      </c>
      <c r="P67" s="429">
        <f t="shared" si="33"/>
        <v>44798583156</v>
      </c>
      <c r="Q67" s="429">
        <f t="shared" si="30"/>
        <v>8114872042</v>
      </c>
      <c r="R67" s="108">
        <f t="shared" si="31"/>
        <v>0.22121186203821766</v>
      </c>
      <c r="S67" s="109">
        <f t="shared" si="22"/>
        <v>0.68171080342593715</v>
      </c>
      <c r="T67" s="109">
        <f t="shared" si="23"/>
        <v>0.6921234910870333</v>
      </c>
    </row>
    <row r="68" spans="1:20" ht="25.5" hidden="1">
      <c r="A68" s="104" t="s">
        <v>777</v>
      </c>
      <c r="B68" s="105">
        <f>(INDEX(Data!34:34,1,$U$1-2)-INDEX(Data!1249:1249,1,$U$1-2))</f>
        <v>0</v>
      </c>
      <c r="C68" s="106">
        <f>(INDEX(Data!34:34,1,$U$1-1)-INDEX(Data!1249:1249,1,$U$1-1))</f>
        <v>0</v>
      </c>
      <c r="D68" s="107">
        <f t="shared" ref="D68" si="34">B68+C68</f>
        <v>0</v>
      </c>
      <c r="E68" s="110">
        <f>(INDEX(Data!34:34,1,$U$1)-INDEX(Data!1249:1249,1,$U$1))</f>
        <v>0</v>
      </c>
      <c r="F68" s="111">
        <f>(INDEX(Data!34:34,1,$U$1+1)-INDEX(Data!1249:1249,1,$U$1+1))</f>
        <v>0</v>
      </c>
      <c r="G68" s="107">
        <f t="shared" ref="G68:G71" si="35">E68+F68</f>
        <v>0</v>
      </c>
      <c r="H68" s="105">
        <f t="shared" si="25"/>
        <v>0</v>
      </c>
      <c r="I68" s="449" t="str">
        <f t="shared" si="26"/>
        <v/>
      </c>
      <c r="J68" s="454">
        <f t="shared" si="27"/>
        <v>0</v>
      </c>
      <c r="K68" s="406">
        <f>(INDEX(Data!135:135,1,$U$1-2)-INDEX(Data!1406:1406,1,$U$1-2))</f>
        <v>0</v>
      </c>
      <c r="L68" s="111">
        <f>(INDEX(Data!135:135,1,$U$1-1)-INDEX(Data!1406:1406,1,$U$1-1))</f>
        <v>0</v>
      </c>
      <c r="M68" s="107">
        <f>K68+L68</f>
        <v>0</v>
      </c>
      <c r="N68" s="110">
        <f>(INDEX(Data!135:135,1,$U$1)-INDEX(Data!1406:1406,1,$U$1))</f>
        <v>0</v>
      </c>
      <c r="O68" s="111">
        <f>(INDEX(Data!135:135,1,$U$1+1)-INDEX(Data!1406:1406,1,$U$1+1))</f>
        <v>0</v>
      </c>
      <c r="P68" s="107">
        <f>N68+O68</f>
        <v>0</v>
      </c>
      <c r="Q68" s="105">
        <f t="shared" si="30"/>
        <v>0</v>
      </c>
      <c r="R68" s="108" t="str">
        <f t="shared" si="31"/>
        <v/>
      </c>
      <c r="S68" s="109">
        <f t="shared" si="22"/>
        <v>0</v>
      </c>
      <c r="T68" s="109" t="str">
        <f t="shared" si="23"/>
        <v/>
      </c>
    </row>
    <row r="69" spans="1:20" hidden="1" outlineLevel="1">
      <c r="A69" s="92" t="s">
        <v>778</v>
      </c>
      <c r="B69" s="86">
        <f>(INDEX(Data!35:35,1,$U$1-2)-INDEX(Data!1250:1250,1,$U$1-2))</f>
        <v>2868558798</v>
      </c>
      <c r="C69" s="87">
        <f>(INDEX(Data!35:35,1,$U$1-1)-INDEX(Data!1250:1250,1,$U$1-1))</f>
        <v>2529789492</v>
      </c>
      <c r="D69" s="88">
        <f>B69+C69</f>
        <v>5398348290</v>
      </c>
      <c r="E69" s="93">
        <f>(INDEX(Data!35:35,1,$U$1)-INDEX(Data!1250:1250,1,$U$1))</f>
        <v>3080092561</v>
      </c>
      <c r="F69" s="94">
        <f>(INDEX(Data!35:35,1,$U$1+1)-INDEX(Data!1250:1250,1,$U$1+1))</f>
        <v>2947654690</v>
      </c>
      <c r="G69" s="88">
        <f t="shared" si="35"/>
        <v>6027747251</v>
      </c>
      <c r="H69" s="86">
        <f t="shared" si="25"/>
        <v>629398961</v>
      </c>
      <c r="I69" s="447">
        <f t="shared" si="26"/>
        <v>0.11659102510408791</v>
      </c>
      <c r="J69" s="453">
        <f t="shared" si="27"/>
        <v>6.2853248371585402E-2</v>
      </c>
      <c r="K69" s="407">
        <f>(INDEX(Data!136:136,1,$U$1-2)-INDEX(Data!1407:1407,1,$U$1-2))</f>
        <v>2698626937</v>
      </c>
      <c r="L69" s="94">
        <f>(INDEX(Data!136:136,1,$U$1-1)-INDEX(Data!1407:1407,1,$U$1-1))</f>
        <v>2379334790</v>
      </c>
      <c r="M69" s="88">
        <f>K69+L69</f>
        <v>5077961727</v>
      </c>
      <c r="N69" s="93">
        <f>(INDEX(Data!136:136,1,$U$1)-INDEX(Data!1407:1407,1,$U$1))</f>
        <v>2653019677</v>
      </c>
      <c r="O69" s="94">
        <f>(INDEX(Data!136:136,1,$U$1+1)-INDEX(Data!1407:1407,1,$U$1+1))</f>
        <v>2520392507</v>
      </c>
      <c r="P69" s="88">
        <f>N69+O69</f>
        <v>5173412184</v>
      </c>
      <c r="Q69" s="86">
        <f t="shared" si="30"/>
        <v>95450457</v>
      </c>
      <c r="R69" s="84">
        <f t="shared" si="31"/>
        <v>1.8797002051528067E-2</v>
      </c>
      <c r="S69" s="85">
        <f t="shared" si="22"/>
        <v>7.8725056194903831E-2</v>
      </c>
      <c r="T69" s="85">
        <f t="shared" si="23"/>
        <v>0.85826627570386826</v>
      </c>
    </row>
    <row r="70" spans="1:20" hidden="1" outlineLevel="1">
      <c r="A70" s="92" t="s">
        <v>25</v>
      </c>
      <c r="B70" s="86">
        <f>(INDEX(Data!36:36,1,$U$1-2)-INDEX(Data!1251:1251,1,$U$1-2))</f>
        <v>172191724</v>
      </c>
      <c r="C70" s="87">
        <f>(INDEX(Data!36:36,1,$U$1-1)-INDEX(Data!1251:1251,1,$U$1-1))</f>
        <v>172416910</v>
      </c>
      <c r="D70" s="88">
        <f>B70+C70</f>
        <v>344608634</v>
      </c>
      <c r="E70" s="93">
        <f>(INDEX(Data!36:36,1,$U$1)-INDEX(Data!1251:1251,1,$U$1))</f>
        <v>148494976</v>
      </c>
      <c r="F70" s="94">
        <f>(INDEX(Data!36:36,1,$U$1+1)-INDEX(Data!1251:1251,1,$U$1+1))</f>
        <v>148310267</v>
      </c>
      <c r="G70" s="88">
        <f t="shared" si="35"/>
        <v>296805243</v>
      </c>
      <c r="H70" s="86">
        <f t="shared" si="25"/>
        <v>-47803391</v>
      </c>
      <c r="I70" s="447">
        <f t="shared" si="26"/>
        <v>-0.13871791442114592</v>
      </c>
      <c r="J70" s="453">
        <f t="shared" si="27"/>
        <v>3.0948831925845721E-3</v>
      </c>
      <c r="K70" s="407">
        <f>(INDEX(Data!137:137,1,$U$1-2)-INDEX(Data!1408:1408,1,$U$1-2))</f>
        <v>123514132</v>
      </c>
      <c r="L70" s="94">
        <f>(INDEX(Data!137:137,1,$U$1-1)-INDEX(Data!1408:1408,1,$U$1-1))</f>
        <v>122278990</v>
      </c>
      <c r="M70" s="88">
        <f>K70+L70</f>
        <v>245793122</v>
      </c>
      <c r="N70" s="93">
        <f>(INDEX(Data!137:137,1,$U$1)-INDEX(Data!1408:1408,1,$U$1))</f>
        <v>122024371</v>
      </c>
      <c r="O70" s="94">
        <f>(INDEX(Data!137:137,1,$U$1+1)-INDEX(Data!1408:1408,1,$U$1+1))</f>
        <v>121204367</v>
      </c>
      <c r="P70" s="88">
        <f>N70+O70</f>
        <v>243228738</v>
      </c>
      <c r="Q70" s="86">
        <f t="shared" si="30"/>
        <v>-2564384</v>
      </c>
      <c r="R70" s="84">
        <f t="shared" si="31"/>
        <v>-1.0433099100307616E-2</v>
      </c>
      <c r="S70" s="85">
        <f t="shared" si="22"/>
        <v>3.7012701455503318E-3</v>
      </c>
      <c r="T70" s="85">
        <f t="shared" si="23"/>
        <v>0.81948935787498878</v>
      </c>
    </row>
    <row r="71" spans="1:20" hidden="1" outlineLevel="1">
      <c r="A71" s="92" t="s">
        <v>779</v>
      </c>
      <c r="B71" s="86">
        <f>(INDEX(Data!123:123,1,$U$1-2)-INDEX(Data!1252:1252,1,$U$1-2))</f>
        <v>371865290</v>
      </c>
      <c r="C71" s="87">
        <f>(INDEX(Data!123:123,1,$U$1-1)-INDEX(Data!1252:1252,1,$U$1-1))</f>
        <v>382441203</v>
      </c>
      <c r="D71" s="88">
        <f>B71+C71</f>
        <v>754306493</v>
      </c>
      <c r="E71" s="93">
        <f>(INDEX(Data!123:123,1,$U$1)-INDEX(Data!1252:1252,1,$U$1))</f>
        <v>392757209</v>
      </c>
      <c r="F71" s="94">
        <f>(INDEX(Data!123:123,1,$U$1+1)-INDEX(Data!1252:1252,1,$U$1+1))</f>
        <v>400475859</v>
      </c>
      <c r="G71" s="88">
        <f t="shared" si="35"/>
        <v>793233068</v>
      </c>
      <c r="H71" s="86">
        <f t="shared" si="25"/>
        <v>38926575</v>
      </c>
      <c r="I71" s="447">
        <f t="shared" si="26"/>
        <v>5.1605780092363593E-2</v>
      </c>
      <c r="J71" s="453">
        <f t="shared" si="27"/>
        <v>8.271294890688622E-3</v>
      </c>
      <c r="K71" s="407">
        <f>(INDEX(Data!222:222,1,$U$1-2)-INDEX(Data!1409:1409,1,$U$1-2))</f>
        <v>292932523</v>
      </c>
      <c r="L71" s="94">
        <f>(INDEX(Data!222:222,1,$U$1-1)-INDEX(Data!1409:1409,1,$U$1-1))</f>
        <v>301435946</v>
      </c>
      <c r="M71" s="88">
        <f>K71+L71</f>
        <v>594368469</v>
      </c>
      <c r="N71" s="93">
        <f>(INDEX(Data!222:222,1,$U$1)-INDEX(Data!1409:1409,1,$U$1))</f>
        <v>307005027</v>
      </c>
      <c r="O71" s="94">
        <f>(INDEX(Data!222:222,1,$U$1+1)-INDEX(Data!1409:1409,1,$U$1+1))</f>
        <v>313315355</v>
      </c>
      <c r="P71" s="88">
        <f>N71+O71</f>
        <v>620320382</v>
      </c>
      <c r="Q71" s="86">
        <f t="shared" si="30"/>
        <v>25951913</v>
      </c>
      <c r="R71" s="84">
        <f t="shared" si="31"/>
        <v>4.3663004270167637E-2</v>
      </c>
      <c r="S71" s="85">
        <f t="shared" si="22"/>
        <v>9.4395642943021704E-3</v>
      </c>
      <c r="T71" s="85">
        <f t="shared" si="23"/>
        <v>0.78201528280210331</v>
      </c>
    </row>
    <row r="72" spans="1:20" hidden="1" outlineLevel="1">
      <c r="A72" s="112" t="s">
        <v>780</v>
      </c>
      <c r="B72" s="86">
        <f>(INDEX(Data!126:126,1,$U$1-2))</f>
        <v>10923734</v>
      </c>
      <c r="C72" s="87">
        <f>(INDEX(Data!126:126,1,$U$1-1))</f>
        <v>10247534</v>
      </c>
      <c r="D72" s="88">
        <f>B72+C72</f>
        <v>21171268</v>
      </c>
      <c r="E72" s="93">
        <f>(INDEX(Data!126:126,1,$U$1))</f>
        <v>7228252</v>
      </c>
      <c r="F72" s="94">
        <f>(INDEX(Data!126:126,1,$U$1+1))</f>
        <v>7933400</v>
      </c>
      <c r="G72" s="88">
        <f t="shared" ref="G72" si="36">E72+F72</f>
        <v>15161652</v>
      </c>
      <c r="H72" s="86">
        <f t="shared" ref="H72" si="37">G72-D72</f>
        <v>-6009616</v>
      </c>
      <c r="I72" s="447">
        <f t="shared" ref="I72" si="38">IFERROR(H72/D72,"")</f>
        <v>-0.28385715961840358</v>
      </c>
      <c r="J72" s="453">
        <f t="shared" si="27"/>
        <v>1.5809539438161563E-4</v>
      </c>
      <c r="K72" s="407">
        <f>(INDEX(Data!225:225,1,$U$1-2))</f>
        <v>10767506</v>
      </c>
      <c r="L72" s="94">
        <f>(INDEX(Data!225:225,1,$U$1-1))</f>
        <v>10091306</v>
      </c>
      <c r="M72" s="88">
        <f>K72+L72</f>
        <v>20858812</v>
      </c>
      <c r="N72" s="93">
        <f>(INDEX(Data!225:225,1,$U$1))</f>
        <v>7228252</v>
      </c>
      <c r="O72" s="94">
        <f>(INDEX(Data!225:225,1,$U$1+1))</f>
        <v>7933400</v>
      </c>
      <c r="P72" s="88">
        <f>N72+O72</f>
        <v>15161652</v>
      </c>
      <c r="Q72" s="86">
        <f t="shared" ref="Q72" si="39">P72-M72</f>
        <v>-5697160</v>
      </c>
      <c r="R72" s="84">
        <f t="shared" ref="R72" si="40">IFERROR(Q72/M72,"")</f>
        <v>-0.27312964899439146</v>
      </c>
      <c r="S72" s="85">
        <f t="shared" si="22"/>
        <v>2.3071850130153404E-4</v>
      </c>
      <c r="T72" s="85">
        <f t="shared" ref="T72" si="41">IFERROR(P72/G72,"")</f>
        <v>1</v>
      </c>
    </row>
    <row r="73" spans="1:20" collapsed="1">
      <c r="A73" s="104" t="s">
        <v>781</v>
      </c>
      <c r="B73" s="105">
        <f>SUM(B69:B72)</f>
        <v>3423539546</v>
      </c>
      <c r="C73" s="106">
        <f t="shared" ref="C73:H73" si="42">SUM(C69:C72)</f>
        <v>3094895139</v>
      </c>
      <c r="D73" s="107">
        <f t="shared" si="42"/>
        <v>6518434685</v>
      </c>
      <c r="E73" s="105">
        <f t="shared" si="42"/>
        <v>3628572998</v>
      </c>
      <c r="F73" s="106">
        <f t="shared" si="42"/>
        <v>3504374216</v>
      </c>
      <c r="G73" s="107">
        <f t="shared" si="42"/>
        <v>7132947214</v>
      </c>
      <c r="H73" s="105">
        <f t="shared" si="42"/>
        <v>614512529</v>
      </c>
      <c r="I73" s="449">
        <f t="shared" si="26"/>
        <v>9.4273020854852674E-2</v>
      </c>
      <c r="J73" s="454">
        <f t="shared" si="27"/>
        <v>7.4377521849240208E-2</v>
      </c>
      <c r="K73" s="405">
        <f t="shared" ref="K73:Q73" si="43">SUM(K69:K72)</f>
        <v>3125841098</v>
      </c>
      <c r="L73" s="106">
        <f t="shared" si="43"/>
        <v>2813141032</v>
      </c>
      <c r="M73" s="107">
        <f t="shared" si="43"/>
        <v>5938982130</v>
      </c>
      <c r="N73" s="107">
        <f t="shared" si="43"/>
        <v>3089277327</v>
      </c>
      <c r="O73" s="107">
        <f t="shared" si="43"/>
        <v>2962845629</v>
      </c>
      <c r="P73" s="107">
        <f t="shared" si="43"/>
        <v>6052122956</v>
      </c>
      <c r="Q73" s="105">
        <f t="shared" si="43"/>
        <v>113140826</v>
      </c>
      <c r="R73" s="108">
        <f t="shared" si="31"/>
        <v>1.9050541578241792E-2</v>
      </c>
      <c r="S73" s="109">
        <f t="shared" si="22"/>
        <v>9.2096609136057869E-2</v>
      </c>
      <c r="T73" s="109">
        <f t="shared" si="23"/>
        <v>0.84847437874226217</v>
      </c>
    </row>
    <row r="74" spans="1:20">
      <c r="A74" s="113" t="s">
        <v>782</v>
      </c>
      <c r="B74" s="105">
        <f>B254</f>
        <v>9492096707</v>
      </c>
      <c r="C74" s="106">
        <f>C254</f>
        <v>9503450920</v>
      </c>
      <c r="D74" s="107">
        <f>B74+C74</f>
        <v>18995547627</v>
      </c>
      <c r="E74" s="114">
        <f t="shared" ref="E74:F74" si="44">E254</f>
        <v>11709274239</v>
      </c>
      <c r="F74" s="115">
        <f t="shared" si="44"/>
        <v>12333413225</v>
      </c>
      <c r="G74" s="107">
        <f>E74+F74</f>
        <v>24042687464</v>
      </c>
      <c r="H74" s="105">
        <f t="shared" ref="H74" si="45">G74-D74</f>
        <v>5047139837</v>
      </c>
      <c r="I74" s="449">
        <f t="shared" si="26"/>
        <v>0.26570120199251679</v>
      </c>
      <c r="J74" s="454">
        <f t="shared" si="27"/>
        <v>0.25070079148466184</v>
      </c>
      <c r="K74" s="405">
        <f>K254</f>
        <v>6920440809</v>
      </c>
      <c r="L74" s="106">
        <f>L254</f>
        <v>6916662896</v>
      </c>
      <c r="M74" s="107">
        <f>K74+L74</f>
        <v>13837103705</v>
      </c>
      <c r="N74" s="114">
        <f t="shared" ref="N74:O74" si="46">N254</f>
        <v>7471617727.2312622</v>
      </c>
      <c r="O74" s="115">
        <f t="shared" si="46"/>
        <v>7392614124</v>
      </c>
      <c r="P74" s="107">
        <f>N74+O74</f>
        <v>14864231851.231262</v>
      </c>
      <c r="Q74" s="105">
        <f t="shared" si="30"/>
        <v>1027128146.2312622</v>
      </c>
      <c r="R74" s="108">
        <f t="shared" si="31"/>
        <v>7.4229995534405957E-2</v>
      </c>
      <c r="S74" s="109">
        <f t="shared" si="22"/>
        <v>0.22619258743800502</v>
      </c>
      <c r="T74" s="109">
        <f t="shared" si="23"/>
        <v>0.61824335875463265</v>
      </c>
    </row>
    <row r="75" spans="1:20" ht="13.5" thickBot="1">
      <c r="A75" s="95" t="s">
        <v>783</v>
      </c>
      <c r="B75" s="96">
        <f t="shared" ref="B75:H75" si="47">B67+B73+B74+B68</f>
        <v>41170746188</v>
      </c>
      <c r="C75" s="97">
        <f t="shared" si="47"/>
        <v>39831529690</v>
      </c>
      <c r="D75" s="98">
        <f t="shared" si="47"/>
        <v>81002275878</v>
      </c>
      <c r="E75" s="116">
        <f t="shared" si="47"/>
        <v>47927983109</v>
      </c>
      <c r="F75" s="117">
        <f t="shared" si="47"/>
        <v>47973937749</v>
      </c>
      <c r="G75" s="98">
        <f t="shared" si="47"/>
        <v>95901920858</v>
      </c>
      <c r="H75" s="96">
        <f t="shared" si="47"/>
        <v>14899644980</v>
      </c>
      <c r="I75" s="451">
        <f t="shared" si="26"/>
        <v>0.18394106608116556</v>
      </c>
      <c r="J75" s="455">
        <f t="shared" si="27"/>
        <v>1</v>
      </c>
      <c r="K75" s="408">
        <f t="shared" ref="K75:Q75" si="48">K67+K73+K74+K68</f>
        <v>29202145511</v>
      </c>
      <c r="L75" s="117">
        <f t="shared" si="48"/>
        <v>27257651438</v>
      </c>
      <c r="M75" s="98">
        <f t="shared" si="48"/>
        <v>56459796949</v>
      </c>
      <c r="N75" s="116">
        <f t="shared" si="48"/>
        <v>33344230597.231262</v>
      </c>
      <c r="O75" s="117">
        <f t="shared" si="48"/>
        <v>32370707366</v>
      </c>
      <c r="P75" s="98">
        <f t="shared" si="48"/>
        <v>65714937963.231262</v>
      </c>
      <c r="Q75" s="96">
        <f t="shared" si="48"/>
        <v>9255141014.2312622</v>
      </c>
      <c r="R75" s="99">
        <f t="shared" si="31"/>
        <v>0.16392444738317796</v>
      </c>
      <c r="S75" s="101">
        <f t="shared" si="22"/>
        <v>1</v>
      </c>
      <c r="T75" s="101">
        <f t="shared" si="23"/>
        <v>0.68523067499903378</v>
      </c>
    </row>
    <row r="76" spans="1:20">
      <c r="A76" s="632" t="s">
        <v>1610</v>
      </c>
      <c r="B76" s="627"/>
      <c r="C76" s="627"/>
      <c r="D76" s="627"/>
      <c r="E76" s="628"/>
      <c r="F76" s="628"/>
      <c r="G76" s="627"/>
      <c r="H76" s="627"/>
      <c r="I76" s="629"/>
      <c r="J76" s="629"/>
      <c r="K76" s="631">
        <f t="shared" ref="K76:P76" si="49">K74/K39</f>
        <v>0.12672708239532923</v>
      </c>
      <c r="L76" s="631">
        <f t="shared" si="49"/>
        <v>0.13287419097152608</v>
      </c>
      <c r="M76" s="631">
        <f t="shared" si="49"/>
        <v>0.12972701918315127</v>
      </c>
      <c r="N76" s="631">
        <f t="shared" si="49"/>
        <v>0.12467948836068421</v>
      </c>
      <c r="O76" s="631">
        <f t="shared" si="49"/>
        <v>0.12661404558563827</v>
      </c>
      <c r="P76" s="631">
        <f t="shared" si="49"/>
        <v>0.12563417989449419</v>
      </c>
      <c r="Q76" s="627"/>
      <c r="R76" s="479"/>
      <c r="S76" s="479"/>
      <c r="T76" s="479"/>
    </row>
    <row r="77" spans="1:20">
      <c r="E77" s="118"/>
      <c r="F77" s="118"/>
      <c r="T77" s="410"/>
    </row>
    <row r="78" spans="1:20">
      <c r="T78" s="410"/>
    </row>
    <row r="79" spans="1:20">
      <c r="T79" s="410"/>
    </row>
    <row r="80" spans="1:20">
      <c r="T80" s="410"/>
    </row>
    <row r="81" spans="10:20">
      <c r="T81" s="410"/>
    </row>
    <row r="82" spans="10:20">
      <c r="T82" s="410"/>
    </row>
    <row r="83" spans="10:20">
      <c r="T83" s="410"/>
    </row>
    <row r="84" spans="10:20">
      <c r="T84" s="410"/>
    </row>
    <row r="85" spans="10:20">
      <c r="T85" s="410"/>
    </row>
    <row r="86" spans="10:20">
      <c r="T86" s="410"/>
    </row>
    <row r="87" spans="10:20">
      <c r="T87" s="410"/>
    </row>
    <row r="88" spans="10:20">
      <c r="T88" s="410"/>
    </row>
    <row r="89" spans="10:20">
      <c r="T89" s="410"/>
    </row>
    <row r="90" spans="10:20">
      <c r="T90" s="410"/>
    </row>
    <row r="91" spans="10:20">
      <c r="T91" s="410"/>
    </row>
    <row r="92" spans="10:20">
      <c r="T92" s="410"/>
    </row>
    <row r="93" spans="10:20">
      <c r="T93" s="410"/>
    </row>
    <row r="94" spans="10:20">
      <c r="T94" s="410"/>
    </row>
    <row r="95" spans="10:20">
      <c r="J95" s="411"/>
      <c r="T95" s="411"/>
    </row>
    <row r="96" spans="10:20" ht="13.5" thickBot="1">
      <c r="T96" s="1179"/>
    </row>
    <row r="97" spans="1:20" ht="13.5" customHeight="1" thickBot="1">
      <c r="A97" s="536" t="s">
        <v>1325</v>
      </c>
      <c r="B97" s="537"/>
      <c r="C97" s="537"/>
      <c r="D97" s="537"/>
      <c r="E97" s="537"/>
      <c r="F97" s="537"/>
      <c r="G97" s="537"/>
      <c r="H97" s="537"/>
      <c r="I97" s="537"/>
      <c r="J97" s="537"/>
      <c r="K97" s="537"/>
      <c r="L97" s="537"/>
      <c r="M97" s="537"/>
      <c r="N97" s="537"/>
      <c r="O97" s="537"/>
      <c r="P97" s="537"/>
      <c r="Q97" s="537"/>
      <c r="R97" s="537"/>
      <c r="S97" s="537"/>
      <c r="T97" s="538"/>
    </row>
    <row r="98" spans="1:20" ht="13.5" thickBot="1">
      <c r="A98" s="535" t="s">
        <v>1318</v>
      </c>
      <c r="B98" s="1292" t="s">
        <v>2</v>
      </c>
      <c r="C98" s="1293"/>
      <c r="D98" s="1293"/>
      <c r="E98" s="1293"/>
      <c r="F98" s="1293"/>
      <c r="G98" s="1293"/>
      <c r="H98" s="1293"/>
      <c r="I98" s="1293"/>
      <c r="J98" s="1294"/>
      <c r="K98" s="1295" t="s">
        <v>764</v>
      </c>
      <c r="L98" s="1295"/>
      <c r="M98" s="1295"/>
      <c r="N98" s="1295"/>
      <c r="O98" s="1295"/>
      <c r="P98" s="1295"/>
      <c r="Q98" s="1295"/>
      <c r="R98" s="1295"/>
      <c r="S98" s="1295"/>
      <c r="T98" s="1296"/>
    </row>
    <row r="99" spans="1:20" ht="25.5">
      <c r="A99" s="73" t="s">
        <v>766</v>
      </c>
      <c r="B99" s="74">
        <f>E99-2</f>
        <v>2018</v>
      </c>
      <c r="C99" s="75">
        <f>B99+1</f>
        <v>2019</v>
      </c>
      <c r="D99" s="76" t="str">
        <f>B99&amp;"-"&amp;C99</f>
        <v>2018-2019</v>
      </c>
      <c r="E99" s="74" t="str">
        <f>$T$1</f>
        <v>2020</v>
      </c>
      <c r="F99" s="75">
        <f>E99+1</f>
        <v>2021</v>
      </c>
      <c r="G99" s="76" t="str">
        <f>E99&amp;"-"&amp;F99</f>
        <v>2020-2021</v>
      </c>
      <c r="H99" s="74" t="s">
        <v>767</v>
      </c>
      <c r="I99" s="75" t="s">
        <v>768</v>
      </c>
      <c r="J99" s="76" t="s">
        <v>769</v>
      </c>
      <c r="K99" s="77">
        <f>N99-2</f>
        <v>2018</v>
      </c>
      <c r="L99" s="75">
        <f>K99+1</f>
        <v>2019</v>
      </c>
      <c r="M99" s="76" t="str">
        <f>K99&amp;"-"&amp;L99</f>
        <v>2018-2019</v>
      </c>
      <c r="N99" s="74" t="str">
        <f>$T$1</f>
        <v>2020</v>
      </c>
      <c r="O99" s="75">
        <f>N99+1</f>
        <v>2021</v>
      </c>
      <c r="P99" s="76" t="str">
        <f>N99&amp;"-"&amp;O99</f>
        <v>2020-2021</v>
      </c>
      <c r="Q99" s="74" t="s">
        <v>767</v>
      </c>
      <c r="R99" s="75" t="s">
        <v>768</v>
      </c>
      <c r="S99" s="78" t="s">
        <v>769</v>
      </c>
      <c r="T99" s="78" t="s">
        <v>770</v>
      </c>
    </row>
    <row r="100" spans="1:20" hidden="1" outlineLevel="1">
      <c r="A100" s="50" t="s">
        <v>754</v>
      </c>
      <c r="B100" s="83">
        <f>(INDEX(Data!44:44,1,$U$1-2)+INDEX(Data!425:425,1,$U$1-2)-INDEX(Data!1265:1265,1,$U$1-2))</f>
        <v>195407211</v>
      </c>
      <c r="C100" s="81">
        <f>(INDEX(Data!44:44,1,$U$1-1)+INDEX(Data!425:425,1,$U$1-1)-INDEX(Data!1265:1265,1,$U$1-1))</f>
        <v>196408316</v>
      </c>
      <c r="D100" s="82">
        <f>B100+C100</f>
        <v>391815527</v>
      </c>
      <c r="E100" s="102">
        <f>(INDEX(Data!44:44,1,$U$1)+INDEX(Data!425:425,1,$U$1)-INDEX(Data!1265:1265,1,$U$1))</f>
        <v>209013990</v>
      </c>
      <c r="F100" s="103">
        <f>(INDEX(Data!44:44,1,$U$1+1)+INDEX(Data!425:425,1,$U$1+1)-INDEX(Data!1265:1265,1,$U$1+1))</f>
        <v>209033142</v>
      </c>
      <c r="G100" s="82">
        <f t="shared" ref="G100:G138" si="50">E100+F100</f>
        <v>418047132</v>
      </c>
      <c r="H100" s="83">
        <f>G100-D100</f>
        <v>26231605</v>
      </c>
      <c r="I100" s="447">
        <f>IFERROR(H100/D100,"")</f>
        <v>6.6948865454226889E-2</v>
      </c>
      <c r="J100" s="453">
        <f t="shared" ref="J100:J131" si="51">IFERROR(G100/G$254,"")</f>
        <v>1.7387703958883855E-2</v>
      </c>
      <c r="K100" s="409">
        <f>(INDEX(Data!143:143,1,$U$1-2)+INDEX(Data!752:752,1,$U$1-2)-INDEX(Data!1422:1422,1,$U$1-2))</f>
        <v>118750555</v>
      </c>
      <c r="L100" s="81">
        <f>(INDEX(Data!143:143,1,$U$1-1)+INDEX(Data!752:752,1,$U$1-1)-INDEX(Data!1422:1422,1,$U$1-1))</f>
        <v>119673317</v>
      </c>
      <c r="M100" s="82">
        <f>K100+L100</f>
        <v>238423872</v>
      </c>
      <c r="N100" s="102">
        <f>(INDEX(Data!143:143,1,$U$1)+INDEX(Data!752:752,1,$U$1)-INDEX(Data!1422:1422,1,$U$1))</f>
        <v>137374528</v>
      </c>
      <c r="O100" s="103">
        <f>(INDEX(Data!143:143,1,$U$1+1)+INDEX(Data!752:752,1,$U$1+1)-INDEX(Data!1422:1422,1,$U$1+1))</f>
        <v>137276808</v>
      </c>
      <c r="P100" s="82">
        <f t="shared" ref="P100:P138" si="52">N100+O100</f>
        <v>274651336</v>
      </c>
      <c r="Q100" s="83">
        <f>P100-M100</f>
        <v>36227464</v>
      </c>
      <c r="R100" s="84">
        <f>IFERROR(Q100/M100,"")</f>
        <v>0.1519456239683919</v>
      </c>
      <c r="S100" s="85">
        <f t="shared" ref="S100:S131" si="53">IFERROR(P100/P$254,"")</f>
        <v>1.8477331270720831E-2</v>
      </c>
      <c r="T100" s="85">
        <f t="shared" ref="T100:T166" si="54">IFERROR(P100/G100,"")</f>
        <v>0.65698653327921885</v>
      </c>
    </row>
    <row r="101" spans="1:20" hidden="1" outlineLevel="1">
      <c r="A101" s="678" t="s">
        <v>749</v>
      </c>
      <c r="B101" s="86">
        <f>(INDEX(Data!45:45,1,$U$1-2)+INDEX(Data!426:426,1,$U$1-2)-INDEX(Data!1266:1266,1,$U$1-2))</f>
        <v>443302570</v>
      </c>
      <c r="C101" s="87">
        <f>(INDEX(Data!45:45,1,$U$1-1)+INDEX(Data!426:426,1,$U$1-1)-INDEX(Data!1266:1266,1,$U$1-1))</f>
        <v>438988575</v>
      </c>
      <c r="D101" s="88">
        <f t="shared" ref="D101:D138" si="55">B101+C101</f>
        <v>882291145</v>
      </c>
      <c r="E101" s="89">
        <f>(INDEX(Data!45:45,1,$U$1)+INDEX(Data!426:426,1,$U$1)-INDEX(Data!1266:1266,1,$U$1))</f>
        <v>454299671</v>
      </c>
      <c r="F101" s="90">
        <f>(INDEX(Data!45:45,1,$U$1+1)+INDEX(Data!426:426,1,$U$1+1)-INDEX(Data!1266:1266,1,$U$1+1))</f>
        <v>445117819</v>
      </c>
      <c r="G101" s="88">
        <f t="shared" si="50"/>
        <v>899417490</v>
      </c>
      <c r="H101" s="86">
        <f t="shared" ref="H101:H165" si="56">G101-D101</f>
        <v>17126345</v>
      </c>
      <c r="I101" s="447">
        <f t="shared" ref="I101:I169" si="57">IFERROR(H101/D101,"")</f>
        <v>1.9411217144200171E-2</v>
      </c>
      <c r="J101" s="453">
        <f t="shared" si="51"/>
        <v>3.7409191104227885E-2</v>
      </c>
      <c r="K101" s="91">
        <f>(INDEX(Data!144:144,1,$U$1-2)+INDEX(Data!753:753,1,$U$1-2)-INDEX(Data!1423:1423,1,$U$1-2))</f>
        <v>324841000</v>
      </c>
      <c r="L101" s="87">
        <f>(INDEX(Data!144:144,1,$U$1-1)+INDEX(Data!753:753,1,$U$1-1)-INDEX(Data!1423:1423,1,$U$1-1))</f>
        <v>319217146</v>
      </c>
      <c r="M101" s="88">
        <f t="shared" ref="M101:M109" si="58">K101+L101</f>
        <v>644058146</v>
      </c>
      <c r="N101" s="89">
        <f>(INDEX(Data!144:144,1,$U$1)+INDEX(Data!753:753,1,$U$1)-INDEX(Data!1423:1423,1,$U$1))</f>
        <v>332601728.23126221</v>
      </c>
      <c r="O101" s="90">
        <f>(INDEX(Data!144:144,1,$U$1+1)+INDEX(Data!753:753,1,$U$1+1)-INDEX(Data!1423:1423,1,$U$1+1))</f>
        <v>323056748</v>
      </c>
      <c r="P101" s="88">
        <f t="shared" si="52"/>
        <v>655658476.23126221</v>
      </c>
      <c r="Q101" s="86">
        <f t="shared" ref="Q101:Q166" si="59">P101-M101</f>
        <v>11600330.231262207</v>
      </c>
      <c r="R101" s="84">
        <f t="shared" ref="R101:R169" si="60">IFERROR(Q101/M101,"")</f>
        <v>1.8011308921884527E-2</v>
      </c>
      <c r="S101" s="85">
        <f t="shared" si="53"/>
        <v>4.4109812252218834E-2</v>
      </c>
      <c r="T101" s="85">
        <f t="shared" si="54"/>
        <v>0.72898123899198608</v>
      </c>
    </row>
    <row r="102" spans="1:20" hidden="1" outlineLevel="1">
      <c r="A102" s="50" t="s">
        <v>755</v>
      </c>
      <c r="B102" s="86">
        <f>(INDEX(Data!46:46,1,$U$1-2)+INDEX(Data!427:427,1,$U$1-2)-INDEX(Data!1267:1267,1,$U$1-2))</f>
        <v>173307136</v>
      </c>
      <c r="C102" s="87">
        <f>(INDEX(Data!46:46,1,$U$1-1)+INDEX(Data!427:427,1,$U$1-1)-INDEX(Data!1267:1267,1,$U$1-1))</f>
        <v>174176012</v>
      </c>
      <c r="D102" s="88">
        <f t="shared" si="55"/>
        <v>347483148</v>
      </c>
      <c r="E102" s="89">
        <f>(INDEX(Data!46:46,1,$U$1)+INDEX(Data!427:427,1,$U$1)-INDEX(Data!1267:1267,1,$U$1))</f>
        <v>181746527</v>
      </c>
      <c r="F102" s="90">
        <f>(INDEX(Data!46:46,1,$U$1+1)+INDEX(Data!427:427,1,$U$1+1)-INDEX(Data!1267:1267,1,$U$1+1))</f>
        <v>181771484</v>
      </c>
      <c r="G102" s="88">
        <f t="shared" si="50"/>
        <v>363518011</v>
      </c>
      <c r="H102" s="86">
        <f t="shared" si="56"/>
        <v>16034863</v>
      </c>
      <c r="I102" s="447">
        <f t="shared" si="57"/>
        <v>4.6145728482924878E-2</v>
      </c>
      <c r="J102" s="453">
        <f t="shared" si="51"/>
        <v>1.5119691238523518E-2</v>
      </c>
      <c r="K102" s="91">
        <f>(INDEX(Data!145:145,1,$U$1-2)+INDEX(Data!754:754,1,$U$1-2)-INDEX(Data!1424:1424,1,$U$1-2))</f>
        <v>98661207</v>
      </c>
      <c r="L102" s="87">
        <f>(INDEX(Data!145:145,1,$U$1-1)+INDEX(Data!754:754,1,$U$1-1)-INDEX(Data!1424:1424,1,$U$1-1))</f>
        <v>98389179</v>
      </c>
      <c r="M102" s="88">
        <f t="shared" si="58"/>
        <v>197050386</v>
      </c>
      <c r="N102" s="89">
        <f>(INDEX(Data!145:145,1,$U$1)+INDEX(Data!754:754,1,$U$1)-INDEX(Data!1424:1424,1,$U$1))</f>
        <v>107875072</v>
      </c>
      <c r="O102" s="90">
        <f>(INDEX(Data!145:145,1,$U$1+1)+INDEX(Data!754:754,1,$U$1+1)-INDEX(Data!1424:1424,1,$U$1+1))</f>
        <v>107613671</v>
      </c>
      <c r="P102" s="88">
        <f t="shared" si="52"/>
        <v>215488743</v>
      </c>
      <c r="Q102" s="86">
        <f t="shared" si="59"/>
        <v>18438357</v>
      </c>
      <c r="R102" s="84">
        <f t="shared" si="60"/>
        <v>9.357178828363219E-2</v>
      </c>
      <c r="S102" s="85">
        <f t="shared" si="53"/>
        <v>1.4497132792109282E-2</v>
      </c>
      <c r="T102" s="85">
        <f t="shared" si="54"/>
        <v>0.59278697747936349</v>
      </c>
    </row>
    <row r="103" spans="1:20" hidden="1" outlineLevel="1">
      <c r="A103" s="50" t="s">
        <v>756</v>
      </c>
      <c r="B103" s="86">
        <f>(INDEX(Data!47:47,1,$U$1-2)+INDEX(Data!428:428,1,$U$1-2)-INDEX(Data!1268:1268,1,$U$1-2))</f>
        <v>127317708</v>
      </c>
      <c r="C103" s="87">
        <f>(INDEX(Data!47:47,1,$U$1-1)+INDEX(Data!428:428,1,$U$1-1)-INDEX(Data!1268:1268,1,$U$1-1))</f>
        <v>128186941</v>
      </c>
      <c r="D103" s="88">
        <f t="shared" si="55"/>
        <v>255504649</v>
      </c>
      <c r="E103" s="89">
        <f>(INDEX(Data!47:47,1,$U$1)+INDEX(Data!428:428,1,$U$1)-INDEX(Data!1268:1268,1,$U$1))</f>
        <v>137542538</v>
      </c>
      <c r="F103" s="90">
        <f>(INDEX(Data!47:47,1,$U$1+1)+INDEX(Data!428:428,1,$U$1+1)-INDEX(Data!1268:1268,1,$U$1+1))</f>
        <v>137559223</v>
      </c>
      <c r="G103" s="88">
        <f t="shared" si="50"/>
        <v>275101761</v>
      </c>
      <c r="H103" s="86">
        <f t="shared" si="56"/>
        <v>19597112</v>
      </c>
      <c r="I103" s="447">
        <f t="shared" si="57"/>
        <v>7.669962983726375E-2</v>
      </c>
      <c r="J103" s="453">
        <f t="shared" si="51"/>
        <v>1.1442221732155358E-2</v>
      </c>
      <c r="K103" s="91">
        <f>(INDEX(Data!146:146,1,$U$1-2)+INDEX(Data!755:755,1,$U$1-2)-INDEX(Data!1425:1425,1,$U$1-2))</f>
        <v>95816158</v>
      </c>
      <c r="L103" s="87">
        <f>(INDEX(Data!146:146,1,$U$1-1)+INDEX(Data!755:755,1,$U$1-1)-INDEX(Data!1425:1425,1,$U$1-1))</f>
        <v>96497137</v>
      </c>
      <c r="M103" s="88">
        <f t="shared" si="58"/>
        <v>192313295</v>
      </c>
      <c r="N103" s="89">
        <f>(INDEX(Data!146:146,1,$U$1)+INDEX(Data!755:755,1,$U$1)-INDEX(Data!1425:1425,1,$U$1))</f>
        <v>102319586</v>
      </c>
      <c r="O103" s="90">
        <f>(INDEX(Data!146:146,1,$U$1+1)+INDEX(Data!755:755,1,$U$1+1)-INDEX(Data!1425:1425,1,$U$1+1))</f>
        <v>102265178</v>
      </c>
      <c r="P103" s="88">
        <f t="shared" si="52"/>
        <v>204584764</v>
      </c>
      <c r="Q103" s="86">
        <f t="shared" si="59"/>
        <v>12271469</v>
      </c>
      <c r="R103" s="84">
        <f t="shared" si="60"/>
        <v>6.3809779765876304E-2</v>
      </c>
      <c r="S103" s="85">
        <f t="shared" si="53"/>
        <v>1.376356114783378E-2</v>
      </c>
      <c r="T103" s="85">
        <f t="shared" si="54"/>
        <v>0.74366940893555389</v>
      </c>
    </row>
    <row r="104" spans="1:20" hidden="1" outlineLevel="1">
      <c r="A104" s="50" t="s">
        <v>1667</v>
      </c>
      <c r="B104" s="86">
        <f>(INDEX(Data!48:48,1,$U$1-2)+INDEX(Data!429:429,1,$U$1-2)-INDEX(Data!1269:1269,1,$U$1-2))</f>
        <v>143941395</v>
      </c>
      <c r="C104" s="87">
        <f>(INDEX(Data!48:48,1,$U$1-1)+INDEX(Data!429:429,1,$U$1-1)-INDEX(Data!1269:1269,1,$U$1-1))</f>
        <v>144939991</v>
      </c>
      <c r="D104" s="88">
        <f t="shared" ref="D104" si="61">B104+C104</f>
        <v>288881386</v>
      </c>
      <c r="E104" s="89">
        <f>(INDEX(Data!48:48,1,$U$1)+INDEX(Data!429:429,1,$U$1)-INDEX(Data!1269:1269,1,$U$1))</f>
        <v>144845471</v>
      </c>
      <c r="F104" s="90">
        <f>(INDEX(Data!48:48,1,$U$1+1)+INDEX(Data!429:429,1,$U$1+1)-INDEX(Data!1269:1269,1,$U$1+1))</f>
        <v>144853253</v>
      </c>
      <c r="G104" s="88">
        <f t="shared" ref="G104" si="62">E104+F104</f>
        <v>289698724</v>
      </c>
      <c r="H104" s="86">
        <f t="shared" ref="H104" si="63">G104-D104</f>
        <v>817338</v>
      </c>
      <c r="I104" s="447">
        <f t="shared" ref="I104" si="64">IFERROR(H104/D104,"")</f>
        <v>2.8293204048806383E-3</v>
      </c>
      <c r="J104" s="453">
        <f t="shared" si="51"/>
        <v>1.2049348660950509E-2</v>
      </c>
      <c r="K104" s="91">
        <f>(INDEX(Data!147:147,1,$U$1-2)+INDEX(Data!756:756,1,$U$1-2)-INDEX(Data!1426:1426,1,$U$1-2))</f>
        <v>108078175</v>
      </c>
      <c r="L104" s="87">
        <f>(INDEX(Data!147:147,1,$U$1-1)+INDEX(Data!756:756,1,$U$1-1)-INDEX(Data!1426:1426,1,$U$1-1))</f>
        <v>108998414</v>
      </c>
      <c r="M104" s="88">
        <f t="shared" si="58"/>
        <v>217076589</v>
      </c>
      <c r="N104" s="89">
        <f>(INDEX(Data!147:147,1,$U$1)+INDEX(Data!756:756,1,$U$1)-INDEX(Data!1426:1426,1,$U$1))</f>
        <v>108873093</v>
      </c>
      <c r="O104" s="90">
        <f>(INDEX(Data!147:147,1,$U$1+1)+INDEX(Data!756:756,1,$U$1+1)-INDEX(Data!1426:1426,1,$U$1+1))</f>
        <v>108864851</v>
      </c>
      <c r="P104" s="88">
        <f t="shared" ref="P104" si="65">N104+O104</f>
        <v>217737944</v>
      </c>
      <c r="Q104" s="86">
        <f t="shared" ref="Q104" si="66">P104-M104</f>
        <v>661355</v>
      </c>
      <c r="R104" s="84">
        <f t="shared" ref="R104" si="67">IFERROR(Q104/M104,"")</f>
        <v>3.0466435972973578E-3</v>
      </c>
      <c r="S104" s="85">
        <f t="shared" si="53"/>
        <v>1.464844912130215E-2</v>
      </c>
      <c r="T104" s="85">
        <f t="shared" ref="T104" si="68">IFERROR(P104/G104,"")</f>
        <v>0.75160132220672127</v>
      </c>
    </row>
    <row r="105" spans="1:20" hidden="1" outlineLevel="1">
      <c r="A105" s="50" t="s">
        <v>1356</v>
      </c>
      <c r="B105" s="86">
        <f>(INDEX(Data!49:49,1,$U$1-2)+INDEX(Data!430:430,1,$U$1-2)-INDEX(Data!1270:1270,1,$U$1-2))</f>
        <v>0</v>
      </c>
      <c r="C105" s="87">
        <f>(INDEX(Data!49:49,1,$U$1-1)+INDEX(Data!430:430,1,$U$1-1)-INDEX(Data!1270:1270,1,$U$1-1))</f>
        <v>0</v>
      </c>
      <c r="D105" s="88">
        <f t="shared" si="55"/>
        <v>0</v>
      </c>
      <c r="E105" s="89">
        <f>(INDEX(Data!49:49,1,$U$1)+INDEX(Data!430:430,1,$U$1)-INDEX(Data!1270:1270,1,$U$1))</f>
        <v>0</v>
      </c>
      <c r="F105" s="90">
        <f>(INDEX(Data!49:49,1,$U$1+1)+INDEX(Data!430:430,1,$U$1+1)-INDEX(Data!1270:1270,1,$U$1+1))</f>
        <v>0</v>
      </c>
      <c r="G105" s="88">
        <f t="shared" si="50"/>
        <v>0</v>
      </c>
      <c r="H105" s="86">
        <f t="shared" si="56"/>
        <v>0</v>
      </c>
      <c r="I105" s="447" t="str">
        <f t="shared" si="57"/>
        <v/>
      </c>
      <c r="J105" s="453">
        <f t="shared" si="51"/>
        <v>0</v>
      </c>
      <c r="K105" s="91">
        <f>(INDEX(Data!148:148,1,$U$1-2)+INDEX(Data!757:757,1,$U$1-2)-INDEX(Data!1427:1427,1,$U$1-2))</f>
        <v>0</v>
      </c>
      <c r="L105" s="87">
        <f>(INDEX(Data!148:148,1,$U$1-1)+INDEX(Data!757:757,1,$U$1-1)-INDEX(Data!1427:1427,1,$U$1-1))</f>
        <v>0</v>
      </c>
      <c r="M105" s="88">
        <f t="shared" si="58"/>
        <v>0</v>
      </c>
      <c r="N105" s="89">
        <f>(INDEX(Data!148:148,1,$U$1)+INDEX(Data!757:757,1,$U$1)-INDEX(Data!1427:1427,1,$U$1))</f>
        <v>0</v>
      </c>
      <c r="O105" s="90">
        <f>(INDEX(Data!148:148,1,$U$1+1)+INDEX(Data!757:757,1,$U$1+1)-INDEX(Data!1427:1427,1,$U$1+1))</f>
        <v>0</v>
      </c>
      <c r="P105" s="88">
        <f t="shared" si="52"/>
        <v>0</v>
      </c>
      <c r="Q105" s="86">
        <f t="shared" si="59"/>
        <v>0</v>
      </c>
      <c r="R105" s="84" t="str">
        <f t="shared" si="60"/>
        <v/>
      </c>
      <c r="S105" s="85">
        <f t="shared" si="53"/>
        <v>0</v>
      </c>
      <c r="T105" s="85" t="str">
        <f t="shared" si="54"/>
        <v/>
      </c>
    </row>
    <row r="106" spans="1:20" hidden="1" outlineLevel="1">
      <c r="A106" s="50" t="s">
        <v>1357</v>
      </c>
      <c r="B106" s="86">
        <f>(INDEX(Data!50:50,1,$U$1-2)+INDEX(Data!431:431,1,$U$1-2)-INDEX(Data!1271:1271,1,$U$1-2))</f>
        <v>0</v>
      </c>
      <c r="C106" s="87">
        <f>(INDEX(Data!50:50,1,$U$1-1)+INDEX(Data!431:431,1,$U$1-1)-INDEX(Data!1271:1271,1,$U$1-1))</f>
        <v>0</v>
      </c>
      <c r="D106" s="88">
        <f t="shared" si="55"/>
        <v>0</v>
      </c>
      <c r="E106" s="89">
        <f>(INDEX(Data!50:50,1,$U$1)+INDEX(Data!431:431,1,$U$1)-INDEX(Data!1271:1271,1,$U$1))</f>
        <v>0</v>
      </c>
      <c r="F106" s="90">
        <f>(INDEX(Data!50:50,1,$U$1+1)+INDEX(Data!431:431,1,$U$1+1)-INDEX(Data!1271:1271,1,$U$1+1))</f>
        <v>0</v>
      </c>
      <c r="G106" s="88">
        <f t="shared" si="50"/>
        <v>0</v>
      </c>
      <c r="H106" s="86">
        <f t="shared" si="56"/>
        <v>0</v>
      </c>
      <c r="I106" s="447" t="str">
        <f t="shared" si="57"/>
        <v/>
      </c>
      <c r="J106" s="453">
        <f t="shared" si="51"/>
        <v>0</v>
      </c>
      <c r="K106" s="91">
        <f>(INDEX(Data!149:149,1,$U$1-2)+INDEX(Data!758:758,1,$U$1-2)-INDEX(Data!1428:1428,1,$U$1-2))</f>
        <v>0</v>
      </c>
      <c r="L106" s="87">
        <f>(INDEX(Data!149:149,1,$U$1-1)+INDEX(Data!758:758,1,$U$1-1)-INDEX(Data!1428:1428,1,$U$1-1))</f>
        <v>0</v>
      </c>
      <c r="M106" s="88">
        <f t="shared" si="58"/>
        <v>0</v>
      </c>
      <c r="N106" s="89">
        <f>(INDEX(Data!149:149,1,$U$1)+INDEX(Data!758:758,1,$U$1)-INDEX(Data!1428:1428,1,$U$1))</f>
        <v>0</v>
      </c>
      <c r="O106" s="90">
        <f>(INDEX(Data!149:149,1,$U$1+1)+INDEX(Data!758:758,1,$U$1+1)-INDEX(Data!1428:1428,1,$U$1+1))</f>
        <v>0</v>
      </c>
      <c r="P106" s="88">
        <f t="shared" si="52"/>
        <v>0</v>
      </c>
      <c r="Q106" s="86">
        <f t="shared" si="59"/>
        <v>0</v>
      </c>
      <c r="R106" s="84" t="str">
        <f t="shared" si="60"/>
        <v/>
      </c>
      <c r="S106" s="85">
        <f t="shared" si="53"/>
        <v>0</v>
      </c>
      <c r="T106" s="85" t="str">
        <f t="shared" si="54"/>
        <v/>
      </c>
    </row>
    <row r="107" spans="1:20" hidden="1" outlineLevel="1">
      <c r="A107" s="50" t="s">
        <v>1358</v>
      </c>
      <c r="B107" s="86">
        <f>(INDEX(Data!51:51,1,$U$1-2)+INDEX(Data!432:432,1,$U$1-2)-INDEX(Data!1272:1272,1,$U$1-2))</f>
        <v>42368944</v>
      </c>
      <c r="C107" s="87">
        <f>(INDEX(Data!51:51,1,$U$1-1)+INDEX(Data!432:432,1,$U$1-1)-INDEX(Data!1272:1272,1,$U$1-1))</f>
        <v>42521707</v>
      </c>
      <c r="D107" s="88">
        <f t="shared" si="55"/>
        <v>84890651</v>
      </c>
      <c r="E107" s="89">
        <f>(INDEX(Data!51:51,1,$U$1)+INDEX(Data!432:432,1,$U$1)-INDEX(Data!1272:1272,1,$U$1))</f>
        <v>41869568</v>
      </c>
      <c r="F107" s="90">
        <f>(INDEX(Data!51:51,1,$U$1+1)+INDEX(Data!432:432,1,$U$1+1)-INDEX(Data!1272:1272,1,$U$1+1))</f>
        <v>41871065</v>
      </c>
      <c r="G107" s="88">
        <f t="shared" si="50"/>
        <v>83740633</v>
      </c>
      <c r="H107" s="86">
        <f t="shared" si="56"/>
        <v>-1150018</v>
      </c>
      <c r="I107" s="447">
        <f t="shared" si="57"/>
        <v>-1.3547051253029029E-2</v>
      </c>
      <c r="J107" s="453">
        <f t="shared" si="51"/>
        <v>3.4829980269629975E-3</v>
      </c>
      <c r="K107" s="91">
        <f>(INDEX(Data!150:150,1,$U$1-2)+INDEX(Data!759:759,1,$U$1-2)-INDEX(Data!1429:1429,1,$U$1-2))</f>
        <v>33996481</v>
      </c>
      <c r="L107" s="87">
        <f>(INDEX(Data!150:150,1,$U$1-1)+INDEX(Data!759:759,1,$U$1-1)-INDEX(Data!1429:1429,1,$U$1-1))</f>
        <v>34104625</v>
      </c>
      <c r="M107" s="88">
        <f t="shared" si="58"/>
        <v>68101106</v>
      </c>
      <c r="N107" s="89">
        <f>(INDEX(Data!150:150,1,$U$1)+INDEX(Data!759:759,1,$U$1)-INDEX(Data!1429:1429,1,$U$1))</f>
        <v>33739692</v>
      </c>
      <c r="O107" s="90">
        <f>(INDEX(Data!150:150,1,$U$1+1)+INDEX(Data!759:759,1,$U$1+1)-INDEX(Data!1429:1429,1,$U$1+1))</f>
        <v>33730050</v>
      </c>
      <c r="P107" s="88">
        <f t="shared" si="52"/>
        <v>67469742</v>
      </c>
      <c r="Q107" s="86">
        <f t="shared" si="59"/>
        <v>-631364</v>
      </c>
      <c r="R107" s="84">
        <f t="shared" si="60"/>
        <v>-9.270980121820635E-3</v>
      </c>
      <c r="S107" s="85">
        <f t="shared" si="53"/>
        <v>4.5390668468624044E-3</v>
      </c>
      <c r="T107" s="85">
        <f t="shared" si="54"/>
        <v>0.80569897292273873</v>
      </c>
    </row>
    <row r="108" spans="1:20" hidden="1" outlineLevel="1">
      <c r="A108" s="50" t="s">
        <v>757</v>
      </c>
      <c r="B108" s="86">
        <f>(INDEX(Data!52:52,1,$U$1-2)+INDEX(Data!433:433,1,$U$1-2)-INDEX(Data!1273:1273,1,$U$1-2))</f>
        <v>156025868</v>
      </c>
      <c r="C108" s="87">
        <f>(INDEX(Data!52:52,1,$U$1-1)+INDEX(Data!433:433,1,$U$1-1)-INDEX(Data!1273:1273,1,$U$1-1))</f>
        <v>156996745</v>
      </c>
      <c r="D108" s="88">
        <f t="shared" si="55"/>
        <v>313022613</v>
      </c>
      <c r="E108" s="89">
        <f>(INDEX(Data!52:52,1,$U$1)+INDEX(Data!433:433,1,$U$1)-INDEX(Data!1273:1273,1,$U$1))</f>
        <v>170520935</v>
      </c>
      <c r="F108" s="90">
        <f>(INDEX(Data!52:52,1,$U$1+1)+INDEX(Data!433:433,1,$U$1+1)-INDEX(Data!1273:1273,1,$U$1+1))</f>
        <v>170532346</v>
      </c>
      <c r="G108" s="88">
        <f t="shared" si="50"/>
        <v>341053281</v>
      </c>
      <c r="H108" s="86">
        <f t="shared" si="56"/>
        <v>28030668</v>
      </c>
      <c r="I108" s="447">
        <f t="shared" si="57"/>
        <v>8.9548380327398258E-2</v>
      </c>
      <c r="J108" s="453">
        <f t="shared" si="51"/>
        <v>1.418532273110781E-2</v>
      </c>
      <c r="K108" s="91">
        <f>(INDEX(Data!151:151,1,$U$1-2)+INDEX(Data!760:760,1,$U$1-2)-INDEX(Data!1430:1430,1,$U$1-2))</f>
        <v>113740794</v>
      </c>
      <c r="L108" s="87">
        <f>(INDEX(Data!151:151,1,$U$1-1)+INDEX(Data!760:760,1,$U$1-1)-INDEX(Data!1430:1430,1,$U$1-1))</f>
        <v>114437640</v>
      </c>
      <c r="M108" s="88">
        <f t="shared" si="58"/>
        <v>228178434</v>
      </c>
      <c r="N108" s="89">
        <f>(INDEX(Data!151:151,1,$U$1)+INDEX(Data!760:760,1,$U$1)-INDEX(Data!1430:1430,1,$U$1))</f>
        <v>127500894</v>
      </c>
      <c r="O108" s="90">
        <f>(INDEX(Data!151:151,1,$U$1+1)+INDEX(Data!760:760,1,$U$1+1)-INDEX(Data!1430:1430,1,$U$1+1))</f>
        <v>127465180</v>
      </c>
      <c r="P108" s="88">
        <f t="shared" si="52"/>
        <v>254966074</v>
      </c>
      <c r="Q108" s="86">
        <f t="shared" si="59"/>
        <v>26787640</v>
      </c>
      <c r="R108" s="84">
        <f t="shared" si="60"/>
        <v>0.11739777300776812</v>
      </c>
      <c r="S108" s="85">
        <f t="shared" si="53"/>
        <v>1.715299361257475E-2</v>
      </c>
      <c r="T108" s="85">
        <f t="shared" si="54"/>
        <v>0.74758428727738879</v>
      </c>
    </row>
    <row r="109" spans="1:20" hidden="1" outlineLevel="1">
      <c r="A109" s="50" t="s">
        <v>1359</v>
      </c>
      <c r="B109" s="86">
        <f>(INDEX(Data!53:53,1,$U$1-2)+INDEX(Data!434:434,1,$U$1-2)-INDEX(Data!1274:1274,1,$U$1-2))</f>
        <v>51952739</v>
      </c>
      <c r="C109" s="87">
        <f>(INDEX(Data!53:53,1,$U$1-1)+INDEX(Data!434:434,1,$U$1-1)-INDEX(Data!1274:1274,1,$U$1-1))</f>
        <v>52259219</v>
      </c>
      <c r="D109" s="88">
        <f t="shared" si="55"/>
        <v>104211958</v>
      </c>
      <c r="E109" s="89">
        <f>(INDEX(Data!53:53,1,$U$1)+INDEX(Data!434:434,1,$U$1)-INDEX(Data!1274:1274,1,$U$1))</f>
        <v>50323195</v>
      </c>
      <c r="F109" s="90">
        <f>(INDEX(Data!53:53,1,$U$1+1)+INDEX(Data!434:434,1,$U$1+1)-INDEX(Data!1274:1274,1,$U$1+1))</f>
        <v>50326963</v>
      </c>
      <c r="G109" s="88">
        <f t="shared" si="50"/>
        <v>100650158</v>
      </c>
      <c r="H109" s="86">
        <f t="shared" si="56"/>
        <v>-3561800</v>
      </c>
      <c r="I109" s="447">
        <f t="shared" si="57"/>
        <v>-3.4178419332645107E-2</v>
      </c>
      <c r="J109" s="453">
        <f t="shared" si="51"/>
        <v>4.1863106256614276E-3</v>
      </c>
      <c r="K109" s="91">
        <f>(INDEX(Data!152:152,1,$U$1-2)+INDEX(Data!761:761,1,$U$1-2)-INDEX(Data!1431:1431,1,$U$1-2))</f>
        <v>40371117</v>
      </c>
      <c r="L109" s="87">
        <f>(INDEX(Data!152:152,1,$U$1-1)+INDEX(Data!761:761,1,$U$1-1)-INDEX(Data!1431:1431,1,$U$1-1))</f>
        <v>40595141</v>
      </c>
      <c r="M109" s="88">
        <f t="shared" si="58"/>
        <v>80966258</v>
      </c>
      <c r="N109" s="89">
        <f>(INDEX(Data!152:152,1,$U$1)+INDEX(Data!761:761,1,$U$1)-INDEX(Data!1431:1431,1,$U$1))</f>
        <v>39413452</v>
      </c>
      <c r="O109" s="90">
        <f>(INDEX(Data!152:152,1,$U$1+1)+INDEX(Data!761:761,1,$U$1+1)-INDEX(Data!1431:1431,1,$U$1+1))</f>
        <v>39398867</v>
      </c>
      <c r="P109" s="88">
        <f t="shared" si="52"/>
        <v>78812319</v>
      </c>
      <c r="Q109" s="86">
        <f t="shared" si="59"/>
        <v>-2153939</v>
      </c>
      <c r="R109" s="84">
        <f t="shared" si="60"/>
        <v>-2.6602921429319359E-2</v>
      </c>
      <c r="S109" s="85">
        <f t="shared" si="53"/>
        <v>5.3021454313141427E-3</v>
      </c>
      <c r="T109" s="85">
        <f t="shared" si="54"/>
        <v>0.78303224322807319</v>
      </c>
    </row>
    <row r="110" spans="1:20" hidden="1" outlineLevel="1">
      <c r="A110" s="50" t="s">
        <v>751</v>
      </c>
      <c r="B110" s="86">
        <f>(INDEX(Data!55:55,1,$U$1-2)+INDEX(Data!443:443,1,$U$1-2)-INDEX(Data!1276:1276,1,$U$1-2))</f>
        <v>455555277</v>
      </c>
      <c r="C110" s="87">
        <f>(INDEX(Data!55:55,1,$U$1-1)+INDEX(Data!443:443,1,$U$1-1)-INDEX(Data!1276:1276,1,$U$1-1))</f>
        <v>458028204</v>
      </c>
      <c r="D110" s="88">
        <f t="shared" si="55"/>
        <v>913583481</v>
      </c>
      <c r="E110" s="89">
        <f>(INDEX(Data!55:55,1,$U$1)+INDEX(Data!443:443,1,$U$1)-INDEX(Data!1276:1276,1,$U$1))</f>
        <v>512787808</v>
      </c>
      <c r="F110" s="90">
        <f>(INDEX(Data!55:55,1,$U$1+1)+INDEX(Data!443:443,1,$U$1+1)-INDEX(Data!1276:1276,1,$U$1+1))</f>
        <v>512811856</v>
      </c>
      <c r="G110" s="88">
        <f t="shared" si="50"/>
        <v>1025599664</v>
      </c>
      <c r="H110" s="86">
        <f t="shared" si="56"/>
        <v>112016183</v>
      </c>
      <c r="I110" s="447">
        <f t="shared" si="57"/>
        <v>0.12261187437122673</v>
      </c>
      <c r="J110" s="453">
        <f t="shared" si="51"/>
        <v>4.2657446907117522E-2</v>
      </c>
      <c r="K110" s="91">
        <f>(INDEX(Data!154:154,1,$U$1-2)+INDEX(Data!770:770,1,$U$1-2)-INDEX(Data!1433:1433,1,$U$1-2))</f>
        <v>331122183</v>
      </c>
      <c r="L110" s="87">
        <f>(INDEX(Data!154:154,1,$U$1-1)+INDEX(Data!770:770,1,$U$1-1)-INDEX(Data!1433:1433,1,$U$1-1))</f>
        <v>332553771</v>
      </c>
      <c r="M110" s="88">
        <f t="shared" ref="M110:M135" si="69">K110+L110</f>
        <v>663675954</v>
      </c>
      <c r="N110" s="89">
        <f>(INDEX(Data!154:154,1,$U$1)+INDEX(Data!770:770,1,$U$1)-INDEX(Data!1433:1433,1,$U$1))</f>
        <v>381152914</v>
      </c>
      <c r="O110" s="90">
        <f>(INDEX(Data!154:154,1,$U$1+1)+INDEX(Data!770:770,1,$U$1+1)-INDEX(Data!1433:1433,1,$U$1+1))</f>
        <v>380877779</v>
      </c>
      <c r="P110" s="88">
        <f t="shared" si="52"/>
        <v>762030693</v>
      </c>
      <c r="Q110" s="86">
        <f t="shared" si="59"/>
        <v>98354739</v>
      </c>
      <c r="R110" s="84">
        <f t="shared" si="60"/>
        <v>0.14819693015426019</v>
      </c>
      <c r="S110" s="85">
        <f t="shared" si="53"/>
        <v>5.1266066126173751E-2</v>
      </c>
      <c r="T110" s="85">
        <f t="shared" si="54"/>
        <v>0.74300988948061897</v>
      </c>
    </row>
    <row r="111" spans="1:20" hidden="1" outlineLevel="1">
      <c r="A111" s="50" t="s">
        <v>876</v>
      </c>
      <c r="B111" s="86">
        <f>(INDEX(Data!56:56,1,$U$1-2)+INDEX(Data!445:445,1,$U$1-2)-INDEX(Data!1277:1277,1,$U$1-2))</f>
        <v>28224772</v>
      </c>
      <c r="C111" s="87">
        <f>(INDEX(Data!56:56,1,$U$1-1)+INDEX(Data!445:445,1,$U$1-1)-INDEX(Data!1277:1277,1,$U$1-1))</f>
        <v>28351906</v>
      </c>
      <c r="D111" s="88">
        <f t="shared" si="55"/>
        <v>56576678</v>
      </c>
      <c r="E111" s="89">
        <f>(INDEX(Data!56:56,1,$U$1)+INDEX(Data!445:445,1,$U$1)-INDEX(Data!1277:1277,1,$U$1))</f>
        <v>27292107</v>
      </c>
      <c r="F111" s="90">
        <f>(INDEX(Data!56:56,1,$U$1+1)+INDEX(Data!445:445,1,$U$1+1)-INDEX(Data!1277:1277,1,$U$1+1))</f>
        <v>27279395</v>
      </c>
      <c r="G111" s="88">
        <f t="shared" si="50"/>
        <v>54571502</v>
      </c>
      <c r="H111" s="86">
        <f t="shared" si="56"/>
        <v>-2005176</v>
      </c>
      <c r="I111" s="447">
        <f t="shared" si="57"/>
        <v>-3.5441741560011709E-2</v>
      </c>
      <c r="J111" s="453">
        <f t="shared" si="51"/>
        <v>2.2697754600733348E-3</v>
      </c>
      <c r="K111" s="91">
        <f>(INDEX(Data!155:155,1,$U$1-2)+INDEX(Data!772:772,1,$U$1-2)-INDEX(Data!1434:1434,1,$U$1-2))</f>
        <v>23779751</v>
      </c>
      <c r="L111" s="87">
        <f>(INDEX(Data!155:155,1,$U$1-1)+INDEX(Data!772:772,1,$U$1-1)-INDEX(Data!1434:1434,1,$U$1-1))</f>
        <v>23873930</v>
      </c>
      <c r="M111" s="88">
        <f t="shared" si="69"/>
        <v>47653681</v>
      </c>
      <c r="N111" s="89">
        <f>(INDEX(Data!155:155,1,$U$1)+INDEX(Data!772:772,1,$U$1)-INDEX(Data!1434:1434,1,$U$1))</f>
        <v>24073090</v>
      </c>
      <c r="O111" s="90">
        <f>(INDEX(Data!155:155,1,$U$1+1)+INDEX(Data!772:772,1,$U$1+1)-INDEX(Data!1434:1434,1,$U$1+1))</f>
        <v>24054724</v>
      </c>
      <c r="P111" s="88">
        <f t="shared" si="52"/>
        <v>48127814</v>
      </c>
      <c r="Q111" s="86">
        <f t="shared" si="59"/>
        <v>474133</v>
      </c>
      <c r="R111" s="84">
        <f t="shared" si="60"/>
        <v>9.9495566774789133E-3</v>
      </c>
      <c r="S111" s="85">
        <f t="shared" si="53"/>
        <v>3.2378271868797165E-3</v>
      </c>
      <c r="T111" s="85">
        <f t="shared" si="54"/>
        <v>0.88192210652365777</v>
      </c>
    </row>
    <row r="112" spans="1:20" hidden="1" outlineLevel="1">
      <c r="A112" s="50" t="s">
        <v>750</v>
      </c>
      <c r="B112" s="86">
        <f>(INDEX(Data!57:57,1,$U$1-2)+INDEX(Data!446:446,1,$U$1-2)-INDEX(Data!1278:1278,1,$U$1-2))</f>
        <v>70836712</v>
      </c>
      <c r="C112" s="87">
        <f>(INDEX(Data!57:57,1,$U$1-1)+INDEX(Data!446:446,1,$U$1-1)-INDEX(Data!1278:1278,1,$U$1-1))</f>
        <v>71185383</v>
      </c>
      <c r="D112" s="88">
        <f t="shared" si="55"/>
        <v>142022095</v>
      </c>
      <c r="E112" s="89">
        <f>(INDEX(Data!57:57,1,$U$1)+INDEX(Data!446:446,1,$U$1)-INDEX(Data!1278:1278,1,$U$1))</f>
        <v>72561351</v>
      </c>
      <c r="F112" s="90">
        <f>(INDEX(Data!57:57,1,$U$1+1)+INDEX(Data!446:446,1,$U$1+1)-INDEX(Data!1278:1278,1,$U$1+1))</f>
        <v>72559279</v>
      </c>
      <c r="G112" s="88">
        <f t="shared" si="50"/>
        <v>145120630</v>
      </c>
      <c r="H112" s="86">
        <f t="shared" si="56"/>
        <v>3098535</v>
      </c>
      <c r="I112" s="447">
        <f t="shared" si="57"/>
        <v>2.1817274276935573E-2</v>
      </c>
      <c r="J112" s="453">
        <f t="shared" si="51"/>
        <v>6.0359570957820106E-3</v>
      </c>
      <c r="K112" s="91">
        <f>(INDEX(Data!156:156,1,$U$1-2)+INDEX(Data!773:773,1,$U$1-2)-INDEX(Data!1435:1435,1,$U$1-2))</f>
        <v>53729958</v>
      </c>
      <c r="L112" s="87">
        <f>(INDEX(Data!156:156,1,$U$1-1)+INDEX(Data!773:773,1,$U$1-1)-INDEX(Data!1435:1435,1,$U$1-1))</f>
        <v>53951522</v>
      </c>
      <c r="M112" s="88">
        <f t="shared" ref="M112:M121" si="70">K112+L112</f>
        <v>107681480</v>
      </c>
      <c r="N112" s="89">
        <f>(INDEX(Data!156:156,1,$U$1)+INDEX(Data!773:773,1,$U$1)-INDEX(Data!1435:1435,1,$U$1))</f>
        <v>53749929</v>
      </c>
      <c r="O112" s="90">
        <f>(INDEX(Data!156:156,1,$U$1+1)+INDEX(Data!773:773,1,$U$1+1)-INDEX(Data!1435:1435,1,$U$1+1))</f>
        <v>53710711</v>
      </c>
      <c r="P112" s="88">
        <f t="shared" si="52"/>
        <v>107460640</v>
      </c>
      <c r="Q112" s="86">
        <f t="shared" si="59"/>
        <v>-220840</v>
      </c>
      <c r="R112" s="84">
        <f t="shared" si="60"/>
        <v>-2.050863342517209E-3</v>
      </c>
      <c r="S112" s="85">
        <f t="shared" si="53"/>
        <v>7.2294781913737859E-3</v>
      </c>
      <c r="T112" s="85">
        <f t="shared" si="54"/>
        <v>0.74049182393984925</v>
      </c>
    </row>
    <row r="113" spans="1:20" hidden="1" outlineLevel="1">
      <c r="A113" s="50" t="s">
        <v>1209</v>
      </c>
      <c r="B113" s="86">
        <f>(INDEX(Data!58:58,1,$U$1-2)+INDEX(Data!447:447,1,$U$1-2)-INDEX(Data!1279:1279,1,$U$1-2))</f>
        <v>66290492</v>
      </c>
      <c r="C113" s="87">
        <f>(INDEX(Data!58:58,1,$U$1-1)+INDEX(Data!447:447,1,$U$1-1)-INDEX(Data!1279:1279,1,$U$1-1))</f>
        <v>66633636</v>
      </c>
      <c r="D113" s="88">
        <f t="shared" si="55"/>
        <v>132924128</v>
      </c>
      <c r="E113" s="89">
        <f>(INDEX(Data!58:58,1,$U$1)+INDEX(Data!447:447,1,$U$1)-INDEX(Data!1279:1279,1,$U$1))</f>
        <v>65969501</v>
      </c>
      <c r="F113" s="90">
        <f>(INDEX(Data!58:58,1,$U$1+1)+INDEX(Data!447:447,1,$U$1+1)-INDEX(Data!1279:1279,1,$U$1+1))</f>
        <v>65966557</v>
      </c>
      <c r="G113" s="88">
        <f t="shared" si="50"/>
        <v>131936058</v>
      </c>
      <c r="H113" s="86">
        <f t="shared" si="56"/>
        <v>-988070</v>
      </c>
      <c r="I113" s="447">
        <f t="shared" si="57"/>
        <v>-7.4333382123070993E-3</v>
      </c>
      <c r="J113" s="453">
        <f t="shared" si="51"/>
        <v>5.4875753052795245E-3</v>
      </c>
      <c r="K113" s="91">
        <f>(INDEX(Data!157:157,1,$U$1-2)+INDEX(Data!774:774,1,$U$1-2)-INDEX(Data!1436:1436,1,$U$1-2))</f>
        <v>51012369</v>
      </c>
      <c r="L113" s="87">
        <f>(INDEX(Data!157:157,1,$U$1-1)+INDEX(Data!774:774,1,$U$1-1)-INDEX(Data!1436:1436,1,$U$1-1))</f>
        <v>51318313</v>
      </c>
      <c r="M113" s="88">
        <f t="shared" si="70"/>
        <v>102330682</v>
      </c>
      <c r="N113" s="89">
        <f>(INDEX(Data!157:157,1,$U$1)+INDEX(Data!774:774,1,$U$1)-INDEX(Data!1436:1436,1,$U$1))</f>
        <v>50981271</v>
      </c>
      <c r="O113" s="90">
        <f>(INDEX(Data!157:157,1,$U$1+1)+INDEX(Data!774:774,1,$U$1+1)-INDEX(Data!1436:1436,1,$U$1+1))</f>
        <v>50967123</v>
      </c>
      <c r="P113" s="88">
        <f t="shared" si="52"/>
        <v>101948394</v>
      </c>
      <c r="Q113" s="86">
        <f t="shared" si="59"/>
        <v>-382288</v>
      </c>
      <c r="R113" s="84">
        <f t="shared" si="60"/>
        <v>-3.7358101453872847E-3</v>
      </c>
      <c r="S113" s="85">
        <f t="shared" si="53"/>
        <v>6.8586385775162148E-3</v>
      </c>
      <c r="T113" s="85">
        <f t="shared" si="54"/>
        <v>0.77271062623380793</v>
      </c>
    </row>
    <row r="114" spans="1:20" hidden="1" outlineLevel="1">
      <c r="A114" s="678" t="s">
        <v>1210</v>
      </c>
      <c r="B114" s="86">
        <f>(INDEX(Data!59:59,1,$U$1-2)+INDEX(Data!449:449,1,$U$1-2)-INDEX(Data!1280:1280,1,$U$1-2))</f>
        <v>23865529</v>
      </c>
      <c r="C114" s="87">
        <f>(INDEX(Data!59:59,1,$U$1-1)+INDEX(Data!449:449,1,$U$1-1)-INDEX(Data!1280:1280,1,$U$1-1))</f>
        <v>24105995</v>
      </c>
      <c r="D114" s="88">
        <f t="shared" si="55"/>
        <v>47971524</v>
      </c>
      <c r="E114" s="89">
        <f>(INDEX(Data!59:59,1,$U$1)+INDEX(Data!449:449,1,$U$1)-INDEX(Data!1280:1280,1,$U$1))</f>
        <v>20713585</v>
      </c>
      <c r="F114" s="90">
        <f>(INDEX(Data!59:59,1,$U$1+1)+INDEX(Data!449:449,1,$U$1+1)-INDEX(Data!1280:1280,1,$U$1+1))</f>
        <v>20711026</v>
      </c>
      <c r="G114" s="88">
        <f t="shared" si="50"/>
        <v>41424611</v>
      </c>
      <c r="H114" s="86">
        <f t="shared" si="56"/>
        <v>-6546913</v>
      </c>
      <c r="I114" s="447">
        <f t="shared" si="57"/>
        <v>-0.13647498461795793</v>
      </c>
      <c r="J114" s="453">
        <f t="shared" si="51"/>
        <v>1.7229609236499286E-3</v>
      </c>
      <c r="K114" s="91">
        <f>(INDEX(Data!158:158,1,$U$1-2)+INDEX(Data!776:776,1,$U$1-2)-INDEX(Data!1437:1437,1,$U$1-2))</f>
        <v>21441627</v>
      </c>
      <c r="L114" s="87">
        <f>(INDEX(Data!158:158,1,$U$1-1)+INDEX(Data!776:776,1,$U$1-1)-INDEX(Data!1437:1437,1,$U$1-1))</f>
        <v>21671682</v>
      </c>
      <c r="M114" s="88">
        <f t="shared" si="70"/>
        <v>43113309</v>
      </c>
      <c r="N114" s="89">
        <f>(INDEX(Data!158:158,1,$U$1)+INDEX(Data!776:776,1,$U$1)-INDEX(Data!1437:1437,1,$U$1))</f>
        <v>22377037</v>
      </c>
      <c r="O114" s="90">
        <f>(INDEX(Data!158:158,1,$U$1+1)+INDEX(Data!776:776,1,$U$1+1)-INDEX(Data!1437:1437,1,$U$1+1))</f>
        <v>22370718</v>
      </c>
      <c r="P114" s="88">
        <f t="shared" si="52"/>
        <v>44747755</v>
      </c>
      <c r="Q114" s="86">
        <f t="shared" si="59"/>
        <v>1634446</v>
      </c>
      <c r="R114" s="84">
        <f t="shared" si="60"/>
        <v>3.7910474466248928E-2</v>
      </c>
      <c r="S114" s="85">
        <f t="shared" si="53"/>
        <v>3.0104317160723894E-3</v>
      </c>
      <c r="T114" s="85">
        <f t="shared" si="54"/>
        <v>1.0802214895874338</v>
      </c>
    </row>
    <row r="115" spans="1:20" hidden="1" outlineLevel="1">
      <c r="A115" s="678" t="s">
        <v>1211</v>
      </c>
      <c r="B115" s="86">
        <f>(INDEX(Data!60:60,1,$U$1-2)+INDEX(Data!448:448,1,$U$1-2)-INDEX(Data!1281:1281,1,$U$1-2))</f>
        <v>66426437</v>
      </c>
      <c r="C115" s="87">
        <f>(INDEX(Data!60:60,1,$U$1-1)+INDEX(Data!448:448,1,$U$1-1)-INDEX(Data!1281:1281,1,$U$1-1))</f>
        <v>66582165</v>
      </c>
      <c r="D115" s="88">
        <f t="shared" si="55"/>
        <v>133008602</v>
      </c>
      <c r="E115" s="89">
        <f>(INDEX(Data!60:60,1,$U$1)+INDEX(Data!448:448,1,$U$1)-INDEX(Data!1281:1281,1,$U$1))</f>
        <v>74762638</v>
      </c>
      <c r="F115" s="90">
        <f>(INDEX(Data!60:60,1,$U$1+1)+INDEX(Data!448:448,1,$U$1+1)-INDEX(Data!1281:1281,1,$U$1+1))</f>
        <v>74739178</v>
      </c>
      <c r="G115" s="88">
        <f t="shared" si="50"/>
        <v>149501816</v>
      </c>
      <c r="H115" s="86">
        <f t="shared" si="56"/>
        <v>16493214</v>
      </c>
      <c r="I115" s="447">
        <f t="shared" si="57"/>
        <v>0.12400110783812313</v>
      </c>
      <c r="J115" s="453">
        <f t="shared" si="51"/>
        <v>6.2181823984467028E-3</v>
      </c>
      <c r="K115" s="91">
        <f>(INDEX(Data!159:159,1,$U$1-2)+INDEX(Data!775:775,1,$U$1-2)-INDEX(Data!1438:1438,1,$U$1-2))</f>
        <v>48971494</v>
      </c>
      <c r="L115" s="87">
        <f>(INDEX(Data!159:159,1,$U$1-1)+INDEX(Data!775:775,1,$U$1-1)-INDEX(Data!1438:1438,1,$U$1-1))</f>
        <v>49097157</v>
      </c>
      <c r="M115" s="88">
        <f t="shared" si="70"/>
        <v>98068651</v>
      </c>
      <c r="N115" s="89">
        <f>(INDEX(Data!159:159,1,$U$1)+INDEX(Data!775:775,1,$U$1)-INDEX(Data!1438:1438,1,$U$1))</f>
        <v>52834381</v>
      </c>
      <c r="O115" s="90">
        <f>(INDEX(Data!159:159,1,$U$1+1)+INDEX(Data!775:775,1,$U$1+1)-INDEX(Data!1438:1438,1,$U$1+1))</f>
        <v>52802143</v>
      </c>
      <c r="P115" s="88">
        <f t="shared" si="52"/>
        <v>105636524</v>
      </c>
      <c r="Q115" s="86">
        <f t="shared" si="59"/>
        <v>7567873</v>
      </c>
      <c r="R115" s="84">
        <f t="shared" si="60"/>
        <v>7.7169135323376686E-2</v>
      </c>
      <c r="S115" s="85">
        <f t="shared" si="53"/>
        <v>7.1067597072801119E-3</v>
      </c>
      <c r="T115" s="85">
        <f t="shared" si="54"/>
        <v>0.7065902396797642</v>
      </c>
    </row>
    <row r="116" spans="1:20" hidden="1" outlineLevel="1">
      <c r="A116" s="678" t="s">
        <v>1212</v>
      </c>
      <c r="B116" s="86">
        <f>(INDEX(Data!61:61,1,$U$1-2)+INDEX(Data!451:451,1,$U$1-2)-INDEX(Data!1282:1282,1,$U$1-2))</f>
        <v>66949174</v>
      </c>
      <c r="C116" s="87">
        <f>(INDEX(Data!61:61,1,$U$1-1)+INDEX(Data!451:451,1,$U$1-1)-INDEX(Data!1282:1282,1,$U$1-1))</f>
        <v>67341263</v>
      </c>
      <c r="D116" s="88">
        <f t="shared" si="55"/>
        <v>134290437</v>
      </c>
      <c r="E116" s="89">
        <f>(INDEX(Data!61:61,1,$U$1)+INDEX(Data!451:451,1,$U$1)-INDEX(Data!1282:1282,1,$U$1))</f>
        <v>59819182</v>
      </c>
      <c r="F116" s="90">
        <f>(INDEX(Data!61:61,1,$U$1+1)+INDEX(Data!451:451,1,$U$1+1)-INDEX(Data!1282:1282,1,$U$1+1))</f>
        <v>59823886</v>
      </c>
      <c r="G116" s="88">
        <f t="shared" si="50"/>
        <v>119643068</v>
      </c>
      <c r="H116" s="86">
        <f t="shared" si="56"/>
        <v>-14647369</v>
      </c>
      <c r="I116" s="447">
        <f t="shared" si="57"/>
        <v>-0.10907231614712819</v>
      </c>
      <c r="J116" s="453">
        <f t="shared" si="51"/>
        <v>4.9762768067898389E-3</v>
      </c>
      <c r="K116" s="91">
        <f>(INDEX(Data!160:160,1,$U$1-2)+INDEX(Data!778:778,1,$U$1-2)-INDEX(Data!1439:1439,1,$U$1-2))</f>
        <v>40503376</v>
      </c>
      <c r="L116" s="87">
        <f>(INDEX(Data!160:160,1,$U$1-1)+INDEX(Data!778:778,1,$U$1-1)-INDEX(Data!1439:1439,1,$U$1-1))</f>
        <v>40336136</v>
      </c>
      <c r="M116" s="88">
        <f t="shared" si="70"/>
        <v>80839512</v>
      </c>
      <c r="N116" s="89">
        <f>(INDEX(Data!160:160,1,$U$1)+INDEX(Data!778:778,1,$U$1)-INDEX(Data!1439:1439,1,$U$1))</f>
        <v>40769914</v>
      </c>
      <c r="O116" s="90">
        <f>(INDEX(Data!160:160,1,$U$1+1)+INDEX(Data!778:778,1,$U$1+1)-INDEX(Data!1439:1439,1,$U$1+1))</f>
        <v>40717181</v>
      </c>
      <c r="P116" s="88">
        <f t="shared" si="52"/>
        <v>81487095</v>
      </c>
      <c r="Q116" s="86">
        <f t="shared" si="59"/>
        <v>647583</v>
      </c>
      <c r="R116" s="84">
        <f t="shared" si="60"/>
        <v>8.0107237658733014E-3</v>
      </c>
      <c r="S116" s="85">
        <f t="shared" si="53"/>
        <v>5.482092570646367E-3</v>
      </c>
      <c r="T116" s="85">
        <f t="shared" si="54"/>
        <v>0.68108496682816588</v>
      </c>
    </row>
    <row r="117" spans="1:20" hidden="1" outlineLevel="1">
      <c r="A117" s="678" t="s">
        <v>1213</v>
      </c>
      <c r="B117" s="86">
        <f>(INDEX(Data!62:62,1,$U$1-2)+INDEX(Data!450:450,1,$U$1-2)-INDEX(Data!1283:1283,1,$U$1-2))</f>
        <v>36063222</v>
      </c>
      <c r="C117" s="87">
        <f>(INDEX(Data!62:62,1,$U$1-1)+INDEX(Data!450:450,1,$U$1-1)-INDEX(Data!1283:1283,1,$U$1-1))</f>
        <v>36163125</v>
      </c>
      <c r="D117" s="88">
        <f t="shared" si="55"/>
        <v>72226347</v>
      </c>
      <c r="E117" s="89">
        <f>(INDEX(Data!62:62,1,$U$1)+INDEX(Data!450:450,1,$U$1)-INDEX(Data!1283:1283,1,$U$1))</f>
        <v>40776656</v>
      </c>
      <c r="F117" s="90">
        <f>(INDEX(Data!62:62,1,$U$1+1)+INDEX(Data!450:450,1,$U$1+1)-INDEX(Data!1283:1283,1,$U$1+1))</f>
        <v>40780452</v>
      </c>
      <c r="G117" s="88">
        <f t="shared" si="50"/>
        <v>81557108</v>
      </c>
      <c r="H117" s="86">
        <f t="shared" si="56"/>
        <v>9330761</v>
      </c>
      <c r="I117" s="447">
        <f t="shared" si="57"/>
        <v>0.12918777409578808</v>
      </c>
      <c r="J117" s="453">
        <f t="shared" si="51"/>
        <v>3.3921793527499143E-3</v>
      </c>
      <c r="K117" s="91">
        <f>(INDEX(Data!161:161,1,$U$1-2)+INDEX(Data!777:777,1,$U$1-2)-INDEX(Data!1440:1440,1,$U$1-2))</f>
        <v>32492138</v>
      </c>
      <c r="L117" s="87">
        <f>(INDEX(Data!161:161,1,$U$1-1)+INDEX(Data!777:777,1,$U$1-1)-INDEX(Data!1440:1440,1,$U$1-1))</f>
        <v>32707637</v>
      </c>
      <c r="M117" s="88">
        <f t="shared" si="70"/>
        <v>65199775</v>
      </c>
      <c r="N117" s="89">
        <f>(INDEX(Data!161:161,1,$U$1)+INDEX(Data!777:777,1,$U$1)-INDEX(Data!1440:1440,1,$U$1))</f>
        <v>36760857</v>
      </c>
      <c r="O117" s="90">
        <f>(INDEX(Data!161:161,1,$U$1+1)+INDEX(Data!777:777,1,$U$1+1)-INDEX(Data!1440:1440,1,$U$1+1))</f>
        <v>36761466</v>
      </c>
      <c r="P117" s="88">
        <f t="shared" si="52"/>
        <v>73522323</v>
      </c>
      <c r="Q117" s="86">
        <f t="shared" si="59"/>
        <v>8322548</v>
      </c>
      <c r="R117" s="84">
        <f t="shared" si="60"/>
        <v>0.12764688221700152</v>
      </c>
      <c r="S117" s="85">
        <f t="shared" si="53"/>
        <v>4.9462578178171958E-3</v>
      </c>
      <c r="T117" s="85">
        <f t="shared" si="54"/>
        <v>0.90148271319282192</v>
      </c>
    </row>
    <row r="118" spans="1:20" hidden="1" outlineLevel="1">
      <c r="A118" s="50" t="s">
        <v>861</v>
      </c>
      <c r="B118" s="86">
        <f>(INDEX(Data!63:63,1,$U$1-2)+INDEX(Data!452:452,1,$U$1-2)-INDEX(Data!1284:1284,1,$U$1-2))</f>
        <v>43399819</v>
      </c>
      <c r="C118" s="87">
        <f>(INDEX(Data!63:63,1,$U$1-1)+INDEX(Data!452:452,1,$U$1-1)-INDEX(Data!1284:1284,1,$U$1-1))</f>
        <v>43588262</v>
      </c>
      <c r="D118" s="88">
        <f t="shared" si="55"/>
        <v>86988081</v>
      </c>
      <c r="E118" s="89">
        <f>(INDEX(Data!63:63,1,$U$1)+INDEX(Data!452:452,1,$U$1)-INDEX(Data!1284:1284,1,$U$1))</f>
        <v>44965256</v>
      </c>
      <c r="F118" s="90">
        <f>(INDEX(Data!63:63,1,$U$1+1)+INDEX(Data!452:452,1,$U$1+1)-INDEX(Data!1284:1284,1,$U$1+1))</f>
        <v>44952641</v>
      </c>
      <c r="G118" s="88">
        <f t="shared" si="50"/>
        <v>89917897</v>
      </c>
      <c r="H118" s="86">
        <f t="shared" si="56"/>
        <v>2929816</v>
      </c>
      <c r="I118" s="447">
        <f t="shared" si="57"/>
        <v>3.3680660227462654E-2</v>
      </c>
      <c r="J118" s="453">
        <f t="shared" si="51"/>
        <v>3.7399270416269966E-3</v>
      </c>
      <c r="K118" s="91">
        <f>(INDEX(Data!162:162,1,$U$1-2)+INDEX(Data!779:779,1,$U$1-2)-INDEX(Data!1441:1441,1,$U$1-2))</f>
        <v>34128162</v>
      </c>
      <c r="L118" s="87">
        <f>(INDEX(Data!162:162,1,$U$1-1)+INDEX(Data!779:779,1,$U$1-1)-INDEX(Data!1441:1441,1,$U$1-1))</f>
        <v>34283484</v>
      </c>
      <c r="M118" s="88">
        <f t="shared" si="70"/>
        <v>68411646</v>
      </c>
      <c r="N118" s="89">
        <f>(INDEX(Data!162:162,1,$U$1)+INDEX(Data!779:779,1,$U$1)-INDEX(Data!1441:1441,1,$U$1))</f>
        <v>34938468</v>
      </c>
      <c r="O118" s="90">
        <f>(INDEX(Data!162:162,1,$U$1+1)+INDEX(Data!779:779,1,$U$1+1)-INDEX(Data!1441:1441,1,$U$1+1))</f>
        <v>34919894</v>
      </c>
      <c r="P118" s="88">
        <f t="shared" si="52"/>
        <v>69858362</v>
      </c>
      <c r="Q118" s="86">
        <f t="shared" si="59"/>
        <v>1446716</v>
      </c>
      <c r="R118" s="84">
        <f t="shared" si="60"/>
        <v>2.1147218121312268E-2</v>
      </c>
      <c r="S118" s="85">
        <f t="shared" si="53"/>
        <v>4.6997626718405473E-3</v>
      </c>
      <c r="T118" s="85">
        <f t="shared" si="54"/>
        <v>0.77691276520846564</v>
      </c>
    </row>
    <row r="119" spans="1:20" hidden="1" outlineLevel="1">
      <c r="A119" s="50" t="s">
        <v>871</v>
      </c>
      <c r="B119" s="86">
        <f>(INDEX(Data!64:64,1,$U$1-2)+INDEX(Data!453:453,1,$U$1-2)-INDEX(Data!1285:1285,1,$U$1-2))</f>
        <v>50795466</v>
      </c>
      <c r="C119" s="87">
        <f>(INDEX(Data!64:64,1,$U$1-1)+INDEX(Data!453:453,1,$U$1-1)-INDEX(Data!1285:1285,1,$U$1-1))</f>
        <v>51136685</v>
      </c>
      <c r="D119" s="88">
        <f t="shared" si="55"/>
        <v>101932151</v>
      </c>
      <c r="E119" s="89">
        <f>(INDEX(Data!64:64,1,$U$1)+INDEX(Data!453:453,1,$U$1)-INDEX(Data!1285:1285,1,$U$1))</f>
        <v>53464725</v>
      </c>
      <c r="F119" s="90">
        <f>(INDEX(Data!64:64,1,$U$1+1)+INDEX(Data!453:453,1,$U$1+1)-INDEX(Data!1285:1285,1,$U$1+1))</f>
        <v>53465228</v>
      </c>
      <c r="G119" s="88">
        <f t="shared" si="50"/>
        <v>106929953</v>
      </c>
      <c r="H119" s="86">
        <f t="shared" si="56"/>
        <v>4997802</v>
      </c>
      <c r="I119" s="447">
        <f t="shared" si="57"/>
        <v>4.903067335447478E-2</v>
      </c>
      <c r="J119" s="453">
        <f t="shared" si="51"/>
        <v>4.4475041802256986E-3</v>
      </c>
      <c r="K119" s="91">
        <f>(INDEX(Data!163:163,1,$U$1-2)+INDEX(Data!780:780,1,$U$1-2)-INDEX(Data!1442:1442,1,$U$1-2))</f>
        <v>37814274</v>
      </c>
      <c r="L119" s="87">
        <f>(INDEX(Data!163:163,1,$U$1-1)+INDEX(Data!780:780,1,$U$1-1)-INDEX(Data!1442:1442,1,$U$1-1))</f>
        <v>38059555</v>
      </c>
      <c r="M119" s="88">
        <f t="shared" si="70"/>
        <v>75873829</v>
      </c>
      <c r="N119" s="89">
        <f>(INDEX(Data!163:163,1,$U$1)+INDEX(Data!780:780,1,$U$1)-INDEX(Data!1442:1442,1,$U$1))</f>
        <v>39889868</v>
      </c>
      <c r="O119" s="90">
        <f>(INDEX(Data!163:163,1,$U$1+1)+INDEX(Data!780:780,1,$U$1+1)-INDEX(Data!1442:1442,1,$U$1+1))</f>
        <v>39860481</v>
      </c>
      <c r="P119" s="88">
        <f t="shared" si="52"/>
        <v>79750349</v>
      </c>
      <c r="Q119" s="86">
        <f t="shared" si="59"/>
        <v>3876520</v>
      </c>
      <c r="R119" s="84">
        <f t="shared" si="60"/>
        <v>5.1091661658461969E-2</v>
      </c>
      <c r="S119" s="85">
        <f t="shared" si="53"/>
        <v>5.3652519550409167E-3</v>
      </c>
      <c r="T119" s="85">
        <f t="shared" si="54"/>
        <v>0.74581861080589829</v>
      </c>
    </row>
    <row r="120" spans="1:20" hidden="1" outlineLevel="1">
      <c r="A120" s="678" t="s">
        <v>1361</v>
      </c>
      <c r="B120" s="86">
        <f>(INDEX(Data!65:65,1,$U$1-2)+INDEX(Data!454:454,1,$U$1-2)-INDEX(Data!1286:1286,1,$U$1-2))</f>
        <v>67046559</v>
      </c>
      <c r="C120" s="87">
        <f>(INDEX(Data!65:65,1,$U$1-1)+INDEX(Data!454:454,1,$U$1-1)-INDEX(Data!1286:1286,1,$U$1-1))</f>
        <v>67487537</v>
      </c>
      <c r="D120" s="88">
        <f t="shared" si="55"/>
        <v>134534096</v>
      </c>
      <c r="E120" s="89">
        <f>(INDEX(Data!65:65,1,$U$1)+INDEX(Data!454:454,1,$U$1)-INDEX(Data!1286:1286,1,$U$1))</f>
        <v>64699349</v>
      </c>
      <c r="F120" s="90">
        <f>(INDEX(Data!65:65,1,$U$1+1)+INDEX(Data!454:454,1,$U$1+1)-INDEX(Data!1286:1286,1,$U$1+1))</f>
        <v>64688144</v>
      </c>
      <c r="G120" s="88">
        <f t="shared" si="50"/>
        <v>129387493</v>
      </c>
      <c r="H120" s="86">
        <f t="shared" si="56"/>
        <v>-5146603</v>
      </c>
      <c r="I120" s="447">
        <f t="shared" si="57"/>
        <v>-3.8255008603915543E-2</v>
      </c>
      <c r="J120" s="453">
        <f t="shared" si="51"/>
        <v>5.3815736362141983E-3</v>
      </c>
      <c r="K120" s="91">
        <f>(INDEX(Data!164:164,1,$U$1-2)+INDEX(Data!781:781,1,$U$1-2)-INDEX(Data!1443:1443,1,$U$1-2))</f>
        <v>47566219</v>
      </c>
      <c r="L120" s="87">
        <f>(INDEX(Data!164:164,1,$U$1-1)+INDEX(Data!781:781,1,$U$1-1)-INDEX(Data!1443:1443,1,$U$1-1))</f>
        <v>47848312</v>
      </c>
      <c r="M120" s="88">
        <f t="shared" si="70"/>
        <v>95414531</v>
      </c>
      <c r="N120" s="89">
        <f>(INDEX(Data!164:164,1,$U$1)+INDEX(Data!781:781,1,$U$1)-INDEX(Data!1443:1443,1,$U$1))</f>
        <v>48764686</v>
      </c>
      <c r="O120" s="90">
        <f>(INDEX(Data!164:164,1,$U$1+1)+INDEX(Data!781:781,1,$U$1+1)-INDEX(Data!1443:1443,1,$U$1+1))</f>
        <v>48728228</v>
      </c>
      <c r="P120" s="88">
        <f t="shared" si="52"/>
        <v>97492914</v>
      </c>
      <c r="Q120" s="86">
        <f t="shared" si="59"/>
        <v>2078383</v>
      </c>
      <c r="R120" s="84">
        <f t="shared" si="60"/>
        <v>2.1782667463931673E-2</v>
      </c>
      <c r="S120" s="85">
        <f t="shared" si="53"/>
        <v>6.5588935220977657E-3</v>
      </c>
      <c r="T120" s="85">
        <f t="shared" si="54"/>
        <v>0.7534956566474319</v>
      </c>
    </row>
    <row r="121" spans="1:20" hidden="1" outlineLevel="1">
      <c r="A121" s="50" t="s">
        <v>1425</v>
      </c>
      <c r="B121" s="86">
        <f>(INDEX(Data!66:66,1,$U$1-2)+INDEX(Data!455:455,1,$U$1-2)-INDEX(Data!1287:1287,1,$U$1-2))</f>
        <v>24175436</v>
      </c>
      <c r="C121" s="87">
        <f>(INDEX(Data!66:66,1,$U$1-1)+INDEX(Data!455:455,1,$U$1-1)-INDEX(Data!1287:1287,1,$U$1-1))</f>
        <v>24269879</v>
      </c>
      <c r="D121" s="88">
        <f t="shared" si="55"/>
        <v>48445315</v>
      </c>
      <c r="E121" s="89">
        <f>(INDEX(Data!66:66,1,$U$1)+INDEX(Data!455:455,1,$U$1)-INDEX(Data!1287:1287,1,$U$1))</f>
        <v>26732111</v>
      </c>
      <c r="F121" s="90">
        <f>(INDEX(Data!66:66,1,$U$1+1)+INDEX(Data!455:455,1,$U$1+1)-INDEX(Data!1287:1287,1,$U$1+1))</f>
        <v>26733852</v>
      </c>
      <c r="G121" s="88">
        <f t="shared" si="50"/>
        <v>53465963</v>
      </c>
      <c r="H121" s="86">
        <f t="shared" si="56"/>
        <v>5020648</v>
      </c>
      <c r="I121" s="447">
        <f t="shared" si="57"/>
        <v>0.10363536701123731</v>
      </c>
      <c r="J121" s="453">
        <f t="shared" si="51"/>
        <v>2.2237931212996283E-3</v>
      </c>
      <c r="K121" s="91">
        <f>(INDEX(Data!165:165,1,$U$1-2)+INDEX(Data!782:782,1,$U$1-2)-INDEX(Data!1444:1444,1,$U$1-2))</f>
        <v>21594942</v>
      </c>
      <c r="L121" s="87">
        <f>(INDEX(Data!165:165,1,$U$1-1)+INDEX(Data!782:782,1,$U$1-1)-INDEX(Data!1444:1444,1,$U$1-1))</f>
        <v>21665913</v>
      </c>
      <c r="M121" s="88">
        <f t="shared" si="70"/>
        <v>43260855</v>
      </c>
      <c r="N121" s="89">
        <f>(INDEX(Data!165:165,1,$U$1)+INDEX(Data!782:782,1,$U$1)-INDEX(Data!1444:1444,1,$U$1))</f>
        <v>24370133</v>
      </c>
      <c r="O121" s="90">
        <f>(INDEX(Data!165:165,1,$U$1+1)+INDEX(Data!782:782,1,$U$1+1)-INDEX(Data!1444:1444,1,$U$1+1))</f>
        <v>24366892</v>
      </c>
      <c r="P121" s="88">
        <f t="shared" si="52"/>
        <v>48737025</v>
      </c>
      <c r="Q121" s="86">
        <f t="shared" si="59"/>
        <v>5476170</v>
      </c>
      <c r="R121" s="84">
        <f t="shared" si="60"/>
        <v>0.12658487678988314</v>
      </c>
      <c r="S121" s="85">
        <f t="shared" si="53"/>
        <v>3.2788122176634995E-3</v>
      </c>
      <c r="T121" s="85">
        <f t="shared" si="54"/>
        <v>0.91155236463242983</v>
      </c>
    </row>
    <row r="122" spans="1:20" hidden="1" outlineLevel="1">
      <c r="A122" s="50" t="s">
        <v>726</v>
      </c>
      <c r="B122" s="86">
        <f>(INDEX(Data!68:68,1,$U$1-2)+INDEX(Data!465:465,1,$U$1-2)-INDEX(Data!1289:1289,1,$U$1-2))</f>
        <v>258984860</v>
      </c>
      <c r="C122" s="87">
        <f>(INDEX(Data!68:68,1,$U$1-1)+INDEX(Data!465:465,1,$U$1-1)-INDEX(Data!1289:1289,1,$U$1-1))</f>
        <v>260198344</v>
      </c>
      <c r="D122" s="88">
        <f t="shared" si="55"/>
        <v>519183204</v>
      </c>
      <c r="E122" s="89">
        <f>(INDEX(Data!68:68,1,$U$1)+INDEX(Data!465:465,1,$U$1)-INDEX(Data!1289:1289,1,$U$1))</f>
        <v>321317655</v>
      </c>
      <c r="F122" s="90">
        <f>(INDEX(Data!68:68,1,$U$1+1)+INDEX(Data!465:465,1,$U$1+1)-INDEX(Data!1289:1289,1,$U$1+1))</f>
        <v>276340268</v>
      </c>
      <c r="G122" s="88">
        <f t="shared" si="50"/>
        <v>597657923</v>
      </c>
      <c r="H122" s="86">
        <f t="shared" si="56"/>
        <v>78474719</v>
      </c>
      <c r="I122" s="447">
        <f t="shared" si="57"/>
        <v>0.15115034229805324</v>
      </c>
      <c r="J122" s="453">
        <f t="shared" si="51"/>
        <v>2.4858199562544543E-2</v>
      </c>
      <c r="K122" s="91">
        <f>(INDEX(Data!167:167,1,$U$1-2)+INDEX(Data!792:792,1,$U$1-2)-INDEX(Data!1446:1446,1,$U$1-2))</f>
        <v>176106696</v>
      </c>
      <c r="L122" s="87">
        <f>(INDEX(Data!167:167,1,$U$1-1)+INDEX(Data!792:792,1,$U$1-1)-INDEX(Data!1446:1446,1,$U$1-1))</f>
        <v>176634236</v>
      </c>
      <c r="M122" s="88">
        <f t="shared" si="69"/>
        <v>352740932</v>
      </c>
      <c r="N122" s="89">
        <f>(INDEX(Data!167:167,1,$U$1)+INDEX(Data!792:792,1,$U$1)-INDEX(Data!1446:1446,1,$U$1))</f>
        <v>238684966</v>
      </c>
      <c r="O122" s="90">
        <f>(INDEX(Data!167:167,1,$U$1+1)+INDEX(Data!792:792,1,$U$1+1)-INDEX(Data!1446:1446,1,$U$1+1))</f>
        <v>193553284</v>
      </c>
      <c r="P122" s="88">
        <f t="shared" si="52"/>
        <v>432238250</v>
      </c>
      <c r="Q122" s="86">
        <f t="shared" si="59"/>
        <v>79497318</v>
      </c>
      <c r="R122" s="84">
        <f t="shared" si="60"/>
        <v>0.22537026692439538</v>
      </c>
      <c r="S122" s="85">
        <f t="shared" si="53"/>
        <v>2.9079084228909955E-2</v>
      </c>
      <c r="T122" s="85">
        <f t="shared" si="54"/>
        <v>0.72322014544764934</v>
      </c>
    </row>
    <row r="123" spans="1:20" hidden="1" outlineLevel="1">
      <c r="A123" s="50" t="s">
        <v>1363</v>
      </c>
      <c r="B123" s="86">
        <f>(INDEX(Data!69:69,1,$U$1-2)+INDEX(Data!466:466,1,$U$1-2)-INDEX(Data!1290:1290,1,$U$1-2))</f>
        <v>47082477</v>
      </c>
      <c r="C123" s="87">
        <f>(INDEX(Data!69:69,1,$U$1-1)+INDEX(Data!466:466,1,$U$1-1)-INDEX(Data!1290:1290,1,$U$1-1))</f>
        <v>47380955</v>
      </c>
      <c r="D123" s="88">
        <f t="shared" si="55"/>
        <v>94463432</v>
      </c>
      <c r="E123" s="89">
        <f>(INDEX(Data!69:69,1,$U$1)+INDEX(Data!466:466,1,$U$1)-INDEX(Data!1290:1290,1,$U$1))</f>
        <v>46895161</v>
      </c>
      <c r="F123" s="90">
        <f>(INDEX(Data!69:69,1,$U$1+1)+INDEX(Data!466:466,1,$U$1+1)-INDEX(Data!1290:1290,1,$U$1+1))</f>
        <v>46898650</v>
      </c>
      <c r="G123" s="88">
        <f t="shared" si="50"/>
        <v>93793811</v>
      </c>
      <c r="H123" s="86">
        <f t="shared" si="56"/>
        <v>-669621</v>
      </c>
      <c r="I123" s="447">
        <f t="shared" si="57"/>
        <v>-7.0886795643842369E-3</v>
      </c>
      <c r="J123" s="453">
        <f t="shared" si="51"/>
        <v>3.9011367236063323E-3</v>
      </c>
      <c r="K123" s="91">
        <f>(INDEX(Data!168:168,1,$U$1-2)+INDEX(Data!793:793,1,$U$1-2)-INDEX(Data!1447:1447,1,$U$1-2))</f>
        <v>29829732</v>
      </c>
      <c r="L123" s="87">
        <f>(INDEX(Data!168:168,1,$U$1-1)+INDEX(Data!793:793,1,$U$1-1)-INDEX(Data!1447:1447,1,$U$1-1))</f>
        <v>29874026</v>
      </c>
      <c r="M123" s="88">
        <f t="shared" ref="M123:M125" si="71">K123+L123</f>
        <v>59703758</v>
      </c>
      <c r="N123" s="89">
        <f>(INDEX(Data!168:168,1,$U$1)+INDEX(Data!793:793,1,$U$1)-INDEX(Data!1447:1447,1,$U$1))</f>
        <v>33000233</v>
      </c>
      <c r="O123" s="90">
        <f>(INDEX(Data!168:168,1,$U$1+1)+INDEX(Data!793:793,1,$U$1+1)-INDEX(Data!1447:1447,1,$U$1+1))</f>
        <v>32970056</v>
      </c>
      <c r="P123" s="88">
        <f t="shared" si="52"/>
        <v>65970289</v>
      </c>
      <c r="Q123" s="86">
        <f t="shared" si="59"/>
        <v>6266531</v>
      </c>
      <c r="R123" s="84">
        <f t="shared" si="60"/>
        <v>0.10496041136974996</v>
      </c>
      <c r="S123" s="85">
        <f t="shared" si="53"/>
        <v>4.4381902583506471E-3</v>
      </c>
      <c r="T123" s="85">
        <f t="shared" si="54"/>
        <v>0.70335439296735691</v>
      </c>
    </row>
    <row r="124" spans="1:20" hidden="1" outlineLevel="1">
      <c r="A124" s="50" t="s">
        <v>1364</v>
      </c>
      <c r="B124" s="86">
        <f>(INDEX(Data!70:70,1,$U$1-2)+INDEX(Data!467:467,1,$U$1-2)-INDEX(Data!1291:1291,1,$U$1-2))</f>
        <v>45116186</v>
      </c>
      <c r="C124" s="87">
        <f>(INDEX(Data!70:70,1,$U$1-1)+INDEX(Data!467:467,1,$U$1-1)-INDEX(Data!1291:1291,1,$U$1-1))</f>
        <v>45369331</v>
      </c>
      <c r="D124" s="88">
        <f t="shared" si="55"/>
        <v>90485517</v>
      </c>
      <c r="E124" s="89">
        <f>(INDEX(Data!70:70,1,$U$1)+INDEX(Data!467:467,1,$U$1)-INDEX(Data!1291:1291,1,$U$1))</f>
        <v>46413525</v>
      </c>
      <c r="F124" s="90">
        <f>(INDEX(Data!70:70,1,$U$1+1)+INDEX(Data!467:467,1,$U$1+1)-INDEX(Data!1291:1291,1,$U$1+1))</f>
        <v>46416606</v>
      </c>
      <c r="G124" s="88">
        <f t="shared" si="50"/>
        <v>92830131</v>
      </c>
      <c r="H124" s="86">
        <f t="shared" si="56"/>
        <v>2344614</v>
      </c>
      <c r="I124" s="447">
        <f t="shared" si="57"/>
        <v>2.5911483712912863E-2</v>
      </c>
      <c r="J124" s="453">
        <f t="shared" si="51"/>
        <v>3.8610546819692255E-3</v>
      </c>
      <c r="K124" s="91">
        <f>(INDEX(Data!169:169,1,$U$1-2)+INDEX(Data!794:794,1,$U$1-2)-INDEX(Data!1448:1448,1,$U$1-2))</f>
        <v>27805890</v>
      </c>
      <c r="L124" s="87">
        <f>(INDEX(Data!169:169,1,$U$1-1)+INDEX(Data!794:794,1,$U$1-1)-INDEX(Data!1448:1448,1,$U$1-1))</f>
        <v>27972024</v>
      </c>
      <c r="M124" s="88">
        <f t="shared" si="71"/>
        <v>55777914</v>
      </c>
      <c r="N124" s="89">
        <f>(INDEX(Data!169:169,1,$U$1)+INDEX(Data!794:794,1,$U$1)-INDEX(Data!1448:1448,1,$U$1))</f>
        <v>28981962</v>
      </c>
      <c r="O124" s="90">
        <f>(INDEX(Data!169:169,1,$U$1+1)+INDEX(Data!794:794,1,$U$1+1)-INDEX(Data!1448:1448,1,$U$1+1))</f>
        <v>28961266</v>
      </c>
      <c r="P124" s="88">
        <f t="shared" si="52"/>
        <v>57943228</v>
      </c>
      <c r="Q124" s="86">
        <f t="shared" si="59"/>
        <v>2165314</v>
      </c>
      <c r="R124" s="84">
        <f t="shared" si="60"/>
        <v>3.882027570984458E-2</v>
      </c>
      <c r="S124" s="85">
        <f t="shared" si="53"/>
        <v>3.8981649761605634E-3</v>
      </c>
      <c r="T124" s="85">
        <f t="shared" si="54"/>
        <v>0.62418556750717069</v>
      </c>
    </row>
    <row r="125" spans="1:20" hidden="1" outlineLevel="1">
      <c r="A125" s="50" t="s">
        <v>1365</v>
      </c>
      <c r="B125" s="86">
        <f>(INDEX(Data!71:71,1,$U$1-2)+INDEX(Data!468:468,1,$U$1-2)-INDEX(Data!1292:1292,1,$U$1-2))</f>
        <v>21007251</v>
      </c>
      <c r="C125" s="87">
        <f>(INDEX(Data!71:71,1,$U$1-1)+INDEX(Data!468:468,1,$U$1-1)-INDEX(Data!1292:1292,1,$U$1-1))</f>
        <v>21129565</v>
      </c>
      <c r="D125" s="88">
        <f t="shared" si="55"/>
        <v>42136816</v>
      </c>
      <c r="E125" s="89">
        <f>(INDEX(Data!71:71,1,$U$1)+INDEX(Data!468:468,1,$U$1)-INDEX(Data!1292:1292,1,$U$1))</f>
        <v>21816696</v>
      </c>
      <c r="F125" s="90">
        <f>(INDEX(Data!71:71,1,$U$1+1)+INDEX(Data!468:468,1,$U$1+1)-INDEX(Data!1292:1292,1,$U$1+1))</f>
        <v>21817477</v>
      </c>
      <c r="G125" s="88">
        <f t="shared" si="50"/>
        <v>43634173</v>
      </c>
      <c r="H125" s="86">
        <f t="shared" si="56"/>
        <v>1497357</v>
      </c>
      <c r="I125" s="447">
        <f t="shared" si="57"/>
        <v>3.5535599082759363E-2</v>
      </c>
      <c r="J125" s="453">
        <f t="shared" si="51"/>
        <v>1.8148625466822314E-3</v>
      </c>
      <c r="K125" s="91">
        <f>(INDEX(Data!170:170,1,$U$1-2)+INDEX(Data!795:795,1,$U$1-2)-INDEX(Data!1449:1449,1,$U$1-2))</f>
        <v>15826416</v>
      </c>
      <c r="L125" s="87">
        <f>(INDEX(Data!170:170,1,$U$1-1)+INDEX(Data!795:795,1,$U$1-1)-INDEX(Data!1449:1449,1,$U$1-1))</f>
        <v>15930241</v>
      </c>
      <c r="M125" s="88">
        <f t="shared" si="71"/>
        <v>31756657</v>
      </c>
      <c r="N125" s="89">
        <f>(INDEX(Data!170:170,1,$U$1)+INDEX(Data!795:795,1,$U$1)-INDEX(Data!1449:1449,1,$U$1))</f>
        <v>16461187</v>
      </c>
      <c r="O125" s="90">
        <f>(INDEX(Data!170:170,1,$U$1+1)+INDEX(Data!795:795,1,$U$1+1)-INDEX(Data!1449:1449,1,$U$1+1))</f>
        <v>16457536</v>
      </c>
      <c r="P125" s="88">
        <f t="shared" si="52"/>
        <v>32918723</v>
      </c>
      <c r="Q125" s="86">
        <f t="shared" si="59"/>
        <v>1162066</v>
      </c>
      <c r="R125" s="84">
        <f t="shared" si="60"/>
        <v>3.6592831543949982E-2</v>
      </c>
      <c r="S125" s="85">
        <f t="shared" si="53"/>
        <v>2.2146265834297528E-3</v>
      </c>
      <c r="T125" s="85">
        <f t="shared" si="54"/>
        <v>0.75442527580389807</v>
      </c>
    </row>
    <row r="126" spans="1:20" hidden="1" outlineLevel="1">
      <c r="A126" s="50" t="s">
        <v>730</v>
      </c>
      <c r="B126" s="86">
        <f>(INDEX(Data!72:72,1,$U$1-2)+INDEX(Data!480:480,1,$U$1-2)-INDEX(Data!1293:1293,1,$U$1-2))</f>
        <v>32382071</v>
      </c>
      <c r="C126" s="87">
        <f>(INDEX(Data!72:72,1,$U$1-1)+INDEX(Data!480:480,1,$U$1-1)-INDEX(Data!1293:1293,1,$U$1-1))</f>
        <v>32610037</v>
      </c>
      <c r="D126" s="88">
        <f t="shared" si="55"/>
        <v>64992108</v>
      </c>
      <c r="E126" s="89">
        <f>(INDEX(Data!72:72,1,$U$1)+INDEX(Data!480:480,1,$U$1)-INDEX(Data!1293:1293,1,$U$1))</f>
        <v>31131163</v>
      </c>
      <c r="F126" s="90">
        <f>(INDEX(Data!72:72,1,$U$1+1)+INDEX(Data!480:480,1,$U$1+1)-INDEX(Data!1293:1293,1,$U$1+1))</f>
        <v>31046020</v>
      </c>
      <c r="G126" s="88">
        <f t="shared" si="50"/>
        <v>62177183</v>
      </c>
      <c r="H126" s="86">
        <f t="shared" si="56"/>
        <v>-2814925</v>
      </c>
      <c r="I126" s="447">
        <f t="shared" si="57"/>
        <v>-4.3311797180051459E-2</v>
      </c>
      <c r="J126" s="453">
        <f t="shared" si="51"/>
        <v>2.586116177448972E-3</v>
      </c>
      <c r="K126" s="91">
        <f>(INDEX(Data!171:171,1,$U$1-2)+INDEX(Data!807:807,1,$U$1-2)-INDEX(Data!1450:1450,1,$U$1-2))</f>
        <v>25172546</v>
      </c>
      <c r="L126" s="87">
        <f>(INDEX(Data!171:171,1,$U$1-1)+INDEX(Data!807:807,1,$U$1-1)-INDEX(Data!1450:1450,1,$U$1-1))</f>
        <v>25343771</v>
      </c>
      <c r="M126" s="88">
        <f t="shared" si="69"/>
        <v>50516317</v>
      </c>
      <c r="N126" s="89">
        <f>(INDEX(Data!171:171,1,$U$1)+INDEX(Data!807:807,1,$U$1)-INDEX(Data!1450:1450,1,$U$1))</f>
        <v>24375285</v>
      </c>
      <c r="O126" s="90">
        <f>(INDEX(Data!171:171,1,$U$1+1)+INDEX(Data!807:807,1,$U$1+1)-INDEX(Data!1450:1450,1,$U$1+1))</f>
        <v>24278855</v>
      </c>
      <c r="P126" s="88">
        <f t="shared" si="52"/>
        <v>48654140</v>
      </c>
      <c r="Q126" s="86">
        <f t="shared" si="59"/>
        <v>-1862177</v>
      </c>
      <c r="R126" s="84">
        <f t="shared" si="60"/>
        <v>-3.6862881353761402E-2</v>
      </c>
      <c r="S126" s="85">
        <f t="shared" si="53"/>
        <v>3.2732360802061756E-3</v>
      </c>
      <c r="T126" s="85">
        <f t="shared" si="54"/>
        <v>0.78250794990181527</v>
      </c>
    </row>
    <row r="127" spans="1:20" hidden="1" outlineLevel="1">
      <c r="A127" s="50" t="s">
        <v>731</v>
      </c>
      <c r="B127" s="86">
        <f>(INDEX(Data!74:74,1,$U$1-2)+INDEX(Data!481:481,1,$U$1-2)-INDEX(Data!1295:1295,1,$U$1-2))</f>
        <v>180980037</v>
      </c>
      <c r="C127" s="87">
        <f>(INDEX(Data!74:74,1,$U$1-1)+INDEX(Data!481:481,1,$U$1-1)-INDEX(Data!1295:1295,1,$U$1-1))</f>
        <v>182105631</v>
      </c>
      <c r="D127" s="88">
        <f t="shared" si="55"/>
        <v>363085668</v>
      </c>
      <c r="E127" s="89">
        <f>(INDEX(Data!74:74,1,$U$1)+INDEX(Data!481:481,1,$U$1)-INDEX(Data!1295:1295,1,$U$1))</f>
        <v>192699242</v>
      </c>
      <c r="F127" s="90">
        <f>(INDEX(Data!74:74,1,$U$1+1)+INDEX(Data!481:481,1,$U$1+1)-INDEX(Data!1295:1295,1,$U$1+1))</f>
        <v>192720438</v>
      </c>
      <c r="G127" s="88">
        <f t="shared" si="50"/>
        <v>385419680</v>
      </c>
      <c r="H127" s="86">
        <f t="shared" si="56"/>
        <v>22334012</v>
      </c>
      <c r="I127" s="447">
        <f t="shared" si="57"/>
        <v>6.1511687098594045E-2</v>
      </c>
      <c r="J127" s="453">
        <f t="shared" si="51"/>
        <v>1.6030640525403123E-2</v>
      </c>
      <c r="K127" s="91">
        <f>(INDEX(Data!173:173,1,$U$1-2)+INDEX(Data!808:808,1,$U$1-2)-INDEX(Data!1451:1451,1,$U$1-2))</f>
        <v>120306796</v>
      </c>
      <c r="L127" s="87">
        <f>(INDEX(Data!173:173,1,$U$1-1)+INDEX(Data!808:808,1,$U$1-1)-INDEX(Data!1451:1451,1,$U$1-1))</f>
        <v>120926053</v>
      </c>
      <c r="M127" s="88">
        <f t="shared" ref="M127" si="72">K127+L127</f>
        <v>241232849</v>
      </c>
      <c r="N127" s="89">
        <f>(INDEX(Data!173:173,1,$U$1)+INDEX(Data!808:808,1,$U$1)-INDEX(Data!1451:1451,1,$U$1))</f>
        <v>127815112</v>
      </c>
      <c r="O127" s="90">
        <f>(INDEX(Data!173:173,1,$U$1+1)+INDEX(Data!808:808,1,$U$1+1)-INDEX(Data!1451:1451,1,$U$1+1))</f>
        <v>127815112</v>
      </c>
      <c r="P127" s="88">
        <f t="shared" si="52"/>
        <v>255630224</v>
      </c>
      <c r="Q127" s="86">
        <f t="shared" si="59"/>
        <v>14397375</v>
      </c>
      <c r="R127" s="84">
        <f t="shared" si="60"/>
        <v>5.968248130253604E-2</v>
      </c>
      <c r="S127" s="85">
        <f t="shared" si="53"/>
        <v>1.7197674697116968E-2</v>
      </c>
      <c r="T127" s="85">
        <f t="shared" si="54"/>
        <v>0.66325161185334391</v>
      </c>
    </row>
    <row r="128" spans="1:20" hidden="1" outlineLevel="1">
      <c r="A128" s="678" t="s">
        <v>1453</v>
      </c>
      <c r="B128" s="86">
        <f>(INDEX(Data!75:75,1,$U$1-2)+INDEX(Data!482:482,1,$U$1-2)-INDEX(Data!1296:1296,1,$U$1-2))</f>
        <v>29755975</v>
      </c>
      <c r="C128" s="87">
        <f>(INDEX(Data!75:75,1,$U$1-1)+INDEX(Data!482:482,1,$U$1-1)-INDEX(Data!1296:1296,1,$U$1-1))</f>
        <v>29830746</v>
      </c>
      <c r="D128" s="88">
        <f t="shared" si="55"/>
        <v>59586721</v>
      </c>
      <c r="E128" s="89">
        <f>(INDEX(Data!75:75,1,$U$1)+INDEX(Data!482:482,1,$U$1)-INDEX(Data!1296:1296,1,$U$1))</f>
        <v>32939726</v>
      </c>
      <c r="F128" s="90">
        <f>(INDEX(Data!75:75,1,$U$1+1)+INDEX(Data!482:482,1,$U$1+1)-INDEX(Data!1296:1296,1,$U$1+1))</f>
        <v>32931225</v>
      </c>
      <c r="G128" s="88">
        <f t="shared" si="50"/>
        <v>65870951</v>
      </c>
      <c r="H128" s="86">
        <f t="shared" si="56"/>
        <v>6284230</v>
      </c>
      <c r="I128" s="447">
        <f t="shared" si="57"/>
        <v>0.10546359817315673</v>
      </c>
      <c r="J128" s="453">
        <f t="shared" si="51"/>
        <v>2.7397499176675237E-3</v>
      </c>
      <c r="K128" s="91">
        <f>(INDEX(Data!174:174,1,$U$1-2)+INDEX(Data!809:809,1,$U$1-2)-INDEX(Data!1452:1452,1,$U$1-2))</f>
        <v>23578603</v>
      </c>
      <c r="L128" s="87">
        <f>(INDEX(Data!174:174,1,$U$1-1)+INDEX(Data!809:809,1,$U$1-1)-INDEX(Data!1452:1452,1,$U$1-1))</f>
        <v>23649603</v>
      </c>
      <c r="M128" s="88">
        <f t="shared" ref="M128" si="73">K128+L128</f>
        <v>47228206</v>
      </c>
      <c r="N128" s="89">
        <f>(INDEX(Data!174:174,1,$U$1)+INDEX(Data!809:809,1,$U$1)-INDEX(Data!1452:1452,1,$U$1))</f>
        <v>26012591</v>
      </c>
      <c r="O128" s="90">
        <f>(INDEX(Data!174:174,1,$U$1+1)+INDEX(Data!809:809,1,$U$1+1)-INDEX(Data!1452:1452,1,$U$1+1))</f>
        <v>26003450</v>
      </c>
      <c r="P128" s="88">
        <f t="shared" si="52"/>
        <v>52016041</v>
      </c>
      <c r="Q128" s="86">
        <f t="shared" si="59"/>
        <v>4787835</v>
      </c>
      <c r="R128" s="84">
        <f t="shared" si="60"/>
        <v>0.10137660109299938</v>
      </c>
      <c r="S128" s="85">
        <f t="shared" si="53"/>
        <v>3.4994099608108109E-3</v>
      </c>
      <c r="T128" s="85">
        <f t="shared" si="54"/>
        <v>0.78966585741262485</v>
      </c>
    </row>
    <row r="129" spans="1:23" hidden="1" outlineLevel="1">
      <c r="A129" s="50" t="s">
        <v>1426</v>
      </c>
      <c r="B129" s="86">
        <f>(INDEX(Data!76:76,1,$U$1-2)+INDEX(Data!484:484,1,$U$1-2)-INDEX(Data!1297:1297,1,$U$1-2))</f>
        <v>63401706</v>
      </c>
      <c r="C129" s="87">
        <f>(INDEX(Data!76:76,1,$U$1-1)+INDEX(Data!484:484,1,$U$1-1)-INDEX(Data!1297:1297,1,$U$1-1))</f>
        <v>63857349</v>
      </c>
      <c r="D129" s="88">
        <f t="shared" si="55"/>
        <v>127259055</v>
      </c>
      <c r="E129" s="89">
        <f>(INDEX(Data!76:76,1,$U$1)+INDEX(Data!484:484,1,$U$1)-INDEX(Data!1297:1297,1,$U$1))</f>
        <v>61707506</v>
      </c>
      <c r="F129" s="90">
        <f>(INDEX(Data!76:76,1,$U$1+1)+INDEX(Data!484:484,1,$U$1+1)-INDEX(Data!1297:1297,1,$U$1+1))</f>
        <v>60658915</v>
      </c>
      <c r="G129" s="88">
        <f t="shared" si="50"/>
        <v>122366421</v>
      </c>
      <c r="H129" s="86">
        <f t="shared" si="56"/>
        <v>-4892634</v>
      </c>
      <c r="I129" s="447">
        <f t="shared" si="57"/>
        <v>-3.8446254374590476E-2</v>
      </c>
      <c r="J129" s="453">
        <f t="shared" si="51"/>
        <v>5.0895483786171465E-3</v>
      </c>
      <c r="K129" s="91">
        <f>(INDEX(Data!175:175,1,$U$1-2)+INDEX(Data!811:811,1,$U$1-2)-INDEX(Data!1454:1454,1,$U$1-2))</f>
        <v>46868859</v>
      </c>
      <c r="L129" s="87">
        <f>(INDEX(Data!175:175,1,$U$1-1)+INDEX(Data!811:811,1,$U$1-1)-INDEX(Data!1454:1454,1,$U$1-1))</f>
        <v>47231121</v>
      </c>
      <c r="M129" s="88">
        <f t="shared" si="69"/>
        <v>94099980</v>
      </c>
      <c r="N129" s="89">
        <f>(INDEX(Data!175:175,1,$U$1)+INDEX(Data!811:811,1,$U$1)-INDEX(Data!1454:1454,1,$U$1))</f>
        <v>45529642</v>
      </c>
      <c r="O129" s="90">
        <f>(INDEX(Data!175:175,1,$U$1+1)+INDEX(Data!811:811,1,$U$1+1)-INDEX(Data!1454:1454,1,$U$1+1))</f>
        <v>44463064</v>
      </c>
      <c r="P129" s="88">
        <f t="shared" si="52"/>
        <v>89992706</v>
      </c>
      <c r="Q129" s="86">
        <f t="shared" si="59"/>
        <v>-4107274</v>
      </c>
      <c r="R129" s="84">
        <f t="shared" si="60"/>
        <v>-4.3647979521355899E-2</v>
      </c>
      <c r="S129" s="85">
        <f t="shared" si="53"/>
        <v>6.0543125874712158E-3</v>
      </c>
      <c r="T129" s="85">
        <f t="shared" si="54"/>
        <v>0.73543628443623432</v>
      </c>
    </row>
    <row r="130" spans="1:23" hidden="1" outlineLevel="1">
      <c r="A130" s="50" t="s">
        <v>733</v>
      </c>
      <c r="B130" s="86">
        <f>(INDEX(Data!77:77,1,$U$1-2)+INDEX(Data!485:485,1,$U$1-2)-INDEX(Data!1298:1298,1,$U$1-2))</f>
        <v>84470967</v>
      </c>
      <c r="C130" s="87">
        <f>(INDEX(Data!77:77,1,$U$1-1)+INDEX(Data!485:485,1,$U$1-1)-INDEX(Data!1298:1298,1,$U$1-1))</f>
        <v>84889225</v>
      </c>
      <c r="D130" s="88">
        <f t="shared" si="55"/>
        <v>169360192</v>
      </c>
      <c r="E130" s="89">
        <f>(INDEX(Data!77:77,1,$U$1)+INDEX(Data!485:485,1,$U$1)-INDEX(Data!1298:1298,1,$U$1))</f>
        <v>86493843</v>
      </c>
      <c r="F130" s="90">
        <f>(INDEX(Data!77:77,1,$U$1+1)+INDEX(Data!485:485,1,$U$1+1)-INDEX(Data!1298:1298,1,$U$1+1))</f>
        <v>86504888</v>
      </c>
      <c r="G130" s="88">
        <f t="shared" si="50"/>
        <v>172998731</v>
      </c>
      <c r="H130" s="86">
        <f t="shared" si="56"/>
        <v>3638539</v>
      </c>
      <c r="I130" s="447">
        <f t="shared" si="57"/>
        <v>2.1484027368131469E-2</v>
      </c>
      <c r="J130" s="453">
        <f t="shared" si="51"/>
        <v>7.1954822545955959E-3</v>
      </c>
      <c r="K130" s="91">
        <f>(INDEX(Data!176:176,1,$U$1-2)+INDEX(Data!812:812,1,$U$1-2)-INDEX(Data!1455:1455,1,$U$1-2))</f>
        <v>60801137</v>
      </c>
      <c r="L130" s="87">
        <f>(INDEX(Data!176:176,1,$U$1-1)+INDEX(Data!812:812,1,$U$1-1)-INDEX(Data!1455:1455,1,$U$1-1))</f>
        <v>61000373</v>
      </c>
      <c r="M130" s="88">
        <f t="shared" ref="M130:M131" si="74">K130+L130</f>
        <v>121801510</v>
      </c>
      <c r="N130" s="89">
        <f>(INDEX(Data!176:176,1,$U$1)+INDEX(Data!812:812,1,$U$1)-INDEX(Data!1455:1455,1,$U$1))</f>
        <v>56871792</v>
      </c>
      <c r="O130" s="90">
        <f>(INDEX(Data!176:176,1,$U$1+1)+INDEX(Data!812:812,1,$U$1+1)-INDEX(Data!1455:1455,1,$U$1+1))</f>
        <v>56801831</v>
      </c>
      <c r="P130" s="88">
        <f t="shared" si="52"/>
        <v>113673623</v>
      </c>
      <c r="Q130" s="86">
        <f t="shared" si="59"/>
        <v>-8127887</v>
      </c>
      <c r="R130" s="84">
        <f t="shared" si="60"/>
        <v>-6.6730593077212255E-2</v>
      </c>
      <c r="S130" s="85">
        <f t="shared" si="53"/>
        <v>7.6474603018644362E-3</v>
      </c>
      <c r="T130" s="85">
        <f t="shared" si="54"/>
        <v>0.65707778515438942</v>
      </c>
    </row>
    <row r="131" spans="1:23" hidden="1" outlineLevel="1">
      <c r="A131" s="50" t="s">
        <v>735</v>
      </c>
      <c r="B131" s="86">
        <f>(INDEX(Data!79:79,1,$U$1-2)+INDEX(Data!486:486,1,$U$1-2)-INDEX(Data!1300:1300,1,$U$1-2))</f>
        <v>235943737</v>
      </c>
      <c r="C131" s="87">
        <f>(INDEX(Data!79:79,1,$U$1-1)+INDEX(Data!486:486,1,$U$1-1)-INDEX(Data!1300:1300,1,$U$1-1))</f>
        <v>240366232</v>
      </c>
      <c r="D131" s="88">
        <f t="shared" si="55"/>
        <v>476309969</v>
      </c>
      <c r="E131" s="89">
        <f>(INDEX(Data!79:79,1,$U$1)+INDEX(Data!486:486,1,$U$1)-INDEX(Data!1300:1300,1,$U$1))</f>
        <v>249443360</v>
      </c>
      <c r="F131" s="90">
        <f>(INDEX(Data!79:79,1,$U$1+1)+INDEX(Data!486:486,1,$U$1+1)-INDEX(Data!1300:1300,1,$U$1+1))</f>
        <v>251808460</v>
      </c>
      <c r="G131" s="88">
        <f t="shared" si="50"/>
        <v>501251820</v>
      </c>
      <c r="H131" s="86">
        <f t="shared" si="56"/>
        <v>24941851</v>
      </c>
      <c r="I131" s="447">
        <f t="shared" si="57"/>
        <v>5.2364746957458706E-2</v>
      </c>
      <c r="J131" s="453">
        <f t="shared" si="51"/>
        <v>2.0848410592640393E-2</v>
      </c>
      <c r="K131" s="91">
        <f>(INDEX(Data!178:178,1,$U$1-2)+INDEX(Data!813:813,1,$U$1-2)-INDEX(Data!1456:1456,1,$U$1-2))</f>
        <v>173615199</v>
      </c>
      <c r="L131" s="87">
        <f>(INDEX(Data!178:178,1,$U$1-1)+INDEX(Data!813:813,1,$U$1-1)-INDEX(Data!1456:1456,1,$U$1-1))</f>
        <v>177519553</v>
      </c>
      <c r="M131" s="88">
        <f t="shared" si="74"/>
        <v>351134752</v>
      </c>
      <c r="N131" s="89">
        <f>(INDEX(Data!178:178,1,$U$1)+INDEX(Data!813:813,1,$U$1)-INDEX(Data!1456:1456,1,$U$1))</f>
        <v>188829269</v>
      </c>
      <c r="O131" s="90">
        <f>(INDEX(Data!178:178,1,$U$1+1)+INDEX(Data!813:813,1,$U$1+1)-INDEX(Data!1456:1456,1,$U$1+1))</f>
        <v>191069276</v>
      </c>
      <c r="P131" s="88">
        <f t="shared" si="52"/>
        <v>379898545</v>
      </c>
      <c r="Q131" s="86">
        <f t="shared" si="59"/>
        <v>28763793</v>
      </c>
      <c r="R131" s="84">
        <f t="shared" si="60"/>
        <v>8.1916679668322889E-2</v>
      </c>
      <c r="S131" s="85">
        <f t="shared" si="53"/>
        <v>2.5557899580833807E-2</v>
      </c>
      <c r="T131" s="85">
        <f t="shared" si="54"/>
        <v>0.75789958228979593</v>
      </c>
    </row>
    <row r="132" spans="1:23" hidden="1" outlineLevel="1">
      <c r="A132" s="50" t="s">
        <v>855</v>
      </c>
      <c r="B132" s="86">
        <f>(INDEX(Data!80:80,1,$U$1-2)+INDEX(Data!474:474,1,$U$1-2)-INDEX(Data!1301:1301,1,$U$1-2))</f>
        <v>45609818</v>
      </c>
      <c r="C132" s="87">
        <f>(INDEX(Data!80:80,1,$U$1-1)+INDEX(Data!474:474,1,$U$1-1)-INDEX(Data!1301:1301,1,$U$1-1))</f>
        <v>44430770</v>
      </c>
      <c r="D132" s="88">
        <f t="shared" si="55"/>
        <v>90040588</v>
      </c>
      <c r="E132" s="89">
        <f>(INDEX(Data!80:80,1,$U$1)+INDEX(Data!474:474,1,$U$1)-INDEX(Data!1301:1301,1,$U$1))</f>
        <v>46318099</v>
      </c>
      <c r="F132" s="90">
        <f>(INDEX(Data!80:80,1,$U$1+1)+INDEX(Data!474:474,1,$U$1+1)-INDEX(Data!1301:1301,1,$U$1+1))</f>
        <v>46301216</v>
      </c>
      <c r="G132" s="88">
        <f t="shared" si="50"/>
        <v>92619315</v>
      </c>
      <c r="H132" s="86">
        <f t="shared" si="56"/>
        <v>2578727</v>
      </c>
      <c r="I132" s="447">
        <f t="shared" si="57"/>
        <v>2.8639606396173245E-2</v>
      </c>
      <c r="J132" s="453">
        <f t="shared" ref="J132:J165" si="75">IFERROR(G132/G$254,"")</f>
        <v>3.8522862778415392E-3</v>
      </c>
      <c r="K132" s="91">
        <f>(INDEX(Data!179:179,1,$U$1-2)+INDEX(Data!801:801,1,$U$1-2)-INDEX(Data!1458:1458,1,$U$1-2))</f>
        <v>32201463</v>
      </c>
      <c r="L132" s="87">
        <f>(INDEX(Data!179:179,1,$U$1-1)+INDEX(Data!801:801,1,$U$1-1)-INDEX(Data!1458:1458,1,$U$1-1))</f>
        <v>30915907</v>
      </c>
      <c r="M132" s="88">
        <f t="shared" si="69"/>
        <v>63117370</v>
      </c>
      <c r="N132" s="89">
        <f>(INDEX(Data!179:179,1,$U$1)+INDEX(Data!801:801,1,$U$1)-INDEX(Data!1458:1458,1,$U$1))</f>
        <v>34628585</v>
      </c>
      <c r="O132" s="90">
        <f>(INDEX(Data!179:179,1,$U$1+1)+INDEX(Data!801:801,1,$U$1+1)-INDEX(Data!1458:1458,1,$U$1+1))</f>
        <v>34590855</v>
      </c>
      <c r="P132" s="88">
        <f t="shared" si="52"/>
        <v>69219440</v>
      </c>
      <c r="Q132" s="86">
        <f t="shared" si="59"/>
        <v>6102070</v>
      </c>
      <c r="R132" s="84">
        <f t="shared" si="60"/>
        <v>9.6678141056891306E-2</v>
      </c>
      <c r="S132" s="85">
        <f t="shared" ref="S132:S166" si="76">IFERROR(P132/P$254,"")</f>
        <v>4.6567788159376892E-3</v>
      </c>
      <c r="T132" s="85">
        <f t="shared" si="54"/>
        <v>0.74735426406468242</v>
      </c>
    </row>
    <row r="133" spans="1:23" hidden="1" outlineLevel="1">
      <c r="A133" s="50" t="s">
        <v>737</v>
      </c>
      <c r="B133" s="86">
        <f>(INDEX(Data!81:81,1,$U$1-2)+INDEX(Data!489:489,1,$U$1-2)-INDEX(Data!1302:1302,1,$U$1-2))</f>
        <v>84208876</v>
      </c>
      <c r="C133" s="87">
        <f>(INDEX(Data!81:81,1,$U$1-1)+INDEX(Data!489:489,1,$U$1-1)-INDEX(Data!1302:1302,1,$U$1-1))</f>
        <v>84696164</v>
      </c>
      <c r="D133" s="88">
        <f t="shared" si="55"/>
        <v>168905040</v>
      </c>
      <c r="E133" s="89">
        <f>(INDEX(Data!81:81,1,$U$1)+INDEX(Data!489:489,1,$U$1)-INDEX(Data!1302:1302,1,$U$1))</f>
        <v>88983221</v>
      </c>
      <c r="F133" s="90">
        <f>(INDEX(Data!81:81,1,$U$1+1)+INDEX(Data!489:489,1,$U$1+1)-INDEX(Data!1302:1302,1,$U$1+1))</f>
        <v>88978023</v>
      </c>
      <c r="G133" s="88">
        <f t="shared" si="50"/>
        <v>177961244</v>
      </c>
      <c r="H133" s="86">
        <f t="shared" si="56"/>
        <v>9056204</v>
      </c>
      <c r="I133" s="447">
        <f t="shared" si="57"/>
        <v>5.3617133035225001E-2</v>
      </c>
      <c r="J133" s="453">
        <f t="shared" si="75"/>
        <v>7.4018865098366363E-3</v>
      </c>
      <c r="K133" s="91">
        <f>(INDEX(Data!180:180,1,$U$1-2)+INDEX(Data!816:816,1,$U$1-2)-INDEX(Data!1459:1459,1,$U$1-2))</f>
        <v>62501301</v>
      </c>
      <c r="L133" s="87">
        <f>(INDEX(Data!180:180,1,$U$1-1)+INDEX(Data!816:816,1,$U$1-1)-INDEX(Data!1459:1459,1,$U$1-1))</f>
        <v>62899796</v>
      </c>
      <c r="M133" s="88">
        <f t="shared" si="69"/>
        <v>125401097</v>
      </c>
      <c r="N133" s="89">
        <f>(INDEX(Data!180:180,1,$U$1)+INDEX(Data!816:816,1,$U$1)-INDEX(Data!1459:1459,1,$U$1))</f>
        <v>70302076</v>
      </c>
      <c r="O133" s="90">
        <f>(INDEX(Data!180:180,1,$U$1+1)+INDEX(Data!816:816,1,$U$1+1)-INDEX(Data!1459:1459,1,$U$1+1))</f>
        <v>70284254</v>
      </c>
      <c r="P133" s="88">
        <f t="shared" si="52"/>
        <v>140586330</v>
      </c>
      <c r="Q133" s="86">
        <f t="shared" si="59"/>
        <v>15185233</v>
      </c>
      <c r="R133" s="84">
        <f t="shared" si="60"/>
        <v>0.12109330271648261</v>
      </c>
      <c r="S133" s="85">
        <f t="shared" si="76"/>
        <v>9.458028602288969E-3</v>
      </c>
      <c r="T133" s="85">
        <f t="shared" si="54"/>
        <v>0.78998284592795942</v>
      </c>
    </row>
    <row r="134" spans="1:23" hidden="1" outlineLevel="1">
      <c r="A134" s="50" t="s">
        <v>738</v>
      </c>
      <c r="B134" s="86">
        <f>(INDEX(Data!83:83,1,$U$1-2)+INDEX(Data!470:470,1,$U$1-2)-INDEX(Data!1304:1304,1,$U$1-2))</f>
        <v>76928603</v>
      </c>
      <c r="C134" s="87">
        <f>(INDEX(Data!83:83,1,$U$1-1)+INDEX(Data!470:470,1,$U$1-1)-INDEX(Data!1304:1304,1,$U$1-1))</f>
        <v>76969818</v>
      </c>
      <c r="D134" s="88">
        <f t="shared" si="55"/>
        <v>153898421</v>
      </c>
      <c r="E134" s="89">
        <f>(INDEX(Data!83:83,1,$U$1)+INDEX(Data!470:470,1,$U$1)-INDEX(Data!1304:1304,1,$U$1))</f>
        <v>75835437</v>
      </c>
      <c r="F134" s="90">
        <f>(INDEX(Data!83:83,1,$U$1+1)+INDEX(Data!470:470,1,$U$1+1)-INDEX(Data!1304:1304,1,$U$1+1))</f>
        <v>75786196</v>
      </c>
      <c r="G134" s="88">
        <f t="shared" si="50"/>
        <v>151621633</v>
      </c>
      <c r="H134" s="86">
        <f t="shared" si="56"/>
        <v>-2276788</v>
      </c>
      <c r="I134" s="447">
        <f t="shared" si="57"/>
        <v>-1.4794095905636354E-2</v>
      </c>
      <c r="J134" s="453">
        <f t="shared" si="75"/>
        <v>6.3063512856883679E-3</v>
      </c>
      <c r="K134" s="91">
        <f>(INDEX(Data!182:182,1,$U$1-2)+INDEX(Data!797:797,1,$U$1-2)-INDEX(Data!1461:1461,1,$U$1-2))</f>
        <v>57227414</v>
      </c>
      <c r="L134" s="87">
        <f>(INDEX(Data!182:182,1,$U$1-1)+INDEX(Data!797:797,1,$U$1-1)-INDEX(Data!1461:1461,1,$U$1-1))</f>
        <v>57089711</v>
      </c>
      <c r="M134" s="88">
        <f t="shared" si="69"/>
        <v>114317125</v>
      </c>
      <c r="N134" s="89">
        <f>(INDEX(Data!182:182,1,$U$1)+INDEX(Data!797:797,1,$U$1)-INDEX(Data!1461:1461,1,$U$1))</f>
        <v>57834446</v>
      </c>
      <c r="O134" s="90">
        <f>(INDEX(Data!182:182,1,$U$1+1)+INDEX(Data!797:797,1,$U$1+1)-INDEX(Data!1461:1461,1,$U$1+1))</f>
        <v>57772640</v>
      </c>
      <c r="P134" s="88">
        <f t="shared" si="52"/>
        <v>115607086</v>
      </c>
      <c r="Q134" s="86">
        <f t="shared" si="59"/>
        <v>1289961</v>
      </c>
      <c r="R134" s="84">
        <f t="shared" si="60"/>
        <v>1.1284057397349697E-2</v>
      </c>
      <c r="S134" s="85">
        <f t="shared" si="76"/>
        <v>7.7775351701355371E-3</v>
      </c>
      <c r="T134" s="85">
        <f t="shared" si="54"/>
        <v>0.7624709199643035</v>
      </c>
    </row>
    <row r="135" spans="1:23" hidden="1" outlineLevel="1">
      <c r="A135" s="50" t="s">
        <v>1367</v>
      </c>
      <c r="B135" s="86">
        <f>(INDEX(Data!87:87,1,$U$1-2)+INDEX(Data!475:475,1,$U$1-2)-INDEX(Data!1308:1308,1,$U$1-2))</f>
        <v>95470510</v>
      </c>
      <c r="C135" s="87">
        <f>(INDEX(Data!87:87,1,$U$1-1)+INDEX(Data!475:475,1,$U$1-1)-INDEX(Data!1308:1308,1,$U$1-1))</f>
        <v>95604509</v>
      </c>
      <c r="D135" s="88">
        <f t="shared" si="55"/>
        <v>191075019</v>
      </c>
      <c r="E135" s="89">
        <f>(INDEX(Data!87:87,1,$U$1)+INDEX(Data!475:475,1,$U$1)-INDEX(Data!1308:1308,1,$U$1))</f>
        <v>101938873</v>
      </c>
      <c r="F135" s="90">
        <f>(INDEX(Data!87:87,1,$U$1+1)+INDEX(Data!475:475,1,$U$1+1)-INDEX(Data!1308:1308,1,$U$1+1))</f>
        <v>99500188</v>
      </c>
      <c r="G135" s="88">
        <f t="shared" si="50"/>
        <v>201439061</v>
      </c>
      <c r="H135" s="86">
        <f t="shared" si="56"/>
        <v>10364042</v>
      </c>
      <c r="I135" s="447">
        <f t="shared" si="57"/>
        <v>5.4240695901749458E-2</v>
      </c>
      <c r="J135" s="453">
        <f t="shared" si="75"/>
        <v>8.378392028828811E-3</v>
      </c>
      <c r="K135" s="91">
        <f>(INDEX(Data!186:186,1,$U$1-2)+INDEX(Data!802:802,1,$U$1-2)-INDEX(Data!1465:1465,1,$U$1-2))</f>
        <v>64501507</v>
      </c>
      <c r="L135" s="87">
        <f>(INDEX(Data!186:186,1,$U$1-1)+INDEX(Data!802:802,1,$U$1-1)-INDEX(Data!1465:1465,1,$U$1-1))</f>
        <v>64505006</v>
      </c>
      <c r="M135" s="88">
        <f t="shared" si="69"/>
        <v>129006513</v>
      </c>
      <c r="N135" s="89">
        <f>(INDEX(Data!186:186,1,$U$1)+INDEX(Data!802:802,1,$U$1)-INDEX(Data!1465:1465,1,$U$1))</f>
        <v>67658394</v>
      </c>
      <c r="O135" s="90">
        <f>(INDEX(Data!186:186,1,$U$1+1)+INDEX(Data!802:802,1,$U$1+1)-INDEX(Data!1465:1465,1,$U$1+1))</f>
        <v>67504057</v>
      </c>
      <c r="P135" s="88">
        <f t="shared" si="52"/>
        <v>135162451</v>
      </c>
      <c r="Q135" s="86">
        <f t="shared" si="59"/>
        <v>6155938</v>
      </c>
      <c r="R135" s="84">
        <f t="shared" si="60"/>
        <v>4.7718040406223523E-2</v>
      </c>
      <c r="S135" s="85">
        <f t="shared" si="76"/>
        <v>9.0931339306850201E-3</v>
      </c>
      <c r="T135" s="85">
        <f t="shared" si="54"/>
        <v>0.67098431818047444</v>
      </c>
    </row>
    <row r="136" spans="1:23" hidden="1" outlineLevel="1">
      <c r="A136" s="678" t="s">
        <v>1094</v>
      </c>
      <c r="B136" s="86">
        <f>(INDEX(Data!88:88,1,$U$1-2)+INDEX(Data!476:476,1,$U$1-2)-INDEX(Data!1309:1309,1,$U$1-2))</f>
        <v>174634434</v>
      </c>
      <c r="C136" s="87">
        <f>(INDEX(Data!88:88,1,$U$1-1)+INDEX(Data!476:476,1,$U$1-1)-INDEX(Data!1309:1309,1,$U$1-1))</f>
        <v>174209749</v>
      </c>
      <c r="D136" s="88">
        <f t="shared" si="55"/>
        <v>348844183</v>
      </c>
      <c r="E136" s="89">
        <f>(INDEX(Data!88:88,1,$U$1)+INDEX(Data!476:476,1,$U$1)-INDEX(Data!1309:1309,1,$U$1))</f>
        <v>184862971</v>
      </c>
      <c r="F136" s="90">
        <f>(INDEX(Data!88:88,1,$U$1+1)+INDEX(Data!476:476,1,$U$1+1)-INDEX(Data!1309:1309,1,$U$1+1))</f>
        <v>184276965</v>
      </c>
      <c r="G136" s="88">
        <f t="shared" si="50"/>
        <v>369139936</v>
      </c>
      <c r="H136" s="86">
        <f t="shared" si="56"/>
        <v>20295753</v>
      </c>
      <c r="I136" s="447">
        <f t="shared" si="57"/>
        <v>5.817999550819513E-2</v>
      </c>
      <c r="J136" s="453">
        <f t="shared" si="75"/>
        <v>1.5353522211388674E-2</v>
      </c>
      <c r="K136" s="91">
        <f>(INDEX(Data!187:187,1,$U$1-2)+INDEX(Data!803:803,1,$U$1-2)-INDEX(Data!1466:1466,1,$U$1-2))</f>
        <v>123323623</v>
      </c>
      <c r="L136" s="87">
        <f>(INDEX(Data!187:187,1,$U$1-1)+INDEX(Data!803:803,1,$U$1-1)-INDEX(Data!1466:1466,1,$U$1-1))</f>
        <v>122764306</v>
      </c>
      <c r="M136" s="88">
        <f t="shared" ref="M136:M138" si="77">K136+L136</f>
        <v>246087929</v>
      </c>
      <c r="N136" s="89">
        <f>(INDEX(Data!187:187,1,$U$1)+INDEX(Data!803:803,1,$U$1)-INDEX(Data!1466:1466,1,$U$1))</f>
        <v>135334268</v>
      </c>
      <c r="O136" s="90">
        <f>(INDEX(Data!187:187,1,$U$1+1)+INDEX(Data!803:803,1,$U$1+1)-INDEX(Data!1466:1466,1,$U$1+1))</f>
        <v>134734227</v>
      </c>
      <c r="P136" s="88">
        <f t="shared" si="52"/>
        <v>270068495</v>
      </c>
      <c r="Q136" s="86">
        <f t="shared" si="59"/>
        <v>23980566</v>
      </c>
      <c r="R136" s="84">
        <f t="shared" si="60"/>
        <v>9.7447144593589552E-2</v>
      </c>
      <c r="S136" s="85">
        <f t="shared" si="76"/>
        <v>1.8169017928607537E-2</v>
      </c>
      <c r="T136" s="85">
        <f t="shared" si="54"/>
        <v>0.73161548957953981</v>
      </c>
    </row>
    <row r="137" spans="1:23" hidden="1" outlineLevel="1">
      <c r="A137" s="50" t="s">
        <v>859</v>
      </c>
      <c r="B137" s="86">
        <f>(INDEX(Data!89:89,1,$U$1-2)+INDEX(Data!477:477,1,$U$1-2)-INDEX(Data!1310:1310,1,$U$1-2))</f>
        <v>17083282</v>
      </c>
      <c r="C137" s="87">
        <f>(INDEX(Data!89:89,1,$U$1-1)+INDEX(Data!477:477,1,$U$1-1)-INDEX(Data!1310:1310,1,$U$1-1))</f>
        <v>16025798</v>
      </c>
      <c r="D137" s="88">
        <f t="shared" si="55"/>
        <v>33109080</v>
      </c>
      <c r="E137" s="89">
        <f>(INDEX(Data!89:89,1,$U$1)+INDEX(Data!477:477,1,$U$1)-INDEX(Data!1310:1310,1,$U$1))</f>
        <v>15847273</v>
      </c>
      <c r="F137" s="90">
        <f>(INDEX(Data!89:89,1,$U$1+1)+INDEX(Data!477:477,1,$U$1+1)-INDEX(Data!1310:1310,1,$U$1+1))</f>
        <v>15810328</v>
      </c>
      <c r="G137" s="88">
        <f t="shared" si="50"/>
        <v>31657601</v>
      </c>
      <c r="H137" s="86">
        <f t="shared" si="56"/>
        <v>-1451479</v>
      </c>
      <c r="I137" s="447">
        <f t="shared" si="57"/>
        <v>-4.3839303296859956E-2</v>
      </c>
      <c r="J137" s="453">
        <f t="shared" si="75"/>
        <v>1.3167247233655593E-3</v>
      </c>
      <c r="K137" s="91">
        <f>(INDEX(Data!188:188,1,$U$1-2)+INDEX(Data!804:804,1,$U$1-2)-INDEX(Data!1467:1467,1,$U$1-2))</f>
        <v>14412533</v>
      </c>
      <c r="L137" s="87">
        <f>(INDEX(Data!188:188,1,$U$1-1)+INDEX(Data!804:804,1,$U$1-1)-INDEX(Data!1467:1467,1,$U$1-1))</f>
        <v>13347272</v>
      </c>
      <c r="M137" s="88">
        <f t="shared" si="77"/>
        <v>27759805</v>
      </c>
      <c r="N137" s="89">
        <f>(INDEX(Data!188:188,1,$U$1)+INDEX(Data!804:804,1,$U$1)-INDEX(Data!1467:1467,1,$U$1))</f>
        <v>13503616</v>
      </c>
      <c r="O137" s="90">
        <f>(INDEX(Data!188:188,1,$U$1+1)+INDEX(Data!804:804,1,$U$1+1)-INDEX(Data!1467:1467,1,$U$1+1))</f>
        <v>13464453</v>
      </c>
      <c r="P137" s="88">
        <f t="shared" si="52"/>
        <v>26968069</v>
      </c>
      <c r="Q137" s="86">
        <f t="shared" si="59"/>
        <v>-791736</v>
      </c>
      <c r="R137" s="84">
        <f t="shared" si="60"/>
        <v>-2.8520949624826254E-2</v>
      </c>
      <c r="S137" s="85">
        <f t="shared" si="76"/>
        <v>1.8142928117584583E-3</v>
      </c>
      <c r="T137" s="85">
        <f t="shared" si="54"/>
        <v>0.85186710768134322</v>
      </c>
    </row>
    <row r="138" spans="1:23" hidden="1" outlineLevel="1">
      <c r="A138" s="50" t="s">
        <v>1427</v>
      </c>
      <c r="B138" s="86">
        <f>(INDEX(Data!90:90,1,$U$1-2)+INDEX(Data!478:478,1,$U$1-2)-INDEX(Data!1311:1311,1,$U$1-2))</f>
        <v>5985142</v>
      </c>
      <c r="C138" s="87">
        <f>(INDEX(Data!90:90,1,$U$1-1)+INDEX(Data!478:478,1,$U$1-1)-INDEX(Data!1311:1311,1,$U$1-1))</f>
        <v>6005129</v>
      </c>
      <c r="D138" s="88">
        <f t="shared" si="55"/>
        <v>11990271</v>
      </c>
      <c r="E138" s="89">
        <f>(INDEX(Data!90:90,1,$U$1)+INDEX(Data!478:478,1,$U$1)-INDEX(Data!1311:1311,1,$U$1))</f>
        <v>6154259</v>
      </c>
      <c r="F138" s="90">
        <f>(INDEX(Data!90:90,1,$U$1+1)+INDEX(Data!478:478,1,$U$1+1)-INDEX(Data!1311:1311,1,$U$1+1))</f>
        <v>6154298</v>
      </c>
      <c r="G138" s="88">
        <f t="shared" si="50"/>
        <v>12308557</v>
      </c>
      <c r="H138" s="86">
        <f t="shared" si="56"/>
        <v>318286</v>
      </c>
      <c r="I138" s="447">
        <f t="shared" si="57"/>
        <v>2.6545354979883275E-2</v>
      </c>
      <c r="J138" s="453">
        <f t="shared" si="75"/>
        <v>5.1194597186483642E-4</v>
      </c>
      <c r="K138" s="91">
        <f>(INDEX(Data!189:189,1,$U$1-2)+INDEX(Data!805:805,1,$U$1-2)-INDEX(Data!1468:1468,1,$U$1-2))</f>
        <v>5016591</v>
      </c>
      <c r="L138" s="87">
        <f>(INDEX(Data!189:189,1,$U$1-1)+INDEX(Data!805:805,1,$U$1-1)-INDEX(Data!1468:1468,1,$U$1-1))</f>
        <v>5035575</v>
      </c>
      <c r="M138" s="88">
        <f t="shared" si="77"/>
        <v>10052166</v>
      </c>
      <c r="N138" s="89">
        <f>(INDEX(Data!189:189,1,$U$1)+INDEX(Data!805:805,1,$U$1)-INDEX(Data!1468:1468,1,$U$1))</f>
        <v>5346373</v>
      </c>
      <c r="O138" s="90">
        <f>(INDEX(Data!189:189,1,$U$1+1)+INDEX(Data!805:805,1,$U$1+1)-INDEX(Data!1468:1468,1,$U$1+1))</f>
        <v>5346170</v>
      </c>
      <c r="P138" s="88">
        <f t="shared" si="52"/>
        <v>10692543</v>
      </c>
      <c r="Q138" s="86">
        <f t="shared" si="59"/>
        <v>640377</v>
      </c>
      <c r="R138" s="84">
        <f t="shared" si="60"/>
        <v>6.3705374543158166E-2</v>
      </c>
      <c r="S138" s="85">
        <f t="shared" si="76"/>
        <v>7.1934716216864544E-4</v>
      </c>
      <c r="T138" s="85">
        <f t="shared" si="54"/>
        <v>0.86870808657749243</v>
      </c>
    </row>
    <row r="139" spans="1:23" collapsed="1">
      <c r="A139" s="113" t="s">
        <v>784</v>
      </c>
      <c r="B139" s="105">
        <f t="shared" ref="B139:H139" si="78">SUM(B100:B138)</f>
        <v>3832298398</v>
      </c>
      <c r="C139" s="106">
        <f t="shared" si="78"/>
        <v>3845030898</v>
      </c>
      <c r="D139" s="107">
        <f t="shared" si="78"/>
        <v>7677329296</v>
      </c>
      <c r="E139" s="114">
        <f t="shared" si="78"/>
        <v>4065504174</v>
      </c>
      <c r="F139" s="115">
        <f t="shared" si="78"/>
        <v>4009526950</v>
      </c>
      <c r="G139" s="107">
        <f t="shared" si="78"/>
        <v>8075031124</v>
      </c>
      <c r="H139" s="105">
        <f t="shared" si="78"/>
        <v>397701828</v>
      </c>
      <c r="I139" s="449">
        <f t="shared" si="57"/>
        <v>5.1802106262031564E-2</v>
      </c>
      <c r="J139" s="454">
        <f t="shared" si="75"/>
        <v>0.33586225067771819</v>
      </c>
      <c r="K139" s="405">
        <f t="shared" ref="K139:Q139" si="79">SUM(K100:K138)</f>
        <v>2737508286</v>
      </c>
      <c r="L139" s="106">
        <f t="shared" si="79"/>
        <v>2741918585</v>
      </c>
      <c r="M139" s="107">
        <f t="shared" si="79"/>
        <v>5479426871</v>
      </c>
      <c r="N139" s="114">
        <f t="shared" si="79"/>
        <v>2971530390.2312622</v>
      </c>
      <c r="O139" s="115">
        <f t="shared" si="79"/>
        <v>2915879079</v>
      </c>
      <c r="P139" s="107">
        <f t="shared" si="79"/>
        <v>5887409469.2312622</v>
      </c>
      <c r="Q139" s="105">
        <f t="shared" si="79"/>
        <v>407982598.23126221</v>
      </c>
      <c r="R139" s="108">
        <f t="shared" si="60"/>
        <v>7.4457166385506493E-2</v>
      </c>
      <c r="S139" s="109">
        <f t="shared" si="76"/>
        <v>0.39607895841207463</v>
      </c>
      <c r="T139" s="109">
        <f t="shared" si="54"/>
        <v>0.72908814576988401</v>
      </c>
      <c r="V139" s="764"/>
      <c r="W139" s="765"/>
    </row>
    <row r="140" spans="1:23" ht="25.5" hidden="1" outlineLevel="1">
      <c r="A140" s="677" t="s">
        <v>1428</v>
      </c>
      <c r="B140" s="86">
        <f>(INDEX(Data!40:40,1,$U$1-2)+INDEX(Data!442:442,1,$U$1-2)-INDEX(Data!1264:1264,1,$U$1-2))</f>
        <v>10740706</v>
      </c>
      <c r="C140" s="87">
        <f>(INDEX(Data!40:40,1,$U$1-1)+INDEX(Data!442:442,1,$U$1-1)-INDEX(Data!1264:1264,1,$U$1-1))</f>
        <v>10094153</v>
      </c>
      <c r="D140" s="88">
        <f t="shared" ref="D140:D145" si="80">B140+C140</f>
        <v>20834859</v>
      </c>
      <c r="E140" s="89">
        <f>(INDEX(Data!40:40,1,$U$1)+INDEX(Data!442:442,1,$U$1)-INDEX(Data!1264:1264,1,$U$1))</f>
        <v>10076703</v>
      </c>
      <c r="F140" s="90">
        <f>(INDEX(Data!40:40,1,$U$1+1)+INDEX(Data!442:442,1,$U$1+1)-INDEX(Data!1264:1264,1,$U$1+1))</f>
        <v>9422643</v>
      </c>
      <c r="G140" s="88">
        <f t="shared" ref="G140:G145" si="81">E140+F140</f>
        <v>19499346</v>
      </c>
      <c r="H140" s="86">
        <f t="shared" si="56"/>
        <v>-1335513</v>
      </c>
      <c r="I140" s="447">
        <f t="shared" si="57"/>
        <v>-6.4099929833938404E-2</v>
      </c>
      <c r="J140" s="453">
        <f t="shared" si="75"/>
        <v>8.1103021570267829E-4</v>
      </c>
      <c r="K140" s="91">
        <f>(INDEX(Data!141:141,1,$U$1-2)+INDEX(Data!769:769,1,$U$1-2)-INDEX(Data!1421:1421,1,$U$1-2))</f>
        <v>9516706</v>
      </c>
      <c r="L140" s="87">
        <f>(INDEX(Data!141:141,1,$U$1-1)+INDEX(Data!769:769,1,$U$1-1)-INDEX(Data!1421:1421,1,$U$1-1))</f>
        <v>8870153</v>
      </c>
      <c r="M140" s="88">
        <f t="shared" ref="M140:M145" si="82">K140+L140</f>
        <v>18386859</v>
      </c>
      <c r="N140" s="89">
        <f>(INDEX(Data!141:141,1,$U$1)+INDEX(Data!769:769,1,$U$1)-INDEX(Data!1421:1421,1,$U$1))</f>
        <v>8820703</v>
      </c>
      <c r="O140" s="90">
        <f>(INDEX(Data!141:141,1,$U$1+1)+INDEX(Data!769:769,1,$U$1+1)-INDEX(Data!1421:1421,1,$U$1+1))</f>
        <v>8166643</v>
      </c>
      <c r="P140" s="88">
        <f t="shared" ref="P140:P145" si="83">N140+O140</f>
        <v>16987346</v>
      </c>
      <c r="Q140" s="86">
        <f t="shared" si="59"/>
        <v>-1399513</v>
      </c>
      <c r="R140" s="84">
        <f t="shared" si="60"/>
        <v>-7.611484919746217E-2</v>
      </c>
      <c r="S140" s="85">
        <f t="shared" si="76"/>
        <v>1.1428337616109555E-3</v>
      </c>
      <c r="T140" s="85">
        <f t="shared" si="54"/>
        <v>0.87117516659276673</v>
      </c>
      <c r="V140" s="764"/>
    </row>
    <row r="141" spans="1:23" ht="25.5" hidden="1" outlineLevel="1">
      <c r="A141" s="677" t="s">
        <v>1429</v>
      </c>
      <c r="B141" s="86">
        <f>(INDEX(Data!54:54,1,$U$1-2)+INDEX(Data!464:464,1,$U$1-2)-INDEX(Data!1275:1275,1,$U$1-2))</f>
        <v>770028</v>
      </c>
      <c r="C141" s="87">
        <f>(INDEX(Data!54:54,1,$U$1-1)+INDEX(Data!464:464,1,$U$1-1)-INDEX(Data!1275:1275,1,$U$1-1))</f>
        <v>770027</v>
      </c>
      <c r="D141" s="88">
        <f t="shared" si="80"/>
        <v>1540055</v>
      </c>
      <c r="E141" s="89">
        <f>(INDEX(Data!54:54,1,$U$1)+INDEX(Data!464:464,1,$U$1)-INDEX(Data!1275:1275,1,$U$1))</f>
        <v>770028</v>
      </c>
      <c r="F141" s="90">
        <f>(INDEX(Data!54:54,1,$U$1+1)+INDEX(Data!464:464,1,$U$1+1)-INDEX(Data!1275:1275,1,$U$1+1))</f>
        <v>770027</v>
      </c>
      <c r="G141" s="88">
        <f t="shared" si="81"/>
        <v>1540055</v>
      </c>
      <c r="H141" s="86">
        <f t="shared" si="56"/>
        <v>0</v>
      </c>
      <c r="I141" s="447">
        <f t="shared" si="57"/>
        <v>0</v>
      </c>
      <c r="J141" s="453">
        <f t="shared" si="75"/>
        <v>6.4055027222143155E-5</v>
      </c>
      <c r="K141" s="91">
        <f>(INDEX(Data!153:153,1,$U$1-2)+INDEX(Data!791:791,1,$U$1-2)-INDEX(Data!1432:1432,1,$U$1-2))</f>
        <v>770028</v>
      </c>
      <c r="L141" s="87">
        <f>(INDEX(Data!153:153,1,$U$1-1)+INDEX(Data!791:791,1,$U$1-1)-INDEX(Data!1432:1432,1,$U$1-1))</f>
        <v>770027</v>
      </c>
      <c r="M141" s="88">
        <f t="shared" si="82"/>
        <v>1540055</v>
      </c>
      <c r="N141" s="89">
        <f>(INDEX(Data!153:153,1,$U$1)+INDEX(Data!791:791,1,$U$1)-INDEX(Data!1432:1432,1,$U$1))</f>
        <v>770028</v>
      </c>
      <c r="O141" s="90">
        <f>(INDEX(Data!153:153,1,$U$1+1)+INDEX(Data!791:791,1,$U$1+1)-INDEX(Data!1432:1432,1,$U$1+1))</f>
        <v>770027</v>
      </c>
      <c r="P141" s="88">
        <f t="shared" si="83"/>
        <v>1540055</v>
      </c>
      <c r="Q141" s="86">
        <f t="shared" si="59"/>
        <v>0</v>
      </c>
      <c r="R141" s="84">
        <f t="shared" si="60"/>
        <v>0</v>
      </c>
      <c r="S141" s="85">
        <f t="shared" si="76"/>
        <v>1.0360811210519642E-4</v>
      </c>
      <c r="T141" s="85">
        <f t="shared" si="54"/>
        <v>1</v>
      </c>
      <c r="V141" s="764"/>
    </row>
    <row r="142" spans="1:23" ht="25.5" hidden="1" outlineLevel="1">
      <c r="A142" s="677" t="s">
        <v>1430</v>
      </c>
      <c r="B142" s="86">
        <f>(INDEX(Data!67:67,1,$U$1-2)+INDEX(Data!469:469,1,$U$1-2)-INDEX(Data!1288:1288,1,$U$1-2))</f>
        <v>48483419</v>
      </c>
      <c r="C142" s="87">
        <f>(INDEX(Data!67:67,1,$U$1-1)+INDEX(Data!469:469,1,$U$1-1)-INDEX(Data!1288:1288,1,$U$1-1))</f>
        <v>47771454</v>
      </c>
      <c r="D142" s="88">
        <f t="shared" si="80"/>
        <v>96254873</v>
      </c>
      <c r="E142" s="89">
        <f>(INDEX(Data!67:67,1,$U$1)+INDEX(Data!469:469,1,$U$1)-INDEX(Data!1288:1288,1,$U$1))</f>
        <v>41799671</v>
      </c>
      <c r="F142" s="90">
        <f>(INDEX(Data!67:67,1,$U$1+1)+INDEX(Data!469:469,1,$U$1+1)-INDEX(Data!1288:1288,1,$U$1+1))</f>
        <v>41835975</v>
      </c>
      <c r="G142" s="88">
        <f t="shared" si="81"/>
        <v>83635646</v>
      </c>
      <c r="H142" s="86">
        <f t="shared" si="56"/>
        <v>-12619227</v>
      </c>
      <c r="I142" s="447">
        <f t="shared" si="57"/>
        <v>-0.13110221443022421</v>
      </c>
      <c r="J142" s="453">
        <f t="shared" si="75"/>
        <v>3.4786313354208311E-3</v>
      </c>
      <c r="K142" s="91">
        <f>(INDEX(Data!166:166,1,$U$1-2)+INDEX(Data!796:796,1,$U$1-2)-INDEX(Data!1445:1445,1,$U$1-2))</f>
        <v>48472181</v>
      </c>
      <c r="L142" s="87">
        <f>(INDEX(Data!166:166,1,$U$1-1)+INDEX(Data!796:796,1,$U$1-1)-INDEX(Data!1445:1445,1,$U$1-1))</f>
        <v>47760216</v>
      </c>
      <c r="M142" s="88">
        <f t="shared" si="82"/>
        <v>96232397</v>
      </c>
      <c r="N142" s="89">
        <f>(INDEX(Data!166:166,1,$U$1)+INDEX(Data!796:796,1,$U$1)-INDEX(Data!1445:1445,1,$U$1))</f>
        <v>41788433</v>
      </c>
      <c r="O142" s="90">
        <f>(INDEX(Data!166:166,1,$U$1+1)+INDEX(Data!796:796,1,$U$1+1)-INDEX(Data!1445:1445,1,$U$1+1))</f>
        <v>41824737</v>
      </c>
      <c r="P142" s="88">
        <f t="shared" si="83"/>
        <v>83613170</v>
      </c>
      <c r="Q142" s="86">
        <f t="shared" si="59"/>
        <v>-12619227</v>
      </c>
      <c r="R142" s="84">
        <f t="shared" si="60"/>
        <v>-0.13113283461078082</v>
      </c>
      <c r="S142" s="85">
        <f t="shared" si="76"/>
        <v>5.6251255252772444E-3</v>
      </c>
      <c r="T142" s="85">
        <f t="shared" si="54"/>
        <v>0.99973126291151027</v>
      </c>
      <c r="V142" s="764"/>
    </row>
    <row r="143" spans="1:23" ht="25.5" hidden="1" outlineLevel="1">
      <c r="A143" s="677" t="s">
        <v>1431</v>
      </c>
      <c r="B143" s="86">
        <f>(INDEX(Data!73:73,1,$U$1-2)+INDEX(Data!497:497,1,$U$1-2)-INDEX(Data!1294:1294,1,$U$1-2))</f>
        <v>9870353</v>
      </c>
      <c r="C143" s="87">
        <f>(INDEX(Data!73:73,1,$U$1-1)+INDEX(Data!497:497,1,$U$1-1)-INDEX(Data!1294:1294,1,$U$1-1))</f>
        <v>10037817</v>
      </c>
      <c r="D143" s="88">
        <f t="shared" si="80"/>
        <v>19908170</v>
      </c>
      <c r="E143" s="89">
        <f>(INDEX(Data!73:73,1,$U$1)+INDEX(Data!497:497,1,$U$1)-INDEX(Data!1294:1294,1,$U$1))</f>
        <v>7202031</v>
      </c>
      <c r="F143" s="90">
        <f>(INDEX(Data!73:73,1,$U$1+1)+INDEX(Data!497:497,1,$U$1+1)-INDEX(Data!1294:1294,1,$U$1+1))</f>
        <v>7206678</v>
      </c>
      <c r="G143" s="88">
        <f t="shared" si="81"/>
        <v>14408709</v>
      </c>
      <c r="H143" s="86">
        <f t="shared" si="56"/>
        <v>-5499461</v>
      </c>
      <c r="I143" s="447">
        <f t="shared" si="57"/>
        <v>-0.27624141244524231</v>
      </c>
      <c r="J143" s="453">
        <f t="shared" si="75"/>
        <v>5.9929693889564919E-4</v>
      </c>
      <c r="K143" s="91">
        <f>(INDEX(Data!172:172,1,$U$1-2)+INDEX(Data!824:824,1,$U$1-2)-INDEX(Data!1451:1451,1,$U$1-2))</f>
        <v>9870353</v>
      </c>
      <c r="L143" s="87">
        <f>(INDEX(Data!172:172,1,$U$1-1)+INDEX(Data!824:824,1,$U$1-1)-INDEX(Data!1451:1451,1,$U$1-1))</f>
        <v>10037817</v>
      </c>
      <c r="M143" s="88">
        <f t="shared" si="82"/>
        <v>19908170</v>
      </c>
      <c r="N143" s="89">
        <f>(INDEX(Data!172:172,1,$U$1)+INDEX(Data!824:824,1,$U$1)-INDEX(Data!1451:1451,1,$U$1))</f>
        <v>7202031</v>
      </c>
      <c r="O143" s="90">
        <f>(INDEX(Data!172:172,1,$U$1+1)+INDEX(Data!824:824,1,$U$1+1)-INDEX(Data!1451:1451,1,$U$1+1))</f>
        <v>7206678</v>
      </c>
      <c r="P143" s="88">
        <f t="shared" si="83"/>
        <v>14408709</v>
      </c>
      <c r="Q143" s="86">
        <f t="shared" si="59"/>
        <v>-5499461</v>
      </c>
      <c r="R143" s="84">
        <f t="shared" si="60"/>
        <v>-0.27624141244524231</v>
      </c>
      <c r="S143" s="85">
        <f t="shared" si="76"/>
        <v>9.6935443043472645E-4</v>
      </c>
      <c r="T143" s="85">
        <f t="shared" si="54"/>
        <v>1</v>
      </c>
      <c r="V143" s="764"/>
    </row>
    <row r="144" spans="1:23" ht="25.5" hidden="1" outlineLevel="1">
      <c r="A144" s="677" t="s">
        <v>1432</v>
      </c>
      <c r="B144" s="86">
        <f>(INDEX(Data!78:78,1,$U$1-2)+INDEX(Data!498:498,1,$U$1-2)-INDEX(Data!1299:1299,1,$U$1-2))</f>
        <v>2071537</v>
      </c>
      <c r="C144" s="87">
        <f>(INDEX(Data!78:78,1,$U$1-1)+INDEX(Data!498:498,1,$U$1-1)-INDEX(Data!1299:1299,1,$U$1-1))</f>
        <v>2103634</v>
      </c>
      <c r="D144" s="88">
        <f t="shared" si="80"/>
        <v>4175171</v>
      </c>
      <c r="E144" s="89">
        <f>(INDEX(Data!78:78,1,$U$1)+INDEX(Data!498:498,1,$U$1)-INDEX(Data!1299:1299,1,$U$1))</f>
        <v>2110381</v>
      </c>
      <c r="F144" s="90">
        <f>(INDEX(Data!78:78,1,$U$1+1)+INDEX(Data!498:498,1,$U$1+1)-INDEX(Data!1299:1299,1,$U$1+1))</f>
        <v>2110381</v>
      </c>
      <c r="G144" s="88">
        <f t="shared" si="81"/>
        <v>4220762</v>
      </c>
      <c r="H144" s="86">
        <f t="shared" si="56"/>
        <v>45591</v>
      </c>
      <c r="I144" s="447">
        <f t="shared" si="57"/>
        <v>1.0919552756042807E-2</v>
      </c>
      <c r="J144" s="453">
        <f t="shared" si="75"/>
        <v>1.7555283727411513E-4</v>
      </c>
      <c r="K144" s="91">
        <f>(INDEX(Data!177:177,1,$U$1-2)+INDEX(Data!825:825,1,$U$1-2)-INDEX(Data!1456:1456,1,$U$1-2))</f>
        <v>2071537</v>
      </c>
      <c r="L144" s="87">
        <f>(INDEX(Data!177:177,1,$U$1-1)+INDEX(Data!825:825,1,$U$1-1)-INDEX(Data!1456:1456,1,$U$1-1))</f>
        <v>2103634</v>
      </c>
      <c r="M144" s="88">
        <f t="shared" si="82"/>
        <v>4175171</v>
      </c>
      <c r="N144" s="89">
        <f>(INDEX(Data!177:177,1,$U$1)+INDEX(Data!825:825,1,$U$1)-INDEX(Data!1456:1456,1,$U$1))</f>
        <v>2110381</v>
      </c>
      <c r="O144" s="90">
        <f>(INDEX(Data!177:177,1,$U$1+1)+INDEX(Data!825:825,1,$U$1+1)-INDEX(Data!1456:1456,1,$U$1+1))</f>
        <v>2110381</v>
      </c>
      <c r="P144" s="88">
        <f t="shared" si="83"/>
        <v>4220762</v>
      </c>
      <c r="Q144" s="86">
        <f t="shared" si="59"/>
        <v>45591</v>
      </c>
      <c r="R144" s="84">
        <f t="shared" si="60"/>
        <v>1.0919552756042807E-2</v>
      </c>
      <c r="S144" s="85">
        <f t="shared" si="76"/>
        <v>2.8395426297460357E-4</v>
      </c>
      <c r="T144" s="85">
        <f t="shared" si="54"/>
        <v>1</v>
      </c>
      <c r="V144" s="764"/>
    </row>
    <row r="145" spans="1:23" hidden="1" outlineLevel="1">
      <c r="A145" s="677" t="s">
        <v>60</v>
      </c>
      <c r="B145" s="86">
        <f>(INDEX(Data!82:82,1,$U$1-2)+INDEX(Data!479:479,1,$U$1-2)-INDEX(Data!1303:1303,1,$U$1-2))</f>
        <v>1481399</v>
      </c>
      <c r="C145" s="87">
        <f>(INDEX(Data!82:82,1,$U$1-1)+INDEX(Data!479:479,1,$U$1-1)-INDEX(Data!1303:1303,1,$U$1-1))</f>
        <v>1486574</v>
      </c>
      <c r="D145" s="88">
        <f t="shared" si="80"/>
        <v>2967973</v>
      </c>
      <c r="E145" s="89">
        <f>(INDEX(Data!82:82,1,$U$1)+INDEX(Data!479:479,1,$U$1)-INDEX(Data!1303:1303,1,$U$1))</f>
        <v>1631127</v>
      </c>
      <c r="F145" s="90">
        <f>(INDEX(Data!82:82,1,$U$1+1)+INDEX(Data!479:479,1,$U$1+1)-INDEX(Data!1303:1303,1,$U$1+1))</f>
        <v>1631127</v>
      </c>
      <c r="G145" s="88">
        <f t="shared" si="81"/>
        <v>3262254</v>
      </c>
      <c r="H145" s="86">
        <f t="shared" si="56"/>
        <v>294281</v>
      </c>
      <c r="I145" s="447">
        <f t="shared" si="57"/>
        <v>9.9152182314326986E-2</v>
      </c>
      <c r="J145" s="453">
        <f t="shared" si="75"/>
        <v>1.3568591301969435E-4</v>
      </c>
      <c r="K145" s="91">
        <f>(INDEX(Data!181:181,1,$U$1-2)+INDEX(Data!806:806,1,$U$1-2)-INDEX(Data!1460:1460,1,$U$1-2))</f>
        <v>1481399</v>
      </c>
      <c r="L145" s="87">
        <f>(INDEX(Data!181:181,1,$U$1-1)+INDEX(Data!806:806,1,$U$1-1)-INDEX(Data!1460:1460,1,$U$1-1))</f>
        <v>1486574</v>
      </c>
      <c r="M145" s="88">
        <f t="shared" si="82"/>
        <v>2967973</v>
      </c>
      <c r="N145" s="89">
        <f>(INDEX(Data!181:181,1,$U$1)+INDEX(Data!806:806,1,$U$1)-INDEX(Data!1460:1460,1,$U$1))</f>
        <v>1631127</v>
      </c>
      <c r="O145" s="90">
        <f>(INDEX(Data!181:181,1,$U$1+1)+INDEX(Data!806:806,1,$U$1+1)-INDEX(Data!1460:1460,1,$U$1+1))</f>
        <v>1631127</v>
      </c>
      <c r="P145" s="88">
        <f t="shared" si="83"/>
        <v>3262254</v>
      </c>
      <c r="Q145" s="86">
        <f t="shared" si="59"/>
        <v>294281</v>
      </c>
      <c r="R145" s="84">
        <f t="shared" si="60"/>
        <v>9.9152182314326986E-2</v>
      </c>
      <c r="S145" s="85">
        <f t="shared" si="76"/>
        <v>2.1947006967129452E-4</v>
      </c>
      <c r="T145" s="85">
        <f t="shared" si="54"/>
        <v>1</v>
      </c>
      <c r="V145" s="764"/>
    </row>
    <row r="146" spans="1:23" collapsed="1">
      <c r="A146" s="113" t="s">
        <v>1830</v>
      </c>
      <c r="B146" s="105">
        <f>SUM(B140:B145)</f>
        <v>73417442</v>
      </c>
      <c r="C146" s="106">
        <f t="shared" ref="C146:H146" si="84">SUM(C140:C145)</f>
        <v>72263659</v>
      </c>
      <c r="D146" s="107">
        <f t="shared" si="84"/>
        <v>145681101</v>
      </c>
      <c r="E146" s="114">
        <f t="shared" si="84"/>
        <v>63589941</v>
      </c>
      <c r="F146" s="115">
        <f t="shared" si="84"/>
        <v>62976831</v>
      </c>
      <c r="G146" s="107">
        <f t="shared" si="84"/>
        <v>126566772</v>
      </c>
      <c r="H146" s="105">
        <f t="shared" si="84"/>
        <v>-19114329</v>
      </c>
      <c r="I146" s="449">
        <f t="shared" si="57"/>
        <v>-0.1312066484176283</v>
      </c>
      <c r="J146" s="454">
        <f t="shared" si="75"/>
        <v>5.2642522675351118E-3</v>
      </c>
      <c r="K146" s="405">
        <f>SUM(K140:K145)</f>
        <v>72182204</v>
      </c>
      <c r="L146" s="106">
        <f t="shared" ref="L146:Q146" si="85">SUM(L140:L145)</f>
        <v>71028421</v>
      </c>
      <c r="M146" s="107">
        <f t="shared" si="85"/>
        <v>143210625</v>
      </c>
      <c r="N146" s="114">
        <f t="shared" si="85"/>
        <v>62322703</v>
      </c>
      <c r="O146" s="115">
        <f t="shared" si="85"/>
        <v>61709593</v>
      </c>
      <c r="P146" s="107">
        <f t="shared" si="85"/>
        <v>124032296</v>
      </c>
      <c r="Q146" s="105">
        <f t="shared" si="85"/>
        <v>-19178329</v>
      </c>
      <c r="R146" s="108">
        <f t="shared" si="60"/>
        <v>-0.13391694226598061</v>
      </c>
      <c r="S146" s="109">
        <f t="shared" si="76"/>
        <v>8.3443461620740216E-3</v>
      </c>
      <c r="T146" s="109">
        <f t="shared" si="54"/>
        <v>0.97997518653632087</v>
      </c>
      <c r="V146" s="764"/>
      <c r="W146" s="765"/>
    </row>
    <row r="147" spans="1:23" ht="25.5" hidden="1" outlineLevel="1">
      <c r="A147" s="79" t="s">
        <v>1433</v>
      </c>
      <c r="B147" s="86">
        <f>(INDEX(Data!91:91,1,$U$1-2)+INDEX(Data!435:435,1,$U$1-2)-INDEX(Data!1312:1312,1,$U$1-2))</f>
        <v>188640330</v>
      </c>
      <c r="C147" s="87">
        <f>(INDEX(Data!91:91,1,$U$1-1)+INDEX(Data!435:435,1,$U$1-1)-INDEX(Data!1312:1312,1,$U$1-1))</f>
        <v>189419166</v>
      </c>
      <c r="D147" s="88">
        <f t="shared" ref="D147:D159" si="86">B147+C147</f>
        <v>378059496</v>
      </c>
      <c r="E147" s="89">
        <f>(INDEX(Data!91:91,1,$U$1)+INDEX(Data!435:435,1,$U$1)-INDEX(Data!1312:1312,1,$U$1))</f>
        <v>197527404</v>
      </c>
      <c r="F147" s="90">
        <f>(INDEX(Data!91:91,1,$U$1+1)+INDEX(Data!435:435,1,$U$1+1)-INDEX(Data!1312:1312,1,$U$1+1))</f>
        <v>197528104</v>
      </c>
      <c r="G147" s="88">
        <f t="shared" ref="G147:G159" si="87">E147+F147</f>
        <v>395055508</v>
      </c>
      <c r="H147" s="86">
        <f t="shared" si="56"/>
        <v>16996012</v>
      </c>
      <c r="I147" s="447">
        <f t="shared" si="57"/>
        <v>4.4955918790094349E-2</v>
      </c>
      <c r="J147" s="453">
        <f t="shared" si="75"/>
        <v>1.6431420513681391E-2</v>
      </c>
      <c r="K147" s="91">
        <f>(INDEX(Data!190:190,1,$U$1-2)+INDEX(Data!762:762,1,$U$1-2)-INDEX(Data!1469:1469,1,$U$1-2))</f>
        <v>175650782</v>
      </c>
      <c r="L147" s="87">
        <f>(INDEX(Data!190:190,1,$U$1-1)+INDEX(Data!762:762,1,$U$1-1)-INDEX(Data!1469:1469,1,$U$1-1))</f>
        <v>176429617</v>
      </c>
      <c r="M147" s="88">
        <f t="shared" ref="M147:M159" si="88">K147+L147</f>
        <v>352080399</v>
      </c>
      <c r="N147" s="89">
        <f>(INDEX(Data!190:190,1,$U$1)+INDEX(Data!762:762,1,$U$1)-INDEX(Data!1469:1469,1,$U$1))</f>
        <v>183749270</v>
      </c>
      <c r="O147" s="90">
        <f>(INDEX(Data!190:190,1,$U$1+1)+INDEX(Data!762:762,1,$U$1+1)-INDEX(Data!1469:1469,1,$U$1+1))</f>
        <v>183749970</v>
      </c>
      <c r="P147" s="88">
        <f t="shared" ref="P147:P159" si="89">N147+O147</f>
        <v>367499240</v>
      </c>
      <c r="Q147" s="86">
        <f t="shared" si="59"/>
        <v>15418841</v>
      </c>
      <c r="R147" s="84">
        <f t="shared" si="60"/>
        <v>4.3793522853852483E-2</v>
      </c>
      <c r="S147" s="85">
        <f t="shared" si="76"/>
        <v>2.472372899441545E-2</v>
      </c>
      <c r="T147" s="85">
        <f t="shared" si="54"/>
        <v>0.930247098339406</v>
      </c>
      <c r="V147" s="764"/>
      <c r="W147" s="765"/>
    </row>
    <row r="148" spans="1:23" ht="25.5" hidden="1" outlineLevel="1">
      <c r="A148" s="79" t="s">
        <v>1434</v>
      </c>
      <c r="B148" s="86">
        <f>(INDEX(Data!92:92,1,$U$1-2)+INDEX(Data!436:436,1,$U$1-2)-INDEX(Data!1313:1313,1,$U$1-2))</f>
        <v>334583239</v>
      </c>
      <c r="C148" s="87">
        <f>(INDEX(Data!92:92,1,$U$1-1)+INDEX(Data!436:436,1,$U$1-1)-INDEX(Data!1313:1313,1,$U$1-1))</f>
        <v>337200252</v>
      </c>
      <c r="D148" s="88">
        <f t="shared" si="86"/>
        <v>671783491</v>
      </c>
      <c r="E148" s="89">
        <f>(INDEX(Data!92:92,1,$U$1)+INDEX(Data!436:436,1,$U$1)-INDEX(Data!1313:1313,1,$U$1))</f>
        <v>342784560</v>
      </c>
      <c r="F148" s="90">
        <f>(INDEX(Data!92:92,1,$U$1+1)+INDEX(Data!436:436,1,$U$1+1)-INDEX(Data!1313:1313,1,$U$1+1))</f>
        <v>342784058</v>
      </c>
      <c r="G148" s="88">
        <f t="shared" si="87"/>
        <v>685568618</v>
      </c>
      <c r="H148" s="86">
        <f t="shared" si="56"/>
        <v>13785127</v>
      </c>
      <c r="I148" s="447">
        <f t="shared" si="57"/>
        <v>2.0520193164437261E-2</v>
      </c>
      <c r="J148" s="453">
        <f t="shared" si="75"/>
        <v>2.8514641677496625E-2</v>
      </c>
      <c r="K148" s="91">
        <f>(INDEX(Data!191:191,1,$U$1-2)+INDEX(Data!763:763,1,$U$1-2)-INDEX(Data!1470:1470,1,$U$1-2))</f>
        <v>317237770</v>
      </c>
      <c r="L148" s="87">
        <f>(INDEX(Data!191:191,1,$U$1-1)+INDEX(Data!763:763,1,$U$1-1)-INDEX(Data!1470:1470,1,$U$1-1))</f>
        <v>319854786</v>
      </c>
      <c r="M148" s="88">
        <f t="shared" ref="M148:M150" si="90">K148+L148</f>
        <v>637092556</v>
      </c>
      <c r="N148" s="89">
        <f>(INDEX(Data!191:191,1,$U$1)+INDEX(Data!763:763,1,$U$1)-INDEX(Data!1470:1470,1,$U$1))</f>
        <v>325554380</v>
      </c>
      <c r="O148" s="90">
        <f>(INDEX(Data!191:191,1,$U$1+1)+INDEX(Data!763:763,1,$U$1+1)-INDEX(Data!1470:1470,1,$U$1+1))</f>
        <v>325553880</v>
      </c>
      <c r="P148" s="88">
        <f t="shared" si="89"/>
        <v>651108260</v>
      </c>
      <c r="Q148" s="86">
        <f t="shared" si="59"/>
        <v>14015704</v>
      </c>
      <c r="R148" s="84">
        <f t="shared" si="60"/>
        <v>2.1999478518471342E-2</v>
      </c>
      <c r="S148" s="85">
        <f t="shared" si="76"/>
        <v>4.3803693760741912E-2</v>
      </c>
      <c r="T148" s="85">
        <f t="shared" si="54"/>
        <v>0.94973463327342678</v>
      </c>
      <c r="V148" s="764"/>
      <c r="W148" s="765"/>
    </row>
    <row r="149" spans="1:23" ht="25.5" hidden="1" outlineLevel="1">
      <c r="A149" s="79" t="s">
        <v>1435</v>
      </c>
      <c r="B149" s="86">
        <f>(INDEX(Data!93:93,1,$U$1-2)+INDEX(Data!437:437,1,$U$1-2)-INDEX(Data!1314:1314,1,$U$1-2))</f>
        <v>222357597</v>
      </c>
      <c r="C149" s="87">
        <f>(INDEX(Data!93:93,1,$U$1-1)+INDEX(Data!437:437,1,$U$1-1)-INDEX(Data!1314:1314,1,$U$1-1))</f>
        <v>223480324</v>
      </c>
      <c r="D149" s="88">
        <f t="shared" si="86"/>
        <v>445837921</v>
      </c>
      <c r="E149" s="89">
        <f>(INDEX(Data!93:93,1,$U$1)+INDEX(Data!437:437,1,$U$1)-INDEX(Data!1314:1314,1,$U$1))</f>
        <v>241839519</v>
      </c>
      <c r="F149" s="90">
        <f>(INDEX(Data!93:93,1,$U$1+1)+INDEX(Data!437:437,1,$U$1+1)-INDEX(Data!1314:1314,1,$U$1+1))</f>
        <v>241839218</v>
      </c>
      <c r="G149" s="88">
        <f t="shared" si="87"/>
        <v>483678737</v>
      </c>
      <c r="H149" s="86">
        <f t="shared" si="56"/>
        <v>37840816</v>
      </c>
      <c r="I149" s="447">
        <f t="shared" si="57"/>
        <v>8.4875723256389396E-2</v>
      </c>
      <c r="J149" s="453">
        <f t="shared" si="75"/>
        <v>2.0117498833033119E-2</v>
      </c>
      <c r="K149" s="91">
        <f>(INDEX(Data!192:192,1,$U$1-2)+INDEX(Data!764:764,1,$U$1-2)-INDEX(Data!1471:1471,1,$U$1-2))</f>
        <v>194849193</v>
      </c>
      <c r="L149" s="87">
        <f>(INDEX(Data!192:192,1,$U$1-1)+INDEX(Data!764:764,1,$U$1-1)-INDEX(Data!1471:1471,1,$U$1-1))</f>
        <v>195971921</v>
      </c>
      <c r="M149" s="88">
        <f t="shared" si="90"/>
        <v>390821114</v>
      </c>
      <c r="N149" s="89">
        <f>(INDEX(Data!192:192,1,$U$1)+INDEX(Data!764:764,1,$U$1)-INDEX(Data!1471:1471,1,$U$1))</f>
        <v>212590876</v>
      </c>
      <c r="O149" s="90">
        <f>(INDEX(Data!192:192,1,$U$1+1)+INDEX(Data!764:764,1,$U$1+1)-INDEX(Data!1471:1471,1,$U$1+1))</f>
        <v>212590575</v>
      </c>
      <c r="P149" s="88">
        <f t="shared" si="89"/>
        <v>425181451</v>
      </c>
      <c r="Q149" s="86">
        <f t="shared" si="59"/>
        <v>34360337</v>
      </c>
      <c r="R149" s="84">
        <f t="shared" si="60"/>
        <v>8.7918323164085752E-2</v>
      </c>
      <c r="S149" s="85">
        <f t="shared" si="76"/>
        <v>2.8604333897333589E-2</v>
      </c>
      <c r="T149" s="85">
        <f t="shared" si="54"/>
        <v>0.87905756130023971</v>
      </c>
      <c r="V149" s="764"/>
      <c r="W149" s="765"/>
    </row>
    <row r="150" spans="1:23" ht="25.5" hidden="1" outlineLevel="1">
      <c r="A150" s="79" t="s">
        <v>1436</v>
      </c>
      <c r="B150" s="86">
        <f>(INDEX(Data!94:94,1,$U$1-2)+INDEX(Data!438:438,1,$U$1-2)-INDEX(Data!1315:1315,1,$U$1-2))</f>
        <v>179620186</v>
      </c>
      <c r="C150" s="87">
        <f>(INDEX(Data!94:94,1,$U$1-1)+INDEX(Data!438:438,1,$U$1-1)-INDEX(Data!1315:1315,1,$U$1-1))</f>
        <v>180564837</v>
      </c>
      <c r="D150" s="88">
        <f t="shared" si="86"/>
        <v>360185023</v>
      </c>
      <c r="E150" s="89">
        <f>(INDEX(Data!94:94,1,$U$1)+INDEX(Data!438:438,1,$U$1)-INDEX(Data!1315:1315,1,$U$1))</f>
        <v>194252857</v>
      </c>
      <c r="F150" s="90">
        <f>(INDEX(Data!94:94,1,$U$1+1)+INDEX(Data!438:438,1,$U$1+1)-INDEX(Data!1315:1315,1,$U$1+1))</f>
        <v>194253094</v>
      </c>
      <c r="G150" s="88">
        <f t="shared" si="87"/>
        <v>388505951</v>
      </c>
      <c r="H150" s="86">
        <f t="shared" si="56"/>
        <v>28320928</v>
      </c>
      <c r="I150" s="447">
        <f t="shared" si="57"/>
        <v>7.8628832937342866E-2</v>
      </c>
      <c r="J150" s="453">
        <f t="shared" si="75"/>
        <v>1.6159006832398595E-2</v>
      </c>
      <c r="K150" s="91">
        <f>(INDEX(Data!193:193,1,$U$1-2)+INDEX(Data!765:765,1,$U$1-2)-INDEX(Data!1472:1472,1,$U$1-2))</f>
        <v>154620132</v>
      </c>
      <c r="L150" s="87">
        <f>(INDEX(Data!193:193,1,$U$1-1)+INDEX(Data!765:765,1,$U$1-1)-INDEX(Data!1472:1472,1,$U$1-1))</f>
        <v>155564783</v>
      </c>
      <c r="M150" s="88">
        <f t="shared" si="90"/>
        <v>310184915</v>
      </c>
      <c r="N150" s="89">
        <f>(INDEX(Data!193:193,1,$U$1)+INDEX(Data!765:765,1,$U$1)-INDEX(Data!1472:1472,1,$U$1))</f>
        <v>168399754</v>
      </c>
      <c r="O150" s="90">
        <f>(INDEX(Data!193:193,1,$U$1+1)+INDEX(Data!765:765,1,$U$1+1)-INDEX(Data!1472:1472,1,$U$1+1))</f>
        <v>168399991</v>
      </c>
      <c r="P150" s="88">
        <f t="shared" si="89"/>
        <v>336799745</v>
      </c>
      <c r="Q150" s="86">
        <f t="shared" si="59"/>
        <v>26614830</v>
      </c>
      <c r="R150" s="84">
        <f t="shared" si="60"/>
        <v>8.5803108768200409E-2</v>
      </c>
      <c r="S150" s="85">
        <f t="shared" si="76"/>
        <v>2.2658402288854337E-2</v>
      </c>
      <c r="T150" s="85">
        <f t="shared" si="54"/>
        <v>0.86691013131997041</v>
      </c>
      <c r="V150" s="764"/>
      <c r="W150" s="765"/>
    </row>
    <row r="151" spans="1:23" ht="25.5" hidden="1" outlineLevel="1">
      <c r="A151" s="79" t="s">
        <v>1437</v>
      </c>
      <c r="B151" s="86">
        <f>(INDEX(Data!96:96,1,$U$1-2)+INDEX(Data!439:439,1,$U$1-2)-INDEX(Data!1317:1317,1,$U$1-2))</f>
        <v>210068816</v>
      </c>
      <c r="C151" s="87">
        <f>(INDEX(Data!96:96,1,$U$1-1)+INDEX(Data!439:439,1,$U$1-1)-INDEX(Data!1317:1317,1,$U$1-1))</f>
        <v>210418358</v>
      </c>
      <c r="D151" s="88">
        <f t="shared" si="86"/>
        <v>420487174</v>
      </c>
      <c r="E151" s="89">
        <f>(INDEX(Data!96:96,1,$U$1)+INDEX(Data!439:439,1,$U$1)-INDEX(Data!1317:1317,1,$U$1))</f>
        <v>218782380</v>
      </c>
      <c r="F151" s="90">
        <f>(INDEX(Data!96:96,1,$U$1+1)+INDEX(Data!439:439,1,$U$1+1)-INDEX(Data!1317:1317,1,$U$1+1))</f>
        <v>218782731</v>
      </c>
      <c r="G151" s="88">
        <f t="shared" si="87"/>
        <v>437565111</v>
      </c>
      <c r="H151" s="86">
        <f t="shared" si="56"/>
        <v>17077937</v>
      </c>
      <c r="I151" s="447">
        <f t="shared" si="57"/>
        <v>4.0614644288769673E-2</v>
      </c>
      <c r="J151" s="453">
        <f t="shared" si="75"/>
        <v>1.8199509171143297E-2</v>
      </c>
      <c r="K151" s="91">
        <f>(INDEX(Data!195:195,1,$U$1-2)+INDEX(Data!766:766,1,$U$1-2)-INDEX(Data!1474:1474,1,$U$1-2))</f>
        <v>200508164</v>
      </c>
      <c r="L151" s="87">
        <f>(INDEX(Data!195:195,1,$U$1-1)+INDEX(Data!766:766,1,$U$1-1)-INDEX(Data!1474:1474,1,$U$1-1))</f>
        <v>200857706</v>
      </c>
      <c r="M151" s="88">
        <f t="shared" si="88"/>
        <v>401365870</v>
      </c>
      <c r="N151" s="89">
        <f>(INDEX(Data!195:195,1,$U$1)+INDEX(Data!766:766,1,$U$1)-INDEX(Data!1474:1474,1,$U$1))</f>
        <v>209102313</v>
      </c>
      <c r="O151" s="90">
        <f>(INDEX(Data!195:195,1,$U$1+1)+INDEX(Data!766:766,1,$U$1+1)-INDEX(Data!1474:1474,1,$U$1+1))</f>
        <v>209102664</v>
      </c>
      <c r="P151" s="88">
        <f t="shared" si="89"/>
        <v>418204977</v>
      </c>
      <c r="Q151" s="86">
        <f t="shared" si="59"/>
        <v>16839107</v>
      </c>
      <c r="R151" s="84">
        <f t="shared" si="60"/>
        <v>4.1954506495532368E-2</v>
      </c>
      <c r="S151" s="85">
        <f t="shared" si="76"/>
        <v>2.8134987477698582E-2</v>
      </c>
      <c r="T151" s="85">
        <f t="shared" si="54"/>
        <v>0.95575484993363646</v>
      </c>
      <c r="V151" s="764"/>
      <c r="W151" s="765"/>
    </row>
    <row r="152" spans="1:23" ht="16.5" hidden="1" customHeight="1" outlineLevel="1">
      <c r="A152" s="79" t="s">
        <v>1438</v>
      </c>
      <c r="B152" s="86">
        <f>(INDEX(Data!97:97,1,$U$1-2)+INDEX(Data!440:440,1,$U$1-2)-INDEX(Data!1318:1318,1,$U$1-2))</f>
        <v>50823297</v>
      </c>
      <c r="C152" s="87">
        <f>(INDEX(Data!97:97,1,$U$1-1)+INDEX(Data!440:440,1,$U$1-1)-INDEX(Data!1318:1318,1,$U$1-1))</f>
        <v>51025067</v>
      </c>
      <c r="D152" s="88">
        <f t="shared" si="86"/>
        <v>101848364</v>
      </c>
      <c r="E152" s="89">
        <f>(INDEX(Data!97:97,1,$U$1)+INDEX(Data!440:440,1,$U$1)-INDEX(Data!1318:1318,1,$U$1))</f>
        <v>56488891</v>
      </c>
      <c r="F152" s="90">
        <f>(INDEX(Data!97:97,1,$U$1+1)+INDEX(Data!440:440,1,$U$1+1)-INDEX(Data!1318:1318,1,$U$1+1))</f>
        <v>56488691</v>
      </c>
      <c r="G152" s="88">
        <f t="shared" si="87"/>
        <v>112977582</v>
      </c>
      <c r="H152" s="86">
        <f t="shared" si="56"/>
        <v>11129218</v>
      </c>
      <c r="I152" s="447">
        <f t="shared" si="57"/>
        <v>0.10927242778293425</v>
      </c>
      <c r="J152" s="453">
        <f t="shared" si="75"/>
        <v>4.6990413267720375E-3</v>
      </c>
      <c r="K152" s="91">
        <f>(INDEX(Data!196:196,1,$U$1-2)+INDEX(Data!767:767,1,$U$1-2)-INDEX(Data!1475:1475,1,$U$1-2))</f>
        <v>47460034</v>
      </c>
      <c r="L152" s="87">
        <f>(INDEX(Data!196:196,1,$U$1-1)+INDEX(Data!767:767,1,$U$1-1)-INDEX(Data!1475:1475,1,$U$1-1))</f>
        <v>47661804</v>
      </c>
      <c r="M152" s="88">
        <f t="shared" ref="M152" si="91">K152+L152</f>
        <v>95121838</v>
      </c>
      <c r="N152" s="89">
        <f>(INDEX(Data!196:196,1,$U$1)+INDEX(Data!767:767,1,$U$1)-INDEX(Data!1475:1475,1,$U$1))</f>
        <v>53016168</v>
      </c>
      <c r="O152" s="90">
        <f>(INDEX(Data!196:196,1,$U$1+1)+INDEX(Data!767:767,1,$U$1+1)-INDEX(Data!1475:1475,1,$U$1+1))</f>
        <v>53015968</v>
      </c>
      <c r="P152" s="88">
        <f t="shared" si="89"/>
        <v>106032136</v>
      </c>
      <c r="Q152" s="86">
        <f t="shared" si="59"/>
        <v>10910298</v>
      </c>
      <c r="R152" s="84">
        <f t="shared" si="60"/>
        <v>0.11469814113558234</v>
      </c>
      <c r="S152" s="85">
        <f t="shared" si="76"/>
        <v>7.1333747388511665E-3</v>
      </c>
      <c r="T152" s="85">
        <f t="shared" si="54"/>
        <v>0.93852367985712426</v>
      </c>
      <c r="V152" s="764"/>
      <c r="W152" s="765"/>
    </row>
    <row r="153" spans="1:23" ht="25.5" hidden="1" outlineLevel="1">
      <c r="A153" s="79" t="s">
        <v>1439</v>
      </c>
      <c r="B153" s="86">
        <f>(INDEX(Data!98:98,1,$U$1-2)+INDEX(Data!444:444,1,$U$1-2)-INDEX(Data!1319:1319,1,$U$1-2))</f>
        <v>170813794</v>
      </c>
      <c r="C153" s="87">
        <f>(INDEX(Data!98:98,1,$U$1-1)+INDEX(Data!444:444,1,$U$1-1)-INDEX(Data!1319:1319,1,$U$1-1))</f>
        <v>171220700</v>
      </c>
      <c r="D153" s="88">
        <f t="shared" si="86"/>
        <v>342034494</v>
      </c>
      <c r="E153" s="89">
        <f>(INDEX(Data!98:98,1,$U$1)+INDEX(Data!444:444,1,$U$1)-INDEX(Data!1319:1319,1,$U$1))</f>
        <v>173698242</v>
      </c>
      <c r="F153" s="90">
        <f>(INDEX(Data!98:98,1,$U$1+1)+INDEX(Data!444:444,1,$U$1+1)-INDEX(Data!1319:1319,1,$U$1+1))</f>
        <v>173702634</v>
      </c>
      <c r="G153" s="88">
        <f t="shared" si="87"/>
        <v>347400876</v>
      </c>
      <c r="H153" s="86">
        <f t="shared" si="56"/>
        <v>5366382</v>
      </c>
      <c r="I153" s="447">
        <f t="shared" si="57"/>
        <v>1.5689592991752464E-2</v>
      </c>
      <c r="J153" s="453">
        <f t="shared" si="75"/>
        <v>1.4449336269923074E-2</v>
      </c>
      <c r="K153" s="91">
        <f>(INDEX(Data!197:197,1,$U$1-2)+INDEX(Data!771:771,1,$U$1-2)-INDEX(Data!1476:1476,1,$U$1-2))</f>
        <v>151747776</v>
      </c>
      <c r="L153" s="87">
        <f>(INDEX(Data!197:197,1,$U$1-1)+INDEX(Data!771:771,1,$U$1-1)-INDEX(Data!1476:1476,1,$U$1-1))</f>
        <v>152154681</v>
      </c>
      <c r="M153" s="88">
        <f t="shared" si="88"/>
        <v>303902457</v>
      </c>
      <c r="N153" s="89">
        <f>(INDEX(Data!197:197,1,$U$1)+INDEX(Data!771:771,1,$U$1)-INDEX(Data!1476:1476,1,$U$1))</f>
        <v>154168421</v>
      </c>
      <c r="O153" s="90">
        <f>(INDEX(Data!197:197,1,$U$1+1)+INDEX(Data!771:771,1,$U$1+1)-INDEX(Data!1476:1476,1,$U$1+1))</f>
        <v>154172813</v>
      </c>
      <c r="P153" s="88">
        <f t="shared" si="89"/>
        <v>308341234</v>
      </c>
      <c r="Q153" s="86">
        <f t="shared" si="59"/>
        <v>4438777</v>
      </c>
      <c r="R153" s="84">
        <f t="shared" si="60"/>
        <v>1.4605926664159875E-2</v>
      </c>
      <c r="S153" s="85">
        <f t="shared" si="76"/>
        <v>2.0743839108945204E-2</v>
      </c>
      <c r="T153" s="85">
        <f t="shared" si="54"/>
        <v>0.88756608086388356</v>
      </c>
      <c r="V153" s="764"/>
      <c r="W153" s="765"/>
    </row>
    <row r="154" spans="1:23" ht="25.5" hidden="1" outlineLevel="1">
      <c r="A154" s="79" t="s">
        <v>1440</v>
      </c>
      <c r="B154" s="86">
        <f>(INDEX(Data!99:99,1,$U$1-2)+INDEX(Data!483:483,1,$U$1-2)-INDEX(Data!1320:1320,1,$U$1-2))</f>
        <v>108700167</v>
      </c>
      <c r="C154" s="87">
        <f>(INDEX(Data!99:99,1,$U$1-1)+INDEX(Data!483:483,1,$U$1-1)-INDEX(Data!1320:1320,1,$U$1-1))</f>
        <v>108751333</v>
      </c>
      <c r="D154" s="88">
        <f t="shared" si="86"/>
        <v>217451500</v>
      </c>
      <c r="E154" s="89">
        <f>(INDEX(Data!99:99,1,$U$1)+INDEX(Data!483:483,1,$U$1)-INDEX(Data!1320:1320,1,$U$1))</f>
        <v>113368470</v>
      </c>
      <c r="F154" s="90">
        <f>(INDEX(Data!99:99,1,$U$1+1)+INDEX(Data!483:483,1,$U$1+1)-INDEX(Data!1320:1320,1,$U$1+1))</f>
        <v>113083842</v>
      </c>
      <c r="G154" s="88">
        <f t="shared" si="87"/>
        <v>226452312</v>
      </c>
      <c r="H154" s="86">
        <f t="shared" si="56"/>
        <v>9000812</v>
      </c>
      <c r="I154" s="447">
        <f t="shared" si="57"/>
        <v>4.1392273679418168E-2</v>
      </c>
      <c r="J154" s="453">
        <f t="shared" si="75"/>
        <v>9.4187603752315698E-3</v>
      </c>
      <c r="K154" s="91">
        <f>(INDEX(Data!198:198,1,$U$1-2)+INDEX(Data!810:810,1,$U$1-2)-INDEX(Data!1477:1477,1,$U$1-2))</f>
        <v>95108163</v>
      </c>
      <c r="L154" s="87">
        <f>(INDEX(Data!198:198,1,$U$1-1)+INDEX(Data!810:810,1,$U$1-1)-INDEX(Data!1477:1477,1,$U$1-1))</f>
        <v>95159328</v>
      </c>
      <c r="M154" s="88">
        <f t="shared" si="88"/>
        <v>190267491</v>
      </c>
      <c r="N154" s="89">
        <f>(INDEX(Data!198:198,1,$U$1)+INDEX(Data!810:810,1,$U$1)-INDEX(Data!1477:1477,1,$U$1))</f>
        <v>102402794</v>
      </c>
      <c r="O154" s="90">
        <f>(INDEX(Data!198:198,1,$U$1+1)+INDEX(Data!810:810,1,$U$1+1)-INDEX(Data!1477:1477,1,$U$1+1))</f>
        <v>102118166</v>
      </c>
      <c r="P154" s="88">
        <f t="shared" si="89"/>
        <v>204520960</v>
      </c>
      <c r="Q154" s="86">
        <f t="shared" si="59"/>
        <v>14253469</v>
      </c>
      <c r="R154" s="84">
        <f t="shared" si="60"/>
        <v>7.491279211749316E-2</v>
      </c>
      <c r="S154" s="85">
        <f t="shared" si="76"/>
        <v>1.3759268695950726E-2</v>
      </c>
      <c r="T154" s="85">
        <f t="shared" si="54"/>
        <v>0.90315244827352437</v>
      </c>
      <c r="V154" s="764"/>
      <c r="W154" s="765"/>
    </row>
    <row r="155" spans="1:23" ht="25.5" hidden="1" outlineLevel="1">
      <c r="A155" s="79" t="s">
        <v>942</v>
      </c>
      <c r="B155" s="86">
        <f>(INDEX(Data!100:100,1,$U$1-2)+INDEX(Data!487:487,1,$U$1-2)-INDEX(Data!1321:1321,1,$U$1-2))</f>
        <v>164750581</v>
      </c>
      <c r="C155" s="87">
        <f>(INDEX(Data!100:100,1,$U$1-1)+INDEX(Data!487:487,1,$U$1-1)-INDEX(Data!1321:1321,1,$U$1-1))</f>
        <v>165632612</v>
      </c>
      <c r="D155" s="88">
        <f t="shared" si="86"/>
        <v>330383193</v>
      </c>
      <c r="E155" s="89">
        <f>(INDEX(Data!100:100,1,$U$1)+INDEX(Data!487:487,1,$U$1)-INDEX(Data!1321:1321,1,$U$1))</f>
        <v>186229888</v>
      </c>
      <c r="F155" s="90">
        <f>(INDEX(Data!100:100,1,$U$1+1)+INDEX(Data!487:487,1,$U$1+1)-INDEX(Data!1321:1321,1,$U$1+1))</f>
        <v>186213209</v>
      </c>
      <c r="G155" s="88">
        <f t="shared" si="87"/>
        <v>372443097</v>
      </c>
      <c r="H155" s="86">
        <f t="shared" si="56"/>
        <v>42059904</v>
      </c>
      <c r="I155" s="447">
        <f t="shared" si="57"/>
        <v>0.12730642747919685</v>
      </c>
      <c r="J155" s="453">
        <f t="shared" si="75"/>
        <v>1.5490909556499153E-2</v>
      </c>
      <c r="K155" s="91">
        <f>(INDEX(Data!199:199,1,$U$1-2)+INDEX(Data!814:814,1,$U$1-2)-INDEX(Data!1478:1478,1,$U$1-2))</f>
        <v>147392260</v>
      </c>
      <c r="L155" s="87">
        <f>(INDEX(Data!199:199,1,$U$1-1)+INDEX(Data!814:814,1,$U$1-1)-INDEX(Data!1478:1478,1,$U$1-1))</f>
        <v>148274291</v>
      </c>
      <c r="M155" s="88">
        <f t="shared" si="88"/>
        <v>295666551</v>
      </c>
      <c r="N155" s="89">
        <f>(INDEX(Data!199:199,1,$U$1)+INDEX(Data!814:814,1,$U$1)-INDEX(Data!1478:1478,1,$U$1))</f>
        <v>167335498</v>
      </c>
      <c r="O155" s="90">
        <f>(INDEX(Data!199:199,1,$U$1+1)+INDEX(Data!814:814,1,$U$1+1)-INDEX(Data!1478:1478,1,$U$1+1))</f>
        <v>167318819</v>
      </c>
      <c r="P155" s="88">
        <f t="shared" si="89"/>
        <v>334654317</v>
      </c>
      <c r="Q155" s="86">
        <f t="shared" si="59"/>
        <v>38987766</v>
      </c>
      <c r="R155" s="84">
        <f t="shared" si="60"/>
        <v>0.13186397266831851</v>
      </c>
      <c r="S155" s="85">
        <f t="shared" si="76"/>
        <v>2.2514067349688121E-2</v>
      </c>
      <c r="T155" s="85">
        <f t="shared" si="54"/>
        <v>0.89853811144739781</v>
      </c>
      <c r="V155" s="764"/>
      <c r="W155" s="765"/>
    </row>
    <row r="156" spans="1:23" ht="25.5" hidden="1" outlineLevel="1">
      <c r="A156" s="79" t="s">
        <v>1556</v>
      </c>
      <c r="B156" s="86">
        <f>(INDEX(Data!101:101,1,$U$1-2)+INDEX(Data!488:488,1,$U$1-2)-INDEX(Data!1322:1322,1,$U$1-2))</f>
        <v>75846118</v>
      </c>
      <c r="C156" s="87">
        <f>(INDEX(Data!101:101,1,$U$1-1)+INDEX(Data!488:488,1,$U$1-1)-INDEX(Data!1322:1322,1,$U$1-1))</f>
        <v>76000964</v>
      </c>
      <c r="D156" s="88">
        <f t="shared" ref="D156" si="92">B156+C156</f>
        <v>151847082</v>
      </c>
      <c r="E156" s="89">
        <f>(INDEX(Data!101:101,1,$U$1)+INDEX(Data!488:488,1,$U$1)-INDEX(Data!1322:1322,1,$U$1))</f>
        <v>81037083</v>
      </c>
      <c r="F156" s="90">
        <f>(INDEX(Data!101:101,1,$U$1+1)+INDEX(Data!488:488,1,$U$1+1)-INDEX(Data!1322:1322,1,$U$1+1))</f>
        <v>81021475</v>
      </c>
      <c r="G156" s="88">
        <f t="shared" ref="G156:G157" si="93">E156+F156</f>
        <v>162058558</v>
      </c>
      <c r="H156" s="86">
        <f t="shared" ref="H156:H157" si="94">G156-D156</f>
        <v>10211476</v>
      </c>
      <c r="I156" s="447">
        <f t="shared" ref="I156:I157" si="95">IFERROR(H156/D156,"")</f>
        <v>6.7248417720664533E-2</v>
      </c>
      <c r="J156" s="453">
        <f t="shared" si="75"/>
        <v>6.740451051599628E-3</v>
      </c>
      <c r="K156" s="91">
        <f>(INDEX(Data!200:200,1,$U$1-2)+INDEX(Data!815:815,1,$U$1-2)-INDEX(Data!1479:1479,1,$U$1-2))</f>
        <v>70214532</v>
      </c>
      <c r="L156" s="87">
        <f>(INDEX(Data!200:200,1,$U$1-1)+INDEX(Data!815:815,1,$U$1-1)-INDEX(Data!1479:1479,1,$U$1-1))</f>
        <v>70369378</v>
      </c>
      <c r="M156" s="88">
        <f t="shared" ref="M156" si="96">K156+L156</f>
        <v>140583910</v>
      </c>
      <c r="N156" s="89">
        <f>(INDEX(Data!200:200,1,$U$1)+INDEX(Data!815:815,1,$U$1)-INDEX(Data!1479:1479,1,$U$1))</f>
        <v>75244916</v>
      </c>
      <c r="O156" s="90">
        <f>(INDEX(Data!200:200,1,$U$1+1)+INDEX(Data!815:815,1,$U$1+1)-INDEX(Data!1479:1479,1,$U$1+1))</f>
        <v>75229308</v>
      </c>
      <c r="P156" s="88">
        <f t="shared" ref="P156" si="97">N156+O156</f>
        <v>150474224</v>
      </c>
      <c r="Q156" s="86">
        <f t="shared" ref="Q156" si="98">P156-M156</f>
        <v>9890314</v>
      </c>
      <c r="R156" s="84">
        <f t="shared" ref="R156" si="99">IFERROR(Q156/M156,"")</f>
        <v>7.0351678225481135E-2</v>
      </c>
      <c r="S156" s="85">
        <f t="shared" si="76"/>
        <v>1.0123242526490573E-2</v>
      </c>
      <c r="T156" s="85">
        <f t="shared" ref="T156:T157" si="100">IFERROR(P156/G156,"")</f>
        <v>0.92851760411196549</v>
      </c>
      <c r="V156" s="764"/>
      <c r="W156" s="765"/>
    </row>
    <row r="157" spans="1:23" s="1044" customFormat="1" ht="25.5" hidden="1" outlineLevel="1">
      <c r="A157" s="79" t="s">
        <v>1843</v>
      </c>
      <c r="B157" s="86">
        <f>(INDEX(Data!102:102,1,$U$1-2)-INDEX(Data!1323:1323,1,$U$1-2))</f>
        <v>6071343</v>
      </c>
      <c r="C157" s="87">
        <f>(INDEX(Data!102:102,1,$U$1-1)-INDEX(Data!1323:1323,1,$U$1-1))</f>
        <v>6071343</v>
      </c>
      <c r="D157" s="88">
        <f t="shared" ref="D157:D158" si="101">B157+C157</f>
        <v>12142686</v>
      </c>
      <c r="E157" s="89">
        <f>(INDEX(Data!102:102,1,$U$1)-INDEX(Data!1323:1323,1,$U$1))</f>
        <v>12283896</v>
      </c>
      <c r="F157" s="90">
        <f>(INDEX(Data!102:102,1,$U$1+1)-INDEX(Data!1323:1323,1,$U$1+1))</f>
        <v>12283896</v>
      </c>
      <c r="G157" s="88">
        <f t="shared" si="93"/>
        <v>24567792</v>
      </c>
      <c r="H157" s="86">
        <f t="shared" si="94"/>
        <v>12425106</v>
      </c>
      <c r="I157" s="447">
        <f t="shared" si="95"/>
        <v>1.0232584454543254</v>
      </c>
      <c r="J157" s="453">
        <f t="shared" si="75"/>
        <v>1.0218405091687965E-3</v>
      </c>
      <c r="K157" s="91">
        <f>(INDEX(Data!201:201,1,$U$1-2)-INDEX(Data!1480:1480,1,$U$1-2))</f>
        <v>5691443</v>
      </c>
      <c r="L157" s="87">
        <f>(INDEX(Data!201:201,1,$U$1-1)-INDEX(Data!1480:1480,1,$U$1-1))</f>
        <v>5691443</v>
      </c>
      <c r="M157" s="88">
        <f t="shared" ref="M157:M158" si="102">K157+L157</f>
        <v>11382886</v>
      </c>
      <c r="N157" s="89">
        <f>(INDEX(Data!201:201,1,$U$1)-INDEX(Data!1480:1480,1,$U$1))</f>
        <v>10985359</v>
      </c>
      <c r="O157" s="90">
        <f>(INDEX(Data!201:201,1,$U$1+1)-INDEX(Data!1480:1480,1,$U$1+1))</f>
        <v>10985359</v>
      </c>
      <c r="P157" s="88">
        <f t="shared" ref="P157:P158" si="103">N157+O157</f>
        <v>21970718</v>
      </c>
      <c r="Q157" s="86">
        <f t="shared" ref="Q157:Q158" si="104">P157-M157</f>
        <v>10587832</v>
      </c>
      <c r="R157" s="84">
        <f t="shared" ref="R157:R158" si="105">IFERROR(Q157/M157,"")</f>
        <v>0.93015356562474583</v>
      </c>
      <c r="S157" s="85">
        <f t="shared" si="76"/>
        <v>1.4780930639332083E-3</v>
      </c>
      <c r="T157" s="85">
        <f t="shared" si="100"/>
        <v>0.89428948275042386</v>
      </c>
      <c r="U157" s="67"/>
      <c r="V157" s="764"/>
      <c r="W157" s="765"/>
    </row>
    <row r="158" spans="1:23" ht="25.5" hidden="1" outlineLevel="1">
      <c r="A158" s="79" t="s">
        <v>1670</v>
      </c>
      <c r="B158" s="86">
        <f>(INDEX(Data!95:95,1,$U$1-2)+(INDEX(Data!441:441,1,$U$1-2)-INDEX(Data!1324:1324,1,$U$1-2)))</f>
        <v>28326681</v>
      </c>
      <c r="C158" s="87">
        <f>(INDEX(Data!95:95,1,$U$1-1+(INDEX(Data!441:441,1,$U$1-1)-INDEX(Data!1324:1324,1,$U$1-1))))</f>
        <v>28338062</v>
      </c>
      <c r="D158" s="88">
        <f t="shared" si="101"/>
        <v>56664743</v>
      </c>
      <c r="E158" s="89">
        <f>(INDEX(Data!95:95,1,$U$1)+(INDEX(Data!441:441,1,$U$1)-INDEX(Data!1324:1324,1,$U$1)))</f>
        <v>36213258</v>
      </c>
      <c r="F158" s="90">
        <f>(INDEX(Data!95:95,1,$U$1+1)+(INDEX(Data!441:441,1,$U$1)-INDEX(Data!1324:1324,1,$U$1+1)))</f>
        <v>36213258</v>
      </c>
      <c r="G158" s="88">
        <f t="shared" ref="G158" si="106">E158+F158</f>
        <v>72426516</v>
      </c>
      <c r="H158" s="86">
        <f t="shared" ref="H158" si="107">G158-D158</f>
        <v>15761773</v>
      </c>
      <c r="I158" s="447">
        <f t="shared" ref="I158" si="108">IFERROR(H158/D158,"")</f>
        <v>0.2781583779529363</v>
      </c>
      <c r="J158" s="453">
        <f t="shared" si="75"/>
        <v>3.0124134878202315E-3</v>
      </c>
      <c r="K158" s="91">
        <f>(INDEX(Data!194:194,1,$U$1-2)+INDEX(Data!768:768,1,$U$1-2)-INDEX(Data!1481:1481,1,$U$1-2))</f>
        <v>26743331</v>
      </c>
      <c r="L158" s="87">
        <f>(INDEX(Data!194:194,1,$U$1-1)+INDEX(Data!768:768,1,$U$1-1)-INDEX(Data!1481:1481,1,$U$1-1))</f>
        <v>26754712</v>
      </c>
      <c r="M158" s="88">
        <f t="shared" si="102"/>
        <v>53498043</v>
      </c>
      <c r="N158" s="89">
        <f>(INDEX(Data!194:194,1,$U$1)+INDEX(Data!768:768,1,$U$1)-INDEX(Data!1481:1481,1,$U$1))</f>
        <v>34035966</v>
      </c>
      <c r="O158" s="90">
        <f>(INDEX(Data!194:194,1,$U$1+1)+INDEX(Data!768:768,1,$U$1+1)-INDEX(Data!1481:1481,1,$U$1+1))</f>
        <v>34035966</v>
      </c>
      <c r="P158" s="88">
        <f t="shared" si="103"/>
        <v>68071932</v>
      </c>
      <c r="Q158" s="86">
        <f t="shared" si="104"/>
        <v>14573889</v>
      </c>
      <c r="R158" s="84">
        <f t="shared" si="105"/>
        <v>0.27241910512502299</v>
      </c>
      <c r="S158" s="85">
        <f t="shared" si="76"/>
        <v>4.5795795357135346E-3</v>
      </c>
      <c r="T158" s="85">
        <f t="shared" ref="T158" si="109">IFERROR(P158/G158,"")</f>
        <v>0.93987583221592486</v>
      </c>
      <c r="V158" s="764"/>
      <c r="W158" s="765"/>
    </row>
    <row r="159" spans="1:23" hidden="1" outlineLevel="1">
      <c r="A159" s="79" t="s">
        <v>221</v>
      </c>
      <c r="B159" s="89">
        <f>(INDEX(Data!1036:1036,1,$U$1-2)+INDEX(Data!1037:1037,1,$U$1-2)+INDEX(Data!1100:1100,1,$U$1-2)+INDEX(Data!1101:1101,1,$U$1-2)+(INDEX(Data!1063:1063,1,$U$1-2)+INDEX(Data!1064:1064,1,$U$1-2)+INDEX(Data!1065:1065,1,$U$1-2)+INDEX(Data!1066:1066,1,$U$1-2)-INDEX(Data!1388:1388,1,$U$1-2)))</f>
        <v>49541747</v>
      </c>
      <c r="C159" s="89">
        <f>(INDEX(Data!1036:1036,1,$U$1-1)+INDEX(Data!1037:1037,1,$U$1-1)+INDEX(Data!1100:1100,1,$U$1-1)+INDEX(Data!1101:1101,1,$U$1-1)+(INDEX(Data!1063:1063,1,$U$1-1)+INDEX(Data!1064:1064,1,$U$1-1)+INDEX(Data!1065:1065,1,$U$1-1)+INDEX(Data!1066:1066,1,$U$1-1)-INDEX(Data!1388:1388,1,$U$1-1)))</f>
        <v>48649611</v>
      </c>
      <c r="D159" s="88">
        <f t="shared" si="86"/>
        <v>98191358</v>
      </c>
      <c r="E159" s="89">
        <f>(INDEX(Data!1036:1036,1,$U$1)+INDEX(Data!1037:1037,1,$U$1)+INDEX(Data!1100:1100,1,$U$1)+INDEX(Data!1101:1101,1,$U$1)+(INDEX(Data!1063:1063,1,$U$1)+INDEX(Data!1064:1064,1,$U$1)+INDEX(Data!1065:1065,1,$U$1)+INDEX(Data!1066:1066,1,$U$1)-INDEX(Data!1388:1388,1,$U$1)))</f>
        <v>48444436</v>
      </c>
      <c r="F159" s="90">
        <f>(INDEX(Data!1036:1036,1,$U$1+1)+INDEX(Data!1037:1037,1,$U$1+1)+INDEX(Data!1100:1100,1,$U$1+1)+INDEX(Data!1101:1101,1,$U$1+1)+(INDEX(Data!1063:1063,1,$U$1+1)+INDEX(Data!1064:1064,1,$U$1+1)+INDEX(Data!1065:1065,1,$U$1+1)+INDEX(Data!1066:1066,1,$U$1+1)-INDEX(Data!1388:1388,1,$U$1+1)))</f>
        <v>48426485</v>
      </c>
      <c r="G159" s="88">
        <f t="shared" si="87"/>
        <v>96870921</v>
      </c>
      <c r="H159" s="86">
        <f t="shared" si="56"/>
        <v>-1320437</v>
      </c>
      <c r="I159" s="447">
        <f t="shared" si="57"/>
        <v>-1.3447588737900947E-2</v>
      </c>
      <c r="J159" s="453">
        <f t="shared" si="75"/>
        <v>4.0291219999864158E-3</v>
      </c>
      <c r="K159" s="91">
        <f>(INDEX(Data!1177:1177,1,$U$1-2)+INDEX(Data!1178:1178,1,$U$1-2)+(INDEX(Data!1203:1203,1,$U$1-2)+INDEX(Data!1204:1204,1,$U$1-2)-INDEX(Data!1545:1545,1,$U$1-2)))</f>
        <v>46202554</v>
      </c>
      <c r="L159" s="87">
        <f>(INDEX(Data!1177:1177,1,$U$1-1)+INDEX(Data!1178:1178,1,$U$1-1)+(INDEX(Data!1203:1203,1,$U$1-1)+INDEX(Data!1204:1204,1,$U$1-1)-INDEX(Data!1545:1545,1,$U$1-1)))</f>
        <v>45310418</v>
      </c>
      <c r="M159" s="88">
        <f t="shared" si="88"/>
        <v>91512972</v>
      </c>
      <c r="N159" s="89">
        <f>(INDEX(Data!1177:1177,1,$U$1)+INDEX(Data!1178:1178,1,$U$1)+(INDEX(Data!1203:1203,1,$U$1)+INDEX(Data!1204:1204,1,$U$1)-INDEX(Data!1545:1545,1,$U$1)))</f>
        <v>45105243</v>
      </c>
      <c r="O159" s="90">
        <f>(INDEX(Data!1177:1177,1,$U$1+1)+INDEX(Data!1178:1178,1,$U$1+1)+(INDEX(Data!1203:1203,1,$U$1+1)+INDEX(Data!1204:1204,1,$U$1+1)-INDEX(Data!1545:1545,1,$U$1+1)))</f>
        <v>45087292</v>
      </c>
      <c r="P159" s="88">
        <f t="shared" si="89"/>
        <v>90192535</v>
      </c>
      <c r="Q159" s="86">
        <f t="shared" si="59"/>
        <v>-1320437</v>
      </c>
      <c r="R159" s="84">
        <f t="shared" si="60"/>
        <v>-1.4428959863744782E-2</v>
      </c>
      <c r="S159" s="85">
        <f t="shared" si="76"/>
        <v>6.0677562017797107E-3</v>
      </c>
      <c r="T159" s="85">
        <f t="shared" si="54"/>
        <v>0.93105891911567562</v>
      </c>
      <c r="V159" s="764"/>
      <c r="W159" s="765"/>
    </row>
    <row r="160" spans="1:23" collapsed="1">
      <c r="A160" s="113" t="s">
        <v>1284</v>
      </c>
      <c r="B160" s="105">
        <f t="shared" ref="B160:H160" si="110">SUM(B147:B159)</f>
        <v>1790143896</v>
      </c>
      <c r="C160" s="106">
        <f t="shared" si="110"/>
        <v>1796772629</v>
      </c>
      <c r="D160" s="107">
        <f t="shared" si="110"/>
        <v>3586916525</v>
      </c>
      <c r="E160" s="114">
        <f t="shared" si="110"/>
        <v>1902950884</v>
      </c>
      <c r="F160" s="115">
        <f t="shared" si="110"/>
        <v>1902620695</v>
      </c>
      <c r="G160" s="107">
        <f t="shared" si="110"/>
        <v>3805571579</v>
      </c>
      <c r="H160" s="105">
        <f t="shared" si="110"/>
        <v>218655054</v>
      </c>
      <c r="I160" s="449">
        <f t="shared" si="57"/>
        <v>6.0959058421355371E-2</v>
      </c>
      <c r="J160" s="454">
        <f t="shared" si="75"/>
        <v>0.15828395160475392</v>
      </c>
      <c r="K160" s="405">
        <f t="shared" ref="K160:Q160" si="111">SUM(K147:K159)</f>
        <v>1633426134</v>
      </c>
      <c r="L160" s="106">
        <f t="shared" si="111"/>
        <v>1640054868</v>
      </c>
      <c r="M160" s="107">
        <f t="shared" si="111"/>
        <v>3273481002</v>
      </c>
      <c r="N160" s="114">
        <f t="shared" si="111"/>
        <v>1741690958</v>
      </c>
      <c r="O160" s="115">
        <f t="shared" si="111"/>
        <v>1741360771</v>
      </c>
      <c r="P160" s="107">
        <f t="shared" si="111"/>
        <v>3483051729</v>
      </c>
      <c r="Q160" s="105">
        <f t="shared" si="111"/>
        <v>209570727</v>
      </c>
      <c r="R160" s="108">
        <f t="shared" si="60"/>
        <v>6.4020755541870714E-2</v>
      </c>
      <c r="S160" s="109">
        <f t="shared" si="76"/>
        <v>0.2343243676403961</v>
      </c>
      <c r="T160" s="109">
        <f t="shared" si="54"/>
        <v>0.91525061523484752</v>
      </c>
      <c r="V160" s="764"/>
      <c r="W160" s="765"/>
    </row>
    <row r="161" spans="1:23" hidden="1" outlineLevel="1">
      <c r="A161" s="79" t="s">
        <v>83</v>
      </c>
      <c r="B161" s="86">
        <f>(INDEX(Data!111:111,1,$U$1-2)+INDEX(Data!456:456,1,$U$1-2)-INDEX(Data!1381:1381,1,$U$1-2))</f>
        <v>80388514</v>
      </c>
      <c r="C161" s="87">
        <f>(INDEX(Data!111:111,1,$U$1-1)+INDEX(Data!456:456,1,$U$1-1)-INDEX(Data!1381:1381,1,$U$1-1))</f>
        <v>80792492</v>
      </c>
      <c r="D161" s="88">
        <f t="shared" ref="D161:D165" si="112">B161+C161</f>
        <v>161181006</v>
      </c>
      <c r="E161" s="89">
        <f>(INDEX(Data!111:111,1,$U$1)+INDEX(Data!456:456,1,$U$1)-INDEX(Data!1381:1381,1,$U$1))</f>
        <v>81338950</v>
      </c>
      <c r="F161" s="90">
        <f>(INDEX(Data!111:111,1,$U$1+1)+INDEX(Data!456:456,1,$U$1+1)-INDEX(Data!1381:1381,1,$U$1+1))</f>
        <v>81338949</v>
      </c>
      <c r="G161" s="88">
        <f t="shared" ref="G161:G165" si="113">E161+F161</f>
        <v>162677899</v>
      </c>
      <c r="H161" s="86">
        <f t="shared" si="56"/>
        <v>1496893</v>
      </c>
      <c r="I161" s="447">
        <f t="shared" si="57"/>
        <v>9.2870310041370512E-3</v>
      </c>
      <c r="J161" s="453">
        <f t="shared" si="75"/>
        <v>6.7662111086201826E-3</v>
      </c>
      <c r="K161" s="91">
        <f>(INDEX(Data!210:210,1,$U$1-2)+INDEX(Data!783:783,1,$U$1-2)-INDEX(Data!1538:1538,1,$U$1-2))</f>
        <v>63900029</v>
      </c>
      <c r="L161" s="87">
        <f>(INDEX(Data!210:210,1,$U$1-1)+INDEX(Data!783:783,1,$U$1-1)-INDEX(Data!1538:1538,1,$U$1-1))</f>
        <v>64304007</v>
      </c>
      <c r="M161" s="88">
        <f t="shared" ref="M161" si="114">K161+L161</f>
        <v>128204036</v>
      </c>
      <c r="N161" s="89">
        <f>(INDEX(Data!210:210,1,$U$1)+INDEX(Data!783:783,1,$U$1)-INDEX(Data!1538:1538,1,$U$1))</f>
        <v>64850465</v>
      </c>
      <c r="O161" s="90">
        <f>(INDEX(Data!210:210,1,$U$1+1)+INDEX(Data!783:783,1,$U$1+1)-INDEX(Data!1538:1538,1,$U$1+1))</f>
        <v>64850464</v>
      </c>
      <c r="P161" s="88">
        <f t="shared" ref="P161:P166" si="115">N161+O161</f>
        <v>129700929</v>
      </c>
      <c r="Q161" s="86">
        <f t="shared" si="59"/>
        <v>1496893</v>
      </c>
      <c r="R161" s="84">
        <f t="shared" si="60"/>
        <v>1.1675864869027993E-2</v>
      </c>
      <c r="S161" s="85">
        <f t="shared" si="76"/>
        <v>8.7257068039648718E-3</v>
      </c>
      <c r="T161" s="85">
        <f t="shared" si="54"/>
        <v>0.7972867230108498</v>
      </c>
      <c r="V161" s="764"/>
      <c r="W161" s="765"/>
    </row>
    <row r="162" spans="1:23" hidden="1" outlineLevel="1">
      <c r="A162" s="79" t="s">
        <v>84</v>
      </c>
      <c r="B162" s="86">
        <f>(INDEX(Data!112:112,1,$U$1-2)+INDEX(Data!457:457,1,$U$1-2)-INDEX(Data!1382:1382,1,$U$1-2))</f>
        <v>82941214</v>
      </c>
      <c r="C162" s="87">
        <f>(INDEX(Data!112:112,1,$U$1-1)+INDEX(Data!457:457,1,$U$1-1)-INDEX(Data!1382:1382,1,$U$1-1))</f>
        <v>83545060</v>
      </c>
      <c r="D162" s="88">
        <f t="shared" si="112"/>
        <v>166486274</v>
      </c>
      <c r="E162" s="89">
        <f>(INDEX(Data!112:112,1,$U$1)+INDEX(Data!457:457,1,$U$1)-INDEX(Data!1382:1382,1,$U$1))</f>
        <v>89433134</v>
      </c>
      <c r="F162" s="90">
        <f>(INDEX(Data!112:112,1,$U$1+1)+INDEX(Data!457:457,1,$U$1+1)-INDEX(Data!1382:1382,1,$U$1+1))</f>
        <v>89433134</v>
      </c>
      <c r="G162" s="88">
        <f t="shared" si="113"/>
        <v>178866268</v>
      </c>
      <c r="H162" s="86">
        <f t="shared" si="56"/>
        <v>12379994</v>
      </c>
      <c r="I162" s="447">
        <f t="shared" si="57"/>
        <v>7.4360448477572394E-2</v>
      </c>
      <c r="J162" s="453">
        <f t="shared" si="75"/>
        <v>7.439528890762442E-3</v>
      </c>
      <c r="K162" s="91">
        <f>(INDEX(Data!211:211,1,$U$1-2)+INDEX(Data!784:784,1,$U$1-2)-INDEX(Data!1539:1539,1,$U$1-2))</f>
        <v>57289808</v>
      </c>
      <c r="L162" s="87">
        <f>(INDEX(Data!211:211,1,$U$1-1)+INDEX(Data!784:784,1,$U$1-1)-INDEX(Data!1539:1539,1,$U$1-1))</f>
        <v>57893654</v>
      </c>
      <c r="M162" s="88">
        <f t="shared" ref="M162:M166" si="116">K162+L162</f>
        <v>115183462</v>
      </c>
      <c r="N162" s="89">
        <f>(INDEX(Data!211:211,1,$U$1)+INDEX(Data!784:784,1,$U$1)-INDEX(Data!1539:1539,1,$U$1))</f>
        <v>62724045</v>
      </c>
      <c r="O162" s="90">
        <f>(INDEX(Data!211:211,1,$U$1+1)+INDEX(Data!784:784,1,$U$1+1)-INDEX(Data!1539:1539,1,$U$1+1))</f>
        <v>62724045</v>
      </c>
      <c r="P162" s="88">
        <f t="shared" si="115"/>
        <v>125448090</v>
      </c>
      <c r="Q162" s="86">
        <f t="shared" si="59"/>
        <v>10264628</v>
      </c>
      <c r="R162" s="84">
        <f t="shared" si="60"/>
        <v>8.9115466940905108E-2</v>
      </c>
      <c r="S162" s="85">
        <f t="shared" si="76"/>
        <v>8.4395945418201113E-3</v>
      </c>
      <c r="T162" s="85">
        <f t="shared" si="54"/>
        <v>0.70135130230368536</v>
      </c>
      <c r="V162" s="764"/>
      <c r="W162" s="765"/>
    </row>
    <row r="163" spans="1:23" hidden="1" outlineLevel="1">
      <c r="A163" s="79" t="s">
        <v>85</v>
      </c>
      <c r="B163" s="86">
        <f>(INDEX(Data!113:113,1,$U$1-2)+INDEX(Data!458:458,1,$U$1-2)-INDEX(Data!1383:1383,1,$U$1-2))</f>
        <v>126249632</v>
      </c>
      <c r="C163" s="87">
        <f>(INDEX(Data!113:113,1,$U$1-1)+INDEX(Data!458:458,1,$U$1-1)-INDEX(Data!1383:1383,1,$U$1-1))</f>
        <v>126350590</v>
      </c>
      <c r="D163" s="88">
        <f t="shared" si="112"/>
        <v>252600222</v>
      </c>
      <c r="E163" s="89">
        <f>(INDEX(Data!113:113,1,$U$1)+INDEX(Data!458:458,1,$U$1)-INDEX(Data!1383:1383,1,$U$1))</f>
        <v>127951102</v>
      </c>
      <c r="F163" s="90">
        <f>(INDEX(Data!113:113,1,$U$1+1)+INDEX(Data!458:458,1,$U$1+1)-INDEX(Data!1383:1383,1,$U$1+1))</f>
        <v>127952101</v>
      </c>
      <c r="G163" s="88">
        <f t="shared" si="113"/>
        <v>255903203</v>
      </c>
      <c r="H163" s="86">
        <f t="shared" si="56"/>
        <v>3302981</v>
      </c>
      <c r="I163" s="447">
        <f t="shared" si="57"/>
        <v>1.3075922791548457E-2</v>
      </c>
      <c r="J163" s="453">
        <f t="shared" si="75"/>
        <v>1.0643702097911196E-2</v>
      </c>
      <c r="K163" s="91">
        <f>(INDEX(Data!212:212,1,$U$1-2)+INDEX(Data!785:785,1,$U$1-2)-INDEX(Data!1540:1540,1,$U$1-2))</f>
        <v>23847228</v>
      </c>
      <c r="L163" s="87">
        <f>(INDEX(Data!212:212,1,$U$1-1)+INDEX(Data!785:785,1,$U$1-1)-INDEX(Data!1540:1540,1,$U$1-1))</f>
        <v>23948187</v>
      </c>
      <c r="M163" s="88">
        <f t="shared" si="116"/>
        <v>47795415</v>
      </c>
      <c r="N163" s="89">
        <f>(INDEX(Data!212:212,1,$U$1)+INDEX(Data!785:785,1,$U$1)-INDEX(Data!1540:1540,1,$U$1))</f>
        <v>25776756</v>
      </c>
      <c r="O163" s="90">
        <f>(INDEX(Data!212:212,1,$U$1+1)+INDEX(Data!785:785,1,$U$1+1)-INDEX(Data!1540:1540,1,$U$1+1))</f>
        <v>25777755</v>
      </c>
      <c r="P163" s="88">
        <f t="shared" si="115"/>
        <v>51554511</v>
      </c>
      <c r="Q163" s="86">
        <f t="shared" si="59"/>
        <v>3759096</v>
      </c>
      <c r="R163" s="84">
        <f t="shared" si="60"/>
        <v>7.8649719852835254E-2</v>
      </c>
      <c r="S163" s="85">
        <f t="shared" si="76"/>
        <v>3.4683602567548446E-3</v>
      </c>
      <c r="T163" s="85">
        <f t="shared" si="54"/>
        <v>0.20146098366732831</v>
      </c>
      <c r="V163" s="764"/>
      <c r="W163" s="765"/>
    </row>
    <row r="164" spans="1:23" hidden="1" outlineLevel="1">
      <c r="A164" s="390" t="s">
        <v>86</v>
      </c>
      <c r="B164" s="86">
        <f>(INDEX(Data!114:114,1,$U$1-2)+INDEX(Data!459:459,1,$U$1-2)-INDEX(Data!1384:1384,1,$U$1-2))</f>
        <v>71612107</v>
      </c>
      <c r="C164" s="87">
        <f>(INDEX(Data!114:114,1,$U$1-1)+INDEX(Data!459:459,1,$U$1-1)-INDEX(Data!1384:1384,1,$U$1-1))</f>
        <v>73539724</v>
      </c>
      <c r="D164" s="88">
        <f t="shared" si="112"/>
        <v>145151831</v>
      </c>
      <c r="E164" s="89">
        <f>(INDEX(Data!114:114,1,$U$1)+INDEX(Data!459:459,1,$U$1)-INDEX(Data!1384:1384,1,$U$1))</f>
        <v>74624299</v>
      </c>
      <c r="F164" s="90">
        <f>(INDEX(Data!114:114,1,$U$1+1)+INDEX(Data!459:459,1,$U$1+1)-INDEX(Data!1384:1384,1,$U$1+1))</f>
        <v>75581898</v>
      </c>
      <c r="G164" s="88">
        <f t="shared" si="113"/>
        <v>150206197</v>
      </c>
      <c r="H164" s="86">
        <f t="shared" si="56"/>
        <v>5054366</v>
      </c>
      <c r="I164" s="447">
        <f t="shared" si="57"/>
        <v>3.4821234876465317E-2</v>
      </c>
      <c r="J164" s="453">
        <f t="shared" si="75"/>
        <v>6.2474794976605363E-3</v>
      </c>
      <c r="K164" s="413">
        <f>(INDEX(Data!213:213,1,$U$1-2)+INDEX(Data!786:786,1,$U$1-2)-INDEX(Data!1541:1541,1,$U$1-2))</f>
        <v>8699736</v>
      </c>
      <c r="L164" s="391">
        <f>(INDEX(Data!213:213,1,$U$1-1)+INDEX(Data!786:786,1,$U$1-1)-INDEX(Data!1541:1541,1,$U$1-1))</f>
        <v>8751395</v>
      </c>
      <c r="M164" s="88">
        <f t="shared" si="116"/>
        <v>17451131</v>
      </c>
      <c r="N164" s="392">
        <f>(INDEX(Data!213:213,1,$U$1)+INDEX(Data!786:786,1,$U$1)-INDEX(Data!1541:1541,1,$U$1))</f>
        <v>9343970</v>
      </c>
      <c r="O164" s="393">
        <f>(INDEX(Data!213:213,1,$U$1+1)+INDEX(Data!786:786,1,$U$1+1)-INDEX(Data!1541:1541,1,$U$1+1))</f>
        <v>9343969</v>
      </c>
      <c r="P164" s="88">
        <f t="shared" si="115"/>
        <v>18687939</v>
      </c>
      <c r="Q164" s="86">
        <f t="shared" si="59"/>
        <v>1236808</v>
      </c>
      <c r="R164" s="84">
        <f t="shared" si="60"/>
        <v>7.0872655760821468E-2</v>
      </c>
      <c r="S164" s="85">
        <f t="shared" si="76"/>
        <v>1.2572421627325468E-3</v>
      </c>
      <c r="T164" s="85">
        <f t="shared" si="54"/>
        <v>0.12441523301465385</v>
      </c>
      <c r="V164" s="764"/>
      <c r="W164" s="765"/>
    </row>
    <row r="165" spans="1:23" hidden="1" outlineLevel="1">
      <c r="A165" s="79" t="s">
        <v>87</v>
      </c>
      <c r="B165" s="86">
        <f>(INDEX(Data!115:115,1,$U$1-2)+INDEX(Data!460:460,1,$U$1-2)-INDEX(Data!1385:1385,1,$U$1-2))</f>
        <v>88092204</v>
      </c>
      <c r="C165" s="87">
        <f>(INDEX(Data!115:115,1,$U$1-1)+INDEX(Data!460:460,1,$U$1-1)-INDEX(Data!1385:1385,1,$U$1-1))</f>
        <v>88265408</v>
      </c>
      <c r="D165" s="88">
        <f t="shared" si="112"/>
        <v>176357612</v>
      </c>
      <c r="E165" s="89">
        <f>(INDEX(Data!115:115,1,$U$1)+INDEX(Data!460:460,1,$U$1)-INDEX(Data!1385:1385,1,$U$1))</f>
        <v>90473666</v>
      </c>
      <c r="F165" s="90">
        <f>(INDEX(Data!115:115,1,$U$1+1)+INDEX(Data!460:460,1,$U$1+1)-INDEX(Data!1385:1385,1,$U$1+1))</f>
        <v>90473666</v>
      </c>
      <c r="G165" s="88">
        <f t="shared" si="113"/>
        <v>180947332</v>
      </c>
      <c r="H165" s="86">
        <f t="shared" si="56"/>
        <v>4589720</v>
      </c>
      <c r="I165" s="447">
        <f t="shared" si="57"/>
        <v>2.6025074551361015E-2</v>
      </c>
      <c r="J165" s="453">
        <f t="shared" si="75"/>
        <v>7.526085936563418E-3</v>
      </c>
      <c r="K165" s="91">
        <f>(INDEX(Data!214:214,1,$U$1-2)+INDEX(Data!787:787,1,$U$1-2)-INDEX(Data!1542:1542,1,$U$1-2))</f>
        <v>12590225</v>
      </c>
      <c r="L165" s="87">
        <f>(INDEX(Data!214:214,1,$U$1-1)+INDEX(Data!787:787,1,$U$1-1)-INDEX(Data!1542:1542,1,$U$1-1))</f>
        <v>12763428</v>
      </c>
      <c r="M165" s="88">
        <f t="shared" si="116"/>
        <v>25353653</v>
      </c>
      <c r="N165" s="89">
        <f>(INDEX(Data!214:214,1,$U$1)+INDEX(Data!787:787,1,$U$1)-INDEX(Data!1542:1542,1,$U$1))</f>
        <v>9556741</v>
      </c>
      <c r="O165" s="90">
        <f>(INDEX(Data!214:214,1,$U$1+1)+INDEX(Data!787:787,1,$U$1+1)-INDEX(Data!1542:1542,1,$U$1+1))</f>
        <v>9556741</v>
      </c>
      <c r="P165" s="88">
        <f t="shared" si="115"/>
        <v>19113482</v>
      </c>
      <c r="Q165" s="86">
        <f t="shared" si="59"/>
        <v>-6240171</v>
      </c>
      <c r="R165" s="84">
        <f t="shared" si="60"/>
        <v>-0.24612512445445239</v>
      </c>
      <c r="S165" s="85">
        <f t="shared" si="76"/>
        <v>1.2858708200529552E-3</v>
      </c>
      <c r="T165" s="85">
        <f t="shared" si="54"/>
        <v>0.10563008467016248</v>
      </c>
      <c r="V165" s="764"/>
      <c r="W165" s="765"/>
    </row>
    <row r="166" spans="1:23" hidden="1" outlineLevel="1">
      <c r="A166" s="79" t="s">
        <v>88</v>
      </c>
      <c r="B166" s="86">
        <f>(INDEX(Data!116:116,1,$U$1-2)+INDEX(Data!461:461,1,$U$1-2)-INDEX(Data!1386:1386,1,$U$1-2))</f>
        <v>65390698</v>
      </c>
      <c r="C166" s="87">
        <f>(INDEX(Data!116:116,1,$U$1-1)+INDEX(Data!461:461,1,$U$1-1)-INDEX(Data!1386:1386,1,$U$1-1))</f>
        <v>65567965</v>
      </c>
      <c r="D166" s="88">
        <f t="shared" ref="D166:D168" si="117">B166+C166</f>
        <v>130958663</v>
      </c>
      <c r="E166" s="89">
        <f>(INDEX(Data!116:116,1,$U$1)+INDEX(Data!461:461,1,$U$1)-INDEX(Data!1386:1386,1,$U$1))</f>
        <v>65976435</v>
      </c>
      <c r="F166" s="90">
        <f>(INDEX(Data!116:116,1,$U$1+1)+INDEX(Data!461:461,1,$U$1+1)-INDEX(Data!1386:1386,1,$U$1+1))</f>
        <v>65976435</v>
      </c>
      <c r="G166" s="88">
        <f t="shared" ref="G166:G168" si="118">E166+F166</f>
        <v>131952870</v>
      </c>
      <c r="H166" s="86">
        <f t="shared" ref="H166:H168" si="119">G166-D166</f>
        <v>994207</v>
      </c>
      <c r="I166" s="447">
        <f t="shared" ref="I166:I168" si="120">IFERROR(H166/D166,"")</f>
        <v>7.5917619898120065E-3</v>
      </c>
      <c r="J166" s="453">
        <f t="shared" ref="J166:J168" si="121">IFERROR(G166/G$254,"")</f>
        <v>5.4882745615513189E-3</v>
      </c>
      <c r="K166" s="91">
        <f>(INDEX(Data!215:215,1,$U$1-2)+INDEX(Data!788:788,1,$U$1-2)-INDEX(Data!1543:1543,1,$U$1-2))</f>
        <v>36670926</v>
      </c>
      <c r="L166" s="87">
        <f>(INDEX(Data!215:215,1,$U$1-1)+INDEX(Data!788:788,1,$U$1-1)-INDEX(Data!1543:1543,1,$U$1-1))</f>
        <v>36848192</v>
      </c>
      <c r="M166" s="88">
        <f t="shared" si="116"/>
        <v>73519118</v>
      </c>
      <c r="N166" s="89">
        <f>(INDEX(Data!215:215,1,$U$1)+INDEX(Data!788:788,1,$U$1)-INDEX(Data!1543:1543,1,$U$1))</f>
        <v>36757677</v>
      </c>
      <c r="O166" s="90">
        <f>(INDEX(Data!215:215,1,$U$1+1)+INDEX(Data!788:788,1,$U$1+1)-INDEX(Data!1543:1543,1,$U$1+1))</f>
        <v>36757676</v>
      </c>
      <c r="P166" s="88">
        <f t="shared" si="115"/>
        <v>73515353</v>
      </c>
      <c r="Q166" s="86">
        <f t="shared" si="59"/>
        <v>-3765</v>
      </c>
      <c r="R166" s="84">
        <f t="shared" si="60"/>
        <v>-5.1211169317890893E-5</v>
      </c>
      <c r="S166" s="85">
        <f t="shared" si="76"/>
        <v>4.9457889069397442E-3</v>
      </c>
      <c r="T166" s="85">
        <f t="shared" si="54"/>
        <v>0.55713341437742125</v>
      </c>
      <c r="V166" s="764"/>
      <c r="W166" s="765"/>
    </row>
    <row r="167" spans="1:23" s="1044" customFormat="1" ht="25.5" hidden="1" outlineLevel="1">
      <c r="A167" s="79" t="s">
        <v>89</v>
      </c>
      <c r="B167" s="86">
        <f>(INDEX(Data!117:117,1,$U$1-2)+INDEX(Data!462:462,1,$U$1-2)-INDEX(Data!1387:1387,1,$U$1-2))</f>
        <v>19510652</v>
      </c>
      <c r="C167" s="87">
        <f>(INDEX(Data!117:117,1,$U$1-1)+INDEX(Data!462:462,1,$U$1-1)-INDEX(Data!1387:1387,1,$U$1-1))</f>
        <v>19532626</v>
      </c>
      <c r="D167" s="88">
        <f t="shared" si="117"/>
        <v>39043278</v>
      </c>
      <c r="E167" s="89">
        <f>(INDEX(Data!117:117,1,$U$1)+INDEX(Data!462:462,1,$U$1)-INDEX(Data!1387:1387,1,$U$1))</f>
        <v>21380694</v>
      </c>
      <c r="F167" s="90">
        <f>(INDEX(Data!117:117,1,$U$1+1)+INDEX(Data!462:462,1,$U$1+1)-INDEX(Data!1387:1387,1,$U$1+1))</f>
        <v>21378692</v>
      </c>
      <c r="G167" s="88">
        <f t="shared" si="118"/>
        <v>42759386</v>
      </c>
      <c r="H167" s="86">
        <f t="shared" si="119"/>
        <v>3716108</v>
      </c>
      <c r="I167" s="447">
        <f t="shared" si="120"/>
        <v>9.5179200885745302E-2</v>
      </c>
      <c r="J167" s="453">
        <f t="shared" si="121"/>
        <v>1.7784778038655287E-3</v>
      </c>
      <c r="K167" s="91">
        <f>(INDEX(Data!216:216,1,$U$1-2)+INDEX(Data!789:789,1,$U$1-2)-INDEX(Data!1544:1544,1,$U$1-2))</f>
        <v>9169099</v>
      </c>
      <c r="L167" s="87">
        <f>(INDEX(Data!216:216,1,$U$1-1)+INDEX(Data!789:789,1,$U$1-1)-INDEX(Data!1544:1544,1,$U$1-1))</f>
        <v>9191073</v>
      </c>
      <c r="M167" s="88">
        <f t="shared" ref="M167:M168" si="122">K167+L167</f>
        <v>18360172</v>
      </c>
      <c r="N167" s="89">
        <f>(INDEX(Data!216:216,1,$U$1)+INDEX(Data!789:789,1,$U$1)-INDEX(Data!1544:1544,1,$U$1))</f>
        <v>9779343</v>
      </c>
      <c r="O167" s="90">
        <f>(INDEX(Data!216:216,1,$U$1+1)+INDEX(Data!789:789,1,$U$1+1)-INDEX(Data!1544:1544,1,$U$1+1))</f>
        <v>9779341</v>
      </c>
      <c r="P167" s="88">
        <f t="shared" ref="P167:P168" si="123">N167+O167</f>
        <v>19558684</v>
      </c>
      <c r="Q167" s="86">
        <f t="shared" ref="Q167:Q168" si="124">P167-M167</f>
        <v>1198512</v>
      </c>
      <c r="R167" s="84">
        <f t="shared" ref="R167:R168" si="125">IFERROR(Q167/M167,"")</f>
        <v>6.527781983741765E-2</v>
      </c>
      <c r="S167" s="85">
        <f t="shared" ref="S167:S168" si="126">IFERROR(P167/P$254,"")</f>
        <v>1.3158220482399081E-3</v>
      </c>
      <c r="T167" s="85">
        <f t="shared" ref="T167:T168" si="127">IFERROR(P167/G167,"")</f>
        <v>0.45741264853522451</v>
      </c>
      <c r="U167" s="67"/>
      <c r="V167" s="764"/>
      <c r="W167" s="765"/>
    </row>
    <row r="168" spans="1:23" ht="25.5" hidden="1" outlineLevel="1">
      <c r="A168" s="1173" t="s">
        <v>2051</v>
      </c>
      <c r="B168" s="86">
        <f>(INDEX(Data!118:118,1,$U$1-2)+INDEX(Data!463:463,1,$U$1-2)-INDEX(Data!1388:1388,1,$U$1-2))</f>
        <v>0</v>
      </c>
      <c r="C168" s="87">
        <f>(INDEX(Data!118:118,1,$U$1-1)+INDEX(Data!463:463,1,$U$1-1)-INDEX(Data!1388:1388,1,$U$1-1))</f>
        <v>0</v>
      </c>
      <c r="D168" s="88">
        <f t="shared" si="117"/>
        <v>0</v>
      </c>
      <c r="E168" s="89">
        <f>(INDEX(Data!118:118,1,$U$1)+INDEX(Data!463:463,1,$U$1)-INDEX(Data!1388:1388,1,$U$1))</f>
        <v>1442085837</v>
      </c>
      <c r="F168" s="90">
        <f>(INDEX(Data!118:118,1,$U$1+1)+INDEX(Data!463:463,1,$U$1+1)-INDEX(Data!1388:1388,1,$U$1+1))</f>
        <v>2084249532</v>
      </c>
      <c r="G168" s="88">
        <f t="shared" si="118"/>
        <v>3526335369</v>
      </c>
      <c r="H168" s="86">
        <f t="shared" si="119"/>
        <v>3526335369</v>
      </c>
      <c r="I168" s="447" t="str">
        <f t="shared" si="120"/>
        <v/>
      </c>
      <c r="J168" s="453">
        <f t="shared" si="121"/>
        <v>0.14666976702500964</v>
      </c>
      <c r="K168" s="91">
        <f>(INDEX(Data!217:217,1,$U$1-2)+INDEX(Data!790:790,1,$U$1-2)-INDEX(Data!1545:1545,1,$U$1-2))</f>
        <v>0</v>
      </c>
      <c r="L168" s="87">
        <f>(INDEX(Data!217:217,1,$U$1-1)+INDEX(Data!790:790,1,$U$1-1)-INDEX(Data!1545:1545,1,$U$1-1))</f>
        <v>0</v>
      </c>
      <c r="M168" s="88">
        <f t="shared" si="122"/>
        <v>0</v>
      </c>
      <c r="N168" s="89">
        <f>(INDEX(Data!217:217,1,$U$1)+INDEX(Data!790:790,1,$U$1)-INDEX(Data!1545:1545,1,$U$1))</f>
        <v>22183968</v>
      </c>
      <c r="O168" s="90">
        <f>(INDEX(Data!217:217,1,$U$1+1)+INDEX(Data!790:790,1,$U$1+1)-INDEX(Data!1545:1545,1,$U$1+1))</f>
        <v>11012098</v>
      </c>
      <c r="P168" s="88">
        <f t="shared" si="123"/>
        <v>33196066</v>
      </c>
      <c r="Q168" s="86">
        <f t="shared" si="124"/>
        <v>33196066</v>
      </c>
      <c r="R168" s="84" t="str">
        <f t="shared" si="125"/>
        <v/>
      </c>
      <c r="S168" s="85">
        <f t="shared" si="126"/>
        <v>2.2332849979900065E-3</v>
      </c>
      <c r="T168" s="85">
        <f t="shared" si="127"/>
        <v>9.41375749221883E-3</v>
      </c>
      <c r="V168" s="764"/>
      <c r="W168" s="765"/>
    </row>
    <row r="169" spans="1:23" collapsed="1">
      <c r="A169" s="113" t="s">
        <v>787</v>
      </c>
      <c r="B169" s="105">
        <f>SUM(B161:B168)</f>
        <v>534185021</v>
      </c>
      <c r="C169" s="106">
        <f t="shared" ref="C169:H169" si="128">SUM(C161:C168)</f>
        <v>537593865</v>
      </c>
      <c r="D169" s="107">
        <f t="shared" si="128"/>
        <v>1071778886</v>
      </c>
      <c r="E169" s="114">
        <f t="shared" si="128"/>
        <v>1993264117</v>
      </c>
      <c r="F169" s="115">
        <f t="shared" si="128"/>
        <v>2636384407</v>
      </c>
      <c r="G169" s="107">
        <f t="shared" si="128"/>
        <v>4629648524</v>
      </c>
      <c r="H169" s="105">
        <f t="shared" si="128"/>
        <v>3557869638</v>
      </c>
      <c r="I169" s="449">
        <f t="shared" si="57"/>
        <v>3.3195929538026001</v>
      </c>
      <c r="J169" s="454">
        <f t="shared" ref="J169:J196" si="129">IFERROR(G169/G$254,"")</f>
        <v>0.19255952692194428</v>
      </c>
      <c r="K169" s="405">
        <f>SUM(K161:K168)</f>
        <v>212167051</v>
      </c>
      <c r="L169" s="106">
        <f t="shared" ref="L169:Q169" si="130">SUM(L161:L168)</f>
        <v>213699936</v>
      </c>
      <c r="M169" s="107">
        <f t="shared" si="130"/>
        <v>425866987</v>
      </c>
      <c r="N169" s="114">
        <f t="shared" si="130"/>
        <v>240972965</v>
      </c>
      <c r="O169" s="115">
        <f t="shared" si="130"/>
        <v>229802089</v>
      </c>
      <c r="P169" s="107">
        <f t="shared" si="130"/>
        <v>470775054</v>
      </c>
      <c r="Q169" s="105">
        <f t="shared" si="130"/>
        <v>44908067</v>
      </c>
      <c r="R169" s="108">
        <f t="shared" si="60"/>
        <v>0.1054509233419401</v>
      </c>
      <c r="S169" s="109">
        <f t="shared" ref="S169:S196" si="131">IFERROR(P169/P$254,"")</f>
        <v>3.1671670538494991E-2</v>
      </c>
      <c r="T169" s="109">
        <f t="shared" ref="T169:T254" si="132">IFERROR(P169/G169,"")</f>
        <v>0.10168699666065623</v>
      </c>
      <c r="V169" s="764"/>
      <c r="W169" s="765"/>
    </row>
    <row r="170" spans="1:23" ht="25.5" hidden="1" outlineLevel="1">
      <c r="A170" s="79" t="s">
        <v>1441</v>
      </c>
      <c r="B170" s="86">
        <f>(INDEX(Data!104:104,1,$U$1-2)+INDEX(Data!496:496,1,$U$1-2)-INDEX(Data!1374:1374,1,$U$1-2))</f>
        <v>11894990</v>
      </c>
      <c r="C170" s="87">
        <f>(INDEX(Data!104:104,1,$U$1-1)+INDEX(Data!496:496,1,$U$1-1)-INDEX(Data!1374:1374,1,$U$1-1))</f>
        <v>12269922</v>
      </c>
      <c r="D170" s="88">
        <f t="shared" ref="D170:D172" si="133">B170+C170</f>
        <v>24164912</v>
      </c>
      <c r="E170" s="89">
        <f>(INDEX(Data!104:104,1,$U$1)+INDEX(Data!496:496,1,$U$1)-INDEX(Data!1374:1374,1,$U$1))</f>
        <v>8880967</v>
      </c>
      <c r="F170" s="90">
        <f>(INDEX(Data!104:104,1,$U$1+1)+INDEX(Data!496:496,1,$U$1+1)-INDEX(Data!1374:1374,1,$U$1+1))</f>
        <v>8883866</v>
      </c>
      <c r="G170" s="88">
        <f t="shared" ref="G170:G172" si="134">E170+F170</f>
        <v>17764833</v>
      </c>
      <c r="H170" s="86">
        <f t="shared" ref="H170:H244" si="135">G170-D170</f>
        <v>-6400079</v>
      </c>
      <c r="I170" s="447">
        <f t="shared" ref="I170:I244" si="136">IFERROR(H170/D170,"")</f>
        <v>-0.26485008511514546</v>
      </c>
      <c r="J170" s="453">
        <f t="shared" si="129"/>
        <v>7.3888715754426109E-4</v>
      </c>
      <c r="K170" s="91">
        <f>(INDEX(Data!203:203,1,$U$1-2)+INDEX(Data!823:823,1,$U$1-2)-INDEX(Data!1531:1531,1,$U$1-2))</f>
        <v>11168440</v>
      </c>
      <c r="L170" s="87">
        <f>(INDEX(Data!203:203,1,$U$1-1)+INDEX(Data!823:823,1,$U$1-1)-INDEX(Data!1531:1531,1,$U$1-1))</f>
        <v>11534229</v>
      </c>
      <c r="M170" s="88">
        <f t="shared" ref="M170:M171" si="137">K170+L170</f>
        <v>22702669</v>
      </c>
      <c r="N170" s="89">
        <f>(INDEX(Data!203:203,1,$U$1)+INDEX(Data!823:823,1,$U$1)-INDEX(Data!1531:1531,1,$U$1))</f>
        <v>8509248</v>
      </c>
      <c r="O170" s="90">
        <f>(INDEX(Data!203:203,1,$U$1+1)+INDEX(Data!823:823,1,$U$1+1)-INDEX(Data!1531:1531,1,$U$1+1))</f>
        <v>8507431</v>
      </c>
      <c r="P170" s="88">
        <f t="shared" ref="P170:P172" si="138">N170+O170</f>
        <v>17016679</v>
      </c>
      <c r="Q170" s="86">
        <f t="shared" ref="Q170:Q244" si="139">P170-M170</f>
        <v>-5685990</v>
      </c>
      <c r="R170" s="84">
        <f t="shared" ref="R170:R244" si="140">IFERROR(Q170/M170,"")</f>
        <v>-0.25045469323452674</v>
      </c>
      <c r="S170" s="85">
        <f t="shared" si="131"/>
        <v>1.1448071565561891E-3</v>
      </c>
      <c r="T170" s="85">
        <f t="shared" si="132"/>
        <v>0.95788567221543819</v>
      </c>
      <c r="V170" s="764"/>
      <c r="W170" s="765"/>
    </row>
    <row r="171" spans="1:23" ht="14.25" hidden="1" customHeight="1" outlineLevel="1">
      <c r="A171" s="79" t="s">
        <v>1442</v>
      </c>
      <c r="B171" s="86">
        <f>(INDEX(Data!105:105,1,$U$1-2)+INDEX(Data!490:490,1,$U$1-2)-INDEX(Data!1375:1375,1,$U$1-2))</f>
        <v>28512163</v>
      </c>
      <c r="C171" s="87">
        <f>(INDEX(Data!105:105,1,$U$1-1)+INDEX(Data!490:490,1,$U$1-1)-INDEX(Data!1375:1375,1,$U$1-1))</f>
        <v>29083107</v>
      </c>
      <c r="D171" s="88">
        <f t="shared" si="133"/>
        <v>57595270</v>
      </c>
      <c r="E171" s="89">
        <f>(INDEX(Data!105:105,1,$U$1)+INDEX(Data!490:490,1,$U$1)-INDEX(Data!1375:1375,1,$U$1))</f>
        <v>32071065</v>
      </c>
      <c r="F171" s="90">
        <f>(INDEX(Data!105:105,1,$U$1+1)+INDEX(Data!490:490,1,$U$1+1)-INDEX(Data!1375:1375,1,$U$1+1))</f>
        <v>32381413</v>
      </c>
      <c r="G171" s="88">
        <f t="shared" si="134"/>
        <v>64452478</v>
      </c>
      <c r="H171" s="86">
        <f t="shared" si="135"/>
        <v>6857208</v>
      </c>
      <c r="I171" s="447">
        <f t="shared" si="136"/>
        <v>0.11905852685472262</v>
      </c>
      <c r="J171" s="453">
        <f t="shared" si="129"/>
        <v>2.6807518126460306E-3</v>
      </c>
      <c r="K171" s="91">
        <f>(INDEX(Data!204:204,1,$U$1-2)+INDEX(Data!817:817,1,$U$1-2)-INDEX(Data!1532:1532,1,$U$1-2))</f>
        <v>19248582</v>
      </c>
      <c r="L171" s="87">
        <f>(INDEX(Data!204:204,1,$U$1-1)+INDEX(Data!817:817,1,$U$1-1)-INDEX(Data!1532:1532,1,$U$1-1))</f>
        <v>19318381</v>
      </c>
      <c r="M171" s="88">
        <f t="shared" si="137"/>
        <v>38566963</v>
      </c>
      <c r="N171" s="89">
        <f>(INDEX(Data!204:204,1,$U$1)+INDEX(Data!817:817,1,$U$1)-INDEX(Data!1532:1532,1,$U$1))</f>
        <v>29817596</v>
      </c>
      <c r="O171" s="90">
        <f>(INDEX(Data!204:204,1,$U$1+1)+INDEX(Data!817:817,1,$U$1+1)-INDEX(Data!1532:1532,1,$U$1+1))</f>
        <v>30007955</v>
      </c>
      <c r="P171" s="88">
        <f t="shared" si="138"/>
        <v>59825551</v>
      </c>
      <c r="Q171" s="86">
        <f t="shared" si="139"/>
        <v>21258588</v>
      </c>
      <c r="R171" s="84">
        <f t="shared" si="140"/>
        <v>0.5512123938822977</v>
      </c>
      <c r="S171" s="85">
        <f t="shared" si="131"/>
        <v>4.024799370647896E-3</v>
      </c>
      <c r="T171" s="85">
        <f t="shared" si="132"/>
        <v>0.92821180591380836</v>
      </c>
      <c r="V171" s="764"/>
      <c r="W171" s="765"/>
    </row>
    <row r="172" spans="1:23" ht="25.5" hidden="1" outlineLevel="1">
      <c r="A172" s="79" t="s">
        <v>1443</v>
      </c>
      <c r="B172" s="86">
        <f>(INDEX(Data!106:106,1,$U$1-2)+INDEX(Data!491:491,1,$U$1-2)-INDEX(Data!1376:1376,1,$U$1-2))</f>
        <v>14832539</v>
      </c>
      <c r="C172" s="87">
        <f>(INDEX(Data!106:106,1,$U$1-1)+INDEX(Data!491:491,1,$U$1-1)-INDEX(Data!1376:1376,1,$U$1-1))</f>
        <v>15023844</v>
      </c>
      <c r="D172" s="88">
        <f t="shared" si="133"/>
        <v>29856383</v>
      </c>
      <c r="E172" s="89">
        <f>(INDEX(Data!106:106,1,$U$1)+INDEX(Data!491:491,1,$U$1)-INDEX(Data!1376:1376,1,$U$1))</f>
        <v>13663127</v>
      </c>
      <c r="F172" s="90">
        <f>(INDEX(Data!106:106,1,$U$1+1)+INDEX(Data!491:491,1,$U$1+1)-INDEX(Data!1376:1376,1,$U$1+1))</f>
        <v>13694708</v>
      </c>
      <c r="G172" s="88">
        <f t="shared" si="134"/>
        <v>27357835</v>
      </c>
      <c r="H172" s="86">
        <f t="shared" si="135"/>
        <v>-2498548</v>
      </c>
      <c r="I172" s="447">
        <f t="shared" si="136"/>
        <v>-8.3685555614690502E-2</v>
      </c>
      <c r="J172" s="453">
        <f t="shared" si="129"/>
        <v>1.1378858973633413E-3</v>
      </c>
      <c r="K172" s="91">
        <f>(INDEX(Data!205:205,1,$U$1-2)+INDEX(Data!818:818,1,$U$1-2)-INDEX(Data!1533:1533,1,$U$1-2))</f>
        <v>12012013</v>
      </c>
      <c r="L172" s="87">
        <f>(INDEX(Data!205:205,1,$U$1-1)+INDEX(Data!818:818,1,$U$1-1)-INDEX(Data!1533:1533,1,$U$1-1))</f>
        <v>12050869</v>
      </c>
      <c r="M172" s="88">
        <f t="shared" ref="M172:M176" si="141">K172+L172</f>
        <v>24062882</v>
      </c>
      <c r="N172" s="89">
        <f>(INDEX(Data!205:205,1,$U$1)+INDEX(Data!818:818,1,$U$1)-INDEX(Data!1533:1533,1,$U$1))</f>
        <v>13018421</v>
      </c>
      <c r="O172" s="90">
        <f>(INDEX(Data!205:205,1,$U$1+1)+INDEX(Data!818:818,1,$U$1+1)-INDEX(Data!1533:1533,1,$U$1+1))</f>
        <v>13015284</v>
      </c>
      <c r="P172" s="88">
        <f t="shared" si="138"/>
        <v>26033705</v>
      </c>
      <c r="Q172" s="86">
        <f t="shared" si="139"/>
        <v>1970823</v>
      </c>
      <c r="R172" s="84">
        <f t="shared" si="140"/>
        <v>8.1903032230303915E-2</v>
      </c>
      <c r="S172" s="85">
        <f t="shared" si="131"/>
        <v>1.751432920352593E-3</v>
      </c>
      <c r="T172" s="85">
        <f t="shared" si="132"/>
        <v>0.95159960574365621</v>
      </c>
      <c r="V172" s="764"/>
      <c r="W172" s="765"/>
    </row>
    <row r="173" spans="1:23" ht="15" hidden="1" customHeight="1" outlineLevel="1">
      <c r="A173" s="79" t="s">
        <v>1444</v>
      </c>
      <c r="B173" s="86">
        <f>(INDEX(Data!107:107,1,$U$1-2)+INDEX(Data!492:492,1,$U$1-2)-INDEX(Data!1377:1377,1,$U$1-2))</f>
        <v>10749076</v>
      </c>
      <c r="C173" s="87">
        <f>(INDEX(Data!107:107,1,$U$1-1)+INDEX(Data!492:492,1,$U$1-1)-INDEX(Data!1377:1377,1,$U$1-1))</f>
        <v>10972116</v>
      </c>
      <c r="D173" s="88">
        <f t="shared" ref="D173:D176" si="142">B173+C173</f>
        <v>21721192</v>
      </c>
      <c r="E173" s="89">
        <f>(INDEX(Data!107:107,1,$U$1)+INDEX(Data!492:492,1,$U$1)-INDEX(Data!1377:1377,1,$U$1))</f>
        <v>10144683</v>
      </c>
      <c r="F173" s="90">
        <f>(INDEX(Data!107:107,1,$U$1+1)+INDEX(Data!492:492,1,$U$1+1)-INDEX(Data!1377:1377,1,$U$1+1))</f>
        <v>10164680</v>
      </c>
      <c r="G173" s="88">
        <f t="shared" ref="G173:G176" si="143">E173+F173</f>
        <v>20309363</v>
      </c>
      <c r="H173" s="86">
        <f t="shared" ref="H173:H176" si="144">G173-D173</f>
        <v>-1411829</v>
      </c>
      <c r="I173" s="447">
        <f t="shared" ref="I173:I176" si="145">IFERROR(H173/D173,"")</f>
        <v>-6.4997768078289622E-2</v>
      </c>
      <c r="J173" s="453">
        <f t="shared" si="129"/>
        <v>8.4472100011323428E-4</v>
      </c>
      <c r="K173" s="91">
        <f>(INDEX(Data!206:206,1,$U$1-2)+INDEX(Data!819:819,1,$U$1-2)-INDEX(Data!1534:1534,1,$U$1-2))</f>
        <v>6349561</v>
      </c>
      <c r="L173" s="87">
        <f>(INDEX(Data!206:206,1,$U$1-1)+INDEX(Data!819:819,1,$U$1-1)-INDEX(Data!1534:1534,1,$U$1-1))</f>
        <v>6363543</v>
      </c>
      <c r="M173" s="88">
        <f t="shared" si="141"/>
        <v>12713104</v>
      </c>
      <c r="N173" s="89">
        <f>(INDEX(Data!206:206,1,$U$1)+INDEX(Data!819:819,1,$U$1)-INDEX(Data!1534:1534,1,$U$1))</f>
        <v>7108622</v>
      </c>
      <c r="O173" s="90">
        <f>(INDEX(Data!206:206,1,$U$1+1)+INDEX(Data!819:819,1,$U$1+1)-INDEX(Data!1534:1534,1,$U$1+1))</f>
        <v>7106984</v>
      </c>
      <c r="P173" s="88">
        <f t="shared" ref="P173:P176" si="146">N173+O173</f>
        <v>14215606</v>
      </c>
      <c r="Q173" s="86">
        <f t="shared" ref="Q173:Q176" si="147">P173-M173</f>
        <v>1502502</v>
      </c>
      <c r="R173" s="84">
        <f t="shared" si="140"/>
        <v>0.11818529919994361</v>
      </c>
      <c r="S173" s="85">
        <f t="shared" si="131"/>
        <v>9.5636331175919236E-4</v>
      </c>
      <c r="T173" s="85">
        <f t="shared" si="132"/>
        <v>0.69995331709812858</v>
      </c>
      <c r="V173" s="764"/>
      <c r="W173" s="765"/>
    </row>
    <row r="174" spans="1:23" hidden="1" outlineLevel="1">
      <c r="A174" s="79" t="s">
        <v>1445</v>
      </c>
      <c r="B174" s="86">
        <f>(INDEX(Data!108:108,1,$U$1-2)+INDEX(Data!493:493,1,$U$1-2)-INDEX(Data!1378:1378,1,$U$1-2))</f>
        <v>35323640</v>
      </c>
      <c r="C174" s="87">
        <f>(INDEX(Data!108:108,1,$U$1-1)+INDEX(Data!493:493,1,$U$1-1)-INDEX(Data!1378:1378,1,$U$1-1))</f>
        <v>35853248</v>
      </c>
      <c r="D174" s="88">
        <f t="shared" si="142"/>
        <v>71176888</v>
      </c>
      <c r="E174" s="89">
        <f>(INDEX(Data!108:108,1,$U$1)+INDEX(Data!493:493,1,$U$1)-INDEX(Data!1378:1378,1,$U$1))</f>
        <v>38090169</v>
      </c>
      <c r="F174" s="90">
        <f>(INDEX(Data!108:108,1,$U$1+1)+INDEX(Data!493:493,1,$U$1+1)-INDEX(Data!1378:1378,1,$U$1+1))</f>
        <v>38209736</v>
      </c>
      <c r="G174" s="88">
        <f t="shared" si="143"/>
        <v>76299905</v>
      </c>
      <c r="H174" s="86">
        <f t="shared" si="144"/>
        <v>5123017</v>
      </c>
      <c r="I174" s="447">
        <f t="shared" si="145"/>
        <v>7.1975849801132072E-2</v>
      </c>
      <c r="J174" s="453">
        <f t="shared" si="129"/>
        <v>3.1735181482621961E-3</v>
      </c>
      <c r="K174" s="91">
        <f>(INDEX(Data!207:207,1,$U$1-2)+INDEX(Data!820:820,1,$U$1-2)-INDEX(Data!1535:1535,1,$U$1-2))</f>
        <v>27103219</v>
      </c>
      <c r="L174" s="87">
        <f>(INDEX(Data!207:207,1,$U$1-1)+INDEX(Data!820:820,1,$U$1-1)-INDEX(Data!1535:1535,1,$U$1-1))</f>
        <v>27172558</v>
      </c>
      <c r="M174" s="88">
        <f t="shared" si="141"/>
        <v>54275777</v>
      </c>
      <c r="N174" s="89">
        <f>(INDEX(Data!207:207,1,$U$1)+INDEX(Data!820:820,1,$U$1)-INDEX(Data!1535:1535,1,$U$1))</f>
        <v>38296983</v>
      </c>
      <c r="O174" s="90">
        <f>(INDEX(Data!207:207,1,$U$1+1)+INDEX(Data!820:820,1,$U$1+1)-INDEX(Data!1535:1535,1,$U$1+1))</f>
        <v>38286851</v>
      </c>
      <c r="P174" s="88">
        <f t="shared" si="146"/>
        <v>76583834</v>
      </c>
      <c r="Q174" s="86">
        <f t="shared" si="147"/>
        <v>22308057</v>
      </c>
      <c r="R174" s="84">
        <f t="shared" si="140"/>
        <v>0.41101313022197727</v>
      </c>
      <c r="S174" s="85">
        <f t="shared" si="131"/>
        <v>5.1522227832887487E-3</v>
      </c>
      <c r="T174" s="85">
        <f t="shared" si="132"/>
        <v>1.0037212235061106</v>
      </c>
      <c r="V174" s="764"/>
      <c r="W174" s="765"/>
    </row>
    <row r="175" spans="1:23" s="1044" customFormat="1" ht="25.5" hidden="1" outlineLevel="1">
      <c r="A175" s="79" t="s">
        <v>1852</v>
      </c>
      <c r="B175" s="86">
        <f>(INDEX(Data!109:109,1,$U$1-2)+INDEX(Data!494:494,1,$U$1-2)-INDEX(Data!1379:1379,1,$U$1-2))</f>
        <v>5956914</v>
      </c>
      <c r="C175" s="87">
        <f>(INDEX(Data!109:109,1,$U$1-1)+INDEX(Data!494:494,1,$U$1-1)-INDEX(Data!1379:1379,1,$U$1-1))</f>
        <v>6030731</v>
      </c>
      <c r="D175" s="88">
        <f t="shared" si="142"/>
        <v>11987645</v>
      </c>
      <c r="E175" s="89">
        <f>(INDEX(Data!109:109,1,$U$1)+INDEX(Data!494:494,1,$U$1)-INDEX(Data!1379:1379,1,$U$1))</f>
        <v>6619441</v>
      </c>
      <c r="F175" s="90">
        <f>(INDEX(Data!109:109,1,$U$1+1)+INDEX(Data!494:494,1,$U$1+1)-INDEX(Data!1379:1379,1,$U$1+1))</f>
        <v>6632783</v>
      </c>
      <c r="G175" s="88">
        <f t="shared" si="143"/>
        <v>13252224</v>
      </c>
      <c r="H175" s="86">
        <f t="shared" si="144"/>
        <v>1264579</v>
      </c>
      <c r="I175" s="447">
        <f t="shared" si="145"/>
        <v>0.10549019427919329</v>
      </c>
      <c r="J175" s="453">
        <f t="shared" si="129"/>
        <v>5.5119561903564413E-4</v>
      </c>
      <c r="K175" s="91">
        <f>(INDEX(Data!208:208,1,$U$1-2)+INDEX(Data!821:821,1,$U$1-2)-INDEX(Data!1536:1536,1,$U$1-2))</f>
        <v>5694153</v>
      </c>
      <c r="L175" s="87">
        <f>(INDEX(Data!208:208,1,$U$1-1)+INDEX(Data!821:821,1,$U$1-1)-INDEX(Data!1536:1536,1,$U$1-1))</f>
        <v>5696225</v>
      </c>
      <c r="M175" s="88">
        <f t="shared" si="141"/>
        <v>11390378</v>
      </c>
      <c r="N175" s="89">
        <f>(INDEX(Data!208:208,1,$U$1)+INDEX(Data!821:821,1,$U$1)-INDEX(Data!1536:1536,1,$U$1))</f>
        <v>6323961</v>
      </c>
      <c r="O175" s="90">
        <f>(INDEX(Data!208:208,1,$U$1+1)+INDEX(Data!821:821,1,$U$1+1)-INDEX(Data!1536:1536,1,$U$1+1))</f>
        <v>6317952</v>
      </c>
      <c r="P175" s="88">
        <f t="shared" si="146"/>
        <v>12641913</v>
      </c>
      <c r="Q175" s="86">
        <f t="shared" si="147"/>
        <v>1251535</v>
      </c>
      <c r="R175" s="84">
        <f t="shared" ref="R175:R176" si="148">IFERROR(Q175/M175,"")</f>
        <v>0.10987651156089816</v>
      </c>
      <c r="S175" s="85">
        <f t="shared" si="131"/>
        <v>8.5049218328445413E-4</v>
      </c>
      <c r="T175" s="85">
        <f t="shared" ref="T175:T176" si="149">IFERROR(P175/G175,"")</f>
        <v>0.95394652248558431</v>
      </c>
      <c r="U175" s="67"/>
      <c r="V175" s="764"/>
      <c r="W175" s="765"/>
    </row>
    <row r="176" spans="1:23" s="1044" customFormat="1" ht="25.5" hidden="1" outlineLevel="1">
      <c r="A176" s="79" t="s">
        <v>1853</v>
      </c>
      <c r="B176" s="86">
        <f>(INDEX(Data!110:110,1,$U$1-2)+INDEX(Data!495:495,1,$U$1-2)-INDEX(Data!1380:1380,1,$U$1-2))</f>
        <v>3965459</v>
      </c>
      <c r="C176" s="87">
        <f>(INDEX(Data!110:110,1,$U$1-1)+INDEX(Data!495:495,1,$U$1-1)-INDEX(Data!1380:1380,1,$U$1-1))</f>
        <v>4060008</v>
      </c>
      <c r="D176" s="88">
        <f t="shared" si="142"/>
        <v>8025467</v>
      </c>
      <c r="E176" s="89">
        <f>(INDEX(Data!110:110,1,$U$1)+INDEX(Data!495:495,1,$U$1)-INDEX(Data!1380:1380,1,$U$1))</f>
        <v>4160689</v>
      </c>
      <c r="F176" s="90">
        <f>(INDEX(Data!110:110,1,$U$1+1)+INDEX(Data!495:495,1,$U$1+1)-INDEX(Data!1380:1380,1,$U$1+1))</f>
        <v>4170878</v>
      </c>
      <c r="G176" s="88">
        <f t="shared" si="143"/>
        <v>8331567</v>
      </c>
      <c r="H176" s="86">
        <f t="shared" si="144"/>
        <v>306100</v>
      </c>
      <c r="I176" s="447">
        <f t="shared" si="145"/>
        <v>3.8141082631079286E-2</v>
      </c>
      <c r="J176" s="453">
        <f t="shared" si="129"/>
        <v>3.4653226734636725E-4</v>
      </c>
      <c r="K176" s="91">
        <f>(INDEX(Data!209:209,1,$U$1-2)+INDEX(Data!822:822,1,$U$1-2)-INDEX(Data!1537:1537,1,$U$1-2))</f>
        <v>3600810</v>
      </c>
      <c r="L176" s="87">
        <f>(INDEX(Data!209:209,1,$U$1-1)+INDEX(Data!822:822,1,$U$1-1)-INDEX(Data!1537:1537,1,$U$1-1))</f>
        <v>3596044</v>
      </c>
      <c r="M176" s="88">
        <f t="shared" si="141"/>
        <v>7196854</v>
      </c>
      <c r="N176" s="89">
        <f>(INDEX(Data!209:209,1,$U$1)+INDEX(Data!822:822,1,$U$1)-INDEX(Data!1537:1537,1,$U$1))</f>
        <v>3972345</v>
      </c>
      <c r="O176" s="90">
        <f>(INDEX(Data!209:209,1,$U$1+1)+INDEX(Data!822:822,1,$U$1+1)-INDEX(Data!1537:1537,1,$U$1+1))</f>
        <v>3972147</v>
      </c>
      <c r="P176" s="88">
        <f t="shared" si="146"/>
        <v>7944492</v>
      </c>
      <c r="Q176" s="86">
        <f t="shared" si="147"/>
        <v>747638</v>
      </c>
      <c r="R176" s="84">
        <f t="shared" si="148"/>
        <v>0.10388400264893521</v>
      </c>
      <c r="S176" s="85">
        <f t="shared" si="131"/>
        <v>5.3447040381988703E-4</v>
      </c>
      <c r="T176" s="85">
        <f t="shared" si="149"/>
        <v>0.95354115258270145</v>
      </c>
      <c r="U176" s="67"/>
      <c r="V176" s="764"/>
      <c r="W176" s="765"/>
    </row>
    <row r="177" spans="1:23" collapsed="1">
      <c r="A177" s="113" t="s">
        <v>788</v>
      </c>
      <c r="B177" s="105">
        <f t="shared" ref="B177:H177" si="150">SUM(B170:B176)</f>
        <v>111234781</v>
      </c>
      <c r="C177" s="105">
        <f t="shared" si="150"/>
        <v>113292976</v>
      </c>
      <c r="D177" s="105">
        <f t="shared" si="150"/>
        <v>224527757</v>
      </c>
      <c r="E177" s="105">
        <f t="shared" si="150"/>
        <v>113630141</v>
      </c>
      <c r="F177" s="105">
        <f t="shared" si="150"/>
        <v>114138064</v>
      </c>
      <c r="G177" s="105">
        <f t="shared" si="150"/>
        <v>227768205</v>
      </c>
      <c r="H177" s="105">
        <f t="shared" si="150"/>
        <v>3240448</v>
      </c>
      <c r="I177" s="449">
        <f t="shared" si="136"/>
        <v>1.4432282419317983E-2</v>
      </c>
      <c r="J177" s="454">
        <f t="shared" si="129"/>
        <v>9.4734919023110754E-3</v>
      </c>
      <c r="K177" s="105">
        <f t="shared" ref="K177:Q177" si="151">SUM(K170:K176)</f>
        <v>85176778</v>
      </c>
      <c r="L177" s="105">
        <f t="shared" si="151"/>
        <v>85731849</v>
      </c>
      <c r="M177" s="105">
        <f t="shared" si="151"/>
        <v>170908627</v>
      </c>
      <c r="N177" s="105">
        <f t="shared" si="151"/>
        <v>107047176</v>
      </c>
      <c r="O177" s="105">
        <f t="shared" si="151"/>
        <v>107214604</v>
      </c>
      <c r="P177" s="105">
        <f t="shared" si="151"/>
        <v>214261780</v>
      </c>
      <c r="Q177" s="105">
        <f t="shared" si="151"/>
        <v>43353153</v>
      </c>
      <c r="R177" s="108">
        <f t="shared" si="140"/>
        <v>0.25366275395799653</v>
      </c>
      <c r="S177" s="109">
        <f t="shared" si="131"/>
        <v>1.4414588129708961E-2</v>
      </c>
      <c r="T177" s="109">
        <f t="shared" si="132"/>
        <v>0.94070100785138122</v>
      </c>
      <c r="V177" s="764"/>
      <c r="W177" s="765"/>
    </row>
    <row r="178" spans="1:23" hidden="1" outlineLevel="1">
      <c r="A178" s="79" t="s">
        <v>1446</v>
      </c>
      <c r="B178" s="86">
        <f>(INDEX(Data!84:84,1,$U$1-2)+INDEX(Data!471:471,1,$U$1-2)-INDEX(Data!1305:1305,1,$U$1-2))</f>
        <v>13679073</v>
      </c>
      <c r="C178" s="87">
        <f>(INDEX(Data!84:84,1,$U$1-1)+INDEX(Data!471:471,1,$U$1-1)-INDEX(Data!1305:1305,1,$U$1-1))</f>
        <v>13602392</v>
      </c>
      <c r="D178" s="88">
        <f t="shared" ref="D178:D180" si="152">B178+C178</f>
        <v>27281465</v>
      </c>
      <c r="E178" s="89">
        <f>(INDEX(Data!84:84,1,$U$1)+INDEX(Data!471:471,1,$U$1)-INDEX(Data!1305:1305,1,$U$1))</f>
        <v>18196156</v>
      </c>
      <c r="F178" s="90">
        <f>(INDEX(Data!84:84,1,$U$1+1)+INDEX(Data!471:471,1,$U$1+1)-INDEX(Data!1305:1305,1,$U$1+1))</f>
        <v>18182573</v>
      </c>
      <c r="G178" s="88">
        <f t="shared" ref="G178:G180" si="153">E178+F178</f>
        <v>36378729</v>
      </c>
      <c r="H178" s="86">
        <f t="shared" si="135"/>
        <v>9097264</v>
      </c>
      <c r="I178" s="447">
        <f t="shared" si="136"/>
        <v>0.33345951179674554</v>
      </c>
      <c r="J178" s="453">
        <f t="shared" si="129"/>
        <v>1.5130891275973706E-3</v>
      </c>
      <c r="K178" s="91">
        <f>(INDEX(Data!183:183,1,$U$1-2)+INDEX(Data!798:798,1,$U$1-2)-INDEX(Data!1462:1462,1,$U$1-2))</f>
        <v>11175454</v>
      </c>
      <c r="L178" s="87">
        <f>(INDEX(Data!183:183,1,$U$1-1)+INDEX(Data!798:798,1,$U$1-1)-INDEX(Data!1462:1462,1,$U$1-1))</f>
        <v>11094366</v>
      </c>
      <c r="M178" s="88">
        <f t="shared" ref="M178" si="154">K178+L178</f>
        <v>22269820</v>
      </c>
      <c r="N178" s="89">
        <f>(INDEX(Data!183:183,1,$U$1)+INDEX(Data!798:798,1,$U$1)-INDEX(Data!1462:1462,1,$U$1))</f>
        <v>15665521</v>
      </c>
      <c r="O178" s="90">
        <f>(INDEX(Data!183:183,1,$U$1+1)+INDEX(Data!798:798,1,$U$1+1)-INDEX(Data!1462:1462,1,$U$1+1))</f>
        <v>15650840</v>
      </c>
      <c r="P178" s="88">
        <f t="shared" ref="P178:P180" si="155">N178+O178</f>
        <v>31316361</v>
      </c>
      <c r="Q178" s="86">
        <f t="shared" si="139"/>
        <v>9046541</v>
      </c>
      <c r="R178" s="84">
        <f t="shared" si="140"/>
        <v>0.40622425327191686</v>
      </c>
      <c r="S178" s="85">
        <f t="shared" si="131"/>
        <v>2.1068267310029843E-3</v>
      </c>
      <c r="T178" s="85">
        <f t="shared" si="132"/>
        <v>0.86084263691565477</v>
      </c>
      <c r="V178" s="764"/>
      <c r="W178" s="765"/>
    </row>
    <row r="179" spans="1:23" hidden="1" outlineLevel="1">
      <c r="A179" s="79" t="s">
        <v>1447</v>
      </c>
      <c r="B179" s="86">
        <f>(INDEX(Data!85:85,1,$U$1-2)+INDEX(Data!472:472,1,$U$1-2)-INDEX(Data!1306:1306,1,$U$1-2))</f>
        <v>11457743</v>
      </c>
      <c r="C179" s="87">
        <f>(INDEX(Data!85:85,1,$U$1-1)+INDEX(Data!472:472,1,$U$1-1)-INDEX(Data!1306:1306,1,$U$1-1))</f>
        <v>11275214</v>
      </c>
      <c r="D179" s="88">
        <f t="shared" si="152"/>
        <v>22732957</v>
      </c>
      <c r="E179" s="89">
        <f>(INDEX(Data!85:85,1,$U$1)+INDEX(Data!472:472,1,$U$1)-INDEX(Data!1306:1306,1,$U$1))</f>
        <v>13610756</v>
      </c>
      <c r="F179" s="90">
        <f>(INDEX(Data!85:85,1,$U$1+1)+INDEX(Data!472:472,1,$U$1+1)-INDEX(Data!1306:1306,1,$U$1+1))</f>
        <v>13606542</v>
      </c>
      <c r="G179" s="88">
        <f t="shared" si="153"/>
        <v>27217298</v>
      </c>
      <c r="H179" s="86">
        <f t="shared" si="135"/>
        <v>4484341</v>
      </c>
      <c r="I179" s="447">
        <f t="shared" si="136"/>
        <v>0.19726166727892019</v>
      </c>
      <c r="J179" s="453">
        <f t="shared" si="129"/>
        <v>1.1320405857603673E-3</v>
      </c>
      <c r="K179" s="91">
        <f>(INDEX(Data!184:184,1,$U$1-2)+INDEX(Data!799:799,1,$U$1-2)-INDEX(Data!1463:1463,1,$U$1-2))</f>
        <v>9313743</v>
      </c>
      <c r="L179" s="87">
        <f>(INDEX(Data!184:184,1,$U$1-1)+INDEX(Data!799:799,1,$U$1-1)-INDEX(Data!1463:1463,1,$U$1-1))</f>
        <v>9122282</v>
      </c>
      <c r="M179" s="88">
        <f t="shared" ref="M179:M180" si="156">K179+L179</f>
        <v>18436025</v>
      </c>
      <c r="N179" s="89">
        <f>(INDEX(Data!184:184,1,$U$1)+INDEX(Data!799:799,1,$U$1)-INDEX(Data!1463:1463,1,$U$1))</f>
        <v>11580461</v>
      </c>
      <c r="O179" s="90">
        <f>(INDEX(Data!184:184,1,$U$1+1)+INDEX(Data!799:799,1,$U$1+1)-INDEX(Data!1463:1463,1,$U$1+1))</f>
        <v>11574455</v>
      </c>
      <c r="P179" s="88">
        <f t="shared" si="155"/>
        <v>23154916</v>
      </c>
      <c r="Q179" s="86">
        <f t="shared" si="139"/>
        <v>4718891</v>
      </c>
      <c r="R179" s="84">
        <f t="shared" si="140"/>
        <v>0.25596032767367149</v>
      </c>
      <c r="S179" s="85">
        <f t="shared" si="131"/>
        <v>1.5577606856342185E-3</v>
      </c>
      <c r="T179" s="85">
        <f t="shared" si="132"/>
        <v>0.85074264168324132</v>
      </c>
      <c r="V179" s="764"/>
      <c r="W179" s="765"/>
    </row>
    <row r="180" spans="1:23" hidden="1" outlineLevel="1">
      <c r="A180" s="79" t="s">
        <v>1448</v>
      </c>
      <c r="B180" s="86">
        <f>(INDEX(Data!86:86,1,$U$1-2)+INDEX(Data!473:473,1,$U$1-2)-INDEX(Data!1307:1307,1,$U$1-2))</f>
        <v>12708291</v>
      </c>
      <c r="C180" s="87">
        <f>(INDEX(Data!86:86,1,$U$1-1)+INDEX(Data!473:473,1,$U$1-1)-INDEX(Data!1307:1307,1,$U$1-1))</f>
        <v>12577145</v>
      </c>
      <c r="D180" s="88">
        <f t="shared" si="152"/>
        <v>25285436</v>
      </c>
      <c r="E180" s="89">
        <f>(INDEX(Data!86:86,1,$U$1)+INDEX(Data!473:473,1,$U$1)-INDEX(Data!1307:1307,1,$U$1))</f>
        <v>16570593</v>
      </c>
      <c r="F180" s="90">
        <f>(INDEX(Data!86:86,1,$U$1+1)+INDEX(Data!473:473,1,$U$1+1)-INDEX(Data!1307:1307,1,$U$1+1))</f>
        <v>16553628</v>
      </c>
      <c r="G180" s="88">
        <f t="shared" si="153"/>
        <v>33124221</v>
      </c>
      <c r="H180" s="86">
        <f t="shared" si="135"/>
        <v>7838785</v>
      </c>
      <c r="I180" s="447">
        <f t="shared" si="136"/>
        <v>0.31001185820960336</v>
      </c>
      <c r="J180" s="453">
        <f t="shared" si="129"/>
        <v>1.3777253915394489E-3</v>
      </c>
      <c r="K180" s="91">
        <f>(INDEX(Data!185:185,1,$U$1-2)+INDEX(Data!800:800,1,$U$1-2)-INDEX(Data!1464:1464,1,$U$1-2))</f>
        <v>10655026</v>
      </c>
      <c r="L180" s="87">
        <f>(INDEX(Data!185:185,1,$U$1-1)+INDEX(Data!800:800,1,$U$1-1)-INDEX(Data!1464:1464,1,$U$1-1))</f>
        <v>10519948</v>
      </c>
      <c r="M180" s="88">
        <f t="shared" si="156"/>
        <v>21174974</v>
      </c>
      <c r="N180" s="89">
        <f>(INDEX(Data!185:185,1,$U$1)+INDEX(Data!800:800,1,$U$1)-INDEX(Data!1464:1464,1,$U$1))</f>
        <v>14270022</v>
      </c>
      <c r="O180" s="90">
        <f>(INDEX(Data!185:185,1,$U$1+1)+INDEX(Data!800:800,1,$U$1+1)-INDEX(Data!1464:1464,1,$U$1+1))</f>
        <v>14249464</v>
      </c>
      <c r="P180" s="88">
        <f t="shared" si="155"/>
        <v>28519486</v>
      </c>
      <c r="Q180" s="86">
        <f t="shared" si="139"/>
        <v>7344512</v>
      </c>
      <c r="R180" s="84">
        <f t="shared" si="140"/>
        <v>0.34684869034549937</v>
      </c>
      <c r="S180" s="85">
        <f t="shared" si="131"/>
        <v>1.9186653091419331E-3</v>
      </c>
      <c r="T180" s="85">
        <f t="shared" si="132"/>
        <v>0.86098586288263201</v>
      </c>
      <c r="V180" s="764"/>
      <c r="W180" s="765"/>
    </row>
    <row r="181" spans="1:23" collapsed="1">
      <c r="A181" s="113" t="s">
        <v>789</v>
      </c>
      <c r="B181" s="105">
        <f>SUM(B178:B180)</f>
        <v>37845107</v>
      </c>
      <c r="C181" s="106">
        <f t="shared" ref="C181:H181" si="157">SUM(C178:C180)</f>
        <v>37454751</v>
      </c>
      <c r="D181" s="119">
        <f t="shared" si="157"/>
        <v>75299858</v>
      </c>
      <c r="E181" s="114">
        <f t="shared" si="157"/>
        <v>48377505</v>
      </c>
      <c r="F181" s="115">
        <f t="shared" si="157"/>
        <v>48342743</v>
      </c>
      <c r="G181" s="107">
        <f t="shared" si="157"/>
        <v>96720248</v>
      </c>
      <c r="H181" s="105">
        <f t="shared" si="157"/>
        <v>21420390</v>
      </c>
      <c r="I181" s="449">
        <f t="shared" si="136"/>
        <v>0.28446786712399907</v>
      </c>
      <c r="J181" s="454">
        <f t="shared" si="129"/>
        <v>4.022855104897187E-3</v>
      </c>
      <c r="K181" s="405">
        <f>SUM(K178:K180)</f>
        <v>31144223</v>
      </c>
      <c r="L181" s="106">
        <f t="shared" ref="L181:Q181" si="158">SUM(L178:L180)</f>
        <v>30736596</v>
      </c>
      <c r="M181" s="119">
        <f t="shared" si="158"/>
        <v>61880819</v>
      </c>
      <c r="N181" s="114">
        <f t="shared" si="158"/>
        <v>41516004</v>
      </c>
      <c r="O181" s="115">
        <f t="shared" si="158"/>
        <v>41474759</v>
      </c>
      <c r="P181" s="107">
        <f t="shared" si="158"/>
        <v>82990763</v>
      </c>
      <c r="Q181" s="105">
        <f t="shared" si="158"/>
        <v>21109944</v>
      </c>
      <c r="R181" s="108">
        <f t="shared" si="140"/>
        <v>0.34113872991887839</v>
      </c>
      <c r="S181" s="109">
        <f t="shared" si="131"/>
        <v>5.5832527257791359E-3</v>
      </c>
      <c r="T181" s="109">
        <f t="shared" si="132"/>
        <v>0.85804952650659039</v>
      </c>
      <c r="V181" s="764"/>
      <c r="W181" s="765"/>
    </row>
    <row r="182" spans="1:23" hidden="1" outlineLevel="1">
      <c r="A182" s="79" t="s">
        <v>1407</v>
      </c>
      <c r="B182" s="86">
        <f>(INDEX(Data!321:321,1,$U$1-2)+INDEX(Data!838:838,1,$U$1-2)-INDEX(Data!1324:1324,1,$U$1-2))</f>
        <v>76791772</v>
      </c>
      <c r="C182" s="87">
        <f>(INDEX(Data!321:321,1,$U$1-1)+INDEX(Data!838:838,1,$U$1-1)-INDEX(Data!1324:1324,1,$U$1-1))</f>
        <v>77376875</v>
      </c>
      <c r="D182" s="88">
        <f t="shared" ref="D182:D232" si="159">B182+C182</f>
        <v>154168647</v>
      </c>
      <c r="E182" s="89">
        <f>(INDEX(Data!321:321,1,$U$1)+INDEX(Data!838:838,1,$U$1)-INDEX(Data!1324:1324,1,$U$1))</f>
        <v>80089402</v>
      </c>
      <c r="F182" s="90">
        <f>(INDEX(Data!321:321,1,$U$1+1)+INDEX(Data!838:838,1,$U$1+1)-INDEX(Data!1324:1324,1,$U$1+1))</f>
        <v>80089410</v>
      </c>
      <c r="G182" s="88">
        <f t="shared" ref="G182:G232" si="160">E182+F182</f>
        <v>160178812</v>
      </c>
      <c r="H182" s="86">
        <f t="shared" ref="H182:H231" si="161">G182-D182</f>
        <v>6010165</v>
      </c>
      <c r="I182" s="447">
        <f t="shared" si="136"/>
        <v>3.8984353284231651E-2</v>
      </c>
      <c r="J182" s="453">
        <f t="shared" si="129"/>
        <v>6.662267362575071E-3</v>
      </c>
      <c r="K182" s="91">
        <f>(INDEX(Data!373:373,1,$U$1-2)+INDEX(Data!838:838,1,$U$1-2)-INDEX(Data!1481:1481,1,$U$1-2))</f>
        <v>76791772</v>
      </c>
      <c r="L182" s="87">
        <f>(INDEX(Data!373:373,1,$U$1-1)+INDEX(Data!838:838,1,$U$1-1)-INDEX(Data!1481:1481,1,$U$1-1))</f>
        <v>77376875</v>
      </c>
      <c r="M182" s="88">
        <f t="shared" ref="M182:M232" si="162">K182+L182</f>
        <v>154168647</v>
      </c>
      <c r="N182" s="89">
        <f>(INDEX(Data!373:373,1,$U$1)+INDEX(Data!838:838,1,$U$1)-INDEX(Data!1481:1481,1,$U$1))</f>
        <v>80089402</v>
      </c>
      <c r="O182" s="90">
        <f>(INDEX(Data!373:373,1,$U$1+1)+INDEX(Data!838:838,1,$U$1+1)-INDEX(Data!1481:1481,1,$U$1+1))</f>
        <v>80089410</v>
      </c>
      <c r="P182" s="88">
        <f t="shared" ref="P182:P232" si="163">N182+O182</f>
        <v>160178812</v>
      </c>
      <c r="Q182" s="86">
        <f t="shared" ref="Q182:Q231" si="164">P182-M182</f>
        <v>6010165</v>
      </c>
      <c r="R182" s="84">
        <f t="shared" si="140"/>
        <v>3.8984353284231651E-2</v>
      </c>
      <c r="S182" s="85">
        <f t="shared" si="131"/>
        <v>1.0776124430993168E-2</v>
      </c>
      <c r="T182" s="85">
        <f t="shared" si="132"/>
        <v>1</v>
      </c>
      <c r="V182" s="764"/>
      <c r="W182" s="765"/>
    </row>
    <row r="183" spans="1:23" hidden="1" outlineLevel="1">
      <c r="A183" s="79" t="s">
        <v>102</v>
      </c>
      <c r="B183" s="86">
        <f>(INDEX(Data!322:322,1,$U$1-2)+INDEX(Data!839:839,1,$U$1-2)-INDEX(Data!1325:1325,1,$U$1-2))</f>
        <v>9606180</v>
      </c>
      <c r="C183" s="87">
        <f>(INDEX(Data!322:322,1,$U$1-1)+INDEX(Data!839:839,1,$U$1-1)-INDEX(Data!1325:1325,1,$U$1-1))</f>
        <v>9682476</v>
      </c>
      <c r="D183" s="88">
        <f t="shared" si="159"/>
        <v>19288656</v>
      </c>
      <c r="E183" s="89">
        <f>(INDEX(Data!322:322,1,$U$1)+INDEX(Data!839:839,1,$U$1)-INDEX(Data!1325:1325,1,$U$1))</f>
        <v>9501290</v>
      </c>
      <c r="F183" s="90">
        <f>(INDEX(Data!322:322,1,$U$1+1)+INDEX(Data!839:839,1,$U$1+1)-INDEX(Data!1325:1325,1,$U$1+1))</f>
        <v>9501290</v>
      </c>
      <c r="G183" s="88">
        <f t="shared" si="160"/>
        <v>19002580</v>
      </c>
      <c r="H183" s="86">
        <f t="shared" si="161"/>
        <v>-286076</v>
      </c>
      <c r="I183" s="447">
        <f t="shared" si="136"/>
        <v>-1.4831308101507954E-2</v>
      </c>
      <c r="J183" s="453">
        <f t="shared" si="129"/>
        <v>7.9036838242202586E-4</v>
      </c>
      <c r="K183" s="91">
        <f>(INDEX(Data!374:374,1,$U$1-2)+INDEX(Data!839:839,1,$U$1-2)-INDEX(Data!1482:1482,1,$U$1-2))</f>
        <v>9606180</v>
      </c>
      <c r="L183" s="87">
        <f>(INDEX(Data!374:374,1,$U$1-1)+INDEX(Data!839:839,1,$U$1-1)-INDEX(Data!1482:1482,1,$U$1-1))</f>
        <v>9682476</v>
      </c>
      <c r="M183" s="88">
        <f t="shared" si="162"/>
        <v>19288656</v>
      </c>
      <c r="N183" s="89">
        <f>(INDEX(Data!374:374,1,$U$1)+INDEX(Data!839:839,1,$U$1)-INDEX(Data!1482:1482,1,$U$1))</f>
        <v>9501290</v>
      </c>
      <c r="O183" s="90">
        <f>(INDEX(Data!374:374,1,$U$1+1)+INDEX(Data!839:839,1,$U$1+1)-INDEX(Data!1482:1482,1,$U$1+1))</f>
        <v>9501290</v>
      </c>
      <c r="P183" s="88">
        <f t="shared" si="163"/>
        <v>19002580</v>
      </c>
      <c r="Q183" s="86">
        <f t="shared" si="164"/>
        <v>-286076</v>
      </c>
      <c r="R183" s="84">
        <f t="shared" si="140"/>
        <v>-1.4831308101507954E-2</v>
      </c>
      <c r="S183" s="85">
        <f t="shared" si="131"/>
        <v>1.2784098223296984E-3</v>
      </c>
      <c r="T183" s="85">
        <f t="shared" si="132"/>
        <v>1</v>
      </c>
      <c r="V183" s="764"/>
      <c r="W183" s="765"/>
    </row>
    <row r="184" spans="1:23" hidden="1" outlineLevel="1">
      <c r="A184" s="79" t="s">
        <v>103</v>
      </c>
      <c r="B184" s="86">
        <f>(INDEX(Data!323:323,1,$U$1-2)+INDEX(Data!840:840,1,$U$1-2)-INDEX(Data!1326:1326,1,$U$1-2))</f>
        <v>17398554</v>
      </c>
      <c r="C184" s="87">
        <f>(INDEX(Data!323:323,1,$U$1-1)+INDEX(Data!840:840,1,$U$1-1)-INDEX(Data!1326:1326,1,$U$1-1))</f>
        <v>17575284</v>
      </c>
      <c r="D184" s="88">
        <f t="shared" si="159"/>
        <v>34973838</v>
      </c>
      <c r="E184" s="89">
        <f>(INDEX(Data!323:323,1,$U$1)+INDEX(Data!840:840,1,$U$1)-INDEX(Data!1326:1326,1,$U$1))</f>
        <v>18851554</v>
      </c>
      <c r="F184" s="90">
        <f>(INDEX(Data!323:323,1,$U$1+1)+INDEX(Data!840:840,1,$U$1+1)-INDEX(Data!1326:1326,1,$U$1+1))</f>
        <v>18851552</v>
      </c>
      <c r="G184" s="88">
        <f t="shared" si="160"/>
        <v>37703106</v>
      </c>
      <c r="H184" s="86">
        <f t="shared" si="161"/>
        <v>2729268</v>
      </c>
      <c r="I184" s="447">
        <f t="shared" si="136"/>
        <v>7.8037417569098363E-2</v>
      </c>
      <c r="J184" s="453">
        <f t="shared" si="129"/>
        <v>1.5681735270424426E-3</v>
      </c>
      <c r="K184" s="91">
        <f>(INDEX(Data!375:375,1,$U$1-2)+INDEX(Data!840:840,1,$U$1-2)-INDEX(Data!1483:1483,1,$U$1-2))</f>
        <v>17398554</v>
      </c>
      <c r="L184" s="87">
        <f>(INDEX(Data!375:375,1,$U$1-1)+INDEX(Data!840:840,1,$U$1-1)-INDEX(Data!1483:1483,1,$U$1-1))</f>
        <v>17575284</v>
      </c>
      <c r="M184" s="88">
        <f t="shared" si="162"/>
        <v>34973838</v>
      </c>
      <c r="N184" s="89">
        <f>(INDEX(Data!375:375,1,$U$1)+INDEX(Data!840:840,1,$U$1)-INDEX(Data!1483:1483,1,$U$1))</f>
        <v>18851554</v>
      </c>
      <c r="O184" s="90">
        <f>(INDEX(Data!375:375,1,$U$1+1)+INDEX(Data!840:840,1,$U$1+1)-INDEX(Data!1483:1483,1,$U$1+1))</f>
        <v>18851552</v>
      </c>
      <c r="P184" s="88">
        <f t="shared" si="163"/>
        <v>37703106</v>
      </c>
      <c r="Q184" s="86">
        <f t="shared" si="164"/>
        <v>2729268</v>
      </c>
      <c r="R184" s="84">
        <f t="shared" si="140"/>
        <v>7.8037417569098363E-2</v>
      </c>
      <c r="S184" s="85">
        <f t="shared" si="131"/>
        <v>2.5364987829409364E-3</v>
      </c>
      <c r="T184" s="85">
        <f t="shared" si="132"/>
        <v>1</v>
      </c>
      <c r="V184" s="764"/>
      <c r="W184" s="765"/>
    </row>
    <row r="185" spans="1:23" hidden="1" outlineLevel="1">
      <c r="A185" s="79" t="s">
        <v>104</v>
      </c>
      <c r="B185" s="86">
        <f>(INDEX(Data!324:324,1,$U$1-2)+INDEX(Data!841:841,1,$U$1-2)-INDEX(Data!1327:1327,1,$U$1-2))</f>
        <v>9014965</v>
      </c>
      <c r="C185" s="87">
        <f>(INDEX(Data!324:324,1,$U$1-1)+INDEX(Data!841:841,1,$U$1-1)-INDEX(Data!1327:1327,1,$U$1-1))</f>
        <v>9085548</v>
      </c>
      <c r="D185" s="88">
        <f t="shared" si="159"/>
        <v>18100513</v>
      </c>
      <c r="E185" s="89">
        <f>(INDEX(Data!324:324,1,$U$1)+INDEX(Data!841:841,1,$U$1)-INDEX(Data!1327:1327,1,$U$1))</f>
        <v>10155619</v>
      </c>
      <c r="F185" s="90">
        <f>(INDEX(Data!324:324,1,$U$1+1)+INDEX(Data!841:841,1,$U$1+1)-INDEX(Data!1327:1327,1,$U$1+1))</f>
        <v>10155618</v>
      </c>
      <c r="G185" s="88">
        <f t="shared" si="160"/>
        <v>20311237</v>
      </c>
      <c r="H185" s="86">
        <f t="shared" si="161"/>
        <v>2210724</v>
      </c>
      <c r="I185" s="447">
        <f t="shared" si="136"/>
        <v>0.12213598586957176</v>
      </c>
      <c r="J185" s="453">
        <f t="shared" si="129"/>
        <v>8.4479894481067318E-4</v>
      </c>
      <c r="K185" s="91">
        <f>(INDEX(Data!376:376,1,$U$1-2)+INDEX(Data!841:841,1,$U$1-2)-INDEX(Data!1484:1484,1,$U$1-2))</f>
        <v>9014965</v>
      </c>
      <c r="L185" s="87">
        <f>(INDEX(Data!376:376,1,$U$1-1)+INDEX(Data!841:841,1,$U$1-1)-INDEX(Data!1484:1484,1,$U$1-1))</f>
        <v>9085548</v>
      </c>
      <c r="M185" s="88">
        <f t="shared" si="162"/>
        <v>18100513</v>
      </c>
      <c r="N185" s="89">
        <f>(INDEX(Data!376:376,1,$U$1)+INDEX(Data!841:841,1,$U$1)-INDEX(Data!1484:1484,1,$U$1))</f>
        <v>10155619</v>
      </c>
      <c r="O185" s="90">
        <f>(INDEX(Data!376:376,1,$U$1+1)+INDEX(Data!841:841,1,$U$1+1)-INDEX(Data!1484:1484,1,$U$1+1))</f>
        <v>10155618</v>
      </c>
      <c r="P185" s="88">
        <f t="shared" si="163"/>
        <v>20311237</v>
      </c>
      <c r="Q185" s="86">
        <f t="shared" si="164"/>
        <v>2210724</v>
      </c>
      <c r="R185" s="84">
        <f t="shared" si="140"/>
        <v>0.12213598586957176</v>
      </c>
      <c r="S185" s="85">
        <f t="shared" si="131"/>
        <v>1.3664504969570655E-3</v>
      </c>
      <c r="T185" s="85">
        <f t="shared" si="132"/>
        <v>1</v>
      </c>
      <c r="V185" s="764"/>
      <c r="W185" s="765"/>
    </row>
    <row r="186" spans="1:23" hidden="1" outlineLevel="1">
      <c r="A186" s="79" t="s">
        <v>105</v>
      </c>
      <c r="B186" s="86">
        <f>(INDEX(Data!325:325,1,$U$1-2)+INDEX(Data!842:842,1,$U$1-2)-INDEX(Data!1328:1328,1,$U$1-2))</f>
        <v>58944578</v>
      </c>
      <c r="C186" s="87">
        <f>(INDEX(Data!325:325,1,$U$1-1)+INDEX(Data!842:842,1,$U$1-1)-INDEX(Data!1328:1328,1,$U$1-1))</f>
        <v>54849248</v>
      </c>
      <c r="D186" s="88">
        <f t="shared" si="159"/>
        <v>113793826</v>
      </c>
      <c r="E186" s="89">
        <f>(INDEX(Data!325:325,1,$U$1)+INDEX(Data!842:842,1,$U$1)-INDEX(Data!1328:1328,1,$U$1))</f>
        <v>60455242</v>
      </c>
      <c r="F186" s="90">
        <f>(INDEX(Data!325:325,1,$U$1+1)+INDEX(Data!842:842,1,$U$1+1)-INDEX(Data!1328:1328,1,$U$1+1))</f>
        <v>55895241</v>
      </c>
      <c r="G186" s="88">
        <f t="shared" si="160"/>
        <v>116350483</v>
      </c>
      <c r="H186" s="86">
        <f t="shared" si="161"/>
        <v>2556657</v>
      </c>
      <c r="I186" s="447">
        <f t="shared" si="136"/>
        <v>2.2467449156687989E-2</v>
      </c>
      <c r="J186" s="453">
        <f t="shared" si="129"/>
        <v>4.8393293459483618E-3</v>
      </c>
      <c r="K186" s="91">
        <f>(INDEX(Data!377:377,1,$U$1-2)+INDEX(Data!842:842,1,$U$1-2)-INDEX(Data!1485:1485,1,$U$1-2))</f>
        <v>58944578</v>
      </c>
      <c r="L186" s="87">
        <f>(INDEX(Data!377:377,1,$U$1-1)+INDEX(Data!842:842,1,$U$1-1)-INDEX(Data!1485:1485,1,$U$1-1))</f>
        <v>54849248</v>
      </c>
      <c r="M186" s="88">
        <f t="shared" si="162"/>
        <v>113793826</v>
      </c>
      <c r="N186" s="89">
        <f>(INDEX(Data!377:377,1,$U$1)+INDEX(Data!842:842,1,$U$1)-INDEX(Data!1485:1485,1,$U$1))</f>
        <v>60455242</v>
      </c>
      <c r="O186" s="90">
        <f>(INDEX(Data!377:377,1,$U$1+1)+INDEX(Data!842:842,1,$U$1+1)-INDEX(Data!1485:1485,1,$U$1+1))</f>
        <v>55895241</v>
      </c>
      <c r="P186" s="88">
        <f t="shared" si="163"/>
        <v>116350483</v>
      </c>
      <c r="Q186" s="86">
        <f t="shared" si="164"/>
        <v>2556657</v>
      </c>
      <c r="R186" s="84">
        <f t="shared" si="140"/>
        <v>2.2467449156687989E-2</v>
      </c>
      <c r="S186" s="85">
        <f t="shared" si="131"/>
        <v>7.8275476435307519E-3</v>
      </c>
      <c r="T186" s="85">
        <f t="shared" si="132"/>
        <v>1</v>
      </c>
      <c r="V186" s="764"/>
      <c r="W186" s="765"/>
    </row>
    <row r="187" spans="1:23" hidden="1" outlineLevel="1">
      <c r="A187" s="79" t="s">
        <v>106</v>
      </c>
      <c r="B187" s="86">
        <f>(INDEX(Data!326:326,1,$U$1-2)+INDEX(Data!843:843,1,$U$1-2)-INDEX(Data!1329:1329,1,$U$1-2))</f>
        <v>27378321</v>
      </c>
      <c r="C187" s="87">
        <f>(INDEX(Data!326:326,1,$U$1-1)+INDEX(Data!843:843,1,$U$1-1)-INDEX(Data!1329:1329,1,$U$1-1))</f>
        <v>27549570</v>
      </c>
      <c r="D187" s="88">
        <f t="shared" si="159"/>
        <v>54927891</v>
      </c>
      <c r="E187" s="89">
        <f>(INDEX(Data!326:326,1,$U$1)+INDEX(Data!843:843,1,$U$1)-INDEX(Data!1329:1329,1,$U$1))</f>
        <v>28481478</v>
      </c>
      <c r="F187" s="90">
        <f>(INDEX(Data!326:326,1,$U$1+1)+INDEX(Data!843:843,1,$U$1+1)-INDEX(Data!1329:1329,1,$U$1+1))</f>
        <v>28344677</v>
      </c>
      <c r="G187" s="88">
        <f t="shared" si="160"/>
        <v>56826155</v>
      </c>
      <c r="H187" s="86">
        <f t="shared" si="161"/>
        <v>1898264</v>
      </c>
      <c r="I187" s="447">
        <f t="shared" si="136"/>
        <v>3.4559200534387893E-2</v>
      </c>
      <c r="J187" s="453">
        <f t="shared" si="129"/>
        <v>2.3635525390032996E-3</v>
      </c>
      <c r="K187" s="91">
        <f>(INDEX(Data!378:378,1,$U$1-2)+INDEX(Data!843:843,1,$U$1-2)-INDEX(Data!1486:1486,1,$U$1-2))</f>
        <v>27378321</v>
      </c>
      <c r="L187" s="87">
        <f>(INDEX(Data!378:378,1,$U$1-1)+INDEX(Data!843:843,1,$U$1-1)-INDEX(Data!1486:1486,1,$U$1-1))</f>
        <v>27549570</v>
      </c>
      <c r="M187" s="88">
        <f t="shared" si="162"/>
        <v>54927891</v>
      </c>
      <c r="N187" s="89">
        <f>(INDEX(Data!378:378,1,$U$1)+INDEX(Data!843:843,1,$U$1)-INDEX(Data!1486:1486,1,$U$1))</f>
        <v>28481478</v>
      </c>
      <c r="O187" s="90">
        <f>(INDEX(Data!378:378,1,$U$1+1)+INDEX(Data!843:843,1,$U$1+1)-INDEX(Data!1486:1486,1,$U$1+1))</f>
        <v>28344677</v>
      </c>
      <c r="P187" s="88">
        <f t="shared" si="163"/>
        <v>56826155</v>
      </c>
      <c r="Q187" s="86">
        <f t="shared" si="164"/>
        <v>1898264</v>
      </c>
      <c r="R187" s="84">
        <f t="shared" si="140"/>
        <v>3.4559200534387893E-2</v>
      </c>
      <c r="S187" s="85">
        <f t="shared" si="131"/>
        <v>3.8230132285842185E-3</v>
      </c>
      <c r="T187" s="85">
        <f t="shared" si="132"/>
        <v>1</v>
      </c>
      <c r="V187" s="764"/>
      <c r="W187" s="765"/>
    </row>
    <row r="188" spans="1:23" hidden="1" outlineLevel="1">
      <c r="A188" s="79" t="s">
        <v>107</v>
      </c>
      <c r="B188" s="86">
        <f>(INDEX(Data!327:327,1,$U$1-2)+INDEX(Data!844:844,1,$U$1-2)-INDEX(Data!1330:1330,1,$U$1-2))</f>
        <v>6929571</v>
      </c>
      <c r="C188" s="87">
        <f>(INDEX(Data!327:327,1,$U$1-1)+INDEX(Data!844:844,1,$U$1-1)-INDEX(Data!1330:1330,1,$U$1-1))</f>
        <v>6996473</v>
      </c>
      <c r="D188" s="88">
        <f t="shared" si="159"/>
        <v>13926044</v>
      </c>
      <c r="E188" s="89">
        <f>(INDEX(Data!327:327,1,$U$1)+INDEX(Data!844:844,1,$U$1)-INDEX(Data!1330:1330,1,$U$1))</f>
        <v>7506195</v>
      </c>
      <c r="F188" s="90">
        <f>(INDEX(Data!327:327,1,$U$1+1)+INDEX(Data!844:844,1,$U$1+1)-INDEX(Data!1330:1330,1,$U$1+1))</f>
        <v>7506194</v>
      </c>
      <c r="G188" s="88">
        <f t="shared" si="160"/>
        <v>15012389</v>
      </c>
      <c r="H188" s="86">
        <f t="shared" si="161"/>
        <v>1086345</v>
      </c>
      <c r="I188" s="447">
        <f t="shared" si="136"/>
        <v>7.8008155079791502E-2</v>
      </c>
      <c r="J188" s="453">
        <f t="shared" si="129"/>
        <v>6.244056128283746E-4</v>
      </c>
      <c r="K188" s="91">
        <f>(INDEX(Data!379:379,1,$U$1-2)+INDEX(Data!844:844,1,$U$1-2)-INDEX(Data!1487:1487,1,$U$1-2))</f>
        <v>6929571</v>
      </c>
      <c r="L188" s="87">
        <f>(INDEX(Data!379:379,1,$U$1-1)+INDEX(Data!844:844,1,$U$1-1)-INDEX(Data!1487:1487,1,$U$1-1))</f>
        <v>6996473</v>
      </c>
      <c r="M188" s="88">
        <f t="shared" si="162"/>
        <v>13926044</v>
      </c>
      <c r="N188" s="89">
        <f>(INDEX(Data!379:379,1,$U$1)+INDEX(Data!844:844,1,$U$1)-INDEX(Data!1487:1487,1,$U$1))</f>
        <v>7506195</v>
      </c>
      <c r="O188" s="90">
        <f>(INDEX(Data!379:379,1,$U$1+1)+INDEX(Data!844:844,1,$U$1+1)-INDEX(Data!1487:1487,1,$U$1+1))</f>
        <v>7506194</v>
      </c>
      <c r="P188" s="88">
        <f t="shared" si="163"/>
        <v>15012389</v>
      </c>
      <c r="Q188" s="86">
        <f t="shared" si="164"/>
        <v>1086345</v>
      </c>
      <c r="R188" s="84">
        <f t="shared" si="140"/>
        <v>7.8008155079791502E-2</v>
      </c>
      <c r="S188" s="85">
        <f t="shared" si="131"/>
        <v>1.0099673599181962E-3</v>
      </c>
      <c r="T188" s="85">
        <f t="shared" si="132"/>
        <v>1</v>
      </c>
      <c r="V188" s="764"/>
      <c r="W188" s="765"/>
    </row>
    <row r="189" spans="1:23" hidden="1" outlineLevel="1">
      <c r="A189" s="79" t="s">
        <v>108</v>
      </c>
      <c r="B189" s="86">
        <f>(INDEX(Data!328:328,1,$U$1-2)+INDEX(Data!845:845,1,$U$1-2)-INDEX(Data!1331:1331,1,$U$1-2))</f>
        <v>19461772</v>
      </c>
      <c r="C189" s="87">
        <f>(INDEX(Data!328:328,1,$U$1-1)+INDEX(Data!845:845,1,$U$1-1)-INDEX(Data!1331:1331,1,$U$1-1))</f>
        <v>19591430</v>
      </c>
      <c r="D189" s="88">
        <f t="shared" si="159"/>
        <v>39053202</v>
      </c>
      <c r="E189" s="89">
        <f>(INDEX(Data!328:328,1,$U$1)+INDEX(Data!845:845,1,$U$1)-INDEX(Data!1331:1331,1,$U$1))</f>
        <v>19318491</v>
      </c>
      <c r="F189" s="90">
        <f>(INDEX(Data!328:328,1,$U$1+1)+INDEX(Data!845:845,1,$U$1+1)-INDEX(Data!1331:1331,1,$U$1+1))</f>
        <v>19318490</v>
      </c>
      <c r="G189" s="88">
        <f t="shared" si="160"/>
        <v>38636981</v>
      </c>
      <c r="H189" s="86">
        <f t="shared" si="161"/>
        <v>-416221</v>
      </c>
      <c r="I189" s="447">
        <f t="shared" si="136"/>
        <v>-1.0657794462026443E-2</v>
      </c>
      <c r="J189" s="453">
        <f t="shared" si="129"/>
        <v>1.607015898611691E-3</v>
      </c>
      <c r="K189" s="91">
        <f>(INDEX(Data!380:380,1,$U$1-2)+INDEX(Data!845:845,1,$U$1-2)-INDEX(Data!1488:1488,1,$U$1-2))</f>
        <v>19461772</v>
      </c>
      <c r="L189" s="87">
        <f>(INDEX(Data!380:380,1,$U$1-1)+INDEX(Data!845:845,1,$U$1-1)-INDEX(Data!1488:1488,1,$U$1-1))</f>
        <v>19591430</v>
      </c>
      <c r="M189" s="88">
        <f t="shared" si="162"/>
        <v>39053202</v>
      </c>
      <c r="N189" s="89">
        <f>(INDEX(Data!380:380,1,$U$1)+INDEX(Data!845:845,1,$U$1)-INDEX(Data!1488:1488,1,$U$1))</f>
        <v>19318491</v>
      </c>
      <c r="O189" s="90">
        <f>(INDEX(Data!380:380,1,$U$1+1)+INDEX(Data!845:845,1,$U$1+1)-INDEX(Data!1488:1488,1,$U$1+1))</f>
        <v>19318490</v>
      </c>
      <c r="P189" s="88">
        <f t="shared" si="163"/>
        <v>38636981</v>
      </c>
      <c r="Q189" s="86">
        <f t="shared" si="164"/>
        <v>-416221</v>
      </c>
      <c r="R189" s="84">
        <f t="shared" si="140"/>
        <v>-1.0657794462026443E-2</v>
      </c>
      <c r="S189" s="85">
        <f t="shared" si="131"/>
        <v>2.5993257765822286E-3</v>
      </c>
      <c r="T189" s="85">
        <f t="shared" si="132"/>
        <v>1</v>
      </c>
      <c r="V189" s="764"/>
      <c r="W189" s="765"/>
    </row>
    <row r="190" spans="1:23" hidden="1" outlineLevel="1">
      <c r="A190" s="79" t="s">
        <v>1404</v>
      </c>
      <c r="B190" s="86">
        <f>(INDEX(Data!329:329,1,$U$1-2)+INDEX(Data!846:846,1,$U$1-2)-INDEX(Data!1332:1332,1,$U$1-2))</f>
        <v>5985438</v>
      </c>
      <c r="C190" s="87">
        <f>(INDEX(Data!329:329,1,$U$1-1)+INDEX(Data!846:846,1,$U$1-1)-INDEX(Data!1332:1332,1,$U$1-1))</f>
        <v>6030841</v>
      </c>
      <c r="D190" s="88">
        <f t="shared" si="159"/>
        <v>12016279</v>
      </c>
      <c r="E190" s="89">
        <f>(INDEX(Data!329:329,1,$U$1)+INDEX(Data!846:846,1,$U$1)-INDEX(Data!1332:1332,1,$U$1))</f>
        <v>6381547</v>
      </c>
      <c r="F190" s="90">
        <f>(INDEX(Data!329:329,1,$U$1+1)+INDEX(Data!846:846,1,$U$1+1)-INDEX(Data!1332:1332,1,$U$1+1))</f>
        <v>6381546</v>
      </c>
      <c r="G190" s="88">
        <f t="shared" si="160"/>
        <v>12763093</v>
      </c>
      <c r="H190" s="86">
        <f t="shared" si="161"/>
        <v>746814</v>
      </c>
      <c r="I190" s="447">
        <f t="shared" si="136"/>
        <v>6.2150188090672659E-2</v>
      </c>
      <c r="J190" s="453">
        <f t="shared" si="129"/>
        <v>5.3085134592838873E-4</v>
      </c>
      <c r="K190" s="91">
        <f>(INDEX(Data!381:381,1,$U$1-2)+INDEX(Data!846:846,1,$U$1-2)-INDEX(Data!1489:1489,1,$U$1-2))</f>
        <v>5985438</v>
      </c>
      <c r="L190" s="87">
        <f>(INDEX(Data!381:381,1,$U$1-1)+INDEX(Data!846:846,1,$U$1-1)-INDEX(Data!1489:1489,1,$U$1-1))</f>
        <v>6030841</v>
      </c>
      <c r="M190" s="88">
        <f t="shared" si="162"/>
        <v>12016279</v>
      </c>
      <c r="N190" s="89">
        <f>(INDEX(Data!381:381,1,$U$1)+INDEX(Data!846:846,1,$U$1)-INDEX(Data!1489:1489,1,$U$1))</f>
        <v>6381547</v>
      </c>
      <c r="O190" s="90">
        <f>(INDEX(Data!381:381,1,$U$1+1)+INDEX(Data!846:846,1,$U$1+1)-INDEX(Data!1489:1489,1,$U$1+1))</f>
        <v>6381546</v>
      </c>
      <c r="P190" s="88">
        <f t="shared" si="163"/>
        <v>12763093</v>
      </c>
      <c r="Q190" s="86">
        <f t="shared" si="164"/>
        <v>746814</v>
      </c>
      <c r="R190" s="84">
        <f t="shared" si="140"/>
        <v>6.2150188090672659E-2</v>
      </c>
      <c r="S190" s="85">
        <f t="shared" si="131"/>
        <v>8.5864463954407329E-4</v>
      </c>
      <c r="T190" s="85">
        <f t="shared" si="132"/>
        <v>1</v>
      </c>
      <c r="V190" s="764"/>
      <c r="W190" s="765"/>
    </row>
    <row r="191" spans="1:23" hidden="1" outlineLevel="1">
      <c r="A191" s="79" t="s">
        <v>110</v>
      </c>
      <c r="B191" s="86">
        <f>(INDEX(Data!330:330,1,$U$1-2)+INDEX(Data!847:847,1,$U$1-2)-INDEX(Data!1333:1333,1,$U$1-2))</f>
        <v>3337932</v>
      </c>
      <c r="C191" s="87">
        <f>(INDEX(Data!330:330,1,$U$1-1)+INDEX(Data!847:847,1,$U$1-1)-INDEX(Data!1333:1333,1,$U$1-1))</f>
        <v>3360819</v>
      </c>
      <c r="D191" s="88">
        <f t="shared" si="159"/>
        <v>6698751</v>
      </c>
      <c r="E191" s="89">
        <f>(INDEX(Data!330:330,1,$U$1)+INDEX(Data!847:847,1,$U$1)-INDEX(Data!1333:1333,1,$U$1))</f>
        <v>3451866</v>
      </c>
      <c r="F191" s="90">
        <f>(INDEX(Data!330:330,1,$U$1+1)+INDEX(Data!847:847,1,$U$1+1)-INDEX(Data!1333:1333,1,$U$1+1))</f>
        <v>3451865</v>
      </c>
      <c r="G191" s="88">
        <f t="shared" si="160"/>
        <v>6903731</v>
      </c>
      <c r="H191" s="86">
        <f t="shared" si="161"/>
        <v>204980</v>
      </c>
      <c r="I191" s="447">
        <f t="shared" si="136"/>
        <v>3.0599734189254088E-2</v>
      </c>
      <c r="J191" s="453">
        <f t="shared" si="129"/>
        <v>2.871447299864963E-4</v>
      </c>
      <c r="K191" s="91">
        <f>(INDEX(Data!382:382,1,$U$1-2)+INDEX(Data!847:847,1,$U$1-2)-INDEX(Data!1490:1490,1,$U$1-2))</f>
        <v>3337932</v>
      </c>
      <c r="L191" s="87">
        <f>(INDEX(Data!382:382,1,$U$1-1)+INDEX(Data!847:847,1,$U$1-1)-INDEX(Data!1490:1490,1,$U$1-1))</f>
        <v>3360819</v>
      </c>
      <c r="M191" s="88">
        <f t="shared" si="162"/>
        <v>6698751</v>
      </c>
      <c r="N191" s="89">
        <f>(INDEX(Data!382:382,1,$U$1)+INDEX(Data!847:847,1,$U$1)-INDEX(Data!1490:1490,1,$U$1))</f>
        <v>3451866</v>
      </c>
      <c r="O191" s="90">
        <f>(INDEX(Data!382:382,1,$U$1+1)+INDEX(Data!847:847,1,$U$1+1)-INDEX(Data!1490:1490,1,$U$1+1))</f>
        <v>3451865</v>
      </c>
      <c r="P191" s="88">
        <f t="shared" si="163"/>
        <v>6903731</v>
      </c>
      <c r="Q191" s="86">
        <f t="shared" si="164"/>
        <v>204980</v>
      </c>
      <c r="R191" s="84">
        <f t="shared" si="140"/>
        <v>3.0599734189254088E-2</v>
      </c>
      <c r="S191" s="85">
        <f t="shared" si="131"/>
        <v>4.6445259123350775E-4</v>
      </c>
      <c r="T191" s="85">
        <f t="shared" si="132"/>
        <v>1</v>
      </c>
      <c r="V191" s="764"/>
      <c r="W191" s="765"/>
    </row>
    <row r="192" spans="1:23" hidden="1" outlineLevel="1">
      <c r="A192" s="79" t="s">
        <v>167</v>
      </c>
      <c r="B192" s="86">
        <f>(INDEX(Data!331:331,1,$U$1-2)+INDEX(Data!848:848,1,$U$1-2)-INDEX(Data!1334:1334,1,$U$1-2))</f>
        <v>8431057</v>
      </c>
      <c r="C192" s="87">
        <f>(INDEX(Data!331:331,1,$U$1-1)+INDEX(Data!848:848,1,$U$1-1)-INDEX(Data!1334:1334,1,$U$1-1))</f>
        <v>8488823</v>
      </c>
      <c r="D192" s="88">
        <f t="shared" si="159"/>
        <v>16919880</v>
      </c>
      <c r="E192" s="89">
        <f>(INDEX(Data!331:331,1,$U$1)+INDEX(Data!848:848,1,$U$1)-INDEX(Data!1334:1334,1,$U$1))</f>
        <v>8113361</v>
      </c>
      <c r="F192" s="90">
        <f>(INDEX(Data!331:331,1,$U$1+1)+INDEX(Data!848:848,1,$U$1+1)-INDEX(Data!1334:1334,1,$U$1+1))</f>
        <v>8113361</v>
      </c>
      <c r="G192" s="88">
        <f t="shared" si="160"/>
        <v>16226722</v>
      </c>
      <c r="H192" s="86">
        <f t="shared" si="161"/>
        <v>-693158</v>
      </c>
      <c r="I192" s="447">
        <f t="shared" si="136"/>
        <v>-4.0967075416610522E-2</v>
      </c>
      <c r="J192" s="453">
        <f t="shared" si="129"/>
        <v>6.749129865077216E-4</v>
      </c>
      <c r="K192" s="91">
        <f>(INDEX(Data!383:383,1,$U$1-2)+INDEX(Data!848:848,1,$U$1-2)-INDEX(Data!1491:1491,1,$U$1-2))</f>
        <v>8431057</v>
      </c>
      <c r="L192" s="87">
        <f>(INDEX(Data!383:383,1,$U$1-1)+INDEX(Data!848:848,1,$U$1-1)-INDEX(Data!1491:1491,1,$U$1-1))</f>
        <v>8488823</v>
      </c>
      <c r="M192" s="88">
        <f t="shared" si="162"/>
        <v>16919880</v>
      </c>
      <c r="N192" s="89">
        <f>(INDEX(Data!383:383,1,$U$1)+INDEX(Data!848:848,1,$U$1)-INDEX(Data!1491:1491,1,$U$1))</f>
        <v>8113361</v>
      </c>
      <c r="O192" s="90">
        <f>(INDEX(Data!383:383,1,$U$1+1)+INDEX(Data!848:848,1,$U$1+1)-INDEX(Data!1491:1491,1,$U$1+1))</f>
        <v>8113361</v>
      </c>
      <c r="P192" s="88">
        <f t="shared" si="163"/>
        <v>16226722</v>
      </c>
      <c r="Q192" s="86">
        <f t="shared" si="164"/>
        <v>-693158</v>
      </c>
      <c r="R192" s="84">
        <f t="shared" si="140"/>
        <v>-4.0967075416610522E-2</v>
      </c>
      <c r="S192" s="85">
        <f t="shared" si="131"/>
        <v>1.0916623315893634E-3</v>
      </c>
      <c r="T192" s="85">
        <f t="shared" si="132"/>
        <v>1</v>
      </c>
      <c r="V192" s="764"/>
      <c r="W192" s="765"/>
    </row>
    <row r="193" spans="1:23" ht="25.5" hidden="1" outlineLevel="1">
      <c r="A193" s="79" t="s">
        <v>1410</v>
      </c>
      <c r="B193" s="86">
        <f>(INDEX(Data!332:332,1,$U$1-2)+INDEX(Data!849:849,1,$U$1-2)-INDEX(Data!1335:1335,1,$U$1-2))</f>
        <v>8449919</v>
      </c>
      <c r="C193" s="87">
        <f>(INDEX(Data!332:332,1,$U$1-1)+INDEX(Data!849:849,1,$U$1-1)-INDEX(Data!1335:1335,1,$U$1-1))</f>
        <v>8556938</v>
      </c>
      <c r="D193" s="88">
        <f t="shared" si="159"/>
        <v>17006857</v>
      </c>
      <c r="E193" s="89">
        <f>(INDEX(Data!332:332,1,$U$1)+INDEX(Data!849:849,1,$U$1)-INDEX(Data!1335:1335,1,$U$1))</f>
        <v>8958154</v>
      </c>
      <c r="F193" s="90">
        <f>(INDEX(Data!332:332,1,$U$1+1)+INDEX(Data!849:849,1,$U$1+1)-INDEX(Data!1335:1335,1,$U$1+1))</f>
        <v>8958153</v>
      </c>
      <c r="G193" s="88">
        <f t="shared" si="160"/>
        <v>17916307</v>
      </c>
      <c r="H193" s="86">
        <f t="shared" si="161"/>
        <v>909450</v>
      </c>
      <c r="I193" s="447">
        <f t="shared" si="136"/>
        <v>5.3475489327628259E-2</v>
      </c>
      <c r="J193" s="453">
        <f t="shared" si="129"/>
        <v>7.4518736837663195E-4</v>
      </c>
      <c r="K193" s="91">
        <f>(INDEX(Data!384:384,1,$U$1-2)+INDEX(Data!849:849,1,$U$1-2)-INDEX(Data!1492:1492,1,$U$1-2))</f>
        <v>8449919</v>
      </c>
      <c r="L193" s="87">
        <f>(INDEX(Data!384:384,1,$U$1-1)+INDEX(Data!849:849,1,$U$1-1)-INDEX(Data!1492:1492,1,$U$1-1))</f>
        <v>8556938</v>
      </c>
      <c r="M193" s="88">
        <f t="shared" si="162"/>
        <v>17006857</v>
      </c>
      <c r="N193" s="89">
        <f>(INDEX(Data!384:384,1,$U$1)+INDEX(Data!849:849,1,$U$1)-INDEX(Data!1492:1492,1,$U$1))</f>
        <v>8958154</v>
      </c>
      <c r="O193" s="90">
        <f>(INDEX(Data!384:384,1,$U$1+1)+INDEX(Data!849:849,1,$U$1+1)-INDEX(Data!1492:1492,1,$U$1+1))</f>
        <v>8958153</v>
      </c>
      <c r="P193" s="88">
        <f t="shared" si="163"/>
        <v>17916307</v>
      </c>
      <c r="Q193" s="86">
        <f t="shared" si="164"/>
        <v>909450</v>
      </c>
      <c r="R193" s="84">
        <f t="shared" si="140"/>
        <v>5.3475489327628259E-2</v>
      </c>
      <c r="S193" s="85">
        <f t="shared" si="131"/>
        <v>1.2053301629923057E-3</v>
      </c>
      <c r="T193" s="85">
        <f t="shared" si="132"/>
        <v>1</v>
      </c>
      <c r="V193" s="764"/>
      <c r="W193" s="765"/>
    </row>
    <row r="194" spans="1:23" hidden="1" outlineLevel="1">
      <c r="A194" s="79" t="s">
        <v>885</v>
      </c>
      <c r="B194" s="86">
        <f>(INDEX(Data!333:333,1,$U$1-2)+INDEX(Data!850:850,1,$U$1-2)-INDEX(Data!1336:1336,1,$U$1-2))</f>
        <v>40131328</v>
      </c>
      <c r="C194" s="87">
        <f>(INDEX(Data!333:333,1,$U$1-1)+INDEX(Data!850:850,1,$U$1-1)-INDEX(Data!1336:1336,1,$U$1-1))</f>
        <v>40342257</v>
      </c>
      <c r="D194" s="88">
        <f t="shared" si="159"/>
        <v>80473585</v>
      </c>
      <c r="E194" s="89">
        <f>(INDEX(Data!333:333,1,$U$1)+INDEX(Data!850:850,1,$U$1)-INDEX(Data!1336:1336,1,$U$1))</f>
        <v>44613000</v>
      </c>
      <c r="F194" s="90">
        <f>(INDEX(Data!333:333,1,$U$1+1)+INDEX(Data!850:850,1,$U$1+1)-INDEX(Data!1336:1336,1,$U$1+1))</f>
        <v>44612999</v>
      </c>
      <c r="G194" s="88">
        <f t="shared" si="160"/>
        <v>89225999</v>
      </c>
      <c r="H194" s="86">
        <f t="shared" si="161"/>
        <v>8752414</v>
      </c>
      <c r="I194" s="447">
        <f t="shared" si="136"/>
        <v>0.10876132832904113</v>
      </c>
      <c r="J194" s="453">
        <f t="shared" si="129"/>
        <v>3.7111491439383126E-3</v>
      </c>
      <c r="K194" s="91">
        <f>(INDEX(Data!385:385,1,$U$1-2)+INDEX(Data!850:850,1,$U$1-2)-INDEX(Data!1493:1493,1,$U$1-2))</f>
        <v>40131328</v>
      </c>
      <c r="L194" s="87">
        <f>(INDEX(Data!385:385,1,$U$1-1)+INDEX(Data!850:850,1,$U$1-1)-INDEX(Data!1493:1493,1,$U$1-1))</f>
        <v>40342257</v>
      </c>
      <c r="M194" s="88">
        <f t="shared" si="162"/>
        <v>80473585</v>
      </c>
      <c r="N194" s="89">
        <f>(INDEX(Data!385:385,1,$U$1)+INDEX(Data!850:850,1,$U$1)-INDEX(Data!1493:1493,1,$U$1))</f>
        <v>44613000</v>
      </c>
      <c r="O194" s="90">
        <f>(INDEX(Data!385:385,1,$U$1+1)+INDEX(Data!850:850,1,$U$1+1)-INDEX(Data!1493:1493,1,$U$1+1))</f>
        <v>44612999</v>
      </c>
      <c r="P194" s="88">
        <f t="shared" si="163"/>
        <v>89225999</v>
      </c>
      <c r="Q194" s="86">
        <f t="shared" si="164"/>
        <v>8752414</v>
      </c>
      <c r="R194" s="84">
        <f t="shared" si="140"/>
        <v>0.10876132832904113</v>
      </c>
      <c r="S194" s="85">
        <f t="shared" si="131"/>
        <v>6.0027319200224305E-3</v>
      </c>
      <c r="T194" s="85">
        <f t="shared" si="132"/>
        <v>1</v>
      </c>
      <c r="V194" s="764"/>
      <c r="W194" s="765"/>
    </row>
    <row r="195" spans="1:23" hidden="1" outlineLevel="1">
      <c r="A195" s="79" t="s">
        <v>1411</v>
      </c>
      <c r="B195" s="86">
        <f>(INDEX(Data!334:334,1,$U$1-2)+INDEX(Data!851:851,1,$U$1-2)-INDEX(Data!1337:1337,1,$U$1-2))</f>
        <v>107288604</v>
      </c>
      <c r="C195" s="87">
        <f>(INDEX(Data!334:334,1,$U$1-1)+INDEX(Data!851:851,1,$U$1-1)-INDEX(Data!1337:1337,1,$U$1-1))</f>
        <v>108091898</v>
      </c>
      <c r="D195" s="88">
        <f t="shared" si="159"/>
        <v>215380502</v>
      </c>
      <c r="E195" s="89">
        <f>(INDEX(Data!334:334,1,$U$1)+INDEX(Data!851:851,1,$U$1)-INDEX(Data!1337:1337,1,$U$1))</f>
        <v>114623533</v>
      </c>
      <c r="F195" s="90">
        <f>(INDEX(Data!334:334,1,$U$1+1)+INDEX(Data!851:851,1,$U$1+1)-INDEX(Data!1337:1337,1,$U$1+1))</f>
        <v>114623532</v>
      </c>
      <c r="G195" s="88">
        <f t="shared" si="160"/>
        <v>229247065</v>
      </c>
      <c r="H195" s="86">
        <f t="shared" si="161"/>
        <v>13866563</v>
      </c>
      <c r="I195" s="447">
        <f t="shared" si="136"/>
        <v>6.4381700623949698E-2</v>
      </c>
      <c r="J195" s="453">
        <f t="shared" si="129"/>
        <v>9.535001664986914E-3</v>
      </c>
      <c r="K195" s="91">
        <f>(INDEX(Data!386:386,1,$U$1-2)+INDEX(Data!851:851,1,$U$1-2)-INDEX(Data!1494:1494,1,$U$1-2))</f>
        <v>107288604</v>
      </c>
      <c r="L195" s="87">
        <f>(INDEX(Data!386:386,1,$U$1-1)+INDEX(Data!851:851,1,$U$1-1)-INDEX(Data!1494:1494,1,$U$1-1))</f>
        <v>108091898</v>
      </c>
      <c r="M195" s="88">
        <f t="shared" si="162"/>
        <v>215380502</v>
      </c>
      <c r="N195" s="89">
        <f>(INDEX(Data!386:386,1,$U$1)+INDEX(Data!851:851,1,$U$1)-INDEX(Data!1494:1494,1,$U$1))</f>
        <v>114623533</v>
      </c>
      <c r="O195" s="90">
        <f>(INDEX(Data!386:386,1,$U$1+1)+INDEX(Data!851:851,1,$U$1+1)-INDEX(Data!1494:1494,1,$U$1+1))</f>
        <v>114623532</v>
      </c>
      <c r="P195" s="88">
        <f t="shared" si="163"/>
        <v>229247065</v>
      </c>
      <c r="Q195" s="86">
        <f t="shared" si="164"/>
        <v>13866563</v>
      </c>
      <c r="R195" s="84">
        <f t="shared" si="140"/>
        <v>6.4381700623949698E-2</v>
      </c>
      <c r="S195" s="85">
        <f t="shared" si="131"/>
        <v>1.5422732051976879E-2</v>
      </c>
      <c r="T195" s="85">
        <f t="shared" si="132"/>
        <v>1</v>
      </c>
      <c r="V195" s="764"/>
      <c r="W195" s="765"/>
    </row>
    <row r="196" spans="1:23" hidden="1" outlineLevel="1">
      <c r="A196" s="79" t="s">
        <v>114</v>
      </c>
      <c r="B196" s="86">
        <f>(INDEX(Data!335:335,1,$U$1-2)+INDEX(Data!852:852,1,$U$1-2)-INDEX(Data!1338:1338,1,$U$1-2))</f>
        <v>20046356</v>
      </c>
      <c r="C196" s="87">
        <f>(INDEX(Data!335:335,1,$U$1-1)+INDEX(Data!852:852,1,$U$1-1)-INDEX(Data!1338:1338,1,$U$1-1))</f>
        <v>20236667</v>
      </c>
      <c r="D196" s="88">
        <f t="shared" si="159"/>
        <v>40283023</v>
      </c>
      <c r="E196" s="89">
        <f>(INDEX(Data!335:335,1,$U$1)+INDEX(Data!852:852,1,$U$1)-INDEX(Data!1338:1338,1,$U$1))</f>
        <v>20791314</v>
      </c>
      <c r="F196" s="90">
        <f>(INDEX(Data!335:335,1,$U$1+1)+INDEX(Data!852:852,1,$U$1+1)-INDEX(Data!1338:1338,1,$U$1+1))</f>
        <v>20791312</v>
      </c>
      <c r="G196" s="88">
        <f t="shared" si="160"/>
        <v>41582626</v>
      </c>
      <c r="H196" s="86">
        <f t="shared" si="161"/>
        <v>1299603</v>
      </c>
      <c r="I196" s="447">
        <f t="shared" si="136"/>
        <v>3.2261804184854748E-2</v>
      </c>
      <c r="J196" s="453">
        <f t="shared" si="129"/>
        <v>1.7295331922549506E-3</v>
      </c>
      <c r="K196" s="91">
        <f>(INDEX(Data!387:387,1,$U$1-2)+INDEX(Data!852:852,1,$U$1-2)-INDEX(Data!1495:1495,1,$U$1-2))</f>
        <v>20046356</v>
      </c>
      <c r="L196" s="87">
        <f>(INDEX(Data!387:387,1,$U$1-1)+INDEX(Data!852:852,1,$U$1-1)-INDEX(Data!1495:1495,1,$U$1-1))</f>
        <v>20236667</v>
      </c>
      <c r="M196" s="88">
        <f t="shared" si="162"/>
        <v>40283023</v>
      </c>
      <c r="N196" s="89">
        <f>(INDEX(Data!387:387,1,$U$1)+INDEX(Data!852:852,1,$U$1)-INDEX(Data!1495:1495,1,$U$1))</f>
        <v>20791314</v>
      </c>
      <c r="O196" s="90">
        <f>(INDEX(Data!387:387,1,$U$1+1)+INDEX(Data!852:852,1,$U$1+1)-INDEX(Data!1495:1495,1,$U$1+1))</f>
        <v>20791312</v>
      </c>
      <c r="P196" s="88">
        <f t="shared" si="163"/>
        <v>41582626</v>
      </c>
      <c r="Q196" s="86">
        <f t="shared" si="164"/>
        <v>1299603</v>
      </c>
      <c r="R196" s="84">
        <f t="shared" si="140"/>
        <v>3.2261804184854748E-2</v>
      </c>
      <c r="S196" s="85">
        <f t="shared" si="131"/>
        <v>2.7974957882909738E-3</v>
      </c>
      <c r="T196" s="85">
        <f t="shared" si="132"/>
        <v>1</v>
      </c>
      <c r="V196" s="764"/>
      <c r="W196" s="765"/>
    </row>
    <row r="197" spans="1:23" hidden="1" outlineLevel="1">
      <c r="A197" s="79" t="s">
        <v>1412</v>
      </c>
      <c r="B197" s="86">
        <f>(INDEX(Data!336:336,1,$U$1-2)+INDEX(Data!853:853,1,$U$1-2)-INDEX(Data!1339:1339,1,$U$1-2))</f>
        <v>38633566</v>
      </c>
      <c r="C197" s="87">
        <f>(INDEX(Data!336:336,1,$U$1-1)+INDEX(Data!853:853,1,$U$1-1)-INDEX(Data!1339:1339,1,$U$1-1))</f>
        <v>38945026</v>
      </c>
      <c r="D197" s="88">
        <f t="shared" si="159"/>
        <v>77578592</v>
      </c>
      <c r="E197" s="89">
        <f>(INDEX(Data!336:336,1,$U$1)+INDEX(Data!853:853,1,$U$1)-INDEX(Data!1339:1339,1,$U$1))</f>
        <v>39162659</v>
      </c>
      <c r="F197" s="90">
        <f>(INDEX(Data!336:336,1,$U$1+1)+INDEX(Data!853:853,1,$U$1+1)-INDEX(Data!1339:1339,1,$U$1+1))</f>
        <v>39162657</v>
      </c>
      <c r="G197" s="88">
        <f t="shared" si="160"/>
        <v>78325316</v>
      </c>
      <c r="H197" s="86">
        <f t="shared" si="161"/>
        <v>746724</v>
      </c>
      <c r="I197" s="447">
        <f t="shared" si="136"/>
        <v>9.6253873749087889E-3</v>
      </c>
      <c r="J197" s="453">
        <f t="shared" ref="J197:J232" si="165">IFERROR(G197/G$254,"")</f>
        <v>3.2577604361941391E-3</v>
      </c>
      <c r="K197" s="91">
        <f>(INDEX(Data!388:388,1,$U$1-2)+INDEX(Data!853:853,1,$U$1-2)-INDEX(Data!1496:1496,1,$U$1-2))</f>
        <v>38633566</v>
      </c>
      <c r="L197" s="87">
        <f>(INDEX(Data!388:388,1,$U$1-1)+INDEX(Data!853:853,1,$U$1-1)-INDEX(Data!1496:1496,1,$U$1-1))</f>
        <v>38945026</v>
      </c>
      <c r="M197" s="88">
        <f t="shared" si="162"/>
        <v>77578592</v>
      </c>
      <c r="N197" s="89">
        <f>(INDEX(Data!388:388,1,$U$1)+INDEX(Data!853:853,1,$U$1)-INDEX(Data!1496:1496,1,$U$1))</f>
        <v>39162659</v>
      </c>
      <c r="O197" s="90">
        <f>(INDEX(Data!388:388,1,$U$1+1)+INDEX(Data!853:853,1,$U$1+1)-INDEX(Data!1496:1496,1,$U$1+1))</f>
        <v>39162657</v>
      </c>
      <c r="P197" s="88">
        <f t="shared" si="163"/>
        <v>78325316</v>
      </c>
      <c r="Q197" s="86">
        <f t="shared" si="164"/>
        <v>746724</v>
      </c>
      <c r="R197" s="84">
        <f t="shared" si="140"/>
        <v>9.6253873749087889E-3</v>
      </c>
      <c r="S197" s="85">
        <f t="shared" ref="S197:S232" si="166">IFERROR(P197/P$254,"")</f>
        <v>5.2693820160987339E-3</v>
      </c>
      <c r="T197" s="85">
        <f t="shared" si="132"/>
        <v>1</v>
      </c>
      <c r="V197" s="764"/>
      <c r="W197" s="765"/>
    </row>
    <row r="198" spans="1:23" hidden="1" outlineLevel="1">
      <c r="A198" s="79" t="s">
        <v>116</v>
      </c>
      <c r="B198" s="86">
        <f>(INDEX(Data!337:337,1,$U$1-2)+INDEX(Data!854:854,1,$U$1-2)-INDEX(Data!1340:1340,1,$U$1-2))</f>
        <v>3113128</v>
      </c>
      <c r="C198" s="87">
        <f>(INDEX(Data!337:337,1,$U$1-1)+INDEX(Data!854:854,1,$U$1-1)-INDEX(Data!1340:1340,1,$U$1-1))</f>
        <v>3134539</v>
      </c>
      <c r="D198" s="88">
        <f t="shared" si="159"/>
        <v>6247667</v>
      </c>
      <c r="E198" s="89">
        <f>(INDEX(Data!337:337,1,$U$1)+INDEX(Data!854:854,1,$U$1)-INDEX(Data!1340:1340,1,$U$1))</f>
        <v>3023661</v>
      </c>
      <c r="F198" s="90">
        <f>(INDEX(Data!337:337,1,$U$1+1)+INDEX(Data!854:854,1,$U$1+1)-INDEX(Data!1340:1340,1,$U$1+1))</f>
        <v>3023661</v>
      </c>
      <c r="G198" s="88">
        <f t="shared" si="160"/>
        <v>6047322</v>
      </c>
      <c r="H198" s="86">
        <f t="shared" si="161"/>
        <v>-200345</v>
      </c>
      <c r="I198" s="447">
        <f t="shared" si="136"/>
        <v>-3.2067170033230001E-2</v>
      </c>
      <c r="J198" s="453">
        <f t="shared" si="165"/>
        <v>2.5152437759110241E-4</v>
      </c>
      <c r="K198" s="91">
        <f>(INDEX(Data!389:389,1,$U$1-2)+INDEX(Data!854:854,1,$U$1-2)-INDEX(Data!1497:1497,1,$U$1-2))</f>
        <v>3113128</v>
      </c>
      <c r="L198" s="87">
        <f>(INDEX(Data!389:389,1,$U$1-1)+INDEX(Data!854:854,1,$U$1-1)-INDEX(Data!1497:1497,1,$U$1-1))</f>
        <v>3134539</v>
      </c>
      <c r="M198" s="88">
        <f t="shared" si="162"/>
        <v>6247667</v>
      </c>
      <c r="N198" s="89">
        <f>(INDEX(Data!389:389,1,$U$1)+INDEX(Data!854:854,1,$U$1)-INDEX(Data!1497:1497,1,$U$1))</f>
        <v>3023661</v>
      </c>
      <c r="O198" s="90">
        <f>(INDEX(Data!389:389,1,$U$1+1)+INDEX(Data!854:854,1,$U$1+1)-INDEX(Data!1497:1497,1,$U$1+1))</f>
        <v>3023661</v>
      </c>
      <c r="P198" s="88">
        <f t="shared" si="163"/>
        <v>6047322</v>
      </c>
      <c r="Q198" s="86">
        <f t="shared" si="164"/>
        <v>-200345</v>
      </c>
      <c r="R198" s="84">
        <f t="shared" si="140"/>
        <v>-3.2067170033230001E-2</v>
      </c>
      <c r="S198" s="85">
        <f t="shared" si="166"/>
        <v>4.0683716861554986E-4</v>
      </c>
      <c r="T198" s="85">
        <f t="shared" si="132"/>
        <v>1</v>
      </c>
      <c r="V198" s="764"/>
      <c r="W198" s="765"/>
    </row>
    <row r="199" spans="1:23" hidden="1" outlineLevel="1">
      <c r="A199" s="79" t="s">
        <v>117</v>
      </c>
      <c r="B199" s="86">
        <f>(INDEX(Data!338:338,1,$U$1-2)+INDEX(Data!855:855,1,$U$1-2)-INDEX(Data!1341:1341,1,$U$1-2))</f>
        <v>4922578</v>
      </c>
      <c r="C199" s="87">
        <f>(INDEX(Data!338:338,1,$U$1-1)+INDEX(Data!855:855,1,$U$1-1)-INDEX(Data!1341:1341,1,$U$1-1))</f>
        <v>4960697</v>
      </c>
      <c r="D199" s="88">
        <f t="shared" si="159"/>
        <v>9883275</v>
      </c>
      <c r="E199" s="89">
        <f>(INDEX(Data!338:338,1,$U$1)+INDEX(Data!855:855,1,$U$1)-INDEX(Data!1341:1341,1,$U$1))</f>
        <v>5472035</v>
      </c>
      <c r="F199" s="90">
        <f>(INDEX(Data!338:338,1,$U$1+1)+INDEX(Data!855:855,1,$U$1+1)-INDEX(Data!1341:1341,1,$U$1+1))</f>
        <v>5472034</v>
      </c>
      <c r="G199" s="88">
        <f t="shared" si="160"/>
        <v>10944069</v>
      </c>
      <c r="H199" s="86">
        <f t="shared" si="161"/>
        <v>1060794</v>
      </c>
      <c r="I199" s="447">
        <f t="shared" si="136"/>
        <v>0.10733223551909665</v>
      </c>
      <c r="J199" s="453">
        <f t="shared" si="165"/>
        <v>4.5519324810867993E-4</v>
      </c>
      <c r="K199" s="91">
        <f>(INDEX(Data!390:390,1,$U$1-2)+INDEX(Data!855:855,1,$U$1-2)-INDEX(Data!1498:1498,1,$U$1-2))</f>
        <v>4922578</v>
      </c>
      <c r="L199" s="87">
        <f>(INDEX(Data!390:390,1,$U$1-1)+INDEX(Data!855:855,1,$U$1-1)-INDEX(Data!1498:1498,1,$U$1-1))</f>
        <v>4960697</v>
      </c>
      <c r="M199" s="88">
        <f t="shared" si="162"/>
        <v>9883275</v>
      </c>
      <c r="N199" s="89">
        <f>(INDEX(Data!390:390,1,$U$1)+INDEX(Data!855:855,1,$U$1)-INDEX(Data!1498:1498,1,$U$1))</f>
        <v>5472035</v>
      </c>
      <c r="O199" s="90">
        <f>(INDEX(Data!390:390,1,$U$1+1)+INDEX(Data!855:855,1,$U$1+1)-INDEX(Data!1498:1498,1,$U$1+1))</f>
        <v>5472034</v>
      </c>
      <c r="P199" s="88">
        <f t="shared" si="163"/>
        <v>10944069</v>
      </c>
      <c r="Q199" s="86">
        <f t="shared" si="164"/>
        <v>1060794</v>
      </c>
      <c r="R199" s="84">
        <f t="shared" si="140"/>
        <v>0.10733223551909665</v>
      </c>
      <c r="S199" s="85">
        <f t="shared" si="166"/>
        <v>7.3626872276574861E-4</v>
      </c>
      <c r="T199" s="85">
        <f t="shared" si="132"/>
        <v>1</v>
      </c>
      <c r="V199" s="764"/>
      <c r="W199" s="765"/>
    </row>
    <row r="200" spans="1:23" hidden="1" outlineLevel="1">
      <c r="A200" s="79" t="s">
        <v>1406</v>
      </c>
      <c r="B200" s="86">
        <f>(INDEX(Data!339:339,1,$U$1-2)+INDEX(Data!856:856,1,$U$1-2)-INDEX(Data!1342:1342,1,$U$1-2))</f>
        <v>8729594</v>
      </c>
      <c r="C200" s="87">
        <f>(INDEX(Data!339:339,1,$U$1-1)+INDEX(Data!856:856,1,$U$1-1)-INDEX(Data!1342:1342,1,$U$1-1))</f>
        <v>8801286</v>
      </c>
      <c r="D200" s="88">
        <f t="shared" si="159"/>
        <v>17530880</v>
      </c>
      <c r="E200" s="89">
        <f>(INDEX(Data!339:339,1,$U$1)+INDEX(Data!856:856,1,$U$1)-INDEX(Data!1342:1342,1,$U$1))</f>
        <v>8716458</v>
      </c>
      <c r="F200" s="90">
        <f>(INDEX(Data!339:339,1,$U$1+1)+INDEX(Data!856:856,1,$U$1+1)-INDEX(Data!1342:1342,1,$U$1+1))</f>
        <v>8716458</v>
      </c>
      <c r="G200" s="88">
        <f t="shared" si="160"/>
        <v>17432916</v>
      </c>
      <c r="H200" s="86">
        <f t="shared" si="161"/>
        <v>-97964</v>
      </c>
      <c r="I200" s="447">
        <f t="shared" si="136"/>
        <v>-5.5880822867990657E-3</v>
      </c>
      <c r="J200" s="453">
        <f t="shared" si="165"/>
        <v>7.2508183729888542E-4</v>
      </c>
      <c r="K200" s="91">
        <f>(INDEX(Data!391:391,1,$U$1-2)+INDEX(Data!856:856,1,$U$1-2)-INDEX(Data!1499:1499,1,$U$1-2))</f>
        <v>8729594</v>
      </c>
      <c r="L200" s="87">
        <f>(INDEX(Data!391:391,1,$U$1-1)+INDEX(Data!856:856,1,$U$1-1)-INDEX(Data!1499:1499,1,$U$1-1))</f>
        <v>8801286</v>
      </c>
      <c r="M200" s="88">
        <f t="shared" si="162"/>
        <v>17530880</v>
      </c>
      <c r="N200" s="89">
        <f>(INDEX(Data!391:391,1,$U$1)+INDEX(Data!856:856,1,$U$1)-INDEX(Data!1499:1499,1,$U$1))</f>
        <v>8716458</v>
      </c>
      <c r="O200" s="90">
        <f>(INDEX(Data!391:391,1,$U$1+1)+INDEX(Data!856:856,1,$U$1+1)-INDEX(Data!1499:1499,1,$U$1+1))</f>
        <v>8716458</v>
      </c>
      <c r="P200" s="88">
        <f t="shared" si="163"/>
        <v>17432916</v>
      </c>
      <c r="Q200" s="86">
        <f t="shared" si="164"/>
        <v>-97964</v>
      </c>
      <c r="R200" s="84">
        <f t="shared" si="140"/>
        <v>-5.5880822867990657E-3</v>
      </c>
      <c r="S200" s="85">
        <f t="shared" si="166"/>
        <v>1.1728097472158282E-3</v>
      </c>
      <c r="T200" s="85">
        <f t="shared" si="132"/>
        <v>1</v>
      </c>
      <c r="V200" s="764"/>
      <c r="W200" s="765"/>
    </row>
    <row r="201" spans="1:23" hidden="1" outlineLevel="1">
      <c r="A201" s="79" t="s">
        <v>119</v>
      </c>
      <c r="B201" s="86">
        <f>(INDEX(Data!340:340,1,$U$1-2)+INDEX(Data!857:857,1,$U$1-2)-INDEX(Data!1343:1343,1,$U$1-2))</f>
        <v>7839753</v>
      </c>
      <c r="C201" s="87">
        <f>(INDEX(Data!340:340,1,$U$1-1)+INDEX(Data!857:857,1,$U$1-1)-INDEX(Data!1343:1343,1,$U$1-1))</f>
        <v>7891573</v>
      </c>
      <c r="D201" s="88">
        <f t="shared" si="159"/>
        <v>15731326</v>
      </c>
      <c r="E201" s="89">
        <f>(INDEX(Data!340:340,1,$U$1)+INDEX(Data!857:857,1,$U$1)-INDEX(Data!1343:1343,1,$U$1))</f>
        <v>8265218</v>
      </c>
      <c r="F201" s="90">
        <f>(INDEX(Data!340:340,1,$U$1+1)+INDEX(Data!857:857,1,$U$1+1)-INDEX(Data!1343:1343,1,$U$1+1))</f>
        <v>8265217</v>
      </c>
      <c r="G201" s="88">
        <f t="shared" si="160"/>
        <v>16530435</v>
      </c>
      <c r="H201" s="86">
        <f t="shared" si="161"/>
        <v>799109</v>
      </c>
      <c r="I201" s="447">
        <f t="shared" si="136"/>
        <v>5.079730723271516E-2</v>
      </c>
      <c r="J201" s="453">
        <f t="shared" si="165"/>
        <v>6.8754522657883514E-4</v>
      </c>
      <c r="K201" s="91">
        <f>(INDEX(Data!392:392,1,$U$1-2)+INDEX(Data!857:857,1,$U$1-2)-INDEX(Data!1500:1500,1,$U$1-2))</f>
        <v>7839753</v>
      </c>
      <c r="L201" s="87">
        <f>(INDEX(Data!392:392,1,$U$1-1)+INDEX(Data!857:857,1,$U$1-1)-INDEX(Data!1500:1500,1,$U$1-1))</f>
        <v>7891573</v>
      </c>
      <c r="M201" s="88">
        <f t="shared" si="162"/>
        <v>15731326</v>
      </c>
      <c r="N201" s="89">
        <f>(INDEX(Data!392:392,1,$U$1)+INDEX(Data!857:857,1,$U$1)-INDEX(Data!1500:1500,1,$U$1))</f>
        <v>8265218</v>
      </c>
      <c r="O201" s="90">
        <f>(INDEX(Data!392:392,1,$U$1+1)+INDEX(Data!857:857,1,$U$1+1)-INDEX(Data!1500:1500,1,$U$1+1))</f>
        <v>8265217</v>
      </c>
      <c r="P201" s="88">
        <f t="shared" si="163"/>
        <v>16530435</v>
      </c>
      <c r="Q201" s="86">
        <f t="shared" si="164"/>
        <v>799109</v>
      </c>
      <c r="R201" s="84">
        <f t="shared" si="140"/>
        <v>5.079730723271516E-2</v>
      </c>
      <c r="S201" s="85">
        <f t="shared" si="166"/>
        <v>1.1120948035152399E-3</v>
      </c>
      <c r="T201" s="85">
        <f t="shared" si="132"/>
        <v>1</v>
      </c>
      <c r="V201" s="764"/>
      <c r="W201" s="765"/>
    </row>
    <row r="202" spans="1:23" hidden="1" outlineLevel="1">
      <c r="A202" s="79" t="s">
        <v>120</v>
      </c>
      <c r="B202" s="86">
        <f>(INDEX(Data!341:341,1,$U$1-2)+INDEX(Data!858:858,1,$U$1-2)-INDEX(Data!1344:1344,1,$U$1-2))</f>
        <v>80136411</v>
      </c>
      <c r="C202" s="87">
        <f>(INDEX(Data!341:341,1,$U$1-1)+INDEX(Data!858:858,1,$U$1-1)-INDEX(Data!1344:1344,1,$U$1-1))</f>
        <v>80684192</v>
      </c>
      <c r="D202" s="88">
        <f t="shared" si="159"/>
        <v>160820603</v>
      </c>
      <c r="E202" s="89">
        <f>(INDEX(Data!341:341,1,$U$1)+INDEX(Data!858:858,1,$U$1)-INDEX(Data!1344:1344,1,$U$1))</f>
        <v>80986878</v>
      </c>
      <c r="F202" s="90">
        <f>(INDEX(Data!341:341,1,$U$1+1)+INDEX(Data!858:858,1,$U$1+1)-INDEX(Data!1344:1344,1,$U$1+1))</f>
        <v>80986876</v>
      </c>
      <c r="G202" s="88">
        <f t="shared" si="160"/>
        <v>161973754</v>
      </c>
      <c r="H202" s="86">
        <f t="shared" si="161"/>
        <v>1153151</v>
      </c>
      <c r="I202" s="447">
        <f t="shared" si="136"/>
        <v>7.1704183325316841E-3</v>
      </c>
      <c r="J202" s="453">
        <f t="shared" si="165"/>
        <v>6.7369238252807323E-3</v>
      </c>
      <c r="K202" s="91">
        <f>(INDEX(Data!393:393,1,$U$1-2)+INDEX(Data!858:858,1,$U$1-2)-INDEX(Data!1501:1501,1,$U$1-2))</f>
        <v>80136411</v>
      </c>
      <c r="L202" s="87">
        <f>(INDEX(Data!393:393,1,$U$1-1)+INDEX(Data!858:858,1,$U$1-1)-INDEX(Data!1501:1501,1,$U$1-1))</f>
        <v>80684192</v>
      </c>
      <c r="M202" s="88">
        <f t="shared" si="162"/>
        <v>160820603</v>
      </c>
      <c r="N202" s="89">
        <f>(INDEX(Data!393:393,1,$U$1)+INDEX(Data!858:858,1,$U$1)-INDEX(Data!1501:1501,1,$U$1))</f>
        <v>80986878</v>
      </c>
      <c r="O202" s="90">
        <f>(INDEX(Data!393:393,1,$U$1+1)+INDEX(Data!858:858,1,$U$1+1)-INDEX(Data!1501:1501,1,$U$1+1))</f>
        <v>80986876</v>
      </c>
      <c r="P202" s="88">
        <f t="shared" si="163"/>
        <v>161973754</v>
      </c>
      <c r="Q202" s="86">
        <f t="shared" si="164"/>
        <v>1153151</v>
      </c>
      <c r="R202" s="84">
        <f t="shared" si="140"/>
        <v>7.1704183325316841E-3</v>
      </c>
      <c r="S202" s="85">
        <f t="shared" si="166"/>
        <v>1.0896880216960763E-2</v>
      </c>
      <c r="T202" s="85">
        <f t="shared" si="132"/>
        <v>1</v>
      </c>
      <c r="V202" s="764"/>
      <c r="W202" s="765"/>
    </row>
    <row r="203" spans="1:23" hidden="1" outlineLevel="1">
      <c r="A203" s="79" t="s">
        <v>1415</v>
      </c>
      <c r="B203" s="86">
        <f>(INDEX(Data!342:342,1,$U$1-2)+INDEX(Data!859:859,1,$U$1-2)-INDEX(Data!1345:1345,1,$U$1-2))</f>
        <v>11320416</v>
      </c>
      <c r="C203" s="87">
        <f>(INDEX(Data!342:342,1,$U$1-1)+INDEX(Data!859:859,1,$U$1-1)-INDEX(Data!1345:1345,1,$U$1-1))</f>
        <v>11394809</v>
      </c>
      <c r="D203" s="88">
        <f t="shared" si="159"/>
        <v>22715225</v>
      </c>
      <c r="E203" s="89">
        <f>(INDEX(Data!342:342,1,$U$1)+INDEX(Data!859:859,1,$U$1)-INDEX(Data!1345:1345,1,$U$1))</f>
        <v>11856414</v>
      </c>
      <c r="F203" s="90">
        <f>(INDEX(Data!342:342,1,$U$1+1)+INDEX(Data!859:859,1,$U$1+1)-INDEX(Data!1345:1345,1,$U$1+1))</f>
        <v>11856413</v>
      </c>
      <c r="G203" s="88">
        <f t="shared" si="160"/>
        <v>23712827</v>
      </c>
      <c r="H203" s="86">
        <f t="shared" si="161"/>
        <v>997602</v>
      </c>
      <c r="I203" s="447">
        <f t="shared" si="136"/>
        <v>4.3917768809245784E-2</v>
      </c>
      <c r="J203" s="453">
        <f t="shared" si="165"/>
        <v>9.8628021661497224E-4</v>
      </c>
      <c r="K203" s="91">
        <f>(INDEX(Data!394:394,1,$U$1-2)+INDEX(Data!859:859,1,$U$1-2)-INDEX(Data!1502:1502,1,$U$1-2))</f>
        <v>11320416</v>
      </c>
      <c r="L203" s="87">
        <f>(INDEX(Data!394:394,1,$U$1-1)+INDEX(Data!859:859,1,$U$1-1)-INDEX(Data!1502:1502,1,$U$1-1))</f>
        <v>11394809</v>
      </c>
      <c r="M203" s="88">
        <f t="shared" si="162"/>
        <v>22715225</v>
      </c>
      <c r="N203" s="89">
        <f>(INDEX(Data!394:394,1,$U$1)+INDEX(Data!859:859,1,$U$1)-INDEX(Data!1502:1502,1,$U$1))</f>
        <v>11856414</v>
      </c>
      <c r="O203" s="90">
        <f>(INDEX(Data!394:394,1,$U$1+1)+INDEX(Data!859:859,1,$U$1+1)-INDEX(Data!1502:1502,1,$U$1+1))</f>
        <v>11856413</v>
      </c>
      <c r="P203" s="88">
        <f t="shared" si="163"/>
        <v>23712827</v>
      </c>
      <c r="Q203" s="86">
        <f t="shared" si="164"/>
        <v>997602</v>
      </c>
      <c r="R203" s="84">
        <f t="shared" si="140"/>
        <v>4.3917768809245784E-2</v>
      </c>
      <c r="S203" s="85">
        <f t="shared" si="166"/>
        <v>1.5952944785394864E-3</v>
      </c>
      <c r="T203" s="85">
        <f t="shared" si="132"/>
        <v>1</v>
      </c>
      <c r="V203" s="764"/>
      <c r="W203" s="765"/>
    </row>
    <row r="204" spans="1:23" hidden="1" outlineLevel="1">
      <c r="A204" s="79" t="s">
        <v>122</v>
      </c>
      <c r="B204" s="86">
        <f>(INDEX(Data!343:343,1,$U$1-2)+INDEX(Data!860:860,1,$U$1-2)-INDEX(Data!1346:1346,1,$U$1-2))</f>
        <v>12120562</v>
      </c>
      <c r="C204" s="87">
        <f>(INDEX(Data!343:343,1,$U$1-1)+INDEX(Data!860:860,1,$U$1-1)-INDEX(Data!1346:1346,1,$U$1-1))</f>
        <v>12229497</v>
      </c>
      <c r="D204" s="88">
        <f t="shared" si="159"/>
        <v>24350059</v>
      </c>
      <c r="E204" s="89">
        <f>(INDEX(Data!343:343,1,$U$1)+INDEX(Data!860:860,1,$U$1)-INDEX(Data!1346:1346,1,$U$1))</f>
        <v>11710383</v>
      </c>
      <c r="F204" s="90">
        <f>(INDEX(Data!343:343,1,$U$1+1)+INDEX(Data!860:860,1,$U$1+1)-INDEX(Data!1346:1346,1,$U$1+1))</f>
        <v>11710382</v>
      </c>
      <c r="G204" s="88">
        <f t="shared" si="160"/>
        <v>23420765</v>
      </c>
      <c r="H204" s="86">
        <f t="shared" si="161"/>
        <v>-929294</v>
      </c>
      <c r="I204" s="447">
        <f t="shared" si="136"/>
        <v>-3.8163932169527806E-2</v>
      </c>
      <c r="J204" s="453">
        <f t="shared" si="165"/>
        <v>9.7413257295253584E-4</v>
      </c>
      <c r="K204" s="91">
        <f>(INDEX(Data!395:395,1,$U$1-2)+INDEX(Data!860:860,1,$U$1-2)-INDEX(Data!1503:1503,1,$U$1-2))</f>
        <v>12120562</v>
      </c>
      <c r="L204" s="87">
        <f>(INDEX(Data!395:395,1,$U$1-1)+INDEX(Data!860:860,1,$U$1-1)-INDEX(Data!1503:1503,1,$U$1-1))</f>
        <v>12229497</v>
      </c>
      <c r="M204" s="88">
        <f t="shared" si="162"/>
        <v>24350059</v>
      </c>
      <c r="N204" s="89">
        <f>(INDEX(Data!395:395,1,$U$1)+INDEX(Data!860:860,1,$U$1)-INDEX(Data!1503:1503,1,$U$1))</f>
        <v>11710383</v>
      </c>
      <c r="O204" s="90">
        <f>(INDEX(Data!395:395,1,$U$1+1)+INDEX(Data!860:860,1,$U$1+1)-INDEX(Data!1503:1503,1,$U$1+1))</f>
        <v>11710382</v>
      </c>
      <c r="P204" s="88">
        <f t="shared" si="163"/>
        <v>23420765</v>
      </c>
      <c r="Q204" s="86">
        <f t="shared" si="164"/>
        <v>-929294</v>
      </c>
      <c r="R204" s="84">
        <f t="shared" si="140"/>
        <v>-3.8163932169527806E-2</v>
      </c>
      <c r="S204" s="85">
        <f t="shared" si="166"/>
        <v>1.5756458345380267E-3</v>
      </c>
      <c r="T204" s="85">
        <f t="shared" si="132"/>
        <v>1</v>
      </c>
      <c r="V204" s="764"/>
      <c r="W204" s="765"/>
    </row>
    <row r="205" spans="1:23" hidden="1" outlineLevel="1">
      <c r="A205" s="79" t="s">
        <v>123</v>
      </c>
      <c r="B205" s="86">
        <f>(INDEX(Data!344:344,1,$U$1-2)+INDEX(Data!861:861,1,$U$1-2)-INDEX(Data!1347:1347,1,$U$1-2))</f>
        <v>13947713</v>
      </c>
      <c r="C205" s="87">
        <f>(INDEX(Data!344:344,1,$U$1-1)+INDEX(Data!861:861,1,$U$1-1)-INDEX(Data!1347:1347,1,$U$1-1))</f>
        <v>14107984</v>
      </c>
      <c r="D205" s="88">
        <f t="shared" si="159"/>
        <v>28055697</v>
      </c>
      <c r="E205" s="89">
        <f>(INDEX(Data!344:344,1,$U$1)+INDEX(Data!861:861,1,$U$1)-INDEX(Data!1347:1347,1,$U$1))</f>
        <v>15127755</v>
      </c>
      <c r="F205" s="90">
        <f>(INDEX(Data!344:344,1,$U$1+1)+INDEX(Data!861:861,1,$U$1+1)-INDEX(Data!1347:1347,1,$U$1+1))</f>
        <v>15127754</v>
      </c>
      <c r="G205" s="88">
        <f t="shared" si="160"/>
        <v>30255509</v>
      </c>
      <c r="H205" s="86">
        <f t="shared" si="161"/>
        <v>2199812</v>
      </c>
      <c r="I205" s="447">
        <f t="shared" si="136"/>
        <v>7.8408745289771278E-2</v>
      </c>
      <c r="J205" s="453">
        <f t="shared" si="165"/>
        <v>1.258407948167304E-3</v>
      </c>
      <c r="K205" s="91">
        <f>(INDEX(Data!396:396,1,$U$1-2)+INDEX(Data!861:861,1,$U$1-2)-INDEX(Data!1504:1504,1,$U$1-2))</f>
        <v>13947713</v>
      </c>
      <c r="L205" s="87">
        <f>(INDEX(Data!396:396,1,$U$1-1)+INDEX(Data!861:861,1,$U$1-1)-INDEX(Data!1504:1504,1,$U$1-1))</f>
        <v>14107984</v>
      </c>
      <c r="M205" s="88">
        <f t="shared" si="162"/>
        <v>28055697</v>
      </c>
      <c r="N205" s="89">
        <f>(INDEX(Data!396:396,1,$U$1)+INDEX(Data!861:861,1,$U$1)-INDEX(Data!1504:1504,1,$U$1))</f>
        <v>15127755</v>
      </c>
      <c r="O205" s="90">
        <f>(INDEX(Data!396:396,1,$U$1+1)+INDEX(Data!861:861,1,$U$1+1)-INDEX(Data!1504:1504,1,$U$1+1))</f>
        <v>15127754</v>
      </c>
      <c r="P205" s="88">
        <f t="shared" si="163"/>
        <v>30255509</v>
      </c>
      <c r="Q205" s="86">
        <f t="shared" si="164"/>
        <v>2199812</v>
      </c>
      <c r="R205" s="84">
        <f t="shared" si="140"/>
        <v>7.8408745289771278E-2</v>
      </c>
      <c r="S205" s="85">
        <f t="shared" si="166"/>
        <v>2.0354572844942416E-3</v>
      </c>
      <c r="T205" s="85">
        <f t="shared" si="132"/>
        <v>1</v>
      </c>
      <c r="V205" s="764"/>
      <c r="W205" s="765"/>
    </row>
    <row r="206" spans="1:23" hidden="1" outlineLevel="1">
      <c r="A206" s="79" t="s">
        <v>174</v>
      </c>
      <c r="B206" s="86">
        <f>(INDEX(Data!345:345,1,$U$1-2)+INDEX(Data!862:862,1,$U$1-2)-INDEX(Data!1348:1348,1,$U$1-2))</f>
        <v>12085684</v>
      </c>
      <c r="C206" s="87">
        <f>(INDEX(Data!345:345,1,$U$1-1)+INDEX(Data!862:862,1,$U$1-1)-INDEX(Data!1348:1348,1,$U$1-1))</f>
        <v>12184354</v>
      </c>
      <c r="D206" s="88">
        <f t="shared" si="159"/>
        <v>24270038</v>
      </c>
      <c r="E206" s="89">
        <f>(INDEX(Data!345:345,1,$U$1)+INDEX(Data!862:862,1,$U$1)-INDEX(Data!1348:1348,1,$U$1))</f>
        <v>12659974</v>
      </c>
      <c r="F206" s="90">
        <f>(INDEX(Data!345:345,1,$U$1+1)+INDEX(Data!862:862,1,$U$1+1)-INDEX(Data!1348:1348,1,$U$1+1))</f>
        <v>12659972</v>
      </c>
      <c r="G206" s="88">
        <f t="shared" si="160"/>
        <v>25319946</v>
      </c>
      <c r="H206" s="86">
        <f t="shared" si="161"/>
        <v>1049908</v>
      </c>
      <c r="I206" s="447">
        <f t="shared" si="136"/>
        <v>4.3259429589685851E-2</v>
      </c>
      <c r="J206" s="453">
        <f t="shared" si="165"/>
        <v>1.0531246158696896E-3</v>
      </c>
      <c r="K206" s="91">
        <f>(INDEX(Data!397:397,1,$U$1-2)+INDEX(Data!862:862,1,$U$1-2)-INDEX(Data!1505:1505,1,$U$1-2))</f>
        <v>12085684</v>
      </c>
      <c r="L206" s="87">
        <f>(INDEX(Data!397:397,1,$U$1-1)+INDEX(Data!862:862,1,$U$1-1)-INDEX(Data!1505:1505,1,$U$1-1))</f>
        <v>12184354</v>
      </c>
      <c r="M206" s="88">
        <f t="shared" si="162"/>
        <v>24270038</v>
      </c>
      <c r="N206" s="89">
        <f>(INDEX(Data!397:397,1,$U$1)+INDEX(Data!862:862,1,$U$1)-INDEX(Data!1505:1505,1,$U$1))</f>
        <v>12659974</v>
      </c>
      <c r="O206" s="90">
        <f>(INDEX(Data!397:397,1,$U$1+1)+INDEX(Data!862:862,1,$U$1+1)-INDEX(Data!1505:1505,1,$U$1+1))</f>
        <v>12659972</v>
      </c>
      <c r="P206" s="88">
        <f t="shared" si="163"/>
        <v>25319946</v>
      </c>
      <c r="Q206" s="86">
        <f t="shared" si="164"/>
        <v>1049908</v>
      </c>
      <c r="R206" s="84">
        <f t="shared" si="140"/>
        <v>4.3259429589685851E-2</v>
      </c>
      <c r="S206" s="85">
        <f t="shared" si="166"/>
        <v>1.7034143609582254E-3</v>
      </c>
      <c r="T206" s="85">
        <f t="shared" si="132"/>
        <v>1</v>
      </c>
      <c r="V206" s="764"/>
      <c r="W206" s="765"/>
    </row>
    <row r="207" spans="1:23" hidden="1" outlineLevel="1">
      <c r="A207" s="79" t="s">
        <v>892</v>
      </c>
      <c r="B207" s="86">
        <f>(INDEX(Data!346:346,1,$U$1-2)+INDEX(Data!863:863,1,$U$1-2)-INDEX(Data!1349:1349,1,$U$1-2))</f>
        <v>89119103</v>
      </c>
      <c r="C207" s="87">
        <f>(INDEX(Data!346:346,1,$U$1-1)+INDEX(Data!863:863,1,$U$1-1)-INDEX(Data!1349:1349,1,$U$1-1))</f>
        <v>89627489</v>
      </c>
      <c r="D207" s="88">
        <f t="shared" si="159"/>
        <v>178746592</v>
      </c>
      <c r="E207" s="89">
        <f>(INDEX(Data!346:346,1,$U$1)+INDEX(Data!863:863,1,$U$1)-INDEX(Data!1349:1349,1,$U$1))</f>
        <v>90176300</v>
      </c>
      <c r="F207" s="90">
        <f>(INDEX(Data!346:346,1,$U$1+1)+INDEX(Data!863:863,1,$U$1+1)-INDEX(Data!1349:1349,1,$U$1+1))</f>
        <v>90176299</v>
      </c>
      <c r="G207" s="88">
        <f t="shared" si="160"/>
        <v>180352599</v>
      </c>
      <c r="H207" s="86">
        <f t="shared" si="161"/>
        <v>1606007</v>
      </c>
      <c r="I207" s="447">
        <f t="shared" si="136"/>
        <v>8.9848258477565821E-3</v>
      </c>
      <c r="J207" s="453">
        <f t="shared" si="165"/>
        <v>7.5013493924108348E-3</v>
      </c>
      <c r="K207" s="91">
        <f>(INDEX(Data!398:398,1,$U$1-2)+INDEX(Data!863:863,1,$U$1-2)-INDEX(Data!1506:1506,1,$U$1-2))</f>
        <v>89119103</v>
      </c>
      <c r="L207" s="87">
        <f>(INDEX(Data!398:398,1,$U$1-1)+INDEX(Data!863:863,1,$U$1-1)-INDEX(Data!1506:1506,1,$U$1-1))</f>
        <v>89627489</v>
      </c>
      <c r="M207" s="88">
        <f t="shared" si="162"/>
        <v>178746592</v>
      </c>
      <c r="N207" s="89">
        <f>(INDEX(Data!398:398,1,$U$1)+INDEX(Data!863:863,1,$U$1)-INDEX(Data!1506:1506,1,$U$1))</f>
        <v>90176300</v>
      </c>
      <c r="O207" s="90">
        <f>(INDEX(Data!398:398,1,$U$1+1)+INDEX(Data!863:863,1,$U$1+1)-INDEX(Data!1506:1506,1,$U$1+1))</f>
        <v>90176299</v>
      </c>
      <c r="P207" s="88">
        <f t="shared" si="163"/>
        <v>180352599</v>
      </c>
      <c r="Q207" s="86">
        <f t="shared" si="164"/>
        <v>1606007</v>
      </c>
      <c r="R207" s="84">
        <f t="shared" si="140"/>
        <v>8.9848258477565821E-3</v>
      </c>
      <c r="S207" s="85">
        <f t="shared" si="166"/>
        <v>1.2133327897805947E-2</v>
      </c>
      <c r="T207" s="85">
        <f t="shared" si="132"/>
        <v>1</v>
      </c>
      <c r="V207" s="764"/>
      <c r="W207" s="765"/>
    </row>
    <row r="208" spans="1:23" hidden="1" outlineLevel="1">
      <c r="A208" s="79" t="s">
        <v>126</v>
      </c>
      <c r="B208" s="86">
        <f>(INDEX(Data!347:347,1,$U$1-2)+INDEX(Data!864:864,1,$U$1-2)-INDEX(Data!1350:1350,1,$U$1-2))</f>
        <v>15338597</v>
      </c>
      <c r="C208" s="87">
        <f>(INDEX(Data!347:347,1,$U$1-1)+INDEX(Data!864:864,1,$U$1-1)-INDEX(Data!1350:1350,1,$U$1-1))</f>
        <v>15475016</v>
      </c>
      <c r="D208" s="88">
        <f t="shared" si="159"/>
        <v>30813613</v>
      </c>
      <c r="E208" s="89">
        <f>(INDEX(Data!347:347,1,$U$1)+INDEX(Data!864:864,1,$U$1)-INDEX(Data!1350:1350,1,$U$1))</f>
        <v>15591347</v>
      </c>
      <c r="F208" s="90">
        <f>(INDEX(Data!347:347,1,$U$1+1)+INDEX(Data!864:864,1,$U$1+1)-INDEX(Data!1350:1350,1,$U$1+1))</f>
        <v>15591347</v>
      </c>
      <c r="G208" s="88">
        <f t="shared" si="160"/>
        <v>31182694</v>
      </c>
      <c r="H208" s="86">
        <f t="shared" si="161"/>
        <v>369081</v>
      </c>
      <c r="I208" s="447">
        <f t="shared" si="136"/>
        <v>1.1977855371909811E-2</v>
      </c>
      <c r="J208" s="453">
        <f t="shared" si="165"/>
        <v>1.2969720646533794E-3</v>
      </c>
      <c r="K208" s="91">
        <f>(INDEX(Data!399:399,1,$U$1-2)+INDEX(Data!864:864,1,$U$1-2)-INDEX(Data!1507:1507,1,$U$1-2))</f>
        <v>15338597</v>
      </c>
      <c r="L208" s="87">
        <f>(INDEX(Data!399:399,1,$U$1-1)+INDEX(Data!864:864,1,$U$1-1)-INDEX(Data!1507:1507,1,$U$1-1))</f>
        <v>15475016</v>
      </c>
      <c r="M208" s="88">
        <f t="shared" si="162"/>
        <v>30813613</v>
      </c>
      <c r="N208" s="89">
        <f>(INDEX(Data!399:399,1,$U$1)+INDEX(Data!864:864,1,$U$1)-INDEX(Data!1507:1507,1,$U$1))</f>
        <v>15591347</v>
      </c>
      <c r="O208" s="90">
        <f>(INDEX(Data!399:399,1,$U$1+1)+INDEX(Data!864:864,1,$U$1+1)-INDEX(Data!1507:1507,1,$U$1+1))</f>
        <v>15591347</v>
      </c>
      <c r="P208" s="88">
        <f t="shared" si="163"/>
        <v>31182694</v>
      </c>
      <c r="Q208" s="86">
        <f t="shared" si="164"/>
        <v>369081</v>
      </c>
      <c r="R208" s="84">
        <f t="shared" si="140"/>
        <v>1.1977855371909811E-2</v>
      </c>
      <c r="S208" s="85">
        <f t="shared" si="166"/>
        <v>2.0978342044238913E-3</v>
      </c>
      <c r="T208" s="85">
        <f t="shared" si="132"/>
        <v>1</v>
      </c>
      <c r="V208" s="764"/>
      <c r="W208" s="765"/>
    </row>
    <row r="209" spans="1:23" hidden="1" outlineLevel="1">
      <c r="A209" s="79" t="s">
        <v>127</v>
      </c>
      <c r="B209" s="86">
        <f>(INDEX(Data!348:348,1,$U$1-2)+INDEX(Data!865:865,1,$U$1-2)-INDEX(Data!1351:1351,1,$U$1-2))</f>
        <v>10538031</v>
      </c>
      <c r="C209" s="87">
        <f>(INDEX(Data!348:348,1,$U$1-1)+INDEX(Data!865:865,1,$U$1-1)-INDEX(Data!1351:1351,1,$U$1-1))</f>
        <v>10632838</v>
      </c>
      <c r="D209" s="88">
        <f t="shared" si="159"/>
        <v>21170869</v>
      </c>
      <c r="E209" s="89">
        <f>(INDEX(Data!348:348,1,$U$1)+INDEX(Data!865:865,1,$U$1)-INDEX(Data!1351:1351,1,$U$1))</f>
        <v>10197782</v>
      </c>
      <c r="F209" s="90">
        <f>(INDEX(Data!348:348,1,$U$1+1)+INDEX(Data!865:865,1,$U$1+1)-INDEX(Data!1351:1351,1,$U$1+1))</f>
        <v>10197779</v>
      </c>
      <c r="G209" s="88">
        <f t="shared" si="160"/>
        <v>20395561</v>
      </c>
      <c r="H209" s="86">
        <f t="shared" si="161"/>
        <v>-775308</v>
      </c>
      <c r="I209" s="447">
        <f t="shared" si="136"/>
        <v>-3.6621453753268231E-2</v>
      </c>
      <c r="J209" s="453">
        <f t="shared" si="165"/>
        <v>8.4830620663929623E-4</v>
      </c>
      <c r="K209" s="91">
        <f>(INDEX(Data!400:400,1,$U$1-2)+INDEX(Data!865:865,1,$U$1-2)-INDEX(Data!1508:1508,1,$U$1-2))</f>
        <v>10538031</v>
      </c>
      <c r="L209" s="87">
        <f>(INDEX(Data!400:400,1,$U$1-1)+INDEX(Data!865:865,1,$U$1-1)-INDEX(Data!1508:1508,1,$U$1-1))</f>
        <v>10632838</v>
      </c>
      <c r="M209" s="88">
        <f t="shared" si="162"/>
        <v>21170869</v>
      </c>
      <c r="N209" s="89">
        <f>(INDEX(Data!400:400,1,$U$1)+INDEX(Data!865:865,1,$U$1)-INDEX(Data!1508:1508,1,$U$1))</f>
        <v>10197782</v>
      </c>
      <c r="O209" s="90">
        <f>(INDEX(Data!400:400,1,$U$1+1)+INDEX(Data!865:865,1,$U$1+1)-INDEX(Data!1508:1508,1,$U$1+1))</f>
        <v>10197779</v>
      </c>
      <c r="P209" s="88">
        <f t="shared" si="163"/>
        <v>20395561</v>
      </c>
      <c r="Q209" s="86">
        <f t="shared" si="164"/>
        <v>-775308</v>
      </c>
      <c r="R209" s="84">
        <f t="shared" si="140"/>
        <v>-3.6621453753268231E-2</v>
      </c>
      <c r="S209" s="85">
        <f t="shared" si="166"/>
        <v>1.3721234439915276E-3</v>
      </c>
      <c r="T209" s="85">
        <f t="shared" si="132"/>
        <v>1</v>
      </c>
      <c r="V209" s="764"/>
      <c r="W209" s="765"/>
    </row>
    <row r="210" spans="1:23" hidden="1" outlineLevel="1">
      <c r="A210" s="79" t="s">
        <v>128</v>
      </c>
      <c r="B210" s="86">
        <f>(INDEX(Data!349:349,1,$U$1-2)+INDEX(Data!866:866,1,$U$1-2)-INDEX(Data!1352:1352,1,$U$1-2))</f>
        <v>15846918</v>
      </c>
      <c r="C210" s="87">
        <f>(INDEX(Data!349:349,1,$U$1-1)+INDEX(Data!866:866,1,$U$1-1)-INDEX(Data!1352:1352,1,$U$1-1))</f>
        <v>15928648</v>
      </c>
      <c r="D210" s="88">
        <f t="shared" si="159"/>
        <v>31775566</v>
      </c>
      <c r="E210" s="89">
        <f>(INDEX(Data!349:349,1,$U$1)+INDEX(Data!866:866,1,$U$1)-INDEX(Data!1352:1352,1,$U$1))</f>
        <v>15214595</v>
      </c>
      <c r="F210" s="90">
        <f>(INDEX(Data!349:349,1,$U$1+1)+INDEX(Data!866:866,1,$U$1+1)-INDEX(Data!1352:1352,1,$U$1+1))</f>
        <v>15214593</v>
      </c>
      <c r="G210" s="88">
        <f t="shared" si="160"/>
        <v>30429188</v>
      </c>
      <c r="H210" s="86">
        <f t="shared" si="161"/>
        <v>-1346378</v>
      </c>
      <c r="I210" s="447">
        <f t="shared" si="136"/>
        <v>-4.2371487576334597E-2</v>
      </c>
      <c r="J210" s="453">
        <f t="shared" si="165"/>
        <v>1.2656317246382187E-3</v>
      </c>
      <c r="K210" s="91">
        <f>(INDEX(Data!401:401,1,$U$1-2)+INDEX(Data!866:866,1,$U$1-2)-INDEX(Data!1509:1509,1,$U$1-2))</f>
        <v>15846918</v>
      </c>
      <c r="L210" s="87">
        <f>(INDEX(Data!401:401,1,$U$1-1)+INDEX(Data!866:866,1,$U$1-1)-INDEX(Data!1509:1509,1,$U$1-1))</f>
        <v>15928648</v>
      </c>
      <c r="M210" s="88">
        <f t="shared" si="162"/>
        <v>31775566</v>
      </c>
      <c r="N210" s="89">
        <f>(INDEX(Data!401:401,1,$U$1)+INDEX(Data!866:866,1,$U$1)-INDEX(Data!1509:1509,1,$U$1))</f>
        <v>15214595</v>
      </c>
      <c r="O210" s="90">
        <f>(INDEX(Data!401:401,1,$U$1+1)+INDEX(Data!866:866,1,$U$1+1)-INDEX(Data!1509:1509,1,$U$1+1))</f>
        <v>15214593</v>
      </c>
      <c r="P210" s="88">
        <f t="shared" si="163"/>
        <v>30429188</v>
      </c>
      <c r="Q210" s="86">
        <f t="shared" si="164"/>
        <v>-1346378</v>
      </c>
      <c r="R210" s="84">
        <f t="shared" si="140"/>
        <v>-4.2371487576334597E-2</v>
      </c>
      <c r="S210" s="85">
        <f t="shared" si="166"/>
        <v>2.0471416420673925E-3</v>
      </c>
      <c r="T210" s="85">
        <f t="shared" si="132"/>
        <v>1</v>
      </c>
      <c r="V210" s="764"/>
      <c r="W210" s="765"/>
    </row>
    <row r="211" spans="1:23" hidden="1" outlineLevel="1">
      <c r="A211" s="79" t="s">
        <v>1405</v>
      </c>
      <c r="B211" s="86">
        <f>(INDEX(Data!350:350,1,$U$1-2)+INDEX(Data!867:867,1,$U$1-2)-INDEX(Data!1353:1353,1,$U$1-2))</f>
        <v>12475359</v>
      </c>
      <c r="C211" s="87">
        <f>(INDEX(Data!350:350,1,$U$1-1)+INDEX(Data!867:867,1,$U$1-1)-INDEX(Data!1353:1353,1,$U$1-1))</f>
        <v>12551194</v>
      </c>
      <c r="D211" s="88">
        <f t="shared" si="159"/>
        <v>25026553</v>
      </c>
      <c r="E211" s="89">
        <f>(INDEX(Data!350:350,1,$U$1)+INDEX(Data!867:867,1,$U$1)-INDEX(Data!1353:1353,1,$U$1))</f>
        <v>13442020</v>
      </c>
      <c r="F211" s="90">
        <f>(INDEX(Data!350:350,1,$U$1+1)+INDEX(Data!867:867,1,$U$1+1)-INDEX(Data!1353:1353,1,$U$1+1))</f>
        <v>13442020</v>
      </c>
      <c r="G211" s="88">
        <f t="shared" si="160"/>
        <v>26884040</v>
      </c>
      <c r="H211" s="86">
        <f t="shared" si="161"/>
        <v>1857487</v>
      </c>
      <c r="I211" s="447">
        <f t="shared" si="136"/>
        <v>7.4220648764534214E-2</v>
      </c>
      <c r="J211" s="453">
        <f t="shared" si="165"/>
        <v>1.1181794897202927E-3</v>
      </c>
      <c r="K211" s="91">
        <f>(INDEX(Data!402:402,1,$U$1-2)+INDEX(Data!867:867,1,$U$1-2)-INDEX(Data!1510:1510,1,$U$1-2))</f>
        <v>12475359</v>
      </c>
      <c r="L211" s="87">
        <f>(INDEX(Data!402:402,1,$U$1-1)+INDEX(Data!867:867,1,$U$1-1)-INDEX(Data!1510:1510,1,$U$1-1))</f>
        <v>12551194</v>
      </c>
      <c r="M211" s="88">
        <f t="shared" si="162"/>
        <v>25026553</v>
      </c>
      <c r="N211" s="89">
        <f>(INDEX(Data!402:402,1,$U$1)+INDEX(Data!867:867,1,$U$1)-INDEX(Data!1510:1510,1,$U$1))</f>
        <v>13442020</v>
      </c>
      <c r="O211" s="90">
        <f>(INDEX(Data!402:402,1,$U$1+1)+INDEX(Data!867:867,1,$U$1+1)-INDEX(Data!1510:1510,1,$U$1+1))</f>
        <v>13442020</v>
      </c>
      <c r="P211" s="88">
        <f t="shared" si="163"/>
        <v>26884040</v>
      </c>
      <c r="Q211" s="86">
        <f t="shared" si="164"/>
        <v>1857487</v>
      </c>
      <c r="R211" s="84">
        <f t="shared" si="140"/>
        <v>7.4220648764534214E-2</v>
      </c>
      <c r="S211" s="85">
        <f t="shared" si="166"/>
        <v>1.8086397110236873E-3</v>
      </c>
      <c r="T211" s="85">
        <f t="shared" si="132"/>
        <v>1</v>
      </c>
      <c r="V211" s="764"/>
      <c r="W211" s="765"/>
    </row>
    <row r="212" spans="1:23" hidden="1" outlineLevel="1">
      <c r="A212" s="79" t="s">
        <v>1413</v>
      </c>
      <c r="B212" s="86">
        <f>(INDEX(Data!351:351,1,$U$1-2)+INDEX(Data!868:868,1,$U$1-2)-INDEX(Data!1354:1354,1,$U$1-2))</f>
        <v>5735125</v>
      </c>
      <c r="C212" s="87">
        <f>(INDEX(Data!351:351,1,$U$1-1)+INDEX(Data!868:868,1,$U$1-1)-INDEX(Data!1354:1354,1,$U$1-1))</f>
        <v>5780771</v>
      </c>
      <c r="D212" s="88">
        <f t="shared" si="159"/>
        <v>11515896</v>
      </c>
      <c r="E212" s="89">
        <f>(INDEX(Data!351:351,1,$U$1)+INDEX(Data!868:868,1,$U$1)-INDEX(Data!1354:1354,1,$U$1))</f>
        <v>6001970</v>
      </c>
      <c r="F212" s="90">
        <f>(INDEX(Data!351:351,1,$U$1+1)+INDEX(Data!868:868,1,$U$1+1)-INDEX(Data!1354:1354,1,$U$1+1))</f>
        <v>6001969</v>
      </c>
      <c r="G212" s="88">
        <f t="shared" si="160"/>
        <v>12003939</v>
      </c>
      <c r="H212" s="86">
        <f t="shared" si="161"/>
        <v>488043</v>
      </c>
      <c r="I212" s="447">
        <f t="shared" si="136"/>
        <v>4.2379941604196496E-2</v>
      </c>
      <c r="J212" s="453">
        <f t="shared" si="165"/>
        <v>4.9927609041102165E-4</v>
      </c>
      <c r="K212" s="91">
        <f>(INDEX(Data!403:403,1,$U$1-2)+INDEX(Data!868:868,1,$U$1-2)-INDEX(Data!1511:1511,1,$U$1-2))</f>
        <v>5735125</v>
      </c>
      <c r="L212" s="87">
        <f>(INDEX(Data!403:403,1,$U$1-1)+INDEX(Data!868:868,1,$U$1-1)-INDEX(Data!1511:1511,1,$U$1-1))</f>
        <v>5780771</v>
      </c>
      <c r="M212" s="88">
        <f t="shared" si="162"/>
        <v>11515896</v>
      </c>
      <c r="N212" s="89">
        <f>(INDEX(Data!403:403,1,$U$1)+INDEX(Data!868:868,1,$U$1)-INDEX(Data!1511:1511,1,$U$1))</f>
        <v>6001970</v>
      </c>
      <c r="O212" s="90">
        <f>(INDEX(Data!403:403,1,$U$1+1)+INDEX(Data!868:868,1,$U$1+1)-INDEX(Data!1511:1511,1,$U$1+1))</f>
        <v>6001969</v>
      </c>
      <c r="P212" s="88">
        <f t="shared" si="163"/>
        <v>12003939</v>
      </c>
      <c r="Q212" s="86">
        <f t="shared" si="164"/>
        <v>488043</v>
      </c>
      <c r="R212" s="84">
        <f t="shared" si="140"/>
        <v>4.2379941604196496E-2</v>
      </c>
      <c r="S212" s="85">
        <f t="shared" si="166"/>
        <v>8.0757210464297668E-4</v>
      </c>
      <c r="T212" s="85">
        <f t="shared" si="132"/>
        <v>1</v>
      </c>
      <c r="V212" s="764"/>
      <c r="W212" s="765"/>
    </row>
    <row r="213" spans="1:23" hidden="1" outlineLevel="1">
      <c r="A213" s="79" t="s">
        <v>131</v>
      </c>
      <c r="B213" s="86">
        <f>(INDEX(Data!352:352,1,$U$1-2)+INDEX(Data!869:869,1,$U$1-2)-INDEX(Data!1355:1355,1,$U$1-2))</f>
        <v>10538130</v>
      </c>
      <c r="C213" s="87">
        <f>(INDEX(Data!352:352,1,$U$1-1)+INDEX(Data!869:869,1,$U$1-1)-INDEX(Data!1355:1355,1,$U$1-1))</f>
        <v>10636872</v>
      </c>
      <c r="D213" s="88">
        <f t="shared" si="159"/>
        <v>21175002</v>
      </c>
      <c r="E213" s="89">
        <f>(INDEX(Data!352:352,1,$U$1)+INDEX(Data!869:869,1,$U$1)-INDEX(Data!1355:1355,1,$U$1))</f>
        <v>11878760</v>
      </c>
      <c r="F213" s="90">
        <f>(INDEX(Data!352:352,1,$U$1+1)+INDEX(Data!869:869,1,$U$1+1)-INDEX(Data!1355:1355,1,$U$1+1))</f>
        <v>11878759</v>
      </c>
      <c r="G213" s="88">
        <f t="shared" si="160"/>
        <v>23757519</v>
      </c>
      <c r="H213" s="86">
        <f t="shared" si="161"/>
        <v>2582517</v>
      </c>
      <c r="I213" s="447">
        <f t="shared" si="136"/>
        <v>0.12196064963771905</v>
      </c>
      <c r="J213" s="453">
        <f t="shared" si="165"/>
        <v>9.8813907703009527E-4</v>
      </c>
      <c r="K213" s="91">
        <f>(INDEX(Data!404:404,1,$U$1-2)+INDEX(Data!869:869,1,$U$1-2)-INDEX(Data!1512:1512,1,$U$1-2))</f>
        <v>10538130</v>
      </c>
      <c r="L213" s="87">
        <f>(INDEX(Data!404:404,1,$U$1-1)+INDEX(Data!869:869,1,$U$1-1)-INDEX(Data!1512:1512,1,$U$1-1))</f>
        <v>10636872</v>
      </c>
      <c r="M213" s="88">
        <f t="shared" si="162"/>
        <v>21175002</v>
      </c>
      <c r="N213" s="89">
        <f>(INDEX(Data!404:404,1,$U$1)+INDEX(Data!869:869,1,$U$1)-INDEX(Data!1512:1512,1,$U$1))</f>
        <v>11878760</v>
      </c>
      <c r="O213" s="90">
        <f>(INDEX(Data!404:404,1,$U$1+1)+INDEX(Data!869:869,1,$U$1+1)-INDEX(Data!1512:1512,1,$U$1+1))</f>
        <v>11878759</v>
      </c>
      <c r="P213" s="88">
        <f t="shared" si="163"/>
        <v>23757519</v>
      </c>
      <c r="Q213" s="86">
        <f t="shared" si="164"/>
        <v>2582517</v>
      </c>
      <c r="R213" s="84">
        <f t="shared" si="140"/>
        <v>0.12196064963771905</v>
      </c>
      <c r="S213" s="85">
        <f t="shared" si="166"/>
        <v>1.598301159304917E-3</v>
      </c>
      <c r="T213" s="85">
        <f t="shared" si="132"/>
        <v>1</v>
      </c>
      <c r="V213" s="764"/>
      <c r="W213" s="765"/>
    </row>
    <row r="214" spans="1:23" hidden="1" outlineLevel="1">
      <c r="A214" s="79" t="s">
        <v>132</v>
      </c>
      <c r="B214" s="86">
        <f>(INDEX(Data!353:353,1,$U$1-2)+INDEX(Data!870:870,1,$U$1-2)-INDEX(Data!1356:1356,1,$U$1-2))</f>
        <v>6040646</v>
      </c>
      <c r="C214" s="87">
        <f>(INDEX(Data!353:353,1,$U$1-1)+INDEX(Data!870:870,1,$U$1-1)-INDEX(Data!1356:1356,1,$U$1-1))</f>
        <v>6084683</v>
      </c>
      <c r="D214" s="88">
        <f t="shared" si="159"/>
        <v>12125329</v>
      </c>
      <c r="E214" s="89">
        <f>(INDEX(Data!353:353,1,$U$1)+INDEX(Data!870:870,1,$U$1)-INDEX(Data!1356:1356,1,$U$1))</f>
        <v>5859569</v>
      </c>
      <c r="F214" s="90">
        <f>(INDEX(Data!353:353,1,$U$1+1)+INDEX(Data!870:870,1,$U$1+1)-INDEX(Data!1356:1356,1,$U$1+1))</f>
        <v>5859568</v>
      </c>
      <c r="G214" s="88">
        <f t="shared" si="160"/>
        <v>11719137</v>
      </c>
      <c r="H214" s="86">
        <f t="shared" si="161"/>
        <v>-406192</v>
      </c>
      <c r="I214" s="447">
        <f t="shared" si="136"/>
        <v>-3.3499462158923687E-2</v>
      </c>
      <c r="J214" s="453">
        <f t="shared" si="165"/>
        <v>4.8743040966395685E-4</v>
      </c>
      <c r="K214" s="91">
        <f>(INDEX(Data!405:405,1,$U$1-2)+INDEX(Data!870:870,1,$U$1-2)-INDEX(Data!1513:1513,1,$U$1-2))</f>
        <v>6040646</v>
      </c>
      <c r="L214" s="87">
        <f>(INDEX(Data!405:405,1,$U$1-1)+INDEX(Data!870:870,1,$U$1-1)-INDEX(Data!1513:1513,1,$U$1-1))</f>
        <v>6084683</v>
      </c>
      <c r="M214" s="88">
        <f t="shared" si="162"/>
        <v>12125329</v>
      </c>
      <c r="N214" s="89">
        <f>(INDEX(Data!405:405,1,$U$1)+INDEX(Data!870:870,1,$U$1)-INDEX(Data!1513:1513,1,$U$1))</f>
        <v>5859569</v>
      </c>
      <c r="O214" s="90">
        <f>(INDEX(Data!405:405,1,$U$1+1)+INDEX(Data!870:870,1,$U$1+1)-INDEX(Data!1513:1513,1,$U$1+1))</f>
        <v>5859568</v>
      </c>
      <c r="P214" s="88">
        <f t="shared" si="163"/>
        <v>11719137</v>
      </c>
      <c r="Q214" s="86">
        <f t="shared" si="164"/>
        <v>-406192</v>
      </c>
      <c r="R214" s="84">
        <f t="shared" si="140"/>
        <v>-3.3499462158923687E-2</v>
      </c>
      <c r="S214" s="85">
        <f t="shared" si="166"/>
        <v>7.8841188144069879E-4</v>
      </c>
      <c r="T214" s="85">
        <f t="shared" si="132"/>
        <v>1</v>
      </c>
      <c r="V214" s="764"/>
      <c r="W214" s="765"/>
    </row>
    <row r="215" spans="1:23" hidden="1" outlineLevel="1">
      <c r="A215" s="79" t="s">
        <v>133</v>
      </c>
      <c r="B215" s="86">
        <f>(INDEX(Data!354:354,1,$U$1-2)+INDEX(Data!871:871,1,$U$1-2)-INDEX(Data!1357:1357,1,$U$1-2))</f>
        <v>9133801</v>
      </c>
      <c r="C215" s="87">
        <f>(INDEX(Data!354:354,1,$U$1-1)+INDEX(Data!871:871,1,$U$1-1)-INDEX(Data!1357:1357,1,$U$1-1))</f>
        <v>9193918</v>
      </c>
      <c r="D215" s="88">
        <f t="shared" si="159"/>
        <v>18327719</v>
      </c>
      <c r="E215" s="89">
        <f>(INDEX(Data!354:354,1,$U$1)+INDEX(Data!871:871,1,$U$1)-INDEX(Data!1357:1357,1,$U$1))</f>
        <v>9303715</v>
      </c>
      <c r="F215" s="90">
        <f>(INDEX(Data!354:354,1,$U$1+1)+INDEX(Data!871:871,1,$U$1+1)-INDEX(Data!1357:1357,1,$U$1+1))</f>
        <v>9303713</v>
      </c>
      <c r="G215" s="88">
        <f t="shared" si="160"/>
        <v>18607428</v>
      </c>
      <c r="H215" s="86">
        <f t="shared" si="161"/>
        <v>279709</v>
      </c>
      <c r="I215" s="447">
        <f t="shared" si="136"/>
        <v>1.526152818034803E-2</v>
      </c>
      <c r="J215" s="453">
        <f t="shared" si="165"/>
        <v>7.7393294854668745E-4</v>
      </c>
      <c r="K215" s="91">
        <f>(INDEX(Data!406:406,1,$U$1-2)+INDEX(Data!871:871,1,$U$1-2)-INDEX(Data!1514:1514,1,$U$1-2))</f>
        <v>9133801</v>
      </c>
      <c r="L215" s="87">
        <f>(INDEX(Data!406:406,1,$U$1-1)+INDEX(Data!871:871,1,$U$1-1)-INDEX(Data!1514:1514,1,$U$1-1))</f>
        <v>9193918</v>
      </c>
      <c r="M215" s="88">
        <f t="shared" si="162"/>
        <v>18327719</v>
      </c>
      <c r="N215" s="89">
        <f>(INDEX(Data!406:406,1,$U$1)+INDEX(Data!871:871,1,$U$1)-INDEX(Data!1514:1514,1,$U$1))</f>
        <v>9303715</v>
      </c>
      <c r="O215" s="90">
        <f>(INDEX(Data!406:406,1,$U$1+1)+INDEX(Data!871:871,1,$U$1+1)-INDEX(Data!1514:1514,1,$U$1+1))</f>
        <v>9303713</v>
      </c>
      <c r="P215" s="88">
        <f t="shared" si="163"/>
        <v>18607428</v>
      </c>
      <c r="Q215" s="86">
        <f t="shared" si="164"/>
        <v>279709</v>
      </c>
      <c r="R215" s="84">
        <f t="shared" si="140"/>
        <v>1.526152818034803E-2</v>
      </c>
      <c r="S215" s="85">
        <f t="shared" si="166"/>
        <v>1.2518257375310432E-3</v>
      </c>
      <c r="T215" s="85">
        <f t="shared" si="132"/>
        <v>1</v>
      </c>
      <c r="V215" s="764"/>
      <c r="W215" s="765"/>
    </row>
    <row r="216" spans="1:23" hidden="1" outlineLevel="1">
      <c r="A216" s="79" t="s">
        <v>134</v>
      </c>
      <c r="B216" s="86">
        <f>(INDEX(Data!355:355,1,$U$1-2)+INDEX(Data!872:872,1,$U$1-2)-INDEX(Data!1358:1358,1,$U$1-2))</f>
        <v>4388738</v>
      </c>
      <c r="C216" s="87">
        <f>(INDEX(Data!355:355,1,$U$1-1)+INDEX(Data!872:872,1,$U$1-1)-INDEX(Data!1358:1358,1,$U$1-1))</f>
        <v>4411126</v>
      </c>
      <c r="D216" s="88">
        <f t="shared" si="159"/>
        <v>8799864</v>
      </c>
      <c r="E216" s="89">
        <f>(INDEX(Data!355:355,1,$U$1)+INDEX(Data!872:872,1,$U$1)-INDEX(Data!1358:1358,1,$U$1))</f>
        <v>4370353</v>
      </c>
      <c r="F216" s="90">
        <f>(INDEX(Data!355:355,1,$U$1+1)+INDEX(Data!872:872,1,$U$1+1)-INDEX(Data!1358:1358,1,$U$1+1))</f>
        <v>4370352</v>
      </c>
      <c r="G216" s="88">
        <f t="shared" si="160"/>
        <v>8740705</v>
      </c>
      <c r="H216" s="86">
        <f t="shared" si="161"/>
        <v>-59159</v>
      </c>
      <c r="I216" s="447">
        <f t="shared" si="136"/>
        <v>-6.7227175329073264E-3</v>
      </c>
      <c r="J216" s="453">
        <f t="shared" si="165"/>
        <v>3.6354941655702088E-4</v>
      </c>
      <c r="K216" s="91">
        <f>(INDEX(Data!407:407,1,$U$1-2)+INDEX(Data!872:872,1,$U$1-2)-INDEX(Data!1515:1515,1,$U$1-2))</f>
        <v>4388738</v>
      </c>
      <c r="L216" s="87">
        <f>(INDEX(Data!407:407,1,$U$1-1)+INDEX(Data!872:872,1,$U$1-1)-INDEX(Data!1515:1515,1,$U$1-1))</f>
        <v>4411126</v>
      </c>
      <c r="M216" s="88">
        <f t="shared" si="162"/>
        <v>8799864</v>
      </c>
      <c r="N216" s="89">
        <f>(INDEX(Data!407:407,1,$U$1)+INDEX(Data!872:872,1,$U$1)-INDEX(Data!1515:1515,1,$U$1))</f>
        <v>4370353</v>
      </c>
      <c r="O216" s="90">
        <f>(INDEX(Data!407:407,1,$U$1+1)+INDEX(Data!872:872,1,$U$1+1)-INDEX(Data!1515:1515,1,$U$1+1))</f>
        <v>4370352</v>
      </c>
      <c r="P216" s="88">
        <f t="shared" si="163"/>
        <v>8740705</v>
      </c>
      <c r="Q216" s="86">
        <f t="shared" si="164"/>
        <v>-59159</v>
      </c>
      <c r="R216" s="84">
        <f t="shared" si="140"/>
        <v>-6.7227175329073264E-3</v>
      </c>
      <c r="S216" s="85">
        <f t="shared" si="166"/>
        <v>5.880361048913519E-4</v>
      </c>
      <c r="T216" s="85">
        <f t="shared" si="132"/>
        <v>1</v>
      </c>
      <c r="V216" s="764"/>
      <c r="W216" s="765"/>
    </row>
    <row r="217" spans="1:23" hidden="1" outlineLevel="1">
      <c r="A217" s="79" t="s">
        <v>1414</v>
      </c>
      <c r="B217" s="86">
        <f>(INDEX(Data!356:356,1,$U$1-2)+INDEX(Data!873:873,1,$U$1-2)-INDEX(Data!1359:1359,1,$U$1-2))</f>
        <v>46842978</v>
      </c>
      <c r="C217" s="87">
        <f>(INDEX(Data!356:356,1,$U$1-1)+INDEX(Data!873:873,1,$U$1-1)-INDEX(Data!1359:1359,1,$U$1-1))</f>
        <v>47209962</v>
      </c>
      <c r="D217" s="88">
        <f t="shared" si="159"/>
        <v>94052940</v>
      </c>
      <c r="E217" s="89">
        <f>(INDEX(Data!356:356,1,$U$1)+INDEX(Data!873:873,1,$U$1)-INDEX(Data!1359:1359,1,$U$1))</f>
        <v>50394661</v>
      </c>
      <c r="F217" s="90">
        <f>(INDEX(Data!356:356,1,$U$1+1)+INDEX(Data!873:873,1,$U$1+1)-INDEX(Data!1359:1359,1,$U$1+1))</f>
        <v>50394661</v>
      </c>
      <c r="G217" s="88">
        <f t="shared" si="160"/>
        <v>100789322</v>
      </c>
      <c r="H217" s="86">
        <f t="shared" si="161"/>
        <v>6736382</v>
      </c>
      <c r="I217" s="447">
        <f t="shared" si="136"/>
        <v>7.1623300664498096E-2</v>
      </c>
      <c r="J217" s="453">
        <f t="shared" si="165"/>
        <v>4.1920988305036849E-3</v>
      </c>
      <c r="K217" s="91">
        <f>(INDEX(Data!408:408,1,$U$1-2)+INDEX(Data!873:873,1,$U$1-2)-INDEX(Data!1516:1516,1,$U$1-2))</f>
        <v>46842978</v>
      </c>
      <c r="L217" s="87">
        <f>(INDEX(Data!408:408,1,$U$1-1)+INDEX(Data!873:873,1,$U$1-1)-INDEX(Data!1516:1516,1,$U$1-1))</f>
        <v>47209962</v>
      </c>
      <c r="M217" s="88">
        <f t="shared" si="162"/>
        <v>94052940</v>
      </c>
      <c r="N217" s="89">
        <f>(INDEX(Data!408:408,1,$U$1)+INDEX(Data!873:873,1,$U$1)-INDEX(Data!1516:1516,1,$U$1))</f>
        <v>50394661</v>
      </c>
      <c r="O217" s="90">
        <f>(INDEX(Data!408:408,1,$U$1+1)+INDEX(Data!873:873,1,$U$1+1)-INDEX(Data!1516:1516,1,$U$1+1))</f>
        <v>50394661</v>
      </c>
      <c r="P217" s="88">
        <f t="shared" si="163"/>
        <v>100789322</v>
      </c>
      <c r="Q217" s="86">
        <f t="shared" si="164"/>
        <v>6736382</v>
      </c>
      <c r="R217" s="84">
        <f t="shared" si="140"/>
        <v>7.1623300664498096E-2</v>
      </c>
      <c r="S217" s="85">
        <f t="shared" si="166"/>
        <v>6.780661322344163E-3</v>
      </c>
      <c r="T217" s="85">
        <f t="shared" si="132"/>
        <v>1</v>
      </c>
      <c r="V217" s="764"/>
      <c r="W217" s="765"/>
    </row>
    <row r="218" spans="1:23" hidden="1" outlineLevel="1">
      <c r="A218" s="79" t="s">
        <v>136</v>
      </c>
      <c r="B218" s="86">
        <f>(INDEX(Data!357:357,1,$U$1-2)+INDEX(Data!874:874,1,$U$1-2)-INDEX(Data!1360:1360,1,$U$1-2))</f>
        <v>17209065</v>
      </c>
      <c r="C218" s="87">
        <f>(INDEX(Data!357:357,1,$U$1-1)+INDEX(Data!874:874,1,$U$1-1)-INDEX(Data!1360:1360,1,$U$1-1))</f>
        <v>17373110</v>
      </c>
      <c r="D218" s="88">
        <f t="shared" si="159"/>
        <v>34582175</v>
      </c>
      <c r="E218" s="89">
        <f>(INDEX(Data!357:357,1,$U$1)+INDEX(Data!874:874,1,$U$1)-INDEX(Data!1360:1360,1,$U$1))</f>
        <v>17104445</v>
      </c>
      <c r="F218" s="90">
        <f>(INDEX(Data!357:357,1,$U$1+1)+INDEX(Data!874:874,1,$U$1+1)-INDEX(Data!1360:1360,1,$U$1+1))</f>
        <v>17104444</v>
      </c>
      <c r="G218" s="88">
        <f t="shared" si="160"/>
        <v>34208889</v>
      </c>
      <c r="H218" s="86">
        <f t="shared" si="161"/>
        <v>-373286</v>
      </c>
      <c r="I218" s="447">
        <f t="shared" si="136"/>
        <v>-1.0794173587982826E-2</v>
      </c>
      <c r="J218" s="453">
        <f t="shared" si="165"/>
        <v>1.422839649320494E-3</v>
      </c>
      <c r="K218" s="91">
        <f>(INDEX(Data!409:409,1,$U$1-2)+INDEX(Data!874:874,1,$U$1-2)-INDEX(Data!1517:1517,1,$U$1-2))</f>
        <v>17209065</v>
      </c>
      <c r="L218" s="87">
        <f>(INDEX(Data!409:409,1,$U$1-1)+INDEX(Data!874:874,1,$U$1-1)-INDEX(Data!1517:1517,1,$U$1-1))</f>
        <v>17373110</v>
      </c>
      <c r="M218" s="88">
        <f t="shared" si="162"/>
        <v>34582175</v>
      </c>
      <c r="N218" s="89">
        <f>(INDEX(Data!409:409,1,$U$1)+INDEX(Data!874:874,1,$U$1)-INDEX(Data!1517:1517,1,$U$1))</f>
        <v>17104445</v>
      </c>
      <c r="O218" s="90">
        <f>(INDEX(Data!409:409,1,$U$1+1)+INDEX(Data!874:874,1,$U$1+1)-INDEX(Data!1517:1517,1,$U$1+1))</f>
        <v>17104444</v>
      </c>
      <c r="P218" s="88">
        <f t="shared" si="163"/>
        <v>34208889</v>
      </c>
      <c r="Q218" s="86">
        <f t="shared" si="164"/>
        <v>-373286</v>
      </c>
      <c r="R218" s="84">
        <f t="shared" si="140"/>
        <v>-1.0794173587982826E-2</v>
      </c>
      <c r="S218" s="85">
        <f t="shared" si="166"/>
        <v>2.3014232650822347E-3</v>
      </c>
      <c r="T218" s="85">
        <f t="shared" si="132"/>
        <v>1</v>
      </c>
      <c r="V218" s="764"/>
      <c r="W218" s="765"/>
    </row>
    <row r="219" spans="1:23" hidden="1" outlineLevel="1">
      <c r="A219" s="79" t="s">
        <v>137</v>
      </c>
      <c r="B219" s="86">
        <f>(INDEX(Data!358:358,1,$U$1-2)+INDEX(Data!875:875,1,$U$1-2)-INDEX(Data!1361:1361,1,$U$1-2))</f>
        <v>45633423</v>
      </c>
      <c r="C219" s="87">
        <f>(INDEX(Data!358:358,1,$U$1-1)+INDEX(Data!875:875,1,$U$1-1)-INDEX(Data!1361:1361,1,$U$1-1))</f>
        <v>45879698</v>
      </c>
      <c r="D219" s="88">
        <f t="shared" si="159"/>
        <v>91513121</v>
      </c>
      <c r="E219" s="89">
        <f>(INDEX(Data!358:358,1,$U$1)+INDEX(Data!875:875,1,$U$1)-INDEX(Data!1361:1361,1,$U$1))</f>
        <v>47751868</v>
      </c>
      <c r="F219" s="90">
        <f>(INDEX(Data!358:358,1,$U$1+1)+INDEX(Data!875:875,1,$U$1+1)-INDEX(Data!1361:1361,1,$U$1+1))</f>
        <v>47751866</v>
      </c>
      <c r="G219" s="88">
        <f t="shared" si="160"/>
        <v>95503734</v>
      </c>
      <c r="H219" s="86">
        <f t="shared" si="161"/>
        <v>3990613</v>
      </c>
      <c r="I219" s="447">
        <f t="shared" si="136"/>
        <v>4.3607003633937914E-2</v>
      </c>
      <c r="J219" s="453">
        <f t="shared" si="165"/>
        <v>3.9722570175651645E-3</v>
      </c>
      <c r="K219" s="91">
        <f>(INDEX(Data!410:410,1,$U$1-2)+INDEX(Data!875:875,1,$U$1-2)-INDEX(Data!1518:1518,1,$U$1-2))</f>
        <v>45633423</v>
      </c>
      <c r="L219" s="87">
        <f>(INDEX(Data!410:410,1,$U$1-1)+INDEX(Data!875:875,1,$U$1-1)-INDEX(Data!1518:1518,1,$U$1-1))</f>
        <v>45879698</v>
      </c>
      <c r="M219" s="88">
        <f t="shared" si="162"/>
        <v>91513121</v>
      </c>
      <c r="N219" s="89">
        <f>(INDEX(Data!410:410,1,$U$1)+INDEX(Data!875:875,1,$U$1)-INDEX(Data!1518:1518,1,$U$1))</f>
        <v>47751868</v>
      </c>
      <c r="O219" s="90">
        <f>(INDEX(Data!410:410,1,$U$1+1)+INDEX(Data!875:875,1,$U$1+1)-INDEX(Data!1518:1518,1,$U$1+1))</f>
        <v>47751866</v>
      </c>
      <c r="P219" s="88">
        <f t="shared" si="163"/>
        <v>95503734</v>
      </c>
      <c r="Q219" s="86">
        <f t="shared" si="164"/>
        <v>3990613</v>
      </c>
      <c r="R219" s="84">
        <f t="shared" si="140"/>
        <v>4.3607003633937914E-2</v>
      </c>
      <c r="S219" s="85">
        <f t="shared" si="166"/>
        <v>6.4250702596575183E-3</v>
      </c>
      <c r="T219" s="85">
        <f t="shared" si="132"/>
        <v>1</v>
      </c>
      <c r="V219" s="764"/>
      <c r="W219" s="765"/>
    </row>
    <row r="220" spans="1:23" hidden="1" outlineLevel="1">
      <c r="A220" s="79" t="s">
        <v>138</v>
      </c>
      <c r="B220" s="86">
        <f>(INDEX(Data!359:359,1,$U$1-2)+INDEX(Data!876:876,1,$U$1-2)-INDEX(Data!1362:1362,1,$U$1-2))</f>
        <v>8960757</v>
      </c>
      <c r="C220" s="87">
        <f>(INDEX(Data!359:359,1,$U$1-1)+INDEX(Data!876:876,1,$U$1-1)-INDEX(Data!1362:1362,1,$U$1-1))</f>
        <v>9028747</v>
      </c>
      <c r="D220" s="88">
        <f t="shared" si="159"/>
        <v>17989504</v>
      </c>
      <c r="E220" s="89">
        <f>(INDEX(Data!359:359,1,$U$1)+INDEX(Data!876:876,1,$U$1)-INDEX(Data!1362:1362,1,$U$1))</f>
        <v>10003183</v>
      </c>
      <c r="F220" s="90">
        <f>(INDEX(Data!359:359,1,$U$1+1)+INDEX(Data!876:876,1,$U$1+1)-INDEX(Data!1362:1362,1,$U$1+1))</f>
        <v>10003182</v>
      </c>
      <c r="G220" s="88">
        <f t="shared" si="160"/>
        <v>20006365</v>
      </c>
      <c r="H220" s="86">
        <f t="shared" si="161"/>
        <v>2016861</v>
      </c>
      <c r="I220" s="447">
        <f t="shared" si="136"/>
        <v>0.11211320779049828</v>
      </c>
      <c r="J220" s="453">
        <f t="shared" si="165"/>
        <v>8.3211849881408917E-4</v>
      </c>
      <c r="K220" s="91">
        <f>(INDEX(Data!411:411,1,$U$1-2)+INDEX(Data!876:876,1,$U$1-2)-INDEX(Data!1519:1519,1,$U$1-2))</f>
        <v>8960757</v>
      </c>
      <c r="L220" s="87">
        <f>(INDEX(Data!411:411,1,$U$1-1)+INDEX(Data!876:876,1,$U$1-1)-INDEX(Data!1519:1519,1,$U$1-1))</f>
        <v>9028747</v>
      </c>
      <c r="M220" s="88">
        <f t="shared" si="162"/>
        <v>17989504</v>
      </c>
      <c r="N220" s="89">
        <f>(INDEX(Data!411:411,1,$U$1)+INDEX(Data!876:876,1,$U$1)-INDEX(Data!1519:1519,1,$U$1))</f>
        <v>10003183</v>
      </c>
      <c r="O220" s="90">
        <f>(INDEX(Data!411:411,1,$U$1+1)+INDEX(Data!876:876,1,$U$1+1)-INDEX(Data!1519:1519,1,$U$1+1))</f>
        <v>10003182</v>
      </c>
      <c r="P220" s="88">
        <f t="shared" si="163"/>
        <v>20006365</v>
      </c>
      <c r="Q220" s="86">
        <f t="shared" si="164"/>
        <v>2016861</v>
      </c>
      <c r="R220" s="84">
        <f t="shared" si="140"/>
        <v>0.11211320779049828</v>
      </c>
      <c r="S220" s="85">
        <f t="shared" si="166"/>
        <v>1.3459400526198598E-3</v>
      </c>
      <c r="T220" s="85">
        <f t="shared" si="132"/>
        <v>1</v>
      </c>
      <c r="V220" s="764"/>
      <c r="W220" s="765"/>
    </row>
    <row r="221" spans="1:23" hidden="1" outlineLevel="1">
      <c r="A221" s="79" t="s">
        <v>1408</v>
      </c>
      <c r="B221" s="86">
        <f>(INDEX(Data!360:360,1,$U$1-2)+INDEX(Data!877:877,1,$U$1-2)-INDEX(Data!1363:1363,1,$U$1-2))</f>
        <v>69056406</v>
      </c>
      <c r="C221" s="87">
        <f>(INDEX(Data!360:360,1,$U$1-1)+INDEX(Data!877:877,1,$U$1-1)-INDEX(Data!1363:1363,1,$U$1-1))</f>
        <v>69680858</v>
      </c>
      <c r="D221" s="88">
        <f t="shared" si="159"/>
        <v>138737264</v>
      </c>
      <c r="E221" s="89">
        <f>(INDEX(Data!360:360,1,$U$1)+INDEX(Data!877:877,1,$U$1)-INDEX(Data!1363:1363,1,$U$1))</f>
        <v>70979769</v>
      </c>
      <c r="F221" s="90">
        <f>(INDEX(Data!360:360,1,$U$1+1)+INDEX(Data!877:877,1,$U$1+1)-INDEX(Data!1363:1363,1,$U$1+1))</f>
        <v>70979768</v>
      </c>
      <c r="G221" s="88">
        <f t="shared" si="160"/>
        <v>141959537</v>
      </c>
      <c r="H221" s="86">
        <f t="shared" si="161"/>
        <v>3222273</v>
      </c>
      <c r="I221" s="447">
        <f t="shared" si="136"/>
        <v>2.3225721101145545E-2</v>
      </c>
      <c r="J221" s="453">
        <f t="shared" si="165"/>
        <v>5.9044787406799361E-3</v>
      </c>
      <c r="K221" s="91">
        <f>(INDEX(Data!412:412,1,$U$1-2)+INDEX(Data!877:877,1,$U$1-2)-INDEX(Data!1520:1520,1,$U$1-2))</f>
        <v>69056406</v>
      </c>
      <c r="L221" s="87">
        <f>(INDEX(Data!412:412,1,$U$1-1)+INDEX(Data!877:877,1,$U$1-1)-INDEX(Data!1520:1520,1,$U$1-1))</f>
        <v>69680858</v>
      </c>
      <c r="M221" s="88">
        <f t="shared" si="162"/>
        <v>138737264</v>
      </c>
      <c r="N221" s="89">
        <f>(INDEX(Data!412:412,1,$U$1)+INDEX(Data!877:877,1,$U$1)-INDEX(Data!1520:1520,1,$U$1))</f>
        <v>70979769</v>
      </c>
      <c r="O221" s="90">
        <f>(INDEX(Data!412:412,1,$U$1+1)+INDEX(Data!877:877,1,$U$1+1)-INDEX(Data!1520:1520,1,$U$1+1))</f>
        <v>70979768</v>
      </c>
      <c r="P221" s="88">
        <f t="shared" si="163"/>
        <v>141959537</v>
      </c>
      <c r="Q221" s="86">
        <f t="shared" si="164"/>
        <v>3222273</v>
      </c>
      <c r="R221" s="84">
        <f t="shared" si="140"/>
        <v>2.3225721101145545E-2</v>
      </c>
      <c r="S221" s="85">
        <f t="shared" si="166"/>
        <v>9.5504119163911539E-3</v>
      </c>
      <c r="T221" s="85">
        <f t="shared" si="132"/>
        <v>1</v>
      </c>
      <c r="V221" s="764"/>
      <c r="W221" s="765"/>
    </row>
    <row r="222" spans="1:23" hidden="1" outlineLevel="1">
      <c r="A222" s="79" t="s">
        <v>1409</v>
      </c>
      <c r="B222" s="86">
        <f>(INDEX(Data!361:361,1,$U$1-2)+INDEX(Data!878:878,1,$U$1-2)-INDEX(Data!1364:1364,1,$U$1-2))</f>
        <v>8625727</v>
      </c>
      <c r="C222" s="87">
        <f>(INDEX(Data!361:361,1,$U$1-1)+INDEX(Data!878:878,1,$U$1-1)-INDEX(Data!1364:1364,1,$U$1-1))</f>
        <v>8696549</v>
      </c>
      <c r="D222" s="88">
        <f t="shared" si="159"/>
        <v>17322276</v>
      </c>
      <c r="E222" s="89">
        <f>(INDEX(Data!361:361,1,$U$1)+INDEX(Data!878:878,1,$U$1)-INDEX(Data!1364:1364,1,$U$1))</f>
        <v>8627081</v>
      </c>
      <c r="F222" s="90">
        <f>(INDEX(Data!361:361,1,$U$1+1)+INDEX(Data!878:878,1,$U$1+1)-INDEX(Data!1364:1364,1,$U$1+1))</f>
        <v>8627079</v>
      </c>
      <c r="G222" s="88">
        <f t="shared" si="160"/>
        <v>17254160</v>
      </c>
      <c r="H222" s="86">
        <f t="shared" si="161"/>
        <v>-68116</v>
      </c>
      <c r="I222" s="447">
        <f t="shared" si="136"/>
        <v>-3.9322777214726287E-3</v>
      </c>
      <c r="J222" s="453">
        <f t="shared" si="165"/>
        <v>7.176468947506508E-4</v>
      </c>
      <c r="K222" s="91">
        <f>(INDEX(Data!413:413,1,$U$1-2)+INDEX(Data!878:878,1,$U$1-2)-INDEX(Data!1521:1521,1,$U$1-2))</f>
        <v>8625727</v>
      </c>
      <c r="L222" s="87">
        <f>(INDEX(Data!413:413,1,$U$1-1)+INDEX(Data!878:878,1,$U$1-1)-INDEX(Data!1521:1521,1,$U$1-1))</f>
        <v>8696549</v>
      </c>
      <c r="M222" s="88">
        <f t="shared" si="162"/>
        <v>17322276</v>
      </c>
      <c r="N222" s="89">
        <f>(INDEX(Data!413:413,1,$U$1)+INDEX(Data!878:878,1,$U$1)-INDEX(Data!1521:1521,1,$U$1))</f>
        <v>8627081</v>
      </c>
      <c r="O222" s="90">
        <f>(INDEX(Data!413:413,1,$U$1+1)+INDEX(Data!878:878,1,$U$1+1)-INDEX(Data!1521:1521,1,$U$1+1))</f>
        <v>8627079</v>
      </c>
      <c r="P222" s="88">
        <f t="shared" si="163"/>
        <v>17254160</v>
      </c>
      <c r="Q222" s="86">
        <f t="shared" si="164"/>
        <v>-68116</v>
      </c>
      <c r="R222" s="84">
        <f t="shared" si="140"/>
        <v>-3.9322777214726287E-3</v>
      </c>
      <c r="S222" s="85">
        <f t="shared" si="166"/>
        <v>1.1607838314612114E-3</v>
      </c>
      <c r="T222" s="85">
        <f t="shared" si="132"/>
        <v>1</v>
      </c>
      <c r="V222" s="764"/>
      <c r="W222" s="765"/>
    </row>
    <row r="223" spans="1:23" hidden="1" outlineLevel="1">
      <c r="A223" s="79" t="s">
        <v>141</v>
      </c>
      <c r="B223" s="86">
        <f>(INDEX(Data!362:362,1,$U$1-2)+INDEX(Data!879:879,1,$U$1-2)-INDEX(Data!1365:1365,1,$U$1-2))</f>
        <v>8763349</v>
      </c>
      <c r="C223" s="87">
        <f>(INDEX(Data!362:362,1,$U$1-1)+INDEX(Data!879:879,1,$U$1-1)-INDEX(Data!1365:1365,1,$U$1-1))</f>
        <v>8834603</v>
      </c>
      <c r="D223" s="88">
        <f t="shared" si="159"/>
        <v>17597952</v>
      </c>
      <c r="E223" s="89">
        <f>(INDEX(Data!362:362,1,$U$1)+INDEX(Data!879:879,1,$U$1)-INDEX(Data!1365:1365,1,$U$1))</f>
        <v>9098841</v>
      </c>
      <c r="F223" s="90">
        <f>(INDEX(Data!362:362,1,$U$1+1)+INDEX(Data!879:879,1,$U$1+1)-INDEX(Data!1365:1365,1,$U$1+1))</f>
        <v>9098839</v>
      </c>
      <c r="G223" s="88">
        <f t="shared" si="160"/>
        <v>18197680</v>
      </c>
      <c r="H223" s="86">
        <f t="shared" si="161"/>
        <v>599728</v>
      </c>
      <c r="I223" s="447">
        <f t="shared" si="136"/>
        <v>3.4079420150708445E-2</v>
      </c>
      <c r="J223" s="453">
        <f t="shared" si="165"/>
        <v>7.5689042779631256E-4</v>
      </c>
      <c r="K223" s="91">
        <f>(INDEX(Data!414:414,1,$U$1-2)+INDEX(Data!879:879,1,$U$1-2)-INDEX(Data!1522:1522,1,$U$1-2))</f>
        <v>8763349</v>
      </c>
      <c r="L223" s="87">
        <f>(INDEX(Data!414:414,1,$U$1-1)+INDEX(Data!879:879,1,$U$1-1)-INDEX(Data!1522:1522,1,$U$1-1))</f>
        <v>8834603</v>
      </c>
      <c r="M223" s="88">
        <f t="shared" si="162"/>
        <v>17597952</v>
      </c>
      <c r="N223" s="89">
        <f>(INDEX(Data!414:414,1,$U$1)+INDEX(Data!879:879,1,$U$1)-INDEX(Data!1522:1522,1,$U$1))</f>
        <v>9098841</v>
      </c>
      <c r="O223" s="90">
        <f>(INDEX(Data!414:414,1,$U$1+1)+INDEX(Data!879:879,1,$U$1+1)-INDEX(Data!1522:1522,1,$U$1+1))</f>
        <v>9098839</v>
      </c>
      <c r="P223" s="88">
        <f t="shared" si="163"/>
        <v>18197680</v>
      </c>
      <c r="Q223" s="86">
        <f t="shared" si="164"/>
        <v>599728</v>
      </c>
      <c r="R223" s="84">
        <f t="shared" si="140"/>
        <v>3.4079420150708445E-2</v>
      </c>
      <c r="S223" s="85">
        <f t="shared" si="166"/>
        <v>1.2242596981890197E-3</v>
      </c>
      <c r="T223" s="85">
        <f t="shared" si="132"/>
        <v>1</v>
      </c>
      <c r="V223" s="764"/>
      <c r="W223" s="765"/>
    </row>
    <row r="224" spans="1:23" hidden="1" outlineLevel="1">
      <c r="A224" s="79" t="s">
        <v>142</v>
      </c>
      <c r="B224" s="86">
        <f>(INDEX(Data!363:363,1,$U$1-2)+INDEX(Data!880:880,1,$U$1-2)-INDEX(Data!1366:1366,1,$U$1-2))</f>
        <v>7389089</v>
      </c>
      <c r="C224" s="87">
        <f>(INDEX(Data!363:363,1,$U$1-1)+INDEX(Data!880:880,1,$U$1-1)-INDEX(Data!1366:1366,1,$U$1-1))</f>
        <v>7487073</v>
      </c>
      <c r="D224" s="88">
        <f t="shared" si="159"/>
        <v>14876162</v>
      </c>
      <c r="E224" s="89">
        <f>(INDEX(Data!363:363,1,$U$1)+INDEX(Data!880:880,1,$U$1)-INDEX(Data!1366:1366,1,$U$1))</f>
        <v>9268823</v>
      </c>
      <c r="F224" s="90">
        <f>(INDEX(Data!363:363,1,$U$1+1)+INDEX(Data!880:880,1,$U$1+1)-INDEX(Data!1366:1366,1,$U$1+1))</f>
        <v>9268821</v>
      </c>
      <c r="G224" s="88">
        <f t="shared" si="160"/>
        <v>18537644</v>
      </c>
      <c r="H224" s="86">
        <f t="shared" si="161"/>
        <v>3661482</v>
      </c>
      <c r="I224" s="447">
        <f t="shared" si="136"/>
        <v>0.2461308232593864</v>
      </c>
      <c r="J224" s="453">
        <f t="shared" si="165"/>
        <v>7.7103044440256924E-4</v>
      </c>
      <c r="K224" s="91">
        <f>(INDEX(Data!415:415,1,$U$1-2)+INDEX(Data!880:880,1,$U$1-2)-INDEX(Data!1523:1523,1,$U$1-2))</f>
        <v>7389089</v>
      </c>
      <c r="L224" s="87">
        <f>(INDEX(Data!415:415,1,$U$1-1)+INDEX(Data!880:880,1,$U$1-1)-INDEX(Data!1523:1523,1,$U$1-1))</f>
        <v>7487073</v>
      </c>
      <c r="M224" s="88">
        <f t="shared" si="162"/>
        <v>14876162</v>
      </c>
      <c r="N224" s="89">
        <f>(INDEX(Data!415:415,1,$U$1)+INDEX(Data!880:880,1,$U$1)-INDEX(Data!1523:1523,1,$U$1))</f>
        <v>9268823</v>
      </c>
      <c r="O224" s="90">
        <f>(INDEX(Data!415:415,1,$U$1+1)+INDEX(Data!880:880,1,$U$1+1)-INDEX(Data!1523:1523,1,$U$1+1))</f>
        <v>9268821</v>
      </c>
      <c r="P224" s="88">
        <f t="shared" si="163"/>
        <v>18537644</v>
      </c>
      <c r="Q224" s="86">
        <f t="shared" si="164"/>
        <v>3661482</v>
      </c>
      <c r="R224" s="84">
        <f t="shared" si="140"/>
        <v>0.2461308232593864</v>
      </c>
      <c r="S224" s="85">
        <f t="shared" si="166"/>
        <v>1.247130977606788E-3</v>
      </c>
      <c r="T224" s="85">
        <f t="shared" si="132"/>
        <v>1</v>
      </c>
      <c r="V224" s="764"/>
      <c r="W224" s="765"/>
    </row>
    <row r="225" spans="1:23" hidden="1" outlineLevel="1">
      <c r="A225" s="79" t="s">
        <v>143</v>
      </c>
      <c r="B225" s="86">
        <f>(INDEX(Data!364:364,1,$U$1-2)+INDEX(Data!881:881,1,$U$1-2)-INDEX(Data!1367:1367,1,$U$1-2))</f>
        <v>13713771</v>
      </c>
      <c r="C225" s="87">
        <f>(INDEX(Data!364:364,1,$U$1-1)+INDEX(Data!881:881,1,$U$1-1)-INDEX(Data!1367:1367,1,$U$1-1))</f>
        <v>13803912</v>
      </c>
      <c r="D225" s="88">
        <f t="shared" si="159"/>
        <v>27517683</v>
      </c>
      <c r="E225" s="89">
        <f>(INDEX(Data!364:364,1,$U$1)+INDEX(Data!881:881,1,$U$1)-INDEX(Data!1367:1367,1,$U$1))</f>
        <v>13969124</v>
      </c>
      <c r="F225" s="90">
        <f>(INDEX(Data!364:364,1,$U$1+1)+INDEX(Data!881:881,1,$U$1+1)-INDEX(Data!1367:1367,1,$U$1+1))</f>
        <v>13969123</v>
      </c>
      <c r="G225" s="88">
        <f t="shared" si="160"/>
        <v>27938247</v>
      </c>
      <c r="H225" s="86">
        <f t="shared" si="161"/>
        <v>420564</v>
      </c>
      <c r="I225" s="447">
        <f t="shared" si="136"/>
        <v>1.5283408853863169E-2</v>
      </c>
      <c r="J225" s="453">
        <f t="shared" si="165"/>
        <v>1.162026792630107E-3</v>
      </c>
      <c r="K225" s="91">
        <f>(INDEX(Data!416:416,1,$U$1-2)+INDEX(Data!881:881,1,$U$1-2)-INDEX(Data!1524:1524,1,$U$1-2))</f>
        <v>13713771</v>
      </c>
      <c r="L225" s="87">
        <f>(INDEX(Data!416:416,1,$U$1-1)+INDEX(Data!881:881,1,$U$1-1)-INDEX(Data!1524:1524,1,$U$1-1))</f>
        <v>13803912</v>
      </c>
      <c r="M225" s="88">
        <f t="shared" si="162"/>
        <v>27517683</v>
      </c>
      <c r="N225" s="89">
        <f>(INDEX(Data!416:416,1,$U$1)+INDEX(Data!881:881,1,$U$1)-INDEX(Data!1524:1524,1,$U$1))</f>
        <v>13969124</v>
      </c>
      <c r="O225" s="90">
        <f>(INDEX(Data!416:416,1,$U$1+1)+INDEX(Data!881:881,1,$U$1+1)-INDEX(Data!1524:1524,1,$U$1+1))</f>
        <v>13969123</v>
      </c>
      <c r="P225" s="88">
        <f t="shared" si="163"/>
        <v>27938247</v>
      </c>
      <c r="Q225" s="86">
        <f t="shared" si="164"/>
        <v>420564</v>
      </c>
      <c r="R225" s="84">
        <f t="shared" si="140"/>
        <v>1.5283408853863169E-2</v>
      </c>
      <c r="S225" s="85">
        <f t="shared" si="166"/>
        <v>1.8795621112224353E-3</v>
      </c>
      <c r="T225" s="85">
        <f t="shared" si="132"/>
        <v>1</v>
      </c>
      <c r="V225" s="764"/>
      <c r="W225" s="765"/>
    </row>
    <row r="226" spans="1:23" hidden="1" outlineLevel="1">
      <c r="A226" s="79" t="s">
        <v>144</v>
      </c>
      <c r="B226" s="86">
        <f>(INDEX(Data!365:365,1,$U$1-2)+INDEX(Data!882:882,1,$U$1-2)-INDEX(Data!1368:1368,1,$U$1-2))</f>
        <v>20527727</v>
      </c>
      <c r="C226" s="87">
        <f>(INDEX(Data!365:365,1,$U$1-1)+INDEX(Data!882:882,1,$U$1-1)-INDEX(Data!1368:1368,1,$U$1-1))</f>
        <v>20698891</v>
      </c>
      <c r="D226" s="88">
        <f t="shared" si="159"/>
        <v>41226618</v>
      </c>
      <c r="E226" s="89">
        <f>(INDEX(Data!365:365,1,$U$1)+INDEX(Data!882:882,1,$U$1)-INDEX(Data!1368:1368,1,$U$1))</f>
        <v>21959427</v>
      </c>
      <c r="F226" s="90">
        <f>(INDEX(Data!365:365,1,$U$1+1)+INDEX(Data!882:882,1,$U$1+1)-INDEX(Data!1368:1368,1,$U$1+1))</f>
        <v>21959425</v>
      </c>
      <c r="G226" s="88">
        <f t="shared" si="160"/>
        <v>43918852</v>
      </c>
      <c r="H226" s="86">
        <f t="shared" si="161"/>
        <v>2692234</v>
      </c>
      <c r="I226" s="447">
        <f t="shared" si="136"/>
        <v>6.5303295070189851E-2</v>
      </c>
      <c r="J226" s="453">
        <f t="shared" si="165"/>
        <v>1.8267031115286637E-3</v>
      </c>
      <c r="K226" s="91">
        <f>(INDEX(Data!417:417,1,$U$1-2)+INDEX(Data!882:882,1,$U$1-2)-INDEX(Data!1525:1525,1,$U$1-2))</f>
        <v>20527727</v>
      </c>
      <c r="L226" s="87">
        <f>(INDEX(Data!417:417,1,$U$1-1)+INDEX(Data!882:882,1,$U$1-1)-INDEX(Data!1525:1525,1,$U$1-1))</f>
        <v>20698891</v>
      </c>
      <c r="M226" s="88">
        <f t="shared" si="162"/>
        <v>41226618</v>
      </c>
      <c r="N226" s="89">
        <f>(INDEX(Data!417:417,1,$U$1)+INDEX(Data!882:882,1,$U$1)-INDEX(Data!1525:1525,1,$U$1))</f>
        <v>21959427</v>
      </c>
      <c r="O226" s="90">
        <f>(INDEX(Data!417:417,1,$U$1+1)+INDEX(Data!882:882,1,$U$1+1)-INDEX(Data!1525:1525,1,$U$1+1))</f>
        <v>21959425</v>
      </c>
      <c r="P226" s="88">
        <f t="shared" si="163"/>
        <v>43918852</v>
      </c>
      <c r="Q226" s="86">
        <f t="shared" si="164"/>
        <v>2692234</v>
      </c>
      <c r="R226" s="84">
        <f t="shared" si="140"/>
        <v>6.5303295070189851E-2</v>
      </c>
      <c r="S226" s="85">
        <f t="shared" si="166"/>
        <v>2.9546667758927636E-3</v>
      </c>
      <c r="T226" s="85">
        <f t="shared" si="132"/>
        <v>1</v>
      </c>
      <c r="V226" s="764"/>
      <c r="W226" s="765"/>
    </row>
    <row r="227" spans="1:23" hidden="1" outlineLevel="1">
      <c r="A227" s="79" t="s">
        <v>180</v>
      </c>
      <c r="B227" s="86">
        <f>(INDEX(Data!366:366,1,$U$1-2)+INDEX(Data!883:883,1,$U$1-2)-INDEX(Data!1369:1369,1,$U$1-2))</f>
        <v>6752764</v>
      </c>
      <c r="C227" s="87">
        <f>(INDEX(Data!366:366,1,$U$1-1)+INDEX(Data!883:883,1,$U$1-1)-INDEX(Data!1369:1369,1,$U$1-1))</f>
        <v>6805527</v>
      </c>
      <c r="D227" s="88">
        <f t="shared" si="159"/>
        <v>13558291</v>
      </c>
      <c r="E227" s="89">
        <f>(INDEX(Data!366:366,1,$U$1)+INDEX(Data!883:883,1,$U$1)-INDEX(Data!1369:1369,1,$U$1))</f>
        <v>6533910</v>
      </c>
      <c r="F227" s="90">
        <f>(INDEX(Data!366:366,1,$U$1+1)+INDEX(Data!883:883,1,$U$1+1)-INDEX(Data!1369:1369,1,$U$1+1))</f>
        <v>6533909</v>
      </c>
      <c r="G227" s="88">
        <f t="shared" si="160"/>
        <v>13067819</v>
      </c>
      <c r="H227" s="86">
        <f t="shared" si="161"/>
        <v>-490472</v>
      </c>
      <c r="I227" s="447">
        <f t="shared" si="136"/>
        <v>-3.617506070639729E-2</v>
      </c>
      <c r="J227" s="453">
        <f t="shared" si="165"/>
        <v>5.4352571939251496E-4</v>
      </c>
      <c r="K227" s="91">
        <f>(INDEX(Data!418:418,1,$U$1-2)+INDEX(Data!883:883,1,$U$1-2)-INDEX(Data!1526:1526,1,$U$1-2))</f>
        <v>6752764</v>
      </c>
      <c r="L227" s="87">
        <f>(INDEX(Data!418:418,1,$U$1-1)+INDEX(Data!883:883,1,$U$1-1)-INDEX(Data!1526:1526,1,$U$1-1))</f>
        <v>6805527</v>
      </c>
      <c r="M227" s="88">
        <f t="shared" si="162"/>
        <v>13558291</v>
      </c>
      <c r="N227" s="89">
        <f>(INDEX(Data!418:418,1,$U$1)+INDEX(Data!883:883,1,$U$1)-INDEX(Data!1526:1526,1,$U$1))</f>
        <v>6533910</v>
      </c>
      <c r="O227" s="90">
        <f>(INDEX(Data!418:418,1,$U$1+1)+INDEX(Data!883:883,1,$U$1+1)-INDEX(Data!1526:1526,1,$U$1+1))</f>
        <v>6533909</v>
      </c>
      <c r="P227" s="88">
        <f t="shared" si="163"/>
        <v>13067819</v>
      </c>
      <c r="Q227" s="86">
        <f t="shared" si="164"/>
        <v>-490472</v>
      </c>
      <c r="R227" s="84">
        <f t="shared" si="140"/>
        <v>-3.617506070639729E-2</v>
      </c>
      <c r="S227" s="85">
        <f t="shared" si="166"/>
        <v>8.7914526164482171E-4</v>
      </c>
      <c r="T227" s="85">
        <f t="shared" si="132"/>
        <v>1</v>
      </c>
      <c r="V227" s="764"/>
      <c r="W227" s="765"/>
    </row>
    <row r="228" spans="1:23" hidden="1" outlineLevel="1">
      <c r="A228" s="79" t="s">
        <v>146</v>
      </c>
      <c r="B228" s="86">
        <f>(INDEX(Data!367:367,1,$U$1-2)+INDEX(Data!884:884,1,$U$1-2)-INDEX(Data!1370:1370,1,$U$1-2))</f>
        <v>7118225</v>
      </c>
      <c r="C228" s="87">
        <f>(INDEX(Data!367:367,1,$U$1-1)+INDEX(Data!884:884,1,$U$1-1)-INDEX(Data!1370:1370,1,$U$1-1))</f>
        <v>7186335</v>
      </c>
      <c r="D228" s="88">
        <f t="shared" si="159"/>
        <v>14304560</v>
      </c>
      <c r="E228" s="89">
        <f>(INDEX(Data!367:367,1,$U$1)+INDEX(Data!884:884,1,$U$1)-INDEX(Data!1370:1370,1,$U$1))</f>
        <v>7078243</v>
      </c>
      <c r="F228" s="90">
        <f>(INDEX(Data!367:367,1,$U$1+1)+INDEX(Data!884:884,1,$U$1+1)-INDEX(Data!1370:1370,1,$U$1+1))</f>
        <v>7078241</v>
      </c>
      <c r="G228" s="88">
        <f t="shared" si="160"/>
        <v>14156484</v>
      </c>
      <c r="H228" s="86">
        <f t="shared" si="161"/>
        <v>-148076</v>
      </c>
      <c r="I228" s="447">
        <f t="shared" si="136"/>
        <v>-1.0351664084739412E-2</v>
      </c>
      <c r="J228" s="453">
        <f t="shared" si="165"/>
        <v>5.8880622314776685E-4</v>
      </c>
      <c r="K228" s="91">
        <f>(INDEX(Data!419:419,1,$U$1-2)+INDEX(Data!884:884,1,$U$1-2)-INDEX(Data!1527:1527,1,$U$1-2))</f>
        <v>7118225</v>
      </c>
      <c r="L228" s="87">
        <f>(INDEX(Data!419:419,1,$U$1-1)+INDEX(Data!884:884,1,$U$1-1)-INDEX(Data!1527:1527,1,$U$1-1))</f>
        <v>7186335</v>
      </c>
      <c r="M228" s="88">
        <f t="shared" si="162"/>
        <v>14304560</v>
      </c>
      <c r="N228" s="89">
        <f>(INDEX(Data!419:419,1,$U$1)+INDEX(Data!884:884,1,$U$1)-INDEX(Data!1527:1527,1,$U$1))</f>
        <v>7078243</v>
      </c>
      <c r="O228" s="90">
        <f>(INDEX(Data!419:419,1,$U$1+1)+INDEX(Data!884:884,1,$U$1+1)-INDEX(Data!1527:1527,1,$U$1+1))</f>
        <v>7078241</v>
      </c>
      <c r="P228" s="88">
        <f t="shared" si="163"/>
        <v>14156484</v>
      </c>
      <c r="Q228" s="86">
        <f t="shared" si="164"/>
        <v>-148076</v>
      </c>
      <c r="R228" s="84">
        <f t="shared" si="140"/>
        <v>-1.0351664084739412E-2</v>
      </c>
      <c r="S228" s="85">
        <f t="shared" si="166"/>
        <v>9.5238584419869384E-4</v>
      </c>
      <c r="T228" s="85">
        <f t="shared" si="132"/>
        <v>1</v>
      </c>
      <c r="V228" s="764"/>
      <c r="W228" s="765"/>
    </row>
    <row r="229" spans="1:23" hidden="1" outlineLevel="1">
      <c r="A229" s="79" t="s">
        <v>147</v>
      </c>
      <c r="B229" s="86">
        <f>(INDEX(Data!368:368,1,$U$1-2)+INDEX(Data!885:885,1,$U$1-2)-INDEX(Data!1371:1371,1,$U$1-2))</f>
        <v>10148091</v>
      </c>
      <c r="C229" s="87">
        <f>(INDEX(Data!368:368,1,$U$1-1)+INDEX(Data!885:885,1,$U$1-1)-INDEX(Data!1371:1371,1,$U$1-1))</f>
        <v>10224883</v>
      </c>
      <c r="D229" s="88">
        <f t="shared" si="159"/>
        <v>20372974</v>
      </c>
      <c r="E229" s="89">
        <f>(INDEX(Data!368:368,1,$U$1)+INDEX(Data!885:885,1,$U$1)-INDEX(Data!1371:1371,1,$U$1))</f>
        <v>10799559</v>
      </c>
      <c r="F229" s="90">
        <f>(INDEX(Data!368:368,1,$U$1+1)+INDEX(Data!885:885,1,$U$1+1)-INDEX(Data!1371:1371,1,$U$1+1))</f>
        <v>10799559</v>
      </c>
      <c r="G229" s="88">
        <f t="shared" si="160"/>
        <v>21599118</v>
      </c>
      <c r="H229" s="86">
        <f t="shared" si="161"/>
        <v>1226144</v>
      </c>
      <c r="I229" s="447">
        <f t="shared" si="136"/>
        <v>6.0184831139528279E-2</v>
      </c>
      <c r="J229" s="453">
        <f t="shared" si="165"/>
        <v>8.9836537751202537E-4</v>
      </c>
      <c r="K229" s="91">
        <f>(INDEX(Data!420:420,1,$U$1-2)+INDEX(Data!885:885,1,$U$1-2)-INDEX(Data!1528:1528,1,$U$1-2))</f>
        <v>10148091</v>
      </c>
      <c r="L229" s="87">
        <f>(INDEX(Data!420:420,1,$U$1-1)+INDEX(Data!885:885,1,$U$1-1)-INDEX(Data!1528:1528,1,$U$1-1))</f>
        <v>10224883</v>
      </c>
      <c r="M229" s="88">
        <f t="shared" si="162"/>
        <v>20372974</v>
      </c>
      <c r="N229" s="89">
        <f>(INDEX(Data!420:420,1,$U$1)+INDEX(Data!885:885,1,$U$1)-INDEX(Data!1528:1528,1,$U$1))</f>
        <v>10799559</v>
      </c>
      <c r="O229" s="90">
        <f>(INDEX(Data!420:420,1,$U$1+1)+INDEX(Data!885:885,1,$U$1+1)-INDEX(Data!1528:1528,1,$U$1+1))</f>
        <v>10799559</v>
      </c>
      <c r="P229" s="88">
        <f t="shared" si="163"/>
        <v>21599118</v>
      </c>
      <c r="Q229" s="86">
        <f t="shared" si="164"/>
        <v>1226144</v>
      </c>
      <c r="R229" s="84">
        <f t="shared" si="140"/>
        <v>6.0184831139528279E-2</v>
      </c>
      <c r="S229" s="85">
        <f t="shared" si="166"/>
        <v>1.4530934538814302E-3</v>
      </c>
      <c r="T229" s="85">
        <f t="shared" si="132"/>
        <v>1</v>
      </c>
      <c r="V229" s="764"/>
      <c r="W229" s="765"/>
    </row>
    <row r="230" spans="1:23" hidden="1" outlineLevel="1">
      <c r="A230" s="79" t="s">
        <v>148</v>
      </c>
      <c r="B230" s="86">
        <f>(INDEX(Data!369:369,1,$U$1-2)+INDEX(Data!886:886,1,$U$1-2)-INDEX(Data!1372:1372,1,$U$1-2))</f>
        <v>4662161</v>
      </c>
      <c r="C230" s="87">
        <f>(INDEX(Data!369:369,1,$U$1-1)+INDEX(Data!886:886,1,$U$1-1)-INDEX(Data!1372:1372,1,$U$1-1))</f>
        <v>4697552</v>
      </c>
      <c r="D230" s="88">
        <f t="shared" si="159"/>
        <v>9359713</v>
      </c>
      <c r="E230" s="89">
        <f>(INDEX(Data!369:369,1,$U$1)+INDEX(Data!886:886,1,$U$1)-INDEX(Data!1372:1372,1,$U$1))</f>
        <v>4731724</v>
      </c>
      <c r="F230" s="90">
        <f>(INDEX(Data!369:369,1,$U$1+1)+INDEX(Data!886:886,1,$U$1+1)-INDEX(Data!1372:1372,1,$U$1+1))</f>
        <v>4731723</v>
      </c>
      <c r="G230" s="88">
        <f t="shared" si="160"/>
        <v>9463447</v>
      </c>
      <c r="H230" s="86">
        <f t="shared" si="161"/>
        <v>103734</v>
      </c>
      <c r="I230" s="447">
        <f t="shared" si="136"/>
        <v>1.1083032139981215E-2</v>
      </c>
      <c r="J230" s="453">
        <f t="shared" si="165"/>
        <v>3.9361019911646596E-4</v>
      </c>
      <c r="K230" s="91">
        <f>(INDEX(Data!421:421,1,$U$1-2)+INDEX(Data!886:886,1,$U$1-2)-INDEX(Data!1529:1529,1,$U$1-2))</f>
        <v>4662161</v>
      </c>
      <c r="L230" s="87">
        <f>(INDEX(Data!421:421,1,$U$1-1)+INDEX(Data!886:886,1,$U$1-1)-INDEX(Data!1529:1529,1,$U$1-1))</f>
        <v>4697552</v>
      </c>
      <c r="M230" s="88">
        <f t="shared" si="162"/>
        <v>9359713</v>
      </c>
      <c r="N230" s="89">
        <f>(INDEX(Data!421:421,1,$U$1)+INDEX(Data!886:886,1,$U$1)-INDEX(Data!1529:1529,1,$U$1))</f>
        <v>4731724</v>
      </c>
      <c r="O230" s="90">
        <f>(INDEX(Data!421:421,1,$U$1+1)+INDEX(Data!886:886,1,$U$1+1)-INDEX(Data!1529:1529,1,$U$1+1))</f>
        <v>4731723</v>
      </c>
      <c r="P230" s="88">
        <f t="shared" si="163"/>
        <v>9463447</v>
      </c>
      <c r="Q230" s="86">
        <f t="shared" si="164"/>
        <v>103734</v>
      </c>
      <c r="R230" s="84">
        <f t="shared" si="140"/>
        <v>1.1083032139981215E-2</v>
      </c>
      <c r="S230" s="85">
        <f t="shared" si="166"/>
        <v>6.3665900093021666E-4</v>
      </c>
      <c r="T230" s="85">
        <f t="shared" si="132"/>
        <v>1</v>
      </c>
      <c r="V230" s="764"/>
      <c r="W230" s="765"/>
    </row>
    <row r="231" spans="1:23" hidden="1" outlineLevel="1">
      <c r="A231" s="79" t="s">
        <v>149</v>
      </c>
      <c r="B231" s="86">
        <f>(INDEX(Data!370:370,1,$U$1-2)+INDEX(Data!887:887,1,$U$1-2)-INDEX(Data!1373:1373,1,$U$1-2))</f>
        <v>11343149</v>
      </c>
      <c r="C231" s="87">
        <f>(INDEX(Data!370:370,1,$U$1-1)+INDEX(Data!887:887,1,$U$1-1)-INDEX(Data!1373:1373,1,$U$1-1))</f>
        <v>11432873</v>
      </c>
      <c r="D231" s="88">
        <f t="shared" si="159"/>
        <v>22776022</v>
      </c>
      <c r="E231" s="89">
        <f>(INDEX(Data!370:370,1,$U$1)+INDEX(Data!887:887,1,$U$1)-INDEX(Data!1373:1373,1,$U$1))</f>
        <v>11678103</v>
      </c>
      <c r="F231" s="90">
        <f>(INDEX(Data!370:370,1,$U$1+1)+INDEX(Data!887:887,1,$U$1+1)-INDEX(Data!1373:1373,1,$U$1+1))</f>
        <v>11678102</v>
      </c>
      <c r="G231" s="88">
        <f t="shared" si="160"/>
        <v>23356205</v>
      </c>
      <c r="H231" s="86">
        <f t="shared" si="161"/>
        <v>580183</v>
      </c>
      <c r="I231" s="447">
        <f t="shared" si="136"/>
        <v>2.5473412345667738E-2</v>
      </c>
      <c r="J231" s="453">
        <f t="shared" si="165"/>
        <v>9.7144734901088341E-4</v>
      </c>
      <c r="K231" s="91">
        <f>(INDEX(Data!422:422,1,$U$1-2)+INDEX(Data!887:887,1,$U$1-2)-INDEX(Data!1530:1530,1,$U$1-2))</f>
        <v>11343149</v>
      </c>
      <c r="L231" s="87">
        <f>(INDEX(Data!422:422,1,$U$1-1)+INDEX(Data!887:887,1,$U$1-1)-INDEX(Data!1530:1530,1,$U$1-1))</f>
        <v>11432873</v>
      </c>
      <c r="M231" s="88">
        <f t="shared" si="162"/>
        <v>22776022</v>
      </c>
      <c r="N231" s="89">
        <f>(INDEX(Data!422:422,1,$U$1)+INDEX(Data!887:887,1,$U$1)-INDEX(Data!1530:1530,1,$U$1))</f>
        <v>11678103</v>
      </c>
      <c r="O231" s="90">
        <f>(INDEX(Data!422:422,1,$U$1+1)+INDEX(Data!887:887,1,$U$1+1)-INDEX(Data!1530:1530,1,$U$1+1))</f>
        <v>11678102</v>
      </c>
      <c r="P231" s="88">
        <f t="shared" si="163"/>
        <v>23356205</v>
      </c>
      <c r="Q231" s="86">
        <f t="shared" si="164"/>
        <v>580183</v>
      </c>
      <c r="R231" s="84">
        <f t="shared" si="140"/>
        <v>2.5473412345667738E-2</v>
      </c>
      <c r="S231" s="85">
        <f t="shared" si="166"/>
        <v>1.5713025223072872E-3</v>
      </c>
      <c r="T231" s="85">
        <f t="shared" si="132"/>
        <v>1</v>
      </c>
      <c r="V231" s="764"/>
      <c r="W231" s="765"/>
    </row>
    <row r="232" spans="1:23" collapsed="1">
      <c r="A232" s="113" t="s">
        <v>77</v>
      </c>
      <c r="B232" s="105">
        <f>SUM(B182:B231)</f>
        <v>1077946882</v>
      </c>
      <c r="C232" s="106">
        <f>SUM(C182:C231)</f>
        <v>1081512232</v>
      </c>
      <c r="D232" s="119">
        <f t="shared" si="159"/>
        <v>2159459114</v>
      </c>
      <c r="E232" s="105">
        <f>SUM(E182:E231)</f>
        <v>1120288653</v>
      </c>
      <c r="F232" s="106">
        <f>SUM(F182:F231)</f>
        <v>1115591805</v>
      </c>
      <c r="G232" s="107">
        <f t="shared" si="160"/>
        <v>2235880458</v>
      </c>
      <c r="H232" s="105">
        <f t="shared" si="135"/>
        <v>76421344</v>
      </c>
      <c r="I232" s="449">
        <f t="shared" si="136"/>
        <v>3.5389113646353575E-2</v>
      </c>
      <c r="J232" s="454">
        <f t="shared" si="165"/>
        <v>9.2996278446320357E-2</v>
      </c>
      <c r="K232" s="405">
        <f>SUM(K182:K231)</f>
        <v>1077946882</v>
      </c>
      <c r="L232" s="106">
        <f>SUM(L182:L231)</f>
        <v>1081512232</v>
      </c>
      <c r="M232" s="119">
        <f t="shared" si="162"/>
        <v>2159459114</v>
      </c>
      <c r="N232" s="105">
        <f>SUM(N182:N231)</f>
        <v>1120288653</v>
      </c>
      <c r="O232" s="106">
        <f>SUM(O182:O231)</f>
        <v>1115591805</v>
      </c>
      <c r="P232" s="107">
        <f t="shared" si="163"/>
        <v>2235880458</v>
      </c>
      <c r="Q232" s="105">
        <f t="shared" si="139"/>
        <v>76421344</v>
      </c>
      <c r="R232" s="108">
        <f t="shared" si="140"/>
        <v>3.5389113646353575E-2</v>
      </c>
      <c r="S232" s="109">
        <f t="shared" si="166"/>
        <v>0.15042018184174066</v>
      </c>
      <c r="T232" s="109">
        <f t="shared" si="132"/>
        <v>1</v>
      </c>
      <c r="V232" s="764"/>
      <c r="W232" s="765"/>
    </row>
    <row r="233" spans="1:23" hidden="1" outlineLevel="1">
      <c r="A233" s="120" t="s">
        <v>27</v>
      </c>
      <c r="B233" s="86"/>
      <c r="C233" s="87"/>
      <c r="D233" s="88"/>
      <c r="E233" s="89"/>
      <c r="F233" s="90"/>
      <c r="G233" s="88"/>
      <c r="H233" s="86"/>
      <c r="I233" s="447"/>
      <c r="J233" s="453"/>
      <c r="K233" s="91"/>
      <c r="L233" s="87"/>
      <c r="M233" s="88"/>
      <c r="N233" s="89"/>
      <c r="O233" s="90"/>
      <c r="P233" s="88"/>
      <c r="Q233" s="86"/>
      <c r="R233" s="84"/>
      <c r="S233" s="85"/>
      <c r="T233" s="85"/>
      <c r="V233" s="764"/>
      <c r="W233" s="765"/>
    </row>
    <row r="234" spans="1:23" hidden="1" outlineLevel="1">
      <c r="A234" s="92" t="s">
        <v>790</v>
      </c>
      <c r="B234" s="86">
        <f>(INDEX(Data!989:989,1,$U$1-2)-INDEX(Data!1253:1253,1,$U$1-2))</f>
        <v>14817841</v>
      </c>
      <c r="C234" s="87">
        <f>(INDEX(Data!989:989,1,$U$1-1)-INDEX(Data!1253:1253,1,$U$1-1))</f>
        <v>14567889</v>
      </c>
      <c r="D234" s="88">
        <f t="shared" ref="D234:D244" si="167">B234+C234</f>
        <v>29385730</v>
      </c>
      <c r="E234" s="89">
        <f>(INDEX(Data!989:989,1,$U$1)-INDEX(Data!1253:1253,1,$U$1))</f>
        <v>15485210</v>
      </c>
      <c r="F234" s="90">
        <f>(INDEX(Data!989:989,1,$U$1+1)-INDEX(Data!1253:1253,1,$U$1+1))</f>
        <v>15495960</v>
      </c>
      <c r="G234" s="88">
        <f t="shared" ref="G234:G244" si="168">E234+F234</f>
        <v>30981170</v>
      </c>
      <c r="H234" s="86">
        <f t="shared" si="135"/>
        <v>1595440</v>
      </c>
      <c r="I234" s="447">
        <f t="shared" si="136"/>
        <v>5.4293019094642195E-2</v>
      </c>
      <c r="J234" s="453">
        <f>IFERROR(G234/G$254,"")</f>
        <v>1.2885901397832187E-3</v>
      </c>
      <c r="K234" s="91">
        <f>(INDEX(Data!1125:1125,1,$U$1-2)-INDEX(Data!1410:1410,1,$U$1-2))</f>
        <v>7757766</v>
      </c>
      <c r="L234" s="87">
        <f>(INDEX(Data!1125:1125,1,$U$1-1)-INDEX(Data!1410:1410,1,$U$1-1))</f>
        <v>7507814</v>
      </c>
      <c r="M234" s="88">
        <f t="shared" ref="M234:M244" si="169">K234+L234</f>
        <v>15265580</v>
      </c>
      <c r="N234" s="89">
        <f>(INDEX(Data!1125:1125,1,$U$1)-INDEX(Data!1410:1410,1,$U$1))</f>
        <v>7196194</v>
      </c>
      <c r="O234" s="90">
        <f>(INDEX(Data!1125:1125,1,$U$1+1)-INDEX(Data!1410:1410,1,$U$1+1))</f>
        <v>7196194</v>
      </c>
      <c r="P234" s="88">
        <f t="shared" ref="P234:P244" si="170">N234+O234</f>
        <v>14392388</v>
      </c>
      <c r="Q234" s="86">
        <f t="shared" si="139"/>
        <v>-873192</v>
      </c>
      <c r="R234" s="84">
        <f t="shared" si="140"/>
        <v>-5.7200053977641205E-2</v>
      </c>
      <c r="S234" s="85">
        <f>IFERROR(P234/P$254,"")</f>
        <v>9.6825642549485812E-4</v>
      </c>
      <c r="T234" s="85">
        <f t="shared" si="132"/>
        <v>0.46455275898231085</v>
      </c>
      <c r="V234" s="764"/>
      <c r="W234" s="765"/>
    </row>
    <row r="235" spans="1:23" hidden="1" outlineLevel="1">
      <c r="A235" s="92" t="s">
        <v>791</v>
      </c>
      <c r="B235" s="86">
        <f>(INDEX(Data!1020:1020,1,$U$1-2)-INDEX(Data!1254:1254,1,$U$1-2))</f>
        <v>563250717</v>
      </c>
      <c r="C235" s="87">
        <f>(INDEX(Data!1020:1020,1,$U$1-1)-INDEX(Data!1254:1254,1,$U$1-1))</f>
        <v>542648096</v>
      </c>
      <c r="D235" s="88">
        <f t="shared" si="167"/>
        <v>1105898813</v>
      </c>
      <c r="E235" s="89">
        <f>(INDEX(Data!1020:1020,1,$U$1)-INDEX(Data!1254:1254,1,$U$1))</f>
        <v>585562098</v>
      </c>
      <c r="F235" s="90">
        <f>(INDEX(Data!1020:1020,1,$U$1+1)-INDEX(Data!1254:1254,1,$U$1+1))</f>
        <v>584292098</v>
      </c>
      <c r="G235" s="88">
        <f t="shared" si="168"/>
        <v>1169854196</v>
      </c>
      <c r="H235" s="86">
        <f t="shared" si="135"/>
        <v>63955383</v>
      </c>
      <c r="I235" s="447">
        <f t="shared" si="136"/>
        <v>5.7831134501814499E-2</v>
      </c>
      <c r="J235" s="453">
        <f>IFERROR(G235/G$254,"")</f>
        <v>4.8657380658949451E-2</v>
      </c>
      <c r="K235" s="91">
        <f>(INDEX(Data!1154:1154,1,$U$1-2)-INDEX(Data!1411:1411,1,$U$1-2))</f>
        <v>547743751</v>
      </c>
      <c r="L235" s="87">
        <f>(INDEX(Data!1154:1154,1,$U$1-1)-INDEX(Data!1411:1411,1,$U$1-1))</f>
        <v>539491656</v>
      </c>
      <c r="M235" s="88">
        <f t="shared" si="169"/>
        <v>1087235407</v>
      </c>
      <c r="N235" s="89">
        <f>(INDEX(Data!1154:1154,1,$U$1)-INDEX(Data!1411:1411,1,$U$1))</f>
        <v>584309698</v>
      </c>
      <c r="O235" s="90">
        <f>(INDEX(Data!1154:1154,1,$U$1+1)-INDEX(Data!1411:1411,1,$U$1+1))</f>
        <v>584039698</v>
      </c>
      <c r="P235" s="88">
        <f t="shared" si="170"/>
        <v>1168349396</v>
      </c>
      <c r="Q235" s="86">
        <f t="shared" si="139"/>
        <v>81113989</v>
      </c>
      <c r="R235" s="84">
        <f t="shared" si="140"/>
        <v>7.4605727957128609E-2</v>
      </c>
      <c r="S235" s="85">
        <f>IFERROR(P235/P$254,"")</f>
        <v>7.8601397481782492E-2</v>
      </c>
      <c r="T235" s="85">
        <f t="shared" si="132"/>
        <v>0.9987136858549166</v>
      </c>
      <c r="V235" s="764"/>
      <c r="W235" s="765"/>
    </row>
    <row r="236" spans="1:23" s="1044" customFormat="1" hidden="1" outlineLevel="1">
      <c r="A236" s="92" t="s">
        <v>1873</v>
      </c>
      <c r="B236" s="1100">
        <f>(INDEX(Data!1028:1028,1,$U$1-2)-INDEX(Data!1255:1255,1,$U$1-2))</f>
        <v>3325000</v>
      </c>
      <c r="C236" s="1101">
        <f>(INDEX(Data!1028:1028,1,$U$1-1)-INDEX(Data!1255:1255,1,$U$1-1))</f>
        <v>3325000</v>
      </c>
      <c r="D236" s="1102">
        <f t="shared" ref="D236" si="171">B236+C236</f>
        <v>6650000</v>
      </c>
      <c r="E236" s="1103">
        <f>(INDEX(Data!1028:1028,1,$U$1)-INDEX(Data!1255:1255,1,$U$1))</f>
        <v>4068000</v>
      </c>
      <c r="F236" s="225">
        <f>(INDEX(Data!1028:1028,1,$U$1+1)-INDEX(Data!1255:1255,1,$U$1+1))</f>
        <v>3768000</v>
      </c>
      <c r="G236" s="88">
        <f t="shared" ref="G236" si="172">E236+F236</f>
        <v>7836000</v>
      </c>
      <c r="H236" s="86">
        <f t="shared" ref="H236" si="173">G236-D236</f>
        <v>1186000</v>
      </c>
      <c r="I236" s="447">
        <f t="shared" ref="I236" si="174">IFERROR(H236/D236,"")</f>
        <v>0.17834586466165414</v>
      </c>
      <c r="J236" s="453">
        <f>IFERROR(G236/G$254,"")</f>
        <v>3.25920303698708E-4</v>
      </c>
      <c r="K236" s="91">
        <f>(INDEX(Data!1163:1163,1,$U$1-2)-INDEX(Data!1412:1412,1,$U$1-2))</f>
        <v>3325000</v>
      </c>
      <c r="L236" s="87">
        <f>(INDEX(Data!1163:1163,1,$U$1-1)-INDEX(Data!1412:1412,1,$U$1-1))</f>
        <v>3325000</v>
      </c>
      <c r="M236" s="88">
        <f t="shared" ref="M236" si="175">K236+L236</f>
        <v>6650000</v>
      </c>
      <c r="N236" s="89">
        <f>(INDEX(Data!1163:1163,1,$U$1)-INDEX(Data!1412:1412,1,$U$1))</f>
        <v>4068000</v>
      </c>
      <c r="O236" s="90">
        <f>(INDEX(Data!1163:1163,1,$U$1+1)-INDEX(Data!1412:1412,1,$U$1+1))</f>
        <v>3768000</v>
      </c>
      <c r="P236" s="88">
        <f t="shared" ref="P236" si="176">N236+O236</f>
        <v>7836000</v>
      </c>
      <c r="Q236" s="86">
        <f t="shared" ref="Q236" si="177">P236-M236</f>
        <v>1186000</v>
      </c>
      <c r="R236" s="84">
        <f t="shared" ref="R236" si="178">IFERROR(Q236/M236,"")</f>
        <v>0.17834586466165414</v>
      </c>
      <c r="S236" s="85">
        <f>IFERROR(P236/P$254,"")</f>
        <v>5.2717154027376886E-4</v>
      </c>
      <c r="T236" s="85">
        <f t="shared" ref="T236" si="179">IFERROR(P236/G236,"")</f>
        <v>1</v>
      </c>
      <c r="U236" s="67"/>
      <c r="V236" s="764"/>
      <c r="W236" s="765"/>
    </row>
    <row r="237" spans="1:23" hidden="1" outlineLevel="1">
      <c r="A237" s="92" t="s">
        <v>792</v>
      </c>
      <c r="B237" s="86">
        <f>(INDEX(Data!1034:1034,1,$U$1-2)-INDEX(Data!1255:1255,1,$U$1-2))</f>
        <v>21400000</v>
      </c>
      <c r="C237" s="87">
        <f>(INDEX(Data!1034:1034,1,$U$1-1)-INDEX(Data!1255:1255,1,$U$1-1))</f>
        <v>21400000</v>
      </c>
      <c r="D237" s="88">
        <f t="shared" si="167"/>
        <v>42800000</v>
      </c>
      <c r="E237" s="89">
        <f>(INDEX(Data!1034:1034,1,$U$1)-INDEX(Data!1255:1255,1,$U$1))</f>
        <v>21400000</v>
      </c>
      <c r="F237" s="90">
        <f>(INDEX(Data!1034:1034,1,$U$1+1)-INDEX(Data!1255:1255,1,$U$1+1))</f>
        <v>21400000</v>
      </c>
      <c r="G237" s="88">
        <f t="shared" si="168"/>
        <v>42800000</v>
      </c>
      <c r="H237" s="86">
        <f t="shared" si="135"/>
        <v>0</v>
      </c>
      <c r="I237" s="447">
        <f t="shared" si="136"/>
        <v>0</v>
      </c>
      <c r="J237" s="453">
        <f t="shared" ref="J237:J250" si="180">IFERROR(G237/G$254,"")</f>
        <v>1.7801670492987114E-3</v>
      </c>
      <c r="K237" s="91">
        <f>(INDEX(Data!1175:1175,1,$U$1-2)-INDEX(Data!1412:1412,1,$U$1-2))</f>
        <v>21400000</v>
      </c>
      <c r="L237" s="87">
        <f>(INDEX(Data!1175:1175,1,$U$1-1)-INDEX(Data!1412:1412,1,$U$1-1))</f>
        <v>21400000</v>
      </c>
      <c r="M237" s="88">
        <f t="shared" si="169"/>
        <v>42800000</v>
      </c>
      <c r="N237" s="89">
        <f>(INDEX(Data!1175:1175,1,$U$1)-INDEX(Data!1412:1412,1,$U$1))</f>
        <v>21400000</v>
      </c>
      <c r="O237" s="90">
        <f>(INDEX(Data!1175:1175,1,$U$1+1)-INDEX(Data!1412:1412,1,$U$1+1))</f>
        <v>21400000</v>
      </c>
      <c r="P237" s="88">
        <f t="shared" si="170"/>
        <v>42800000</v>
      </c>
      <c r="Q237" s="86">
        <f t="shared" si="139"/>
        <v>0</v>
      </c>
      <c r="R237" s="84">
        <f t="shared" si="140"/>
        <v>0</v>
      </c>
      <c r="S237" s="85">
        <f t="shared" ref="S237:S248" si="181">IFERROR(P237/P$254,"")</f>
        <v>2.8793953450379417E-3</v>
      </c>
      <c r="T237" s="85">
        <f t="shared" si="132"/>
        <v>1</v>
      </c>
      <c r="V237" s="764"/>
      <c r="W237" s="765"/>
    </row>
    <row r="238" spans="1:23" hidden="1" outlineLevel="1">
      <c r="A238" s="92" t="s">
        <v>793</v>
      </c>
      <c r="B238" s="86">
        <f>(INDEX(Data!1061:1061,1,$U$1-2)-INDEX(Data!1256:1256,1,$U$1-2)-INDEX(Data!1036:1036,1,$U$1-2)-INDEX(Data!1037:1037,1,$U$1-2))</f>
        <v>94919294</v>
      </c>
      <c r="C238" s="87">
        <f>(INDEX(Data!1061:1061,1,$U$1-1)-INDEX(Data!1256:1256,1,$U$1-1)-INDEX(Data!1036:1036,1,$U$1-1)-INDEX(Data!1037:1037,1,$U$1-1))</f>
        <v>84512500</v>
      </c>
      <c r="D238" s="88">
        <f t="shared" si="167"/>
        <v>179431794</v>
      </c>
      <c r="E238" s="87">
        <f>(INDEX(Data!1061:1061,1,$U$1)-INDEX(Data!1256:1256,1,$U$1)-INDEX(Data!1036:1036,1,$U$1)-INDEX(Data!1037:1037,1,$U$1))</f>
        <v>174715646</v>
      </c>
      <c r="F238" s="87">
        <f>(INDEX(Data!1061:1061,1,$U$1+1)-INDEX(Data!1256:1256,1,$U$1+1)-INDEX(Data!1036:1036,1,$U$1+1)-INDEX(Data!1037:1037,1,$U$1+1))</f>
        <v>164110989</v>
      </c>
      <c r="G238" s="88">
        <f t="shared" si="168"/>
        <v>338826635</v>
      </c>
      <c r="H238" s="86">
        <f t="shared" si="135"/>
        <v>159394841</v>
      </c>
      <c r="I238" s="447">
        <f t="shared" si="136"/>
        <v>0.88833108919370218</v>
      </c>
      <c r="J238" s="453">
        <f t="shared" si="180"/>
        <v>1.4092710538592559E-2</v>
      </c>
      <c r="K238" s="91">
        <f>(INDEX(Data!1201:1201,1,$U$1-2)-INDEX(Data!1413:1413,1,$U$1-2)-INDEX(Data!1177:1177,1,$U$1-2)-INDEX(Data!1178:1178,1,$U$1-2))</f>
        <v>69119294</v>
      </c>
      <c r="L238" s="87">
        <f>(INDEX(Data!1201:1201,1,$U$1-1)-INDEX(Data!1413:1413,1,$U$1-1)-INDEX(Data!1177:1177,1,$U$1-1)-INDEX(Data!1178:1178,1,$U$1-1))</f>
        <v>58712500</v>
      </c>
      <c r="M238" s="88">
        <f t="shared" si="169"/>
        <v>127831794</v>
      </c>
      <c r="N238" s="87">
        <f>(INDEX(Data!1201:1201,1,$U$1)-INDEX(Data!1413:1413,1,$U$1)-INDEX(Data!1177:1177,1,$U$1)-INDEX(Data!1178:1178,1,$U$1))</f>
        <v>148370568</v>
      </c>
      <c r="O238" s="87">
        <f>(INDEX(Data!1201:1201,1,$U$1+1)-INDEX(Data!1413:1413,1,$U$1+1)-INDEX(Data!1177:1177,1,$U$1+1)-INDEX(Data!1178:1178,1,$U$1+1))</f>
        <v>138163774</v>
      </c>
      <c r="P238" s="88">
        <f t="shared" si="170"/>
        <v>286534342</v>
      </c>
      <c r="Q238" s="86">
        <f t="shared" si="139"/>
        <v>158702548</v>
      </c>
      <c r="R238" s="84">
        <f t="shared" si="140"/>
        <v>1.2414951166217694</v>
      </c>
      <c r="S238" s="85">
        <f t="shared" si="181"/>
        <v>1.9276767536175455E-2</v>
      </c>
      <c r="T238" s="85">
        <f t="shared" si="132"/>
        <v>0.8456665220548556</v>
      </c>
      <c r="V238" s="764"/>
      <c r="W238" s="765"/>
    </row>
    <row r="239" spans="1:23" hidden="1" outlineLevel="1">
      <c r="A239" s="92" t="s">
        <v>1287</v>
      </c>
      <c r="B239" s="86"/>
      <c r="C239" s="87"/>
      <c r="D239" s="88">
        <f t="shared" si="167"/>
        <v>0</v>
      </c>
      <c r="E239" s="89"/>
      <c r="F239" s="90"/>
      <c r="G239" s="88">
        <f t="shared" si="168"/>
        <v>0</v>
      </c>
      <c r="H239" s="86">
        <f t="shared" si="135"/>
        <v>0</v>
      </c>
      <c r="I239" s="447" t="str">
        <f t="shared" si="136"/>
        <v/>
      </c>
      <c r="J239" s="453">
        <f t="shared" si="180"/>
        <v>0</v>
      </c>
      <c r="K239" s="91"/>
      <c r="L239" s="87"/>
      <c r="M239" s="88">
        <f t="shared" si="169"/>
        <v>0</v>
      </c>
      <c r="N239" s="89"/>
      <c r="O239" s="90"/>
      <c r="P239" s="88">
        <f t="shared" si="170"/>
        <v>0</v>
      </c>
      <c r="Q239" s="86">
        <f t="shared" si="139"/>
        <v>0</v>
      </c>
      <c r="R239" s="84" t="str">
        <f t="shared" si="140"/>
        <v/>
      </c>
      <c r="S239" s="85">
        <f t="shared" si="181"/>
        <v>0</v>
      </c>
      <c r="T239" s="85" t="str">
        <f t="shared" si="132"/>
        <v/>
      </c>
      <c r="V239" s="764"/>
      <c r="W239" s="765"/>
    </row>
    <row r="240" spans="1:23" hidden="1" outlineLevel="1">
      <c r="A240" s="92" t="s">
        <v>794</v>
      </c>
      <c r="B240" s="86">
        <f>(INDEX(Data!1084:1084,1,$U$1-2)-INDEX(Data!1258:1258,1,$U$1-2))</f>
        <v>0</v>
      </c>
      <c r="C240" s="87">
        <f>(INDEX(Data!1084:1084,1,$U$1-1)-INDEX(Data!1258:1258,1,$U$1-1))</f>
        <v>0</v>
      </c>
      <c r="D240" s="88">
        <f t="shared" si="167"/>
        <v>0</v>
      </c>
      <c r="E240" s="89">
        <f>(INDEX(Data!1084:1084,1,$U$1)-INDEX(Data!1258:1258,1,$U$1))</f>
        <v>0</v>
      </c>
      <c r="F240" s="90">
        <f>(INDEX(Data!1084:1084,1,$U$1+1)-INDEX(Data!1258:1258,1,$U$1+1))</f>
        <v>0</v>
      </c>
      <c r="G240" s="88">
        <f t="shared" si="168"/>
        <v>0</v>
      </c>
      <c r="H240" s="86">
        <f t="shared" si="135"/>
        <v>0</v>
      </c>
      <c r="I240" s="447" t="str">
        <f t="shared" si="136"/>
        <v/>
      </c>
      <c r="J240" s="453">
        <f t="shared" si="180"/>
        <v>0</v>
      </c>
      <c r="K240" s="91">
        <f>(INDEX(Data!1221:1221,1,$U$1-2)-INDEX(Data!1415:1415,1,$U$1-2))</f>
        <v>0</v>
      </c>
      <c r="L240" s="87">
        <f>(INDEX(Data!1221:1221,1,$U$1-1)-INDEX(Data!1415:1415,1,$U$1-1))</f>
        <v>0</v>
      </c>
      <c r="M240" s="88">
        <f t="shared" si="169"/>
        <v>0</v>
      </c>
      <c r="N240" s="89">
        <f>(INDEX(Data!1221:1221,1,$U$1)-INDEX(Data!1415:1415,1,$U$1))</f>
        <v>0</v>
      </c>
      <c r="O240" s="90">
        <f>(INDEX(Data!1221:1221,1,$U$1+1)-INDEX(Data!1415:1415,1,$U$1+1))</f>
        <v>0</v>
      </c>
      <c r="P240" s="88">
        <f t="shared" si="170"/>
        <v>0</v>
      </c>
      <c r="Q240" s="86">
        <f t="shared" si="139"/>
        <v>0</v>
      </c>
      <c r="R240" s="84" t="str">
        <f t="shared" si="140"/>
        <v/>
      </c>
      <c r="S240" s="85">
        <f t="shared" si="181"/>
        <v>0</v>
      </c>
      <c r="T240" s="85" t="str">
        <f t="shared" si="132"/>
        <v/>
      </c>
      <c r="V240" s="764"/>
      <c r="W240" s="765"/>
    </row>
    <row r="241" spans="1:23" hidden="1" outlineLevel="1">
      <c r="A241" s="92" t="s">
        <v>1988</v>
      </c>
      <c r="B241" s="86">
        <f>(INDEX(Data!1096:1096,1,$U$1-2)-INDEX(Data!1259:1259,1,$U$1-2))</f>
        <v>38710088</v>
      </c>
      <c r="C241" s="87">
        <f>(INDEX(Data!1096:1096,1,$U$1-1)-INDEX(Data!1259:1259,1,$U$1-1))</f>
        <v>33807204</v>
      </c>
      <c r="D241" s="88">
        <f t="shared" si="167"/>
        <v>72517292</v>
      </c>
      <c r="E241" s="89">
        <f>(INDEX(Data!1096:1096,1,$U$1)-INDEX(Data!1259:1259,1,$U$1))</f>
        <v>32193908</v>
      </c>
      <c r="F241" s="90">
        <f>(INDEX(Data!1096:1096,1,$U$1+1)-INDEX(Data!1259:1259,1,$U$1+1))</f>
        <v>36153249</v>
      </c>
      <c r="G241" s="88">
        <f t="shared" si="168"/>
        <v>68347157</v>
      </c>
      <c r="H241" s="86">
        <f t="shared" si="135"/>
        <v>-4170135</v>
      </c>
      <c r="I241" s="447">
        <f t="shared" si="136"/>
        <v>-5.7505387818397855E-2</v>
      </c>
      <c r="J241" s="453">
        <f t="shared" si="180"/>
        <v>2.8427419814169574E-3</v>
      </c>
      <c r="K241" s="91">
        <f>(INDEX(Data!1170:1170,1,$U$1-2)-INDEX(Data!1416:1416,1,$U$1-2))</f>
        <v>5875000</v>
      </c>
      <c r="L241" s="87">
        <f>(INDEX(Data!1170:1170,1,$U$1-1)-INDEX(Data!1416:1416,1,$U$1-1))</f>
        <v>5875000</v>
      </c>
      <c r="M241" s="88">
        <f t="shared" ref="M241" si="182">K241+L241</f>
        <v>11750000</v>
      </c>
      <c r="N241" s="87">
        <f>(INDEX(Data!1170:1170,1,$U$1)-INDEX(Data!1416:1416,1,$U$1))</f>
        <v>4762003</v>
      </c>
      <c r="O241" s="87">
        <f>(INDEX(Data!1170:1170,1,$U$1+1)-INDEX(Data!1416:1416,1,$U$1+1))</f>
        <v>8721344</v>
      </c>
      <c r="P241" s="88">
        <f t="shared" ref="P241" si="183">N241+O241</f>
        <v>13483347</v>
      </c>
      <c r="Q241" s="86">
        <f t="shared" ref="Q241" si="184">P241-M241</f>
        <v>1733347</v>
      </c>
      <c r="R241" s="84">
        <f t="shared" ref="R241" si="185">IFERROR(Q241/M241,"")</f>
        <v>0.14751889361702128</v>
      </c>
      <c r="S241" s="85">
        <f t="shared" ref="S241" si="186">IFERROR(P241/P$254,"")</f>
        <v>9.0710015390960965E-4</v>
      </c>
      <c r="T241" s="85">
        <f t="shared" ref="T241" si="187">IFERROR(P241/G241,"")</f>
        <v>0.19727736444106958</v>
      </c>
      <c r="V241" s="764"/>
      <c r="W241" s="765"/>
    </row>
    <row r="242" spans="1:23" hidden="1" outlineLevel="1">
      <c r="A242" s="92" t="s">
        <v>796</v>
      </c>
      <c r="B242" s="86">
        <f>(INDEX(Data!1102:1102,1,$U$1-2)-INDEX(Data!1260:1260,1,$U$1-2)-INDEX(Data!1100:1100,1,$U$1-2)-INDEX(Data!1101:1101,1,$U$1-2))</f>
        <v>9392664</v>
      </c>
      <c r="C242" s="87">
        <f>(INDEX(Data!1102:1102,1,$U$1-1)-INDEX(Data!1260:1260,1,$U$1-1)-INDEX(Data!1100:1100,1,$U$1-1)-INDEX(Data!1101:1101,1,$U$1-1))</f>
        <v>9392664</v>
      </c>
      <c r="D242" s="88">
        <f t="shared" si="167"/>
        <v>18785328</v>
      </c>
      <c r="E242" s="87">
        <f>(INDEX(Data!1102:1102,1,$U$1)-INDEX(Data!1260:1260,1,$U$1)-INDEX(Data!1100:1100,1,$U$1)-INDEX(Data!1101:1101,1,$U$1))</f>
        <v>2950361</v>
      </c>
      <c r="F242" s="87">
        <f>(INDEX(Data!1102:1102,1,$U$1+1)-INDEX(Data!1260:1260,1,$U$1+1)-INDEX(Data!1100:1100,1,$U$1+1)-INDEX(Data!1101:1101,1,$U$1+1))</f>
        <v>2950361</v>
      </c>
      <c r="G242" s="88">
        <f t="shared" si="168"/>
        <v>5900722</v>
      </c>
      <c r="H242" s="86">
        <f t="shared" si="135"/>
        <v>-12884606</v>
      </c>
      <c r="I242" s="447">
        <f t="shared" si="136"/>
        <v>-0.68588666644521723</v>
      </c>
      <c r="J242" s="453">
        <f t="shared" si="180"/>
        <v>2.4542688952037362E-4</v>
      </c>
      <c r="K242" s="91"/>
      <c r="L242" s="87"/>
      <c r="M242" s="88">
        <f t="shared" si="169"/>
        <v>0</v>
      </c>
      <c r="N242" s="89"/>
      <c r="O242" s="90"/>
      <c r="P242" s="88">
        <f t="shared" si="170"/>
        <v>0</v>
      </c>
      <c r="Q242" s="86">
        <f t="shared" si="139"/>
        <v>0</v>
      </c>
      <c r="R242" s="84" t="str">
        <f t="shared" si="140"/>
        <v/>
      </c>
      <c r="S242" s="85">
        <f t="shared" si="181"/>
        <v>0</v>
      </c>
      <c r="T242" s="85">
        <f t="shared" si="132"/>
        <v>0</v>
      </c>
      <c r="V242" s="764"/>
      <c r="W242" s="765"/>
    </row>
    <row r="243" spans="1:23" hidden="1" outlineLevel="1">
      <c r="A243" s="92" t="s">
        <v>260</v>
      </c>
      <c r="B243" s="86">
        <f>(INDEX(Data!1108:1108,1,$U$1-2)-INDEX(Data!1261:1261,1,$U$1-2))</f>
        <v>12913619</v>
      </c>
      <c r="C243" s="87">
        <f>(INDEX(Data!1108:1108,1,$U$1-1)-INDEX(Data!1261:1261,1,$U$1-1))</f>
        <v>12879351</v>
      </c>
      <c r="D243" s="88">
        <f t="shared" si="167"/>
        <v>25792970</v>
      </c>
      <c r="E243" s="89">
        <f>(INDEX(Data!1108:1108,1,$U$1)-INDEX(Data!1261:1261,1,$U$1))</f>
        <v>13768121</v>
      </c>
      <c r="F243" s="90">
        <f>(INDEX(Data!1108:1108,1,$U$1+1)-INDEX(Data!1261:1261,1,$U$1+1))</f>
        <v>13938877</v>
      </c>
      <c r="G243" s="88">
        <f t="shared" si="168"/>
        <v>27706998</v>
      </c>
      <c r="H243" s="86">
        <f t="shared" si="135"/>
        <v>1914028</v>
      </c>
      <c r="I243" s="447">
        <f t="shared" si="136"/>
        <v>7.4207351848197392E-2</v>
      </c>
      <c r="J243" s="453">
        <f t="shared" si="180"/>
        <v>1.1524085251071331E-3</v>
      </c>
      <c r="K243" s="91">
        <f>(INDEX(Data!1227:1227,1,$U$1-2)-INDEX(Data!1418:1418,1,$U$1-2))</f>
        <v>6918440</v>
      </c>
      <c r="L243" s="87">
        <f>(INDEX(Data!1227:1227,1,$U$1-1)-INDEX(Data!1418:1418,1,$U$1-1))</f>
        <v>6918439</v>
      </c>
      <c r="M243" s="88">
        <f t="shared" si="169"/>
        <v>13836879</v>
      </c>
      <c r="N243" s="89">
        <f>(INDEX(Data!1227:1227,1,$U$1)-INDEX(Data!1418:1418,1,$U$1))</f>
        <v>7392415</v>
      </c>
      <c r="O243" s="90">
        <f>(INDEX(Data!1227:1227,1,$U$1+1)-INDEX(Data!1418:1418,1,$U$1+1))</f>
        <v>7542414</v>
      </c>
      <c r="P243" s="88">
        <f t="shared" si="170"/>
        <v>14934829</v>
      </c>
      <c r="Q243" s="86">
        <f t="shared" si="139"/>
        <v>1097950</v>
      </c>
      <c r="R243" s="84">
        <f t="shared" si="140"/>
        <v>7.9349541179047675E-2</v>
      </c>
      <c r="S243" s="85">
        <f t="shared" si="181"/>
        <v>1.0047494649891976E-3</v>
      </c>
      <c r="T243" s="85">
        <f t="shared" si="132"/>
        <v>0.53902732443262169</v>
      </c>
      <c r="V243" s="764"/>
      <c r="W243" s="765"/>
    </row>
    <row r="244" spans="1:23" hidden="1" outlineLevel="1">
      <c r="A244" s="92" t="s">
        <v>797</v>
      </c>
      <c r="B244" s="86">
        <f>(INDEX(Data!1262:1262,1,$U$1-2))</f>
        <v>0</v>
      </c>
      <c r="C244" s="87">
        <f>(INDEX(Data!1262:1262,1,$U$1-1))</f>
        <v>0</v>
      </c>
      <c r="D244" s="88">
        <f t="shared" si="167"/>
        <v>0</v>
      </c>
      <c r="E244" s="89">
        <f>(INDEX(Data!1262:1262,1,$U$1))</f>
        <v>0</v>
      </c>
      <c r="F244" s="90">
        <f>(INDEX(Data!1262:1262,1,$U$1+1))</f>
        <v>0</v>
      </c>
      <c r="G244" s="88">
        <f t="shared" si="168"/>
        <v>0</v>
      </c>
      <c r="H244" s="86">
        <f t="shared" si="135"/>
        <v>0</v>
      </c>
      <c r="I244" s="447" t="str">
        <f t="shared" si="136"/>
        <v/>
      </c>
      <c r="J244" s="453">
        <f t="shared" si="180"/>
        <v>0</v>
      </c>
      <c r="K244" s="91"/>
      <c r="L244" s="87"/>
      <c r="M244" s="88">
        <f t="shared" si="169"/>
        <v>0</v>
      </c>
      <c r="N244" s="89"/>
      <c r="O244" s="90"/>
      <c r="P244" s="88">
        <f t="shared" si="170"/>
        <v>0</v>
      </c>
      <c r="Q244" s="86">
        <f t="shared" si="139"/>
        <v>0</v>
      </c>
      <c r="R244" s="84" t="str">
        <f t="shared" si="140"/>
        <v/>
      </c>
      <c r="S244" s="85">
        <f t="shared" si="181"/>
        <v>0</v>
      </c>
      <c r="T244" s="85" t="str">
        <f t="shared" si="132"/>
        <v/>
      </c>
      <c r="V244" s="764"/>
      <c r="W244" s="765"/>
    </row>
    <row r="245" spans="1:23" collapsed="1">
      <c r="A245" s="113" t="s">
        <v>27</v>
      </c>
      <c r="B245" s="105">
        <f t="shared" ref="B245:H245" si="188">SUM(B234:B244)</f>
        <v>758729223</v>
      </c>
      <c r="C245" s="106">
        <f t="shared" si="188"/>
        <v>722532704</v>
      </c>
      <c r="D245" s="119">
        <f t="shared" si="188"/>
        <v>1481261927</v>
      </c>
      <c r="E245" s="114">
        <f t="shared" si="188"/>
        <v>850143344</v>
      </c>
      <c r="F245" s="115">
        <f t="shared" si="188"/>
        <v>842109534</v>
      </c>
      <c r="G245" s="107">
        <f t="shared" si="188"/>
        <v>1692252878</v>
      </c>
      <c r="H245" s="105">
        <f t="shared" si="188"/>
        <v>210990951</v>
      </c>
      <c r="I245" s="449">
        <f t="shared" ref="I245:I254" si="189">IFERROR(H245/D245,"")</f>
        <v>0.14244000142994293</v>
      </c>
      <c r="J245" s="454">
        <f t="shared" si="180"/>
        <v>7.0385346086367109E-2</v>
      </c>
      <c r="K245" s="405">
        <f t="shared" ref="K245:Q245" si="190">SUM(K234:K244)</f>
        <v>662139251</v>
      </c>
      <c r="L245" s="106">
        <f t="shared" si="190"/>
        <v>643230409</v>
      </c>
      <c r="M245" s="119">
        <f t="shared" si="190"/>
        <v>1305369660</v>
      </c>
      <c r="N245" s="114">
        <f t="shared" si="190"/>
        <v>777498878</v>
      </c>
      <c r="O245" s="115">
        <f t="shared" si="190"/>
        <v>770831424</v>
      </c>
      <c r="P245" s="107">
        <f t="shared" si="190"/>
        <v>1548330302</v>
      </c>
      <c r="Q245" s="105">
        <f t="shared" si="190"/>
        <v>242960642</v>
      </c>
      <c r="R245" s="108">
        <f t="shared" ref="R245:R254" si="191">IFERROR(Q245/M245,"")</f>
        <v>0.18612401486334529</v>
      </c>
      <c r="S245" s="109">
        <f t="shared" si="181"/>
        <v>0.10416483794766332</v>
      </c>
      <c r="T245" s="109">
        <f t="shared" si="132"/>
        <v>0.91495208672943973</v>
      </c>
      <c r="V245" s="764"/>
      <c r="W245" s="765"/>
    </row>
    <row r="246" spans="1:23" ht="25.5" hidden="1" outlineLevel="1">
      <c r="A246" s="92" t="s">
        <v>798</v>
      </c>
      <c r="B246" s="86">
        <f>(INDEX(Data!500:500,1,$U$1-2))</f>
        <v>0</v>
      </c>
      <c r="C246" s="87">
        <f>(INDEX(Data!500:500,1,$U$1-1))</f>
        <v>0</v>
      </c>
      <c r="D246" s="88">
        <f t="shared" ref="D246:D252" si="192">B246+C246</f>
        <v>0</v>
      </c>
      <c r="E246" s="89">
        <f>(INDEX(Data!500:500,1,$U$1))</f>
        <v>0</v>
      </c>
      <c r="F246" s="90">
        <f>(INDEX(Data!500:500,1,$U$1+1))</f>
        <v>0</v>
      </c>
      <c r="G246" s="88">
        <f t="shared" ref="G246:G252" si="193">E246+F246</f>
        <v>0</v>
      </c>
      <c r="H246" s="86">
        <f t="shared" ref="H246:H252" si="194">G246-D246</f>
        <v>0</v>
      </c>
      <c r="I246" s="447" t="str">
        <f t="shared" si="189"/>
        <v/>
      </c>
      <c r="J246" s="453">
        <f t="shared" si="180"/>
        <v>0</v>
      </c>
      <c r="K246" s="91">
        <f>(INDEX(Data!500:500,1,$U$1-2))</f>
        <v>0</v>
      </c>
      <c r="L246" s="87">
        <f>(INDEX(Data!500:500,1,$U$1-1))</f>
        <v>0</v>
      </c>
      <c r="M246" s="88">
        <f t="shared" ref="M246:M248" si="195">K246+L246</f>
        <v>0</v>
      </c>
      <c r="N246" s="89">
        <f>(INDEX(Data!500:500,1,$U$1))</f>
        <v>0</v>
      </c>
      <c r="O246" s="90">
        <f>(INDEX(Data!500:500,1,$U$1+1))</f>
        <v>0</v>
      </c>
      <c r="P246" s="88">
        <f t="shared" ref="P246:P248" si="196">N246+O246</f>
        <v>0</v>
      </c>
      <c r="Q246" s="86">
        <f t="shared" ref="Q246:Q248" si="197">P246-M246</f>
        <v>0</v>
      </c>
      <c r="R246" s="84" t="str">
        <f t="shared" si="191"/>
        <v/>
      </c>
      <c r="S246" s="85">
        <f t="shared" si="181"/>
        <v>0</v>
      </c>
      <c r="T246" s="85" t="str">
        <f t="shared" si="132"/>
        <v/>
      </c>
      <c r="V246" s="764"/>
      <c r="W246" s="765"/>
    </row>
    <row r="247" spans="1:23" ht="25.5" hidden="1" outlineLevel="1">
      <c r="A247" s="92" t="s">
        <v>799</v>
      </c>
      <c r="B247" s="86">
        <f>(INDEX(Data!501:501,1,$U$1-2))</f>
        <v>0</v>
      </c>
      <c r="C247" s="87">
        <f>(INDEX(Data!501:501,1,$U$1-1))</f>
        <v>0</v>
      </c>
      <c r="D247" s="88">
        <f t="shared" si="192"/>
        <v>0</v>
      </c>
      <c r="E247" s="89">
        <f>(INDEX(Data!501:501,1,$U$1))</f>
        <v>0</v>
      </c>
      <c r="F247" s="90">
        <f>(INDEX(Data!501:501,1,$U$1+1))</f>
        <v>0</v>
      </c>
      <c r="G247" s="88">
        <f t="shared" si="193"/>
        <v>0</v>
      </c>
      <c r="H247" s="86">
        <f t="shared" si="194"/>
        <v>0</v>
      </c>
      <c r="I247" s="447" t="str">
        <f t="shared" si="189"/>
        <v/>
      </c>
      <c r="J247" s="453">
        <f t="shared" si="180"/>
        <v>0</v>
      </c>
      <c r="K247" s="91">
        <f>(INDEX(Data!501:501,1,$U$1-2))</f>
        <v>0</v>
      </c>
      <c r="L247" s="87">
        <f>(INDEX(Data!501:501,1,$U$1-1))</f>
        <v>0</v>
      </c>
      <c r="M247" s="88">
        <f t="shared" si="195"/>
        <v>0</v>
      </c>
      <c r="N247" s="89">
        <f>(INDEX(Data!501:501,1,$U$1))</f>
        <v>0</v>
      </c>
      <c r="O247" s="90">
        <f>(INDEX(Data!501:501,1,$U$1+1))</f>
        <v>0</v>
      </c>
      <c r="P247" s="88">
        <f t="shared" si="196"/>
        <v>0</v>
      </c>
      <c r="Q247" s="86">
        <f t="shared" si="197"/>
        <v>0</v>
      </c>
      <c r="R247" s="84" t="str">
        <f t="shared" si="191"/>
        <v/>
      </c>
      <c r="S247" s="85">
        <f t="shared" si="181"/>
        <v>0</v>
      </c>
      <c r="T247" s="85" t="str">
        <f t="shared" si="132"/>
        <v/>
      </c>
      <c r="V247" s="764"/>
      <c r="W247" s="765"/>
    </row>
    <row r="248" spans="1:23" hidden="1" outlineLevel="1">
      <c r="A248" s="92" t="s">
        <v>717</v>
      </c>
      <c r="B248" s="86">
        <f>(INDEX(Data!39:39,1,$U$1-2))</f>
        <v>393750000</v>
      </c>
      <c r="C248" s="87">
        <f>(INDEX(Data!39:39,1,$U$1-1))</f>
        <v>393750000</v>
      </c>
      <c r="D248" s="88">
        <f t="shared" si="192"/>
        <v>787500000</v>
      </c>
      <c r="E248" s="89">
        <f>(INDEX(Data!39:39,1,$U$1))</f>
        <v>393750000</v>
      </c>
      <c r="F248" s="90">
        <f>(INDEX(Data!39:39,1,$U$1+1))</f>
        <v>393750000</v>
      </c>
      <c r="G248" s="88">
        <f t="shared" si="193"/>
        <v>787500000</v>
      </c>
      <c r="H248" s="86">
        <f t="shared" si="194"/>
        <v>0</v>
      </c>
      <c r="I248" s="447">
        <f t="shared" si="189"/>
        <v>0</v>
      </c>
      <c r="J248" s="453">
        <f t="shared" si="180"/>
        <v>3.2754241853334934E-2</v>
      </c>
      <c r="K248" s="91">
        <f>(INDEX(Data!140:140,1,$U$1-2))</f>
        <v>393750000</v>
      </c>
      <c r="L248" s="87">
        <f>(INDEX(Data!140:140,1,$U$1-1))</f>
        <v>393750000</v>
      </c>
      <c r="M248" s="88">
        <f t="shared" si="195"/>
        <v>787500000</v>
      </c>
      <c r="N248" s="89">
        <f>(INDEX(Data!140:140,1,$U$1))</f>
        <v>393750000</v>
      </c>
      <c r="O248" s="90">
        <f>(INDEX(Data!140:140,1,$U$1+1))</f>
        <v>393750000</v>
      </c>
      <c r="P248" s="88">
        <f t="shared" si="196"/>
        <v>787500000</v>
      </c>
      <c r="Q248" s="86">
        <f t="shared" si="197"/>
        <v>0</v>
      </c>
      <c r="R248" s="84">
        <f t="shared" si="191"/>
        <v>0</v>
      </c>
      <c r="S248" s="85">
        <f t="shared" si="181"/>
        <v>5.2979528836854646E-2</v>
      </c>
      <c r="T248" s="85">
        <f t="shared" si="132"/>
        <v>1</v>
      </c>
      <c r="V248" s="764"/>
      <c r="W248" s="765"/>
    </row>
    <row r="249" spans="1:23" hidden="1" outlineLevel="1">
      <c r="A249" s="92" t="s">
        <v>29</v>
      </c>
      <c r="B249" s="86">
        <f>(INDEX(Data!41:41,1,$U$1-2))</f>
        <v>889729453</v>
      </c>
      <c r="C249" s="87">
        <f>(INDEX(Data!41:41,1,$U$1-1))</f>
        <v>910818520</v>
      </c>
      <c r="D249" s="88">
        <f t="shared" si="192"/>
        <v>1800547973</v>
      </c>
      <c r="E249" s="89">
        <f>(INDEX(Data!41:41,1,$U$1))</f>
        <v>1167638000</v>
      </c>
      <c r="F249" s="90">
        <f>(INDEX(Data!41:41,1,$U$1+1))</f>
        <v>1217095000</v>
      </c>
      <c r="G249" s="88">
        <f t="shared" si="193"/>
        <v>2384733000</v>
      </c>
      <c r="H249" s="86">
        <f t="shared" si="194"/>
        <v>584185027</v>
      </c>
      <c r="I249" s="447">
        <f t="shared" si="189"/>
        <v>0.32444846555610213</v>
      </c>
      <c r="J249" s="453">
        <f t="shared" si="180"/>
        <v>9.9187455793814577E-2</v>
      </c>
      <c r="K249" s="91">
        <f>(INDEX(Data!218:218,1,$U$1-2))</f>
        <v>0</v>
      </c>
      <c r="L249" s="87">
        <f>(INDEX(Data!218:218,1,$U$1-1))</f>
        <v>0</v>
      </c>
      <c r="M249" s="88">
        <f t="shared" ref="M249" si="198">K249+L249</f>
        <v>0</v>
      </c>
      <c r="N249" s="89">
        <f>(INDEX(Data!218:218,1,$U$1))</f>
        <v>0</v>
      </c>
      <c r="O249" s="90">
        <f>(INDEX(Data!218:218,1,$U$1+1))</f>
        <v>0</v>
      </c>
      <c r="P249" s="88">
        <f t="shared" ref="P249" si="199">N249+O249</f>
        <v>0</v>
      </c>
      <c r="Q249" s="86">
        <f t="shared" ref="Q249" si="200">P249-M249</f>
        <v>0</v>
      </c>
      <c r="R249" s="84" t="str">
        <f t="shared" ref="R249" si="201">IFERROR(Q249/M249,"")</f>
        <v/>
      </c>
      <c r="S249" s="85">
        <f t="shared" ref="S249:S250" si="202">IFERROR(P249/P$254,"")</f>
        <v>0</v>
      </c>
      <c r="T249" s="85">
        <f t="shared" si="132"/>
        <v>0</v>
      </c>
      <c r="V249" s="764"/>
      <c r="W249" s="765"/>
    </row>
    <row r="250" spans="1:23" ht="25.5" hidden="1" outlineLevel="1">
      <c r="A250" s="92" t="s">
        <v>800</v>
      </c>
      <c r="B250" s="86">
        <f>(INDEX(Data!42:42,1,$U$1-2))</f>
        <v>23016948</v>
      </c>
      <c r="C250" s="87">
        <f>(INDEX(Data!42:42,1,$U$1-1))</f>
        <v>23309713</v>
      </c>
      <c r="D250" s="88">
        <f t="shared" ref="D250" si="203">B250+C250</f>
        <v>46326661</v>
      </c>
      <c r="E250" s="89">
        <f>(INDEX(Data!42:42,1,$U$1))</f>
        <v>24680472</v>
      </c>
      <c r="F250" s="90">
        <f>(INDEX(Data!42:42,1,$U$1+1))</f>
        <v>25545062</v>
      </c>
      <c r="G250" s="88">
        <f t="shared" ref="G250" si="204">E250+F250</f>
        <v>50225534</v>
      </c>
      <c r="H250" s="86">
        <f t="shared" ref="H250" si="205">G250-D250</f>
        <v>3898873</v>
      </c>
      <c r="I250" s="447">
        <f t="shared" ref="I250" si="206">IFERROR(H250/D250,"")</f>
        <v>8.4160457840896416E-2</v>
      </c>
      <c r="J250" s="453">
        <f t="shared" si="180"/>
        <v>2.0890149686970121E-3</v>
      </c>
      <c r="K250" s="91"/>
      <c r="L250" s="87"/>
      <c r="M250" s="88"/>
      <c r="N250" s="89"/>
      <c r="O250" s="90"/>
      <c r="P250" s="88"/>
      <c r="Q250" s="86"/>
      <c r="R250" s="84"/>
      <c r="S250" s="85">
        <f t="shared" si="202"/>
        <v>0</v>
      </c>
      <c r="T250" s="85">
        <f t="shared" ref="T250" si="207">IFERROR(P250/G250,"")</f>
        <v>0</v>
      </c>
      <c r="V250" s="764"/>
      <c r="W250" s="765"/>
    </row>
    <row r="251" spans="1:23" ht="25.5" hidden="1" outlineLevel="1">
      <c r="A251" s="112" t="s">
        <v>1666</v>
      </c>
      <c r="B251" s="86">
        <f>(INDEX(Data!43:43,1,$U$1-2))</f>
        <v>23620829</v>
      </c>
      <c r="C251" s="87">
        <f>(INDEX(Data!43:43,1,$U$1-1))</f>
        <v>23639677</v>
      </c>
      <c r="D251" s="88">
        <f>B251+C251</f>
        <v>47260506</v>
      </c>
      <c r="E251" s="93">
        <f>(INDEX(Data!43:43,1,$U$1))</f>
        <v>23832436</v>
      </c>
      <c r="F251" s="94">
        <f>(INDEX(Data!43:43,1,$U$1+1))</f>
        <v>24004638</v>
      </c>
      <c r="G251" s="88">
        <f>E251+F251</f>
        <v>47837074</v>
      </c>
      <c r="H251" s="86">
        <f>G251-D251</f>
        <v>576568</v>
      </c>
      <c r="I251" s="447">
        <f>IFERROR(H251/D251,"")</f>
        <v>1.219978474204233E-2</v>
      </c>
      <c r="J251" s="453">
        <f>IFERROR(G251/G$75,"")</f>
        <v>4.9881246978182396E-4</v>
      </c>
      <c r="K251" s="91">
        <f>(INDEX(Data!142:142,1,$U$1-2))</f>
        <v>15000000</v>
      </c>
      <c r="L251" s="87">
        <f>(INDEX(Data!142:142,1,$U$1-1))</f>
        <v>15000000</v>
      </c>
      <c r="M251" s="88">
        <f t="shared" ref="M251" si="208">K251+L251</f>
        <v>30000000</v>
      </c>
      <c r="N251" s="89">
        <f>(INDEX(Data!142:142,1,$U$1))</f>
        <v>15000000</v>
      </c>
      <c r="O251" s="90">
        <f>(INDEX(Data!142:142,1,$U$1+1))</f>
        <v>15000000</v>
      </c>
      <c r="P251" s="88">
        <f t="shared" ref="P251" si="209">N251+O251</f>
        <v>30000000</v>
      </c>
      <c r="Q251" s="86">
        <f t="shared" ref="Q251" si="210">P251-M251</f>
        <v>0</v>
      </c>
      <c r="R251" s="84">
        <f t="shared" ref="R251" si="211">IFERROR(Q251/M251,"")</f>
        <v>0</v>
      </c>
      <c r="S251" s="85">
        <f t="shared" ref="S251" si="212">IFERROR(P251/P$254,"")</f>
        <v>2.0182677652135104E-3</v>
      </c>
      <c r="T251" s="85">
        <f>IFERROR(P251/G251,"")</f>
        <v>0.62712865757633918</v>
      </c>
      <c r="V251" s="764"/>
      <c r="W251" s="765"/>
    </row>
    <row r="252" spans="1:23" hidden="1" outlineLevel="1">
      <c r="A252" s="224" t="s">
        <v>1226</v>
      </c>
      <c r="B252" s="86">
        <f>(INDEX(Data!128:128,1,$U$1-2))*-1</f>
        <v>-53821273</v>
      </c>
      <c r="C252" s="87">
        <f>(INDEX(Data!128:128,1,$U$1-1))*-1</f>
        <v>-54520704</v>
      </c>
      <c r="D252" s="88">
        <f t="shared" si="192"/>
        <v>-108341977</v>
      </c>
      <c r="E252" s="89">
        <f>(INDEX(Data!128:128,1,$U$1))*-1</f>
        <v>-58375428</v>
      </c>
      <c r="F252" s="90">
        <f>(INDEX(Data!128:128,1,$U$1+1))*-1</f>
        <v>-58672504</v>
      </c>
      <c r="G252" s="88">
        <f t="shared" si="193"/>
        <v>-117047932</v>
      </c>
      <c r="H252" s="86">
        <f t="shared" si="194"/>
        <v>-8705955</v>
      </c>
      <c r="I252" s="447">
        <f t="shared" ref="I252" si="213">IFERROR(H252/D252,"")</f>
        <v>8.035625009870366E-2</v>
      </c>
      <c r="J252" s="453">
        <f>IFERROR(G252/G$254,"")</f>
        <v>-4.8683381246485101E-3</v>
      </c>
      <c r="K252" s="414"/>
      <c r="L252" s="89"/>
      <c r="M252" s="90"/>
      <c r="N252" s="88"/>
      <c r="O252" s="86"/>
      <c r="P252" s="88"/>
      <c r="Q252" s="86"/>
      <c r="R252" s="84"/>
      <c r="S252" s="85">
        <f>IFERROR(P252/P$254,"")</f>
        <v>0</v>
      </c>
      <c r="T252" s="85"/>
      <c r="V252" s="764"/>
      <c r="W252" s="765"/>
    </row>
    <row r="253" spans="1:23" collapsed="1">
      <c r="A253" s="113" t="s">
        <v>715</v>
      </c>
      <c r="B253" s="105">
        <f>SUM(B246:B252)</f>
        <v>1276295957</v>
      </c>
      <c r="C253" s="106">
        <f t="shared" ref="C253:H253" si="214">SUM(C246:C252)</f>
        <v>1296997206</v>
      </c>
      <c r="D253" s="119">
        <f t="shared" si="214"/>
        <v>2573293163</v>
      </c>
      <c r="E253" s="114">
        <f t="shared" si="214"/>
        <v>1551525480</v>
      </c>
      <c r="F253" s="115">
        <f t="shared" si="214"/>
        <v>1601722196</v>
      </c>
      <c r="G253" s="107">
        <f t="shared" si="214"/>
        <v>3153247676</v>
      </c>
      <c r="H253" s="105">
        <f t="shared" si="214"/>
        <v>579954513</v>
      </c>
      <c r="I253" s="449">
        <f t="shared" si="189"/>
        <v>0.22537444288853459</v>
      </c>
      <c r="J253" s="454">
        <f>IFERROR(G253/G$254,"")</f>
        <v>0.13115204698815278</v>
      </c>
      <c r="K253" s="405">
        <f t="shared" ref="K253:Q253" si="215">SUM(K246:K252)</f>
        <v>408750000</v>
      </c>
      <c r="L253" s="106">
        <f t="shared" si="215"/>
        <v>408750000</v>
      </c>
      <c r="M253" s="119">
        <f t="shared" si="215"/>
        <v>817500000</v>
      </c>
      <c r="N253" s="114">
        <f t="shared" si="215"/>
        <v>408750000</v>
      </c>
      <c r="O253" s="115">
        <f t="shared" si="215"/>
        <v>408750000</v>
      </c>
      <c r="P253" s="107">
        <f t="shared" si="215"/>
        <v>817500000</v>
      </c>
      <c r="Q253" s="105">
        <f t="shared" si="215"/>
        <v>0</v>
      </c>
      <c r="R253" s="108">
        <f t="shared" si="191"/>
        <v>0</v>
      </c>
      <c r="S253" s="109">
        <f>IFERROR(P253/P$254,"")</f>
        <v>5.4997796602068161E-2</v>
      </c>
      <c r="T253" s="109">
        <f t="shared" si="132"/>
        <v>0.25925651391806498</v>
      </c>
      <c r="V253" s="764"/>
      <c r="W253" s="765"/>
    </row>
    <row r="254" spans="1:23" ht="13.5" thickBot="1">
      <c r="A254" s="95" t="s">
        <v>1229</v>
      </c>
      <c r="B254" s="96">
        <f t="shared" ref="B254:G254" si="216">B139+B146+B160+B169+B177+B181+B232+B245+B253</f>
        <v>9492096707</v>
      </c>
      <c r="C254" s="97">
        <f t="shared" si="216"/>
        <v>9503450920</v>
      </c>
      <c r="D254" s="98">
        <f t="shared" si="216"/>
        <v>18995547627</v>
      </c>
      <c r="E254" s="96">
        <f t="shared" si="216"/>
        <v>11709274239</v>
      </c>
      <c r="F254" s="97">
        <f t="shared" si="216"/>
        <v>12333413225</v>
      </c>
      <c r="G254" s="98">
        <f t="shared" si="216"/>
        <v>24042687464</v>
      </c>
      <c r="H254" s="96">
        <f>H139+H146+H160+H169+H177+H181+H232+H245+H246+H247+H248+H249+H252</f>
        <v>5042664396</v>
      </c>
      <c r="I254" s="451">
        <f t="shared" si="189"/>
        <v>0.26546559725566576</v>
      </c>
      <c r="J254" s="455">
        <f>IFERROR(G254/G$254,"")</f>
        <v>1</v>
      </c>
      <c r="K254" s="100">
        <f t="shared" ref="K254:P254" si="217">K139+K146+K160+K169+K177+K181+K232+K245+K253</f>
        <v>6920440809</v>
      </c>
      <c r="L254" s="97">
        <f t="shared" si="217"/>
        <v>6916662896</v>
      </c>
      <c r="M254" s="98">
        <f t="shared" si="217"/>
        <v>13837103705</v>
      </c>
      <c r="N254" s="96">
        <f t="shared" si="217"/>
        <v>7471617727.2312622</v>
      </c>
      <c r="O254" s="97">
        <f t="shared" si="217"/>
        <v>7392614124</v>
      </c>
      <c r="P254" s="98">
        <f t="shared" si="217"/>
        <v>14864231851.231262</v>
      </c>
      <c r="Q254" s="96">
        <f>Q139+Q146+Q160+Q169+Q177+Q181+Q232+Q245+Q246+Q247+Q248+Q249+Q252</f>
        <v>1027128146.2312622</v>
      </c>
      <c r="R254" s="99">
        <f t="shared" si="191"/>
        <v>7.4229995534405957E-2</v>
      </c>
      <c r="S254" s="101">
        <f>IFERROR(P254/P$254,"")</f>
        <v>1</v>
      </c>
      <c r="T254" s="101">
        <f t="shared" si="132"/>
        <v>0.61824335875463265</v>
      </c>
      <c r="V254" s="764"/>
    </row>
    <row r="255" spans="1:23">
      <c r="E255" s="118"/>
      <c r="F255" s="118"/>
      <c r="T255" s="1180"/>
    </row>
    <row r="256" spans="1:23">
      <c r="T256" s="410"/>
    </row>
    <row r="257" spans="20:20">
      <c r="T257" s="410"/>
    </row>
    <row r="258" spans="20:20">
      <c r="T258" s="410"/>
    </row>
    <row r="259" spans="20:20">
      <c r="T259" s="410"/>
    </row>
    <row r="260" spans="20:20">
      <c r="T260" s="410"/>
    </row>
    <row r="261" spans="20:20">
      <c r="T261" s="410"/>
    </row>
    <row r="262" spans="20:20">
      <c r="T262" s="410"/>
    </row>
    <row r="263" spans="20:20">
      <c r="T263" s="410"/>
    </row>
    <row r="264" spans="20:20">
      <c r="T264" s="410"/>
    </row>
    <row r="265" spans="20:20">
      <c r="T265" s="410"/>
    </row>
    <row r="266" spans="20:20">
      <c r="T266" s="410"/>
    </row>
    <row r="267" spans="20:20">
      <c r="T267" s="410"/>
    </row>
    <row r="268" spans="20:20">
      <c r="T268" s="410"/>
    </row>
    <row r="269" spans="20:20">
      <c r="T269" s="410"/>
    </row>
    <row r="270" spans="20:20">
      <c r="T270" s="410"/>
    </row>
    <row r="271" spans="20:20">
      <c r="T271" s="410"/>
    </row>
    <row r="272" spans="20:20">
      <c r="T272" s="410"/>
    </row>
    <row r="273" spans="1:20">
      <c r="J273" s="411"/>
      <c r="T273" s="411"/>
    </row>
    <row r="274" spans="1:20" ht="13.5" thickBot="1">
      <c r="T274" s="1179"/>
    </row>
    <row r="275" spans="1:20" ht="13.5" customHeight="1" thickBot="1">
      <c r="A275" s="536" t="s">
        <v>1829</v>
      </c>
      <c r="B275" s="537"/>
      <c r="C275" s="537"/>
      <c r="D275" s="537"/>
      <c r="E275" s="537"/>
      <c r="F275" s="537"/>
      <c r="G275" s="537"/>
      <c r="H275" s="537"/>
      <c r="I275" s="537"/>
      <c r="J275" s="537"/>
      <c r="K275" s="537"/>
      <c r="L275" s="537"/>
      <c r="M275" s="537"/>
      <c r="N275" s="537"/>
      <c r="O275" s="537"/>
      <c r="P275" s="537"/>
      <c r="Q275" s="537"/>
      <c r="R275" s="537"/>
      <c r="S275" s="537"/>
      <c r="T275" s="538"/>
    </row>
    <row r="276" spans="1:20" ht="13.5" thickBot="1">
      <c r="A276" s="535" t="s">
        <v>1318</v>
      </c>
      <c r="B276" s="1292" t="s">
        <v>2</v>
      </c>
      <c r="C276" s="1293"/>
      <c r="D276" s="1293"/>
      <c r="E276" s="1293"/>
      <c r="F276" s="1293"/>
      <c r="G276" s="1293"/>
      <c r="H276" s="1293"/>
      <c r="I276" s="1293"/>
      <c r="J276" s="1294"/>
      <c r="K276" s="1295" t="s">
        <v>764</v>
      </c>
      <c r="L276" s="1295"/>
      <c r="M276" s="1295"/>
      <c r="N276" s="1295"/>
      <c r="O276" s="1295"/>
      <c r="P276" s="1295"/>
      <c r="Q276" s="1295"/>
      <c r="R276" s="1295"/>
      <c r="S276" s="1295"/>
      <c r="T276" s="1296"/>
    </row>
    <row r="277" spans="1:20" ht="25.5">
      <c r="A277" s="73" t="s">
        <v>772</v>
      </c>
      <c r="B277" s="74">
        <f>E277-2</f>
        <v>2018</v>
      </c>
      <c r="C277" s="75">
        <f>B277+1</f>
        <v>2019</v>
      </c>
      <c r="D277" s="76" t="str">
        <f>B277&amp;"-"&amp;C277</f>
        <v>2018-2019</v>
      </c>
      <c r="E277" s="74" t="str">
        <f>$T$1</f>
        <v>2020</v>
      </c>
      <c r="F277" s="75">
        <f>E277+1</f>
        <v>2021</v>
      </c>
      <c r="G277" s="76" t="str">
        <f>E277&amp;"-"&amp;F277</f>
        <v>2020-2021</v>
      </c>
      <c r="H277" s="74" t="s">
        <v>767</v>
      </c>
      <c r="I277" s="75" t="s">
        <v>768</v>
      </c>
      <c r="J277" s="76" t="s">
        <v>769</v>
      </c>
      <c r="K277" s="77">
        <f>N277-2</f>
        <v>2018</v>
      </c>
      <c r="L277" s="75">
        <f>K277+1</f>
        <v>2019</v>
      </c>
      <c r="M277" s="76" t="str">
        <f>K277&amp;"-"&amp;L277</f>
        <v>2018-2019</v>
      </c>
      <c r="N277" s="74" t="str">
        <f>$T$1</f>
        <v>2020</v>
      </c>
      <c r="O277" s="75">
        <f>N277+1</f>
        <v>2021</v>
      </c>
      <c r="P277" s="76" t="str">
        <f>N277&amp;"-"&amp;O277</f>
        <v>2020-2021</v>
      </c>
      <c r="Q277" s="74" t="s">
        <v>767</v>
      </c>
      <c r="R277" s="75" t="s">
        <v>768</v>
      </c>
      <c r="S277" s="78" t="s">
        <v>769</v>
      </c>
      <c r="T277" s="78" t="s">
        <v>770</v>
      </c>
    </row>
    <row r="278" spans="1:20" ht="25.5">
      <c r="A278" s="677" t="s">
        <v>1428</v>
      </c>
      <c r="B278" s="83">
        <f>SUM(B100:B109,B140)</f>
        <v>1344364277</v>
      </c>
      <c r="C278" s="81">
        <f>SUM(C100:C109,C140)</f>
        <v>1344571659</v>
      </c>
      <c r="D278" s="82">
        <f>B278+C278</f>
        <v>2688935936</v>
      </c>
      <c r="E278" s="102">
        <f>SUM(E100:E109,E140)</f>
        <v>1400238598</v>
      </c>
      <c r="F278" s="103">
        <f>SUM(F100:F109,F140)</f>
        <v>1390487938</v>
      </c>
      <c r="G278" s="82">
        <f t="shared" ref="G278:G284" si="218">E278+F278</f>
        <v>2790726536</v>
      </c>
      <c r="H278" s="83">
        <f t="shared" ref="H278:H284" si="219">G278-D278</f>
        <v>101790600</v>
      </c>
      <c r="I278" s="447">
        <f>IFERROR(H278/D278,"")</f>
        <v>3.7855345914793857E-2</v>
      </c>
      <c r="J278" s="453">
        <f t="shared" ref="J278:J285" si="220">IFERROR(G278/G$285,"")</f>
        <v>0.3402661982930259</v>
      </c>
      <c r="K278" s="409">
        <f>SUM(K100:K109,K140)</f>
        <v>943772193</v>
      </c>
      <c r="L278" s="81">
        <f>SUM(L100:L109,L140)</f>
        <v>940782752</v>
      </c>
      <c r="M278" s="82">
        <f>K278+L278</f>
        <v>1884554945</v>
      </c>
      <c r="N278" s="102">
        <f>SUM(N100:N109,N140)</f>
        <v>998518748.23126221</v>
      </c>
      <c r="O278" s="103">
        <f>SUM(O100:O109,O140)</f>
        <v>987837996</v>
      </c>
      <c r="P278" s="82">
        <f>N278+O278</f>
        <v>1986356744.2312622</v>
      </c>
      <c r="Q278" s="83">
        <f>P278-M278</f>
        <v>101801799.23126221</v>
      </c>
      <c r="R278" s="84">
        <f>IFERROR(Q278/M278,"")</f>
        <v>5.401901361451799E-2</v>
      </c>
      <c r="S278" s="85">
        <f t="shared" ref="S278:S285" si="221">IFERROR(P278/P$285,"")</f>
        <v>0.33042934154662751</v>
      </c>
      <c r="T278" s="85">
        <f t="shared" ref="T278:T285" si="222">IFERROR(P278/G278,"")</f>
        <v>0.71177047217186107</v>
      </c>
    </row>
    <row r="279" spans="1:20" ht="25.5">
      <c r="A279" s="677" t="s">
        <v>1429</v>
      </c>
      <c r="B279" s="86">
        <f>SUM(B110:B121,B141)</f>
        <v>1000398923</v>
      </c>
      <c r="C279" s="87">
        <f>SUM(C110:C121,C141)</f>
        <v>1005644067</v>
      </c>
      <c r="D279" s="88">
        <f t="shared" ref="D279:D284" si="223">B279+C279</f>
        <v>2006042990</v>
      </c>
      <c r="E279" s="89">
        <f>SUM(E110:E121,E141)</f>
        <v>1065314297</v>
      </c>
      <c r="F279" s="90">
        <f>SUM(F110:F121,F141)</f>
        <v>1065281521</v>
      </c>
      <c r="G279" s="88">
        <f t="shared" si="218"/>
        <v>2130595818</v>
      </c>
      <c r="H279" s="86">
        <f t="shared" si="219"/>
        <v>124552828</v>
      </c>
      <c r="I279" s="447">
        <f t="shared" ref="I279:I285" si="224">IFERROR(H279/D279,"")</f>
        <v>6.2088812962079146E-2</v>
      </c>
      <c r="J279" s="453">
        <f t="shared" si="220"/>
        <v>0.25977813653106702</v>
      </c>
      <c r="K279" s="91">
        <f>SUM(K110:K121,K141)</f>
        <v>744926521</v>
      </c>
      <c r="L279" s="87">
        <f>SUM(L110:L121,L141)</f>
        <v>748137439</v>
      </c>
      <c r="M279" s="88">
        <f t="shared" ref="M279:M284" si="225">K279+L279</f>
        <v>1493063960</v>
      </c>
      <c r="N279" s="89">
        <f>SUM(N110:N121,N141)</f>
        <v>811432576</v>
      </c>
      <c r="O279" s="90">
        <f>SUM(O110:O121,O141)</f>
        <v>810907367</v>
      </c>
      <c r="P279" s="88">
        <f t="shared" ref="P279:P284" si="226">N279+O279</f>
        <v>1622339943</v>
      </c>
      <c r="Q279" s="86">
        <f t="shared" ref="Q279:Q284" si="227">P279-M279</f>
        <v>129275983</v>
      </c>
      <c r="R279" s="84">
        <f t="shared" ref="R279:R285" si="228">IFERROR(Q279/M279,"")</f>
        <v>8.6584357042547591E-2</v>
      </c>
      <c r="S279" s="85">
        <f t="shared" si="221"/>
        <v>0.26987534876961217</v>
      </c>
      <c r="T279" s="85">
        <f t="shared" si="222"/>
        <v>0.76144894742302549</v>
      </c>
    </row>
    <row r="280" spans="1:20" ht="25.5">
      <c r="A280" s="677" t="s">
        <v>1430</v>
      </c>
      <c r="B280" s="86">
        <f>SUM(B122:B125,B142)</f>
        <v>420674193</v>
      </c>
      <c r="C280" s="87">
        <f>SUM(C122:C125,C142)</f>
        <v>421849649</v>
      </c>
      <c r="D280" s="88">
        <f t="shared" si="223"/>
        <v>842523842</v>
      </c>
      <c r="E280" s="89">
        <f>SUM(E122:E125,E142)</f>
        <v>478242708</v>
      </c>
      <c r="F280" s="90">
        <f>SUM(F122:F125,F142)</f>
        <v>433308976</v>
      </c>
      <c r="G280" s="88">
        <f t="shared" si="218"/>
        <v>911551684</v>
      </c>
      <c r="H280" s="86">
        <f t="shared" si="219"/>
        <v>69027842</v>
      </c>
      <c r="I280" s="447">
        <f t="shared" si="224"/>
        <v>8.1929838135073221E-2</v>
      </c>
      <c r="J280" s="453">
        <f t="shared" si="220"/>
        <v>0.11114318155545917</v>
      </c>
      <c r="K280" s="91">
        <f>SUM(K122:K125,K142)</f>
        <v>298040915</v>
      </c>
      <c r="L280" s="87">
        <f>SUM(L122:L125,L142)</f>
        <v>298170743</v>
      </c>
      <c r="M280" s="88">
        <f t="shared" si="225"/>
        <v>596211658</v>
      </c>
      <c r="N280" s="89">
        <f>SUM(N122:N125,N142)</f>
        <v>358916781</v>
      </c>
      <c r="O280" s="90">
        <f>SUM(O122:O125,O142)</f>
        <v>313766879</v>
      </c>
      <c r="P280" s="88">
        <f t="shared" si="226"/>
        <v>672683660</v>
      </c>
      <c r="Q280" s="86">
        <f t="shared" si="227"/>
        <v>76472002</v>
      </c>
      <c r="R280" s="84">
        <f t="shared" si="228"/>
        <v>0.12826317797361822</v>
      </c>
      <c r="S280" s="85">
        <f t="shared" si="221"/>
        <v>0.11190055335654102</v>
      </c>
      <c r="T280" s="85">
        <f t="shared" si="222"/>
        <v>0.73795449211193598</v>
      </c>
    </row>
    <row r="281" spans="1:20" ht="25.5">
      <c r="A281" s="677" t="s">
        <v>1431</v>
      </c>
      <c r="B281" s="86">
        <f>SUM(B127:B128,B143)</f>
        <v>220606365</v>
      </c>
      <c r="C281" s="87">
        <f>SUM(C127:C128,C143)</f>
        <v>221974194</v>
      </c>
      <c r="D281" s="88">
        <f t="shared" si="223"/>
        <v>442580559</v>
      </c>
      <c r="E281" s="89">
        <f>SUM(E127:E128,E143)</f>
        <v>232840999</v>
      </c>
      <c r="F281" s="90">
        <f>SUM(F127:F128,F143)</f>
        <v>232858341</v>
      </c>
      <c r="G281" s="88">
        <f t="shared" si="218"/>
        <v>465699340</v>
      </c>
      <c r="H281" s="86">
        <f t="shared" si="219"/>
        <v>23118781</v>
      </c>
      <c r="I281" s="447">
        <f t="shared" si="224"/>
        <v>5.2236322924432838E-2</v>
      </c>
      <c r="J281" s="453">
        <f t="shared" si="220"/>
        <v>5.678153768390988E-2</v>
      </c>
      <c r="K281" s="91">
        <f>SUM(K127:K128,K143)</f>
        <v>153755752</v>
      </c>
      <c r="L281" s="87">
        <f>SUM(L127:L128,L143)</f>
        <v>154613473</v>
      </c>
      <c r="M281" s="88">
        <f t="shared" si="225"/>
        <v>308369225</v>
      </c>
      <c r="N281" s="89">
        <f>SUM(N127:N128,N143)</f>
        <v>161029734</v>
      </c>
      <c r="O281" s="90">
        <f>SUM(O127:O128,O143)</f>
        <v>161025240</v>
      </c>
      <c r="P281" s="88">
        <f t="shared" si="226"/>
        <v>322054974</v>
      </c>
      <c r="Q281" s="86">
        <f t="shared" si="227"/>
        <v>13685749</v>
      </c>
      <c r="R281" s="84">
        <f t="shared" si="228"/>
        <v>4.438104677923032E-2</v>
      </c>
      <c r="S281" s="85">
        <f t="shared" si="221"/>
        <v>5.3573666114955773E-2</v>
      </c>
      <c r="T281" s="85">
        <f t="shared" si="222"/>
        <v>0.69155127855667564</v>
      </c>
    </row>
    <row r="282" spans="1:20" ht="25.5">
      <c r="A282" s="677" t="s">
        <v>1432</v>
      </c>
      <c r="B282" s="86">
        <f>SUM(B131:B132,B144)</f>
        <v>283625092</v>
      </c>
      <c r="C282" s="87">
        <f>SUM(C131:C132,C144)</f>
        <v>286900636</v>
      </c>
      <c r="D282" s="88">
        <f t="shared" si="223"/>
        <v>570525728</v>
      </c>
      <c r="E282" s="89">
        <f>SUM(E131:E132,E144)</f>
        <v>297871840</v>
      </c>
      <c r="F282" s="90">
        <f>SUM(F131:F132,F144)</f>
        <v>300220057</v>
      </c>
      <c r="G282" s="88">
        <f t="shared" si="218"/>
        <v>598091897</v>
      </c>
      <c r="H282" s="86">
        <f t="shared" si="219"/>
        <v>27566169</v>
      </c>
      <c r="I282" s="447">
        <f t="shared" si="224"/>
        <v>4.8317135664739032E-2</v>
      </c>
      <c r="J282" s="453">
        <f t="shared" si="220"/>
        <v>7.2923825891500399E-2</v>
      </c>
      <c r="K282" s="91">
        <f>SUM(K131:K132,K144)</f>
        <v>207888199</v>
      </c>
      <c r="L282" s="87">
        <f>SUM(L131:L132,L144)</f>
        <v>210539094</v>
      </c>
      <c r="M282" s="88">
        <f t="shared" si="225"/>
        <v>418427293</v>
      </c>
      <c r="N282" s="89">
        <f>SUM(N131:N132,N144)</f>
        <v>225568235</v>
      </c>
      <c r="O282" s="90">
        <f>SUM(O131:O132,O144)</f>
        <v>227770512</v>
      </c>
      <c r="P282" s="88">
        <f t="shared" si="226"/>
        <v>453338747</v>
      </c>
      <c r="Q282" s="86">
        <f t="shared" si="227"/>
        <v>34911454</v>
      </c>
      <c r="R282" s="84">
        <f t="shared" si="228"/>
        <v>8.3434935015101894E-2</v>
      </c>
      <c r="S282" s="85">
        <f t="shared" si="221"/>
        <v>7.5412648862707543E-2</v>
      </c>
      <c r="T282" s="85">
        <f t="shared" si="222"/>
        <v>0.75797506917235491</v>
      </c>
    </row>
    <row r="283" spans="1:20">
      <c r="A283" s="677" t="s">
        <v>60</v>
      </c>
      <c r="B283" s="86">
        <f>SUM(B134:B138,B145)</f>
        <v>371583370</v>
      </c>
      <c r="C283" s="87">
        <f>SUM(C134:C138,C145)</f>
        <v>370301577</v>
      </c>
      <c r="D283" s="88">
        <f t="shared" si="223"/>
        <v>741884947</v>
      </c>
      <c r="E283" s="89">
        <f>SUM(E134:E138,E145)</f>
        <v>386269940</v>
      </c>
      <c r="F283" s="90">
        <f>SUM(F134:F138,F145)</f>
        <v>383159102</v>
      </c>
      <c r="G283" s="88">
        <f t="shared" si="218"/>
        <v>769429042</v>
      </c>
      <c r="H283" s="86">
        <f t="shared" si="219"/>
        <v>27544095</v>
      </c>
      <c r="I283" s="447">
        <f t="shared" si="224"/>
        <v>3.7127178697157204E-2</v>
      </c>
      <c r="J283" s="453">
        <f t="shared" si="220"/>
        <v>9.3814528797523486E-2</v>
      </c>
      <c r="K283" s="91">
        <f>SUM(K134:K138,K145)</f>
        <v>265963067</v>
      </c>
      <c r="L283" s="87">
        <f>SUM(L134:L138,L145)</f>
        <v>264228444</v>
      </c>
      <c r="M283" s="88">
        <f t="shared" si="225"/>
        <v>530191511</v>
      </c>
      <c r="N283" s="89">
        <f>SUM(N134:N138,N145)</f>
        <v>281308224</v>
      </c>
      <c r="O283" s="90">
        <f>SUM(O134:O138,O145)</f>
        <v>280452674</v>
      </c>
      <c r="P283" s="88">
        <f t="shared" si="226"/>
        <v>561760898</v>
      </c>
      <c r="Q283" s="86">
        <f t="shared" si="227"/>
        <v>31569387</v>
      </c>
      <c r="R283" s="84">
        <f t="shared" si="228"/>
        <v>5.9543365642457449E-2</v>
      </c>
      <c r="S283" s="85">
        <f t="shared" si="221"/>
        <v>9.3448613483888401E-2</v>
      </c>
      <c r="T283" s="85">
        <f t="shared" si="222"/>
        <v>0.73010098051380801</v>
      </c>
    </row>
    <row r="284" spans="1:20">
      <c r="A284" s="79" t="s">
        <v>801</v>
      </c>
      <c r="B284" s="86">
        <f>SUM(B126,B129,B130,B133)</f>
        <v>264463620</v>
      </c>
      <c r="C284" s="87">
        <f>SUM(C126,C129,C130,C133)</f>
        <v>266052775</v>
      </c>
      <c r="D284" s="88">
        <f t="shared" si="223"/>
        <v>530516395</v>
      </c>
      <c r="E284" s="89">
        <f>SUM(E126,E129,E130,E133)</f>
        <v>268315733</v>
      </c>
      <c r="F284" s="90">
        <f>SUM(F126,F129,F130,F133)</f>
        <v>267187846</v>
      </c>
      <c r="G284" s="88">
        <f t="shared" si="218"/>
        <v>535503579</v>
      </c>
      <c r="H284" s="86">
        <f t="shared" si="219"/>
        <v>4987184</v>
      </c>
      <c r="I284" s="447">
        <f t="shared" si="224"/>
        <v>9.4006218224415104E-3</v>
      </c>
      <c r="J284" s="453">
        <f t="shared" si="220"/>
        <v>6.5292591247514145E-2</v>
      </c>
      <c r="K284" s="91">
        <f>SUM(K126,K129,K130,K133)</f>
        <v>195343843</v>
      </c>
      <c r="L284" s="87">
        <f>SUM(L126,L129,L130,L133)</f>
        <v>196475061</v>
      </c>
      <c r="M284" s="88">
        <f t="shared" si="225"/>
        <v>391818904</v>
      </c>
      <c r="N284" s="89">
        <f>SUM(N126,N129,N130,N133)</f>
        <v>197078795</v>
      </c>
      <c r="O284" s="90">
        <f>SUM(O126,O129,O130,O133)</f>
        <v>195828004</v>
      </c>
      <c r="P284" s="88">
        <f t="shared" si="226"/>
        <v>392906799</v>
      </c>
      <c r="Q284" s="86">
        <f t="shared" si="227"/>
        <v>1087895</v>
      </c>
      <c r="R284" s="84">
        <f t="shared" si="228"/>
        <v>2.7765250448457176E-3</v>
      </c>
      <c r="S284" s="85">
        <f t="shared" si="221"/>
        <v>6.5359827865667547E-2</v>
      </c>
      <c r="T284" s="85">
        <f t="shared" si="222"/>
        <v>0.73371460884297846</v>
      </c>
    </row>
    <row r="285" spans="1:20" ht="13.5" thickBot="1">
      <c r="A285" s="95" t="s">
        <v>280</v>
      </c>
      <c r="B285" s="96">
        <f t="shared" ref="B285:H285" si="229">SUM(B278:B284)</f>
        <v>3905715840</v>
      </c>
      <c r="C285" s="97">
        <f t="shared" si="229"/>
        <v>3917294557</v>
      </c>
      <c r="D285" s="98">
        <f t="shared" si="229"/>
        <v>7823010397</v>
      </c>
      <c r="E285" s="116">
        <f t="shared" si="229"/>
        <v>4129094115</v>
      </c>
      <c r="F285" s="117">
        <f t="shared" si="229"/>
        <v>4072503781</v>
      </c>
      <c r="G285" s="98">
        <f t="shared" si="229"/>
        <v>8201597896</v>
      </c>
      <c r="H285" s="96">
        <f t="shared" si="229"/>
        <v>378587499</v>
      </c>
      <c r="I285" s="451">
        <f t="shared" si="224"/>
        <v>4.8394093806290006E-2</v>
      </c>
      <c r="J285" s="455">
        <f t="shared" si="220"/>
        <v>1</v>
      </c>
      <c r="K285" s="100">
        <f t="shared" ref="K285:Q285" si="230">SUM(K278:K284)</f>
        <v>2809690490</v>
      </c>
      <c r="L285" s="97">
        <f t="shared" si="230"/>
        <v>2812947006</v>
      </c>
      <c r="M285" s="98">
        <f t="shared" si="230"/>
        <v>5622637496</v>
      </c>
      <c r="N285" s="116">
        <f t="shared" si="230"/>
        <v>3033853093.2312622</v>
      </c>
      <c r="O285" s="117">
        <f t="shared" si="230"/>
        <v>2977588672</v>
      </c>
      <c r="P285" s="98">
        <f t="shared" si="230"/>
        <v>6011441765.2312622</v>
      </c>
      <c r="Q285" s="96">
        <f t="shared" si="230"/>
        <v>388804269.23126221</v>
      </c>
      <c r="R285" s="99">
        <f t="shared" si="228"/>
        <v>6.9149801940434796E-2</v>
      </c>
      <c r="S285" s="101">
        <f t="shared" si="221"/>
        <v>1</v>
      </c>
      <c r="T285" s="101">
        <f t="shared" si="222"/>
        <v>0.73295982581188257</v>
      </c>
    </row>
    <row r="286" spans="1:20">
      <c r="T286" s="1180"/>
    </row>
    <row r="287" spans="1:20">
      <c r="T287" s="410"/>
    </row>
    <row r="288" spans="1:20">
      <c r="T288" s="410"/>
    </row>
    <row r="289" spans="10:20">
      <c r="T289" s="410"/>
    </row>
    <row r="290" spans="10:20">
      <c r="T290" s="410"/>
    </row>
    <row r="291" spans="10:20">
      <c r="T291" s="410"/>
    </row>
    <row r="292" spans="10:20">
      <c r="T292" s="410"/>
    </row>
    <row r="293" spans="10:20">
      <c r="T293" s="410"/>
    </row>
    <row r="294" spans="10:20">
      <c r="T294" s="410"/>
    </row>
    <row r="295" spans="10:20">
      <c r="T295" s="410"/>
    </row>
    <row r="296" spans="10:20">
      <c r="T296" s="410"/>
    </row>
    <row r="297" spans="10:20">
      <c r="T297" s="410"/>
    </row>
    <row r="298" spans="10:20">
      <c r="T298" s="410"/>
    </row>
    <row r="299" spans="10:20">
      <c r="T299" s="410"/>
    </row>
    <row r="300" spans="10:20">
      <c r="T300" s="410"/>
    </row>
    <row r="301" spans="10:20">
      <c r="T301" s="410"/>
    </row>
    <row r="302" spans="10:20">
      <c r="T302" s="410"/>
    </row>
    <row r="303" spans="10:20">
      <c r="T303" s="410"/>
    </row>
    <row r="304" spans="10:20">
      <c r="J304" s="411"/>
      <c r="T304" s="411"/>
    </row>
    <row r="305" spans="1:20" ht="13.5" thickBot="1">
      <c r="T305" s="1179"/>
    </row>
    <row r="306" spans="1:20" ht="13.5" customHeight="1" thickBot="1">
      <c r="A306" s="536" t="s">
        <v>1253</v>
      </c>
      <c r="B306" s="537"/>
      <c r="C306" s="537"/>
      <c r="D306" s="537"/>
      <c r="E306" s="537"/>
      <c r="F306" s="537"/>
      <c r="G306" s="537"/>
      <c r="H306" s="537"/>
      <c r="I306" s="537"/>
      <c r="J306" s="537"/>
      <c r="K306" s="537"/>
      <c r="L306" s="537"/>
      <c r="M306" s="537"/>
      <c r="N306" s="537"/>
      <c r="O306" s="537"/>
      <c r="P306" s="537"/>
      <c r="Q306" s="537"/>
      <c r="R306" s="537"/>
      <c r="S306" s="537"/>
      <c r="T306" s="538"/>
    </row>
    <row r="307" spans="1:20" ht="13.5" thickBot="1">
      <c r="A307" s="535" t="s">
        <v>1318</v>
      </c>
      <c r="B307" s="1292" t="s">
        <v>2</v>
      </c>
      <c r="C307" s="1293"/>
      <c r="D307" s="1293"/>
      <c r="E307" s="1293"/>
      <c r="F307" s="1293"/>
      <c r="G307" s="1293"/>
      <c r="H307" s="1293"/>
      <c r="I307" s="1293"/>
      <c r="J307" s="1294"/>
      <c r="K307" s="1295" t="s">
        <v>764</v>
      </c>
      <c r="L307" s="1295"/>
      <c r="M307" s="1295"/>
      <c r="N307" s="1295"/>
      <c r="O307" s="1295"/>
      <c r="P307" s="1295"/>
      <c r="Q307" s="1295"/>
      <c r="R307" s="1295"/>
      <c r="S307" s="1295"/>
      <c r="T307" s="1296"/>
    </row>
    <row r="308" spans="1:20" ht="25.5">
      <c r="A308" s="73" t="s">
        <v>772</v>
      </c>
      <c r="B308" s="74">
        <f>E308-2</f>
        <v>2018</v>
      </c>
      <c r="C308" s="75">
        <f>B308+1</f>
        <v>2019</v>
      </c>
      <c r="D308" s="76" t="str">
        <f>B308&amp;"-"&amp;C308</f>
        <v>2018-2019</v>
      </c>
      <c r="E308" s="74" t="str">
        <f>$T$1</f>
        <v>2020</v>
      </c>
      <c r="F308" s="75">
        <f>E308+1</f>
        <v>2021</v>
      </c>
      <c r="G308" s="76" t="str">
        <f>E308&amp;"-"&amp;F308</f>
        <v>2020-2021</v>
      </c>
      <c r="H308" s="74" t="s">
        <v>767</v>
      </c>
      <c r="I308" s="75" t="s">
        <v>768</v>
      </c>
      <c r="J308" s="77" t="s">
        <v>769</v>
      </c>
      <c r="K308" s="77">
        <f>N308-2</f>
        <v>2018</v>
      </c>
      <c r="L308" s="75">
        <f>K308+1</f>
        <v>2019</v>
      </c>
      <c r="M308" s="76" t="str">
        <f>K308&amp;"-"&amp;L308</f>
        <v>2018-2019</v>
      </c>
      <c r="N308" s="74" t="str">
        <f>$T$1</f>
        <v>2020</v>
      </c>
      <c r="O308" s="75">
        <f>N308+1</f>
        <v>2021</v>
      </c>
      <c r="P308" s="76" t="str">
        <f>N308&amp;"-"&amp;O308</f>
        <v>2020-2021</v>
      </c>
      <c r="Q308" s="74" t="s">
        <v>767</v>
      </c>
      <c r="R308" s="75" t="s">
        <v>768</v>
      </c>
      <c r="S308" s="78" t="s">
        <v>769</v>
      </c>
      <c r="T308" s="78" t="s">
        <v>770</v>
      </c>
    </row>
    <row r="309" spans="1:20" hidden="1" outlineLevel="1">
      <c r="A309" s="79" t="s">
        <v>754</v>
      </c>
      <c r="B309" s="83">
        <f t="shared" ref="B309:C312" si="231">B100</f>
        <v>195407211</v>
      </c>
      <c r="C309" s="81">
        <f t="shared" si="231"/>
        <v>196408316</v>
      </c>
      <c r="D309" s="82">
        <f>B309+C309</f>
        <v>391815527</v>
      </c>
      <c r="E309" s="83">
        <f t="shared" ref="E309:F312" si="232">E100</f>
        <v>209013990</v>
      </c>
      <c r="F309" s="81">
        <f t="shared" si="232"/>
        <v>209033142</v>
      </c>
      <c r="G309" s="82">
        <f t="shared" ref="G309:G320" si="233">E309+F309</f>
        <v>418047132</v>
      </c>
      <c r="H309" s="83">
        <f t="shared" ref="H309:H320" si="234">G309-D309</f>
        <v>26231605</v>
      </c>
      <c r="I309" s="447">
        <f>IFERROR(H309/D309,"")</f>
        <v>6.6948865454226889E-2</v>
      </c>
      <c r="J309" s="448">
        <f t="shared" ref="J309:J321" si="235">IFERROR(G309/G$321,"")</f>
        <v>5.3696760847359581E-2</v>
      </c>
      <c r="K309" s="409">
        <f t="shared" ref="K309:L312" si="236">K100</f>
        <v>118750555</v>
      </c>
      <c r="L309" s="81">
        <f t="shared" si="236"/>
        <v>119673317</v>
      </c>
      <c r="M309" s="82">
        <f>K309+L309</f>
        <v>238423872</v>
      </c>
      <c r="N309" s="83">
        <f t="shared" ref="N309:O312" si="237">N100</f>
        <v>137374528</v>
      </c>
      <c r="O309" s="81">
        <f t="shared" si="237"/>
        <v>137276808</v>
      </c>
      <c r="P309" s="82">
        <f>N309+O309</f>
        <v>274651336</v>
      </c>
      <c r="Q309" s="83">
        <f>P309-M309</f>
        <v>36227464</v>
      </c>
      <c r="R309" s="84">
        <f>IFERROR(Q309/M309,"")</f>
        <v>0.1519456239683919</v>
      </c>
      <c r="S309" s="85">
        <f t="shared" ref="S309:S321" si="238">IFERROR(P309/P$321,"")</f>
        <v>4.8442195421329486E-2</v>
      </c>
      <c r="T309" s="85">
        <f t="shared" ref="T309:T321" si="239">IFERROR(P309/G309,"")</f>
        <v>0.65698653327921885</v>
      </c>
    </row>
    <row r="310" spans="1:20" hidden="1" outlineLevel="1">
      <c r="A310" s="79" t="s">
        <v>749</v>
      </c>
      <c r="B310" s="86">
        <f t="shared" si="231"/>
        <v>443302570</v>
      </c>
      <c r="C310" s="87">
        <f t="shared" si="231"/>
        <v>438988575</v>
      </c>
      <c r="D310" s="88">
        <f t="shared" ref="D310:D320" si="240">B310+C310</f>
        <v>882291145</v>
      </c>
      <c r="E310" s="86">
        <f t="shared" si="232"/>
        <v>454299671</v>
      </c>
      <c r="F310" s="87">
        <f t="shared" si="232"/>
        <v>445117819</v>
      </c>
      <c r="G310" s="88">
        <f t="shared" si="233"/>
        <v>899417490</v>
      </c>
      <c r="H310" s="86">
        <f t="shared" si="234"/>
        <v>17126345</v>
      </c>
      <c r="I310" s="447">
        <f t="shared" ref="I310:I321" si="241">IFERROR(H310/D310,"")</f>
        <v>1.9411217144200171E-2</v>
      </c>
      <c r="J310" s="448">
        <f t="shared" si="235"/>
        <v>0.11552717903220162</v>
      </c>
      <c r="K310" s="91">
        <f t="shared" si="236"/>
        <v>324841000</v>
      </c>
      <c r="L310" s="87">
        <f t="shared" si="236"/>
        <v>319217146</v>
      </c>
      <c r="M310" s="88">
        <f t="shared" ref="M310:M320" si="242">K310+L310</f>
        <v>644058146</v>
      </c>
      <c r="N310" s="86">
        <f t="shared" si="237"/>
        <v>332601728.23126221</v>
      </c>
      <c r="O310" s="87">
        <f t="shared" si="237"/>
        <v>323056748</v>
      </c>
      <c r="P310" s="88">
        <f t="shared" ref="P310:P320" si="243">N310+O310</f>
        <v>655658476.23126221</v>
      </c>
      <c r="Q310" s="86">
        <f t="shared" ref="Q310:Q320" si="244">P310-M310</f>
        <v>11600330.231262207</v>
      </c>
      <c r="R310" s="84">
        <f t="shared" ref="R310:R321" si="245">IFERROR(Q310/M310,"")</f>
        <v>1.8011308921884527E-2</v>
      </c>
      <c r="S310" s="85">
        <f t="shared" si="238"/>
        <v>0.11564311500471243</v>
      </c>
      <c r="T310" s="85">
        <f t="shared" si="239"/>
        <v>0.72898123899198608</v>
      </c>
    </row>
    <row r="311" spans="1:20" hidden="1" outlineLevel="1">
      <c r="A311" s="79" t="s">
        <v>755</v>
      </c>
      <c r="B311" s="86">
        <f t="shared" si="231"/>
        <v>173307136</v>
      </c>
      <c r="C311" s="87">
        <f t="shared" si="231"/>
        <v>174176012</v>
      </c>
      <c r="D311" s="88">
        <f t="shared" si="240"/>
        <v>347483148</v>
      </c>
      <c r="E311" s="86">
        <f t="shared" si="232"/>
        <v>181746527</v>
      </c>
      <c r="F311" s="87">
        <f t="shared" si="232"/>
        <v>181771484</v>
      </c>
      <c r="G311" s="88">
        <f t="shared" si="233"/>
        <v>363518011</v>
      </c>
      <c r="H311" s="86">
        <f t="shared" si="234"/>
        <v>16034863</v>
      </c>
      <c r="I311" s="447">
        <f t="shared" si="241"/>
        <v>4.6145728482924878E-2</v>
      </c>
      <c r="J311" s="448">
        <f t="shared" si="235"/>
        <v>4.6692676988332571E-2</v>
      </c>
      <c r="K311" s="91">
        <f t="shared" si="236"/>
        <v>98661207</v>
      </c>
      <c r="L311" s="87">
        <f t="shared" si="236"/>
        <v>98389179</v>
      </c>
      <c r="M311" s="88">
        <f t="shared" si="242"/>
        <v>197050386</v>
      </c>
      <c r="N311" s="86">
        <f t="shared" si="237"/>
        <v>107875072</v>
      </c>
      <c r="O311" s="87">
        <f t="shared" si="237"/>
        <v>107613671</v>
      </c>
      <c r="P311" s="88">
        <f t="shared" si="243"/>
        <v>215488743</v>
      </c>
      <c r="Q311" s="86">
        <f t="shared" si="244"/>
        <v>18438357</v>
      </c>
      <c r="R311" s="84">
        <f t="shared" si="245"/>
        <v>9.357178828363219E-2</v>
      </c>
      <c r="S311" s="85">
        <f t="shared" si="238"/>
        <v>3.8007271151605272E-2</v>
      </c>
      <c r="T311" s="85">
        <f t="shared" si="239"/>
        <v>0.59278697747936349</v>
      </c>
    </row>
    <row r="312" spans="1:20" hidden="1" outlineLevel="1">
      <c r="A312" s="79" t="s">
        <v>756</v>
      </c>
      <c r="B312" s="86">
        <f t="shared" si="231"/>
        <v>127317708</v>
      </c>
      <c r="C312" s="87">
        <f t="shared" si="231"/>
        <v>128186941</v>
      </c>
      <c r="D312" s="88">
        <f t="shared" si="240"/>
        <v>255504649</v>
      </c>
      <c r="E312" s="86">
        <f t="shared" si="232"/>
        <v>137542538</v>
      </c>
      <c r="F312" s="87">
        <f t="shared" si="232"/>
        <v>137559223</v>
      </c>
      <c r="G312" s="88">
        <f t="shared" si="233"/>
        <v>275101761</v>
      </c>
      <c r="H312" s="86">
        <f t="shared" si="234"/>
        <v>19597112</v>
      </c>
      <c r="I312" s="447">
        <f t="shared" si="241"/>
        <v>7.669962983726375E-2</v>
      </c>
      <c r="J312" s="448">
        <f t="shared" si="235"/>
        <v>3.5335904347513797E-2</v>
      </c>
      <c r="K312" s="91">
        <f t="shared" si="236"/>
        <v>95816158</v>
      </c>
      <c r="L312" s="87">
        <f t="shared" si="236"/>
        <v>96497137</v>
      </c>
      <c r="M312" s="88">
        <f t="shared" si="242"/>
        <v>192313295</v>
      </c>
      <c r="N312" s="86">
        <f t="shared" si="237"/>
        <v>102319586</v>
      </c>
      <c r="O312" s="87">
        <f t="shared" si="237"/>
        <v>102265178</v>
      </c>
      <c r="P312" s="88">
        <f t="shared" si="243"/>
        <v>204584764</v>
      </c>
      <c r="Q312" s="86">
        <f t="shared" si="244"/>
        <v>12271469</v>
      </c>
      <c r="R312" s="84">
        <f t="shared" si="245"/>
        <v>6.3809779765876304E-2</v>
      </c>
      <c r="S312" s="85">
        <f t="shared" si="238"/>
        <v>3.6084059383255915E-2</v>
      </c>
      <c r="T312" s="85">
        <f t="shared" si="239"/>
        <v>0.74366940893555389</v>
      </c>
    </row>
    <row r="313" spans="1:20" hidden="1" outlineLevel="1">
      <c r="A313" s="79" t="s">
        <v>757</v>
      </c>
      <c r="B313" s="86">
        <f>B108</f>
        <v>156025868</v>
      </c>
      <c r="C313" s="87">
        <f>C108</f>
        <v>156996745</v>
      </c>
      <c r="D313" s="88">
        <f t="shared" si="240"/>
        <v>313022613</v>
      </c>
      <c r="E313" s="86">
        <f>E108</f>
        <v>170520935</v>
      </c>
      <c r="F313" s="87">
        <f>F108</f>
        <v>170532346</v>
      </c>
      <c r="G313" s="88">
        <f t="shared" si="233"/>
        <v>341053281</v>
      </c>
      <c r="H313" s="86">
        <f t="shared" si="234"/>
        <v>28030668</v>
      </c>
      <c r="I313" s="447">
        <f t="shared" si="241"/>
        <v>8.9548380327398258E-2</v>
      </c>
      <c r="J313" s="448">
        <f t="shared" si="235"/>
        <v>4.3807157289777375E-2</v>
      </c>
      <c r="K313" s="91">
        <f>K108</f>
        <v>113740794</v>
      </c>
      <c r="L313" s="87">
        <f>L108</f>
        <v>114437640</v>
      </c>
      <c r="M313" s="88">
        <f t="shared" si="242"/>
        <v>228178434</v>
      </c>
      <c r="N313" s="86">
        <f>N108</f>
        <v>127500894</v>
      </c>
      <c r="O313" s="87">
        <f>O108</f>
        <v>127465180</v>
      </c>
      <c r="P313" s="88">
        <f t="shared" si="243"/>
        <v>254966074</v>
      </c>
      <c r="Q313" s="86">
        <f t="shared" si="244"/>
        <v>26787640</v>
      </c>
      <c r="R313" s="84">
        <f t="shared" si="245"/>
        <v>0.11739777300776812</v>
      </c>
      <c r="S313" s="85">
        <f t="shared" si="238"/>
        <v>4.4970166766336625E-2</v>
      </c>
      <c r="T313" s="85">
        <f t="shared" si="239"/>
        <v>0.74758428727738879</v>
      </c>
    </row>
    <row r="314" spans="1:20" hidden="1" outlineLevel="1">
      <c r="A314" s="79" t="s">
        <v>751</v>
      </c>
      <c r="B314" s="86">
        <f>B110</f>
        <v>455555277</v>
      </c>
      <c r="C314" s="87">
        <f>C110</f>
        <v>458028204</v>
      </c>
      <c r="D314" s="88">
        <f t="shared" si="240"/>
        <v>913583481</v>
      </c>
      <c r="E314" s="86">
        <f>E110</f>
        <v>512787808</v>
      </c>
      <c r="F314" s="87">
        <f>F110</f>
        <v>512811856</v>
      </c>
      <c r="G314" s="88">
        <f t="shared" si="233"/>
        <v>1025599664</v>
      </c>
      <c r="H314" s="86">
        <f t="shared" si="234"/>
        <v>112016183</v>
      </c>
      <c r="I314" s="447">
        <f t="shared" si="241"/>
        <v>0.12261187437122673</v>
      </c>
      <c r="J314" s="448">
        <f t="shared" si="235"/>
        <v>0.13173485874540181</v>
      </c>
      <c r="K314" s="91">
        <f>K110</f>
        <v>331122183</v>
      </c>
      <c r="L314" s="87">
        <f>L110</f>
        <v>332553771</v>
      </c>
      <c r="M314" s="88">
        <f t="shared" si="242"/>
        <v>663675954</v>
      </c>
      <c r="N314" s="86">
        <f>N110</f>
        <v>381152914</v>
      </c>
      <c r="O314" s="87">
        <f>O110</f>
        <v>380877779</v>
      </c>
      <c r="P314" s="88">
        <f t="shared" si="243"/>
        <v>762030693</v>
      </c>
      <c r="Q314" s="86">
        <f t="shared" si="244"/>
        <v>98354739</v>
      </c>
      <c r="R314" s="84">
        <f t="shared" si="245"/>
        <v>0.14819693015426019</v>
      </c>
      <c r="S314" s="85">
        <f t="shared" si="238"/>
        <v>0.13440473396188807</v>
      </c>
      <c r="T314" s="85">
        <f t="shared" si="239"/>
        <v>0.74300988948061897</v>
      </c>
    </row>
    <row r="315" spans="1:20" hidden="1" outlineLevel="1">
      <c r="A315" s="79" t="s">
        <v>726</v>
      </c>
      <c r="B315" s="86">
        <f>B122</f>
        <v>258984860</v>
      </c>
      <c r="C315" s="87">
        <f>C122</f>
        <v>260198344</v>
      </c>
      <c r="D315" s="88">
        <f t="shared" si="240"/>
        <v>519183204</v>
      </c>
      <c r="E315" s="86">
        <f>E122</f>
        <v>321317655</v>
      </c>
      <c r="F315" s="87">
        <f>F122</f>
        <v>276340268</v>
      </c>
      <c r="G315" s="88">
        <f t="shared" si="233"/>
        <v>597657923</v>
      </c>
      <c r="H315" s="86">
        <f t="shared" si="234"/>
        <v>78474719</v>
      </c>
      <c r="I315" s="447">
        <f t="shared" si="241"/>
        <v>0.15115034229805324</v>
      </c>
      <c r="J315" s="448">
        <f t="shared" si="235"/>
        <v>7.6767168348521639E-2</v>
      </c>
      <c r="K315" s="91">
        <f>K122</f>
        <v>176106696</v>
      </c>
      <c r="L315" s="87">
        <f>L122</f>
        <v>176634236</v>
      </c>
      <c r="M315" s="88">
        <f t="shared" si="242"/>
        <v>352740932</v>
      </c>
      <c r="N315" s="86">
        <f>N122</f>
        <v>238684966</v>
      </c>
      <c r="O315" s="87">
        <f>O122</f>
        <v>193553284</v>
      </c>
      <c r="P315" s="88">
        <f t="shared" si="243"/>
        <v>432238250</v>
      </c>
      <c r="Q315" s="86">
        <f t="shared" si="244"/>
        <v>79497318</v>
      </c>
      <c r="R315" s="84">
        <f t="shared" si="245"/>
        <v>0.22537026692439538</v>
      </c>
      <c r="S315" s="85">
        <f t="shared" si="238"/>
        <v>7.6236912152043812E-2</v>
      </c>
      <c r="T315" s="85">
        <f t="shared" si="239"/>
        <v>0.72322014544764934</v>
      </c>
    </row>
    <row r="316" spans="1:20" hidden="1" outlineLevel="1">
      <c r="A316" s="79" t="s">
        <v>731</v>
      </c>
      <c r="B316" s="86">
        <f>B127</f>
        <v>180980037</v>
      </c>
      <c r="C316" s="87">
        <f>C127</f>
        <v>182105631</v>
      </c>
      <c r="D316" s="88">
        <f t="shared" si="240"/>
        <v>363085668</v>
      </c>
      <c r="E316" s="86">
        <f>E127</f>
        <v>192699242</v>
      </c>
      <c r="F316" s="87">
        <f>F127</f>
        <v>192720438</v>
      </c>
      <c r="G316" s="88">
        <f t="shared" si="233"/>
        <v>385419680</v>
      </c>
      <c r="H316" s="86">
        <f t="shared" si="234"/>
        <v>22334012</v>
      </c>
      <c r="I316" s="447">
        <f t="shared" si="241"/>
        <v>6.1511687098594045E-2</v>
      </c>
      <c r="J316" s="448">
        <f t="shared" si="235"/>
        <v>4.9505873377994752E-2</v>
      </c>
      <c r="K316" s="91">
        <f>K127</f>
        <v>120306796</v>
      </c>
      <c r="L316" s="87">
        <f>L127</f>
        <v>120926053</v>
      </c>
      <c r="M316" s="88">
        <f t="shared" si="242"/>
        <v>241232849</v>
      </c>
      <c r="N316" s="86">
        <f>N127</f>
        <v>127815112</v>
      </c>
      <c r="O316" s="87">
        <f>O127</f>
        <v>127815112</v>
      </c>
      <c r="P316" s="88">
        <f t="shared" si="243"/>
        <v>255630224</v>
      </c>
      <c r="Q316" s="86">
        <f t="shared" si="244"/>
        <v>14397375</v>
      </c>
      <c r="R316" s="84">
        <f t="shared" si="245"/>
        <v>5.968248130253604E-2</v>
      </c>
      <c r="S316" s="85">
        <f t="shared" si="238"/>
        <v>4.5087307591346396E-2</v>
      </c>
      <c r="T316" s="85">
        <f t="shared" si="239"/>
        <v>0.66325161185334391</v>
      </c>
    </row>
    <row r="317" spans="1:20" hidden="1" outlineLevel="1">
      <c r="A317" s="79" t="s">
        <v>735</v>
      </c>
      <c r="B317" s="86">
        <f>B131</f>
        <v>235943737</v>
      </c>
      <c r="C317" s="87">
        <f>C131</f>
        <v>240366232</v>
      </c>
      <c r="D317" s="88">
        <f t="shared" si="240"/>
        <v>476309969</v>
      </c>
      <c r="E317" s="86">
        <f>E131</f>
        <v>249443360</v>
      </c>
      <c r="F317" s="87">
        <f>F131</f>
        <v>251808460</v>
      </c>
      <c r="G317" s="88">
        <f t="shared" si="233"/>
        <v>501251820</v>
      </c>
      <c r="H317" s="86">
        <f t="shared" si="234"/>
        <v>24941851</v>
      </c>
      <c r="I317" s="447">
        <f t="shared" si="241"/>
        <v>5.2364746957458706E-2</v>
      </c>
      <c r="J317" s="448">
        <f t="shared" si="235"/>
        <v>6.4384125718254498E-2</v>
      </c>
      <c r="K317" s="91">
        <f>K131</f>
        <v>173615199</v>
      </c>
      <c r="L317" s="87">
        <f>L131</f>
        <v>177519553</v>
      </c>
      <c r="M317" s="88">
        <f t="shared" si="242"/>
        <v>351134752</v>
      </c>
      <c r="N317" s="86">
        <f>N131</f>
        <v>188829269</v>
      </c>
      <c r="O317" s="87">
        <f>O131</f>
        <v>191069276</v>
      </c>
      <c r="P317" s="88">
        <f t="shared" si="243"/>
        <v>379898545</v>
      </c>
      <c r="Q317" s="86">
        <f t="shared" si="244"/>
        <v>28763793</v>
      </c>
      <c r="R317" s="84">
        <f t="shared" si="245"/>
        <v>8.1916679668322889E-2</v>
      </c>
      <c r="S317" s="85">
        <f t="shared" si="238"/>
        <v>6.7005388814743411E-2</v>
      </c>
      <c r="T317" s="85">
        <f t="shared" si="239"/>
        <v>0.75789958228979593</v>
      </c>
    </row>
    <row r="318" spans="1:20" hidden="1" outlineLevel="1">
      <c r="A318" s="79" t="s">
        <v>1094</v>
      </c>
      <c r="B318" s="86">
        <f>B136</f>
        <v>174634434</v>
      </c>
      <c r="C318" s="87">
        <f>C136</f>
        <v>174209749</v>
      </c>
      <c r="D318" s="88">
        <f t="shared" si="240"/>
        <v>348844183</v>
      </c>
      <c r="E318" s="86">
        <f>E136</f>
        <v>184862971</v>
      </c>
      <c r="F318" s="87">
        <f>F136</f>
        <v>184276965</v>
      </c>
      <c r="G318" s="88">
        <f t="shared" si="233"/>
        <v>369139936</v>
      </c>
      <c r="H318" s="86">
        <f t="shared" si="234"/>
        <v>20295753</v>
      </c>
      <c r="I318" s="447">
        <f t="shared" si="241"/>
        <v>5.817999550819513E-2</v>
      </c>
      <c r="J318" s="448">
        <f t="shared" si="235"/>
        <v>4.7414794517957895E-2</v>
      </c>
      <c r="K318" s="91">
        <f>K136</f>
        <v>123323623</v>
      </c>
      <c r="L318" s="87">
        <f>L136</f>
        <v>122764306</v>
      </c>
      <c r="M318" s="88">
        <f t="shared" si="242"/>
        <v>246087929</v>
      </c>
      <c r="N318" s="86">
        <f>N136</f>
        <v>135334268</v>
      </c>
      <c r="O318" s="87">
        <f>O136</f>
        <v>134734227</v>
      </c>
      <c r="P318" s="88">
        <f t="shared" si="243"/>
        <v>270068495</v>
      </c>
      <c r="Q318" s="86">
        <f t="shared" si="244"/>
        <v>23980566</v>
      </c>
      <c r="R318" s="84">
        <f t="shared" si="245"/>
        <v>9.7447144593589552E-2</v>
      </c>
      <c r="S318" s="85">
        <f t="shared" si="238"/>
        <v>4.7633887395087511E-2</v>
      </c>
      <c r="T318" s="85">
        <f t="shared" si="239"/>
        <v>0.73161548957953981</v>
      </c>
    </row>
    <row r="319" spans="1:20" collapsed="1">
      <c r="A319" s="113" t="s">
        <v>802</v>
      </c>
      <c r="B319" s="105">
        <f>SUM(B309:B318)</f>
        <v>2401458838</v>
      </c>
      <c r="C319" s="106">
        <f t="shared" ref="C319:H319" si="246">SUM(C309:C318)</f>
        <v>2409664749</v>
      </c>
      <c r="D319" s="107">
        <f t="shared" si="246"/>
        <v>4811123587</v>
      </c>
      <c r="E319" s="114">
        <f t="shared" si="246"/>
        <v>2614234697</v>
      </c>
      <c r="F319" s="115">
        <f t="shared" si="246"/>
        <v>2561972001</v>
      </c>
      <c r="G319" s="107">
        <f t="shared" si="246"/>
        <v>5176206698</v>
      </c>
      <c r="H319" s="105">
        <f t="shared" si="246"/>
        <v>365083111</v>
      </c>
      <c r="I319" s="449">
        <f t="shared" si="241"/>
        <v>7.5883128836365929E-2</v>
      </c>
      <c r="J319" s="450">
        <f t="shared" si="235"/>
        <v>0.66486649921331553</v>
      </c>
      <c r="K319" s="405">
        <f t="shared" ref="K319:Q319" si="247">SUM(K309:K318)</f>
        <v>1676284211</v>
      </c>
      <c r="L319" s="106">
        <f t="shared" si="247"/>
        <v>1678612338</v>
      </c>
      <c r="M319" s="107">
        <f t="shared" si="247"/>
        <v>3354896549</v>
      </c>
      <c r="N319" s="114">
        <f t="shared" si="247"/>
        <v>1879488337.2312622</v>
      </c>
      <c r="O319" s="115">
        <f t="shared" si="247"/>
        <v>1825727263</v>
      </c>
      <c r="P319" s="107">
        <f t="shared" si="247"/>
        <v>3705215600.2312622</v>
      </c>
      <c r="Q319" s="105">
        <f t="shared" si="247"/>
        <v>350319051.23126221</v>
      </c>
      <c r="R319" s="108">
        <f t="shared" si="245"/>
        <v>0.10442022462233073</v>
      </c>
      <c r="S319" s="109">
        <f t="shared" si="238"/>
        <v>0.65351503764234897</v>
      </c>
      <c r="T319" s="109">
        <f t="shared" si="239"/>
        <v>0.71581677788541476</v>
      </c>
    </row>
    <row r="320" spans="1:20">
      <c r="A320" s="79" t="s">
        <v>803</v>
      </c>
      <c r="B320" s="86">
        <f>SUM(B105,B106,B107,B109,B111,B112,B113,B114,B115,B116,B117,B118,B119,B120,B121,B123,B124,B125,B126,B128,B129,B130,B132,B133,B134,B135,B137,B138)</f>
        <v>1286898165</v>
      </c>
      <c r="C320" s="87">
        <f>SUM(C105,C106,C107,C109,C111,C112,C113,C114,C115,C116,C117,C118,C119,C120,C121,C123,C124,C125,C126,C128,C129,C130,C132,C133,C134,C135,C137,C138)</f>
        <v>1290426158</v>
      </c>
      <c r="D320" s="88">
        <f t="shared" si="240"/>
        <v>2577324323</v>
      </c>
      <c r="E320" s="86">
        <f>SUM(E105,E106,E107,E109,E111,E112,E113,E114,E115,E116,E117,E118,E119,E120,E121,E123,E124,E125,E126,E128,E129,E130,E132,E133,E134,E135,E137,E138)</f>
        <v>1306424006</v>
      </c>
      <c r="F320" s="87">
        <f>SUM(F105,F106,F107,F109,F111,F112,F113,F114,F115,F116,F117,F118,F119,F120,F121,F123,F124,F125,F126,F128,F129,F130,F132,F133,F134,F135,F137,F138)</f>
        <v>1302701696</v>
      </c>
      <c r="G320" s="88">
        <f t="shared" si="233"/>
        <v>2609125702</v>
      </c>
      <c r="H320" s="86">
        <f t="shared" si="234"/>
        <v>31801379</v>
      </c>
      <c r="I320" s="447">
        <f t="shared" si="241"/>
        <v>1.2338912381420148E-2</v>
      </c>
      <c r="J320" s="448">
        <f t="shared" si="235"/>
        <v>0.33513350078668447</v>
      </c>
      <c r="K320" s="91">
        <f>SUM(K105,K106,K107,K109,K111,K112,K113,K114,K115,K116,K117,K118,K119,K120,K121,K123,K124,K125,K126,K128,K129,K130,K132,K133,K134,K135,K137,K138)</f>
        <v>953145900</v>
      </c>
      <c r="L320" s="87">
        <f>SUM(L105,L106,L107,L109,L111,L112,L113,L114,L115,L116,L117,L118,L119,L120,L121,L123,L124,L125,L126,L128,L129,L130,L132,L133,L134,L135,L137,L138)</f>
        <v>954307833</v>
      </c>
      <c r="M320" s="88">
        <f t="shared" si="242"/>
        <v>1907453733</v>
      </c>
      <c r="N320" s="86">
        <f>SUM(N105,N106,N107,N109,N111,N112,N113,N114,N115,N116,N117,N118,N119,N120,N121,N123,N124,N125,N126,N128,N129,N130,N132,N133,N134,N135,N137,N138)</f>
        <v>983168960</v>
      </c>
      <c r="O320" s="87">
        <f>SUM(O105,O106,O107,O109,O111,O112,O113,O114,O115,O116,O117,O118,O119,O120,O121,O123,O124,O125,O126,O128,O129,O130,O132,O133,O134,O135,O137,O138)</f>
        <v>981286965</v>
      </c>
      <c r="P320" s="88">
        <f t="shared" si="243"/>
        <v>1964455925</v>
      </c>
      <c r="Q320" s="86">
        <f t="shared" si="244"/>
        <v>57002192</v>
      </c>
      <c r="R320" s="84">
        <f t="shared" si="245"/>
        <v>2.9883918552691836E-2</v>
      </c>
      <c r="S320" s="85">
        <f t="shared" si="238"/>
        <v>0.34648496235765108</v>
      </c>
      <c r="T320" s="85">
        <f t="shared" si="239"/>
        <v>0.75291731766475078</v>
      </c>
    </row>
    <row r="321" spans="1:20" ht="13.5" thickBot="1">
      <c r="A321" s="95" t="s">
        <v>280</v>
      </c>
      <c r="B321" s="96">
        <f>B319+B320</f>
        <v>3688357003</v>
      </c>
      <c r="C321" s="97">
        <f t="shared" ref="C321:H321" si="248">C319+C320</f>
        <v>3700090907</v>
      </c>
      <c r="D321" s="98">
        <f t="shared" si="248"/>
        <v>7388447910</v>
      </c>
      <c r="E321" s="116">
        <f t="shared" si="248"/>
        <v>3920658703</v>
      </c>
      <c r="F321" s="117">
        <f t="shared" si="248"/>
        <v>3864673697</v>
      </c>
      <c r="G321" s="98">
        <f t="shared" si="248"/>
        <v>7785332400</v>
      </c>
      <c r="H321" s="96">
        <f t="shared" si="248"/>
        <v>396884490</v>
      </c>
      <c r="I321" s="451">
        <f t="shared" si="241"/>
        <v>5.3716896273008984E-2</v>
      </c>
      <c r="J321" s="452">
        <f t="shared" si="235"/>
        <v>1</v>
      </c>
      <c r="K321" s="100">
        <f t="shared" ref="K321:Q321" si="249">K319+K320</f>
        <v>2629430111</v>
      </c>
      <c r="L321" s="97">
        <f t="shared" si="249"/>
        <v>2632920171</v>
      </c>
      <c r="M321" s="98">
        <f t="shared" si="249"/>
        <v>5262350282</v>
      </c>
      <c r="N321" s="116">
        <f t="shared" si="249"/>
        <v>2862657297.2312622</v>
      </c>
      <c r="O321" s="117">
        <f t="shared" si="249"/>
        <v>2807014228</v>
      </c>
      <c r="P321" s="98">
        <f t="shared" si="249"/>
        <v>5669671525.2312622</v>
      </c>
      <c r="Q321" s="96">
        <f t="shared" si="249"/>
        <v>407321243.23126221</v>
      </c>
      <c r="R321" s="99">
        <f t="shared" si="245"/>
        <v>7.7402913413900751E-2</v>
      </c>
      <c r="S321" s="101">
        <f t="shared" si="238"/>
        <v>1</v>
      </c>
      <c r="T321" s="101">
        <f t="shared" si="239"/>
        <v>0.72825041166273929</v>
      </c>
    </row>
    <row r="322" spans="1:20">
      <c r="T322" s="1180"/>
    </row>
    <row r="323" spans="1:20">
      <c r="T323" s="410"/>
    </row>
    <row r="324" spans="1:20">
      <c r="T324" s="410"/>
    </row>
    <row r="325" spans="1:20">
      <c r="T325" s="410"/>
    </row>
    <row r="326" spans="1:20">
      <c r="T326" s="410"/>
    </row>
    <row r="327" spans="1:20">
      <c r="T327" s="410"/>
    </row>
    <row r="328" spans="1:20">
      <c r="T328" s="410"/>
    </row>
    <row r="329" spans="1:20">
      <c r="T329" s="410"/>
    </row>
    <row r="330" spans="1:20">
      <c r="T330" s="410"/>
    </row>
    <row r="331" spans="1:20">
      <c r="T331" s="410"/>
    </row>
    <row r="332" spans="1:20">
      <c r="T332" s="410"/>
    </row>
    <row r="333" spans="1:20">
      <c r="T333" s="410"/>
    </row>
    <row r="334" spans="1:20">
      <c r="T334" s="410"/>
    </row>
    <row r="335" spans="1:20">
      <c r="T335" s="410"/>
    </row>
    <row r="336" spans="1:20">
      <c r="T336" s="410"/>
    </row>
    <row r="337" spans="1:20">
      <c r="T337" s="410"/>
    </row>
    <row r="338" spans="1:20">
      <c r="T338" s="410"/>
    </row>
    <row r="339" spans="1:20">
      <c r="T339" s="410"/>
    </row>
    <row r="340" spans="1:20">
      <c r="J340" s="411"/>
      <c r="T340" s="411"/>
    </row>
    <row r="341" spans="1:20" ht="13.5" thickBot="1">
      <c r="T341" s="1179"/>
    </row>
    <row r="342" spans="1:20" ht="13.5" customHeight="1" thickBot="1">
      <c r="A342" s="536" t="s">
        <v>1252</v>
      </c>
      <c r="B342" s="537"/>
      <c r="C342" s="537"/>
      <c r="D342" s="537"/>
      <c r="E342" s="537"/>
      <c r="F342" s="537"/>
      <c r="G342" s="537"/>
      <c r="H342" s="537"/>
      <c r="I342" s="537"/>
      <c r="J342" s="537"/>
      <c r="K342" s="537"/>
      <c r="L342" s="537"/>
      <c r="M342" s="537"/>
      <c r="N342" s="537"/>
      <c r="O342" s="537"/>
      <c r="P342" s="537"/>
      <c r="Q342" s="537"/>
      <c r="R342" s="537"/>
      <c r="S342" s="537"/>
      <c r="T342" s="538"/>
    </row>
    <row r="343" spans="1:20" ht="13.5" thickBot="1">
      <c r="A343" s="535" t="s">
        <v>1318</v>
      </c>
      <c r="B343" s="1292" t="s">
        <v>2</v>
      </c>
      <c r="C343" s="1293"/>
      <c r="D343" s="1293"/>
      <c r="E343" s="1293"/>
      <c r="F343" s="1293"/>
      <c r="G343" s="1293"/>
      <c r="H343" s="1293"/>
      <c r="I343" s="1293"/>
      <c r="J343" s="1294"/>
      <c r="K343" s="1295" t="s">
        <v>764</v>
      </c>
      <c r="L343" s="1295"/>
      <c r="M343" s="1295"/>
      <c r="N343" s="1295"/>
      <c r="O343" s="1295"/>
      <c r="P343" s="1295"/>
      <c r="Q343" s="1295"/>
      <c r="R343" s="1295"/>
      <c r="S343" s="1295"/>
      <c r="T343" s="1296"/>
    </row>
    <row r="344" spans="1:20" ht="25.5">
      <c r="A344" s="73" t="s">
        <v>772</v>
      </c>
      <c r="B344" s="74">
        <f>E344-2</f>
        <v>2018</v>
      </c>
      <c r="C344" s="75">
        <f>B344+1</f>
        <v>2019</v>
      </c>
      <c r="D344" s="76" t="str">
        <f>B344&amp;"-"&amp;C344</f>
        <v>2018-2019</v>
      </c>
      <c r="E344" s="74" t="str">
        <f>$T$1</f>
        <v>2020</v>
      </c>
      <c r="F344" s="75">
        <f>E344+1</f>
        <v>2021</v>
      </c>
      <c r="G344" s="76" t="str">
        <f>E344&amp;"-"&amp;F344</f>
        <v>2020-2021</v>
      </c>
      <c r="H344" s="74" t="s">
        <v>767</v>
      </c>
      <c r="I344" s="75" t="s">
        <v>768</v>
      </c>
      <c r="J344" s="77" t="s">
        <v>769</v>
      </c>
      <c r="K344" s="77">
        <f>N344-2</f>
        <v>2018</v>
      </c>
      <c r="L344" s="75">
        <f>K344+1</f>
        <v>2019</v>
      </c>
      <c r="M344" s="76" t="str">
        <f>K344&amp;"-"&amp;L344</f>
        <v>2018-2019</v>
      </c>
      <c r="N344" s="74" t="str">
        <f>$T$1</f>
        <v>2020</v>
      </c>
      <c r="O344" s="75">
        <f>N344+1</f>
        <v>2021</v>
      </c>
      <c r="P344" s="76" t="str">
        <f>N344&amp;"-"&amp;O344</f>
        <v>2020-2021</v>
      </c>
      <c r="Q344" s="74" t="s">
        <v>767</v>
      </c>
      <c r="R344" s="75" t="s">
        <v>768</v>
      </c>
      <c r="S344" s="78" t="s">
        <v>769</v>
      </c>
      <c r="T344" s="78" t="s">
        <v>770</v>
      </c>
    </row>
    <row r="345" spans="1:20" hidden="1" outlineLevel="1">
      <c r="A345" s="79" t="s">
        <v>756</v>
      </c>
      <c r="B345" s="83">
        <f t="shared" ref="B345:C348" si="250">B103</f>
        <v>127317708</v>
      </c>
      <c r="C345" s="81">
        <f t="shared" si="250"/>
        <v>128186941</v>
      </c>
      <c r="D345" s="82">
        <f>B345+C345</f>
        <v>255504649</v>
      </c>
      <c r="E345" s="83">
        <f t="shared" ref="E345:F348" si="251">E103</f>
        <v>137542538</v>
      </c>
      <c r="F345" s="81">
        <f t="shared" si="251"/>
        <v>137559223</v>
      </c>
      <c r="G345" s="82">
        <f t="shared" ref="G345:G355" si="252">E345+F345</f>
        <v>275101761</v>
      </c>
      <c r="H345" s="83">
        <f t="shared" ref="H345:H355" si="253">G345-D345</f>
        <v>19597112</v>
      </c>
      <c r="I345" s="447">
        <f>IFERROR(H345/D345,"")</f>
        <v>7.669962983726375E-2</v>
      </c>
      <c r="J345" s="448">
        <f t="shared" ref="J345:J358" si="254">IFERROR(G345/G$358,"")</f>
        <v>3.4068198224321791E-2</v>
      </c>
      <c r="K345" s="409">
        <f t="shared" ref="K345:L348" si="255">K103</f>
        <v>95816158</v>
      </c>
      <c r="L345" s="81">
        <f t="shared" si="255"/>
        <v>96497137</v>
      </c>
      <c r="M345" s="82">
        <f>K345+L345</f>
        <v>192313295</v>
      </c>
      <c r="N345" s="83">
        <f t="shared" ref="N345:O348" si="256">N103</f>
        <v>102319586</v>
      </c>
      <c r="O345" s="81">
        <f t="shared" si="256"/>
        <v>102265178</v>
      </c>
      <c r="P345" s="82">
        <f>N345+O345</f>
        <v>204584764</v>
      </c>
      <c r="Q345" s="83">
        <f>P345-M345</f>
        <v>12271469</v>
      </c>
      <c r="R345" s="84">
        <f>IFERROR(Q345/M345,"")</f>
        <v>6.3809779765876304E-2</v>
      </c>
      <c r="S345" s="85">
        <f t="shared" ref="S345:S358" si="257">IFERROR(P345/P$358,"")</f>
        <v>3.4749538836936593E-2</v>
      </c>
      <c r="T345" s="85">
        <f t="shared" ref="T345:T358" si="258">IFERROR(P345/G345,"")</f>
        <v>0.74366940893555389</v>
      </c>
    </row>
    <row r="346" spans="1:20" ht="15" hidden="1" customHeight="1" outlineLevel="1">
      <c r="A346" s="79" t="s">
        <v>1667</v>
      </c>
      <c r="B346" s="86">
        <f t="shared" si="250"/>
        <v>143941395</v>
      </c>
      <c r="C346" s="87">
        <f t="shared" si="250"/>
        <v>144939991</v>
      </c>
      <c r="D346" s="88">
        <f>B346+C346</f>
        <v>288881386</v>
      </c>
      <c r="E346" s="86">
        <f t="shared" si="251"/>
        <v>144845471</v>
      </c>
      <c r="F346" s="87">
        <f t="shared" si="251"/>
        <v>144853253</v>
      </c>
      <c r="G346" s="88">
        <f t="shared" ref="G346" si="259">E346+F346</f>
        <v>289698724</v>
      </c>
      <c r="H346" s="86">
        <f t="shared" ref="H346" si="260">G346-D346</f>
        <v>817338</v>
      </c>
      <c r="I346" s="680">
        <f>IFERROR(H346/D346,"")</f>
        <v>2.8293204048806383E-3</v>
      </c>
      <c r="J346" s="681">
        <f t="shared" si="254"/>
        <v>3.5875864693447342E-2</v>
      </c>
      <c r="K346" s="91">
        <f t="shared" si="255"/>
        <v>108078175</v>
      </c>
      <c r="L346" s="87">
        <f t="shared" si="255"/>
        <v>108998414</v>
      </c>
      <c r="M346" s="88">
        <f>K346+L346</f>
        <v>217076589</v>
      </c>
      <c r="N346" s="86">
        <f t="shared" si="256"/>
        <v>108873093</v>
      </c>
      <c r="O346" s="87">
        <f t="shared" si="256"/>
        <v>108864851</v>
      </c>
      <c r="P346" s="88">
        <f>N346+O346</f>
        <v>217737944</v>
      </c>
      <c r="Q346" s="86">
        <f>P346-M346</f>
        <v>661355</v>
      </c>
      <c r="R346" s="680">
        <f>IFERROR(Q346/M346,"")</f>
        <v>3.0466435972973578E-3</v>
      </c>
      <c r="S346" s="682">
        <f t="shared" si="257"/>
        <v>3.69836589654483E-2</v>
      </c>
      <c r="T346" s="682">
        <f t="shared" ref="T346" si="261">IFERROR(P346/G346,"")</f>
        <v>0.75160132220672127</v>
      </c>
    </row>
    <row r="347" spans="1:20" hidden="1" outlineLevel="1">
      <c r="A347" s="79" t="s">
        <v>1356</v>
      </c>
      <c r="B347" s="86">
        <f t="shared" si="250"/>
        <v>0</v>
      </c>
      <c r="C347" s="87">
        <f t="shared" si="250"/>
        <v>0</v>
      </c>
      <c r="D347" s="88">
        <f t="shared" ref="D347:D355" si="262">B347+C347</f>
        <v>0</v>
      </c>
      <c r="E347" s="86">
        <f t="shared" si="251"/>
        <v>0</v>
      </c>
      <c r="F347" s="87">
        <f t="shared" si="251"/>
        <v>0</v>
      </c>
      <c r="G347" s="88">
        <f t="shared" si="252"/>
        <v>0</v>
      </c>
      <c r="H347" s="86">
        <f t="shared" si="253"/>
        <v>0</v>
      </c>
      <c r="I347" s="447" t="str">
        <f t="shared" ref="I347:I358" si="263">IFERROR(H347/D347,"")</f>
        <v/>
      </c>
      <c r="J347" s="448">
        <f t="shared" si="254"/>
        <v>0</v>
      </c>
      <c r="K347" s="91">
        <f t="shared" si="255"/>
        <v>0</v>
      </c>
      <c r="L347" s="87">
        <f t="shared" si="255"/>
        <v>0</v>
      </c>
      <c r="M347" s="88">
        <f t="shared" ref="M347:M355" si="264">K347+L347</f>
        <v>0</v>
      </c>
      <c r="N347" s="86">
        <f t="shared" si="256"/>
        <v>0</v>
      </c>
      <c r="O347" s="87">
        <f t="shared" si="256"/>
        <v>0</v>
      </c>
      <c r="P347" s="88">
        <f t="shared" ref="P347:P355" si="265">N347+O347</f>
        <v>0</v>
      </c>
      <c r="Q347" s="86">
        <f t="shared" ref="Q347:Q355" si="266">P347-M347</f>
        <v>0</v>
      </c>
      <c r="R347" s="84" t="str">
        <f t="shared" ref="R347:R358" si="267">IFERROR(Q347/M347,"")</f>
        <v/>
      </c>
      <c r="S347" s="85">
        <f t="shared" si="257"/>
        <v>0</v>
      </c>
      <c r="T347" s="85" t="str">
        <f t="shared" si="258"/>
        <v/>
      </c>
    </row>
    <row r="348" spans="1:20" hidden="1" outlineLevel="1">
      <c r="A348" s="79" t="s">
        <v>1357</v>
      </c>
      <c r="B348" s="86">
        <f t="shared" si="250"/>
        <v>0</v>
      </c>
      <c r="C348" s="87">
        <f t="shared" si="250"/>
        <v>0</v>
      </c>
      <c r="D348" s="88">
        <f t="shared" si="262"/>
        <v>0</v>
      </c>
      <c r="E348" s="86">
        <f t="shared" si="251"/>
        <v>0</v>
      </c>
      <c r="F348" s="87">
        <f t="shared" si="251"/>
        <v>0</v>
      </c>
      <c r="G348" s="88">
        <f t="shared" si="252"/>
        <v>0</v>
      </c>
      <c r="H348" s="86">
        <f t="shared" si="253"/>
        <v>0</v>
      </c>
      <c r="I348" s="447" t="str">
        <f t="shared" si="263"/>
        <v/>
      </c>
      <c r="J348" s="448">
        <f t="shared" si="254"/>
        <v>0</v>
      </c>
      <c r="K348" s="91">
        <f t="shared" si="255"/>
        <v>0</v>
      </c>
      <c r="L348" s="87">
        <f t="shared" si="255"/>
        <v>0</v>
      </c>
      <c r="M348" s="88">
        <f t="shared" si="264"/>
        <v>0</v>
      </c>
      <c r="N348" s="86">
        <f t="shared" si="256"/>
        <v>0</v>
      </c>
      <c r="O348" s="87">
        <f t="shared" si="256"/>
        <v>0</v>
      </c>
      <c r="P348" s="88">
        <f t="shared" si="265"/>
        <v>0</v>
      </c>
      <c r="Q348" s="86">
        <f t="shared" si="266"/>
        <v>0</v>
      </c>
      <c r="R348" s="84" t="str">
        <f t="shared" si="267"/>
        <v/>
      </c>
      <c r="S348" s="85">
        <f t="shared" si="257"/>
        <v>0</v>
      </c>
      <c r="T348" s="85" t="str">
        <f t="shared" si="258"/>
        <v/>
      </c>
    </row>
    <row r="349" spans="1:20" hidden="1" outlineLevel="1">
      <c r="A349" s="79" t="s">
        <v>757</v>
      </c>
      <c r="B349" s="86">
        <f>B108</f>
        <v>156025868</v>
      </c>
      <c r="C349" s="87">
        <f>C108</f>
        <v>156996745</v>
      </c>
      <c r="D349" s="88">
        <f t="shared" si="262"/>
        <v>313022613</v>
      </c>
      <c r="E349" s="86">
        <f>E108</f>
        <v>170520935</v>
      </c>
      <c r="F349" s="87">
        <f>F108</f>
        <v>170532346</v>
      </c>
      <c r="G349" s="88">
        <f t="shared" si="252"/>
        <v>341053281</v>
      </c>
      <c r="H349" s="86">
        <f t="shared" si="253"/>
        <v>28030668</v>
      </c>
      <c r="I349" s="447">
        <f t="shared" si="263"/>
        <v>8.9548380327398258E-2</v>
      </c>
      <c r="J349" s="448">
        <f t="shared" si="254"/>
        <v>4.2235537642244761E-2</v>
      </c>
      <c r="K349" s="91">
        <f>K108</f>
        <v>113740794</v>
      </c>
      <c r="L349" s="87">
        <f>L108</f>
        <v>114437640</v>
      </c>
      <c r="M349" s="88">
        <f t="shared" si="264"/>
        <v>228178434</v>
      </c>
      <c r="N349" s="86">
        <f>N108</f>
        <v>127500894</v>
      </c>
      <c r="O349" s="87">
        <f>O108</f>
        <v>127465180</v>
      </c>
      <c r="P349" s="88">
        <f t="shared" si="265"/>
        <v>254966074</v>
      </c>
      <c r="Q349" s="86">
        <f t="shared" si="266"/>
        <v>26787640</v>
      </c>
      <c r="R349" s="84">
        <f t="shared" si="267"/>
        <v>0.11739777300776812</v>
      </c>
      <c r="S349" s="85">
        <f t="shared" si="257"/>
        <v>4.3307005455031099E-2</v>
      </c>
      <c r="T349" s="85">
        <f t="shared" si="258"/>
        <v>0.74758428727738879</v>
      </c>
    </row>
    <row r="350" spans="1:20" hidden="1" outlineLevel="1">
      <c r="A350" s="79" t="s">
        <v>1211</v>
      </c>
      <c r="B350" s="86">
        <f t="shared" ref="B350:C353" si="268">B115</f>
        <v>66426437</v>
      </c>
      <c r="C350" s="87">
        <f t="shared" si="268"/>
        <v>66582165</v>
      </c>
      <c r="D350" s="88">
        <f t="shared" si="262"/>
        <v>133008602</v>
      </c>
      <c r="E350" s="86">
        <f t="shared" ref="E350:F353" si="269">E115</f>
        <v>74762638</v>
      </c>
      <c r="F350" s="87">
        <f t="shared" si="269"/>
        <v>74739178</v>
      </c>
      <c r="G350" s="88">
        <f t="shared" si="252"/>
        <v>149501816</v>
      </c>
      <c r="H350" s="86">
        <f t="shared" si="253"/>
        <v>16493214</v>
      </c>
      <c r="I350" s="447">
        <f t="shared" si="263"/>
        <v>0.12400110783812313</v>
      </c>
      <c r="J350" s="448">
        <f t="shared" si="254"/>
        <v>1.851408542013689E-2</v>
      </c>
      <c r="K350" s="91">
        <f t="shared" ref="K350:L353" si="270">K115</f>
        <v>48971494</v>
      </c>
      <c r="L350" s="87">
        <f t="shared" si="270"/>
        <v>49097157</v>
      </c>
      <c r="M350" s="88">
        <f t="shared" si="264"/>
        <v>98068651</v>
      </c>
      <c r="N350" s="86">
        <f t="shared" ref="N350:O353" si="271">N115</f>
        <v>52834381</v>
      </c>
      <c r="O350" s="87">
        <f t="shared" si="271"/>
        <v>52802143</v>
      </c>
      <c r="P350" s="88">
        <f t="shared" si="265"/>
        <v>105636524</v>
      </c>
      <c r="Q350" s="86">
        <f t="shared" si="266"/>
        <v>7567873</v>
      </c>
      <c r="R350" s="84">
        <f t="shared" si="267"/>
        <v>7.7169135323376686E-2</v>
      </c>
      <c r="S350" s="85">
        <f t="shared" si="257"/>
        <v>1.7942785286479027E-2</v>
      </c>
      <c r="T350" s="85">
        <f t="shared" si="258"/>
        <v>0.7065902396797642</v>
      </c>
    </row>
    <row r="351" spans="1:20" hidden="1" outlineLevel="1">
      <c r="A351" s="79" t="s">
        <v>1212</v>
      </c>
      <c r="B351" s="86">
        <f t="shared" si="268"/>
        <v>66949174</v>
      </c>
      <c r="C351" s="87">
        <f t="shared" si="268"/>
        <v>67341263</v>
      </c>
      <c r="D351" s="88">
        <f t="shared" si="262"/>
        <v>134290437</v>
      </c>
      <c r="E351" s="86">
        <f t="shared" si="269"/>
        <v>59819182</v>
      </c>
      <c r="F351" s="87">
        <f t="shared" si="269"/>
        <v>59823886</v>
      </c>
      <c r="G351" s="88">
        <f t="shared" si="252"/>
        <v>119643068</v>
      </c>
      <c r="H351" s="86">
        <f t="shared" si="253"/>
        <v>-14647369</v>
      </c>
      <c r="I351" s="447">
        <f t="shared" si="263"/>
        <v>-0.10907231614712819</v>
      </c>
      <c r="J351" s="448">
        <f t="shared" si="254"/>
        <v>1.4816421901385107E-2</v>
      </c>
      <c r="K351" s="91">
        <f t="shared" si="270"/>
        <v>40503376</v>
      </c>
      <c r="L351" s="87">
        <f t="shared" si="270"/>
        <v>40336136</v>
      </c>
      <c r="M351" s="88">
        <f t="shared" si="264"/>
        <v>80839512</v>
      </c>
      <c r="N351" s="86">
        <f t="shared" si="271"/>
        <v>40769914</v>
      </c>
      <c r="O351" s="87">
        <f t="shared" si="271"/>
        <v>40717181</v>
      </c>
      <c r="P351" s="88">
        <f t="shared" si="265"/>
        <v>81487095</v>
      </c>
      <c r="Q351" s="86">
        <f t="shared" si="266"/>
        <v>647583</v>
      </c>
      <c r="R351" s="84">
        <f t="shared" si="267"/>
        <v>8.0107237658733014E-3</v>
      </c>
      <c r="S351" s="85">
        <f t="shared" si="257"/>
        <v>1.3840908369949004E-2</v>
      </c>
      <c r="T351" s="85">
        <f t="shared" si="258"/>
        <v>0.68108496682816588</v>
      </c>
    </row>
    <row r="352" spans="1:20" hidden="1" outlineLevel="1">
      <c r="A352" s="79" t="s">
        <v>1213</v>
      </c>
      <c r="B352" s="86">
        <f t="shared" si="268"/>
        <v>36063222</v>
      </c>
      <c r="C352" s="87">
        <f t="shared" si="268"/>
        <v>36163125</v>
      </c>
      <c r="D352" s="88">
        <f t="shared" si="262"/>
        <v>72226347</v>
      </c>
      <c r="E352" s="86">
        <f t="shared" si="269"/>
        <v>40776656</v>
      </c>
      <c r="F352" s="87">
        <f t="shared" si="269"/>
        <v>40780452</v>
      </c>
      <c r="G352" s="88">
        <f t="shared" si="252"/>
        <v>81557108</v>
      </c>
      <c r="H352" s="86">
        <f t="shared" si="253"/>
        <v>9330761</v>
      </c>
      <c r="I352" s="447">
        <f t="shared" si="263"/>
        <v>0.12918777409578808</v>
      </c>
      <c r="J352" s="448">
        <f t="shared" si="254"/>
        <v>1.0099912526355731E-2</v>
      </c>
      <c r="K352" s="91">
        <f t="shared" si="270"/>
        <v>32492138</v>
      </c>
      <c r="L352" s="87">
        <f t="shared" si="270"/>
        <v>32707637</v>
      </c>
      <c r="M352" s="88">
        <f t="shared" si="264"/>
        <v>65199775</v>
      </c>
      <c r="N352" s="86">
        <f t="shared" si="271"/>
        <v>36760857</v>
      </c>
      <c r="O352" s="87">
        <f t="shared" si="271"/>
        <v>36761466</v>
      </c>
      <c r="P352" s="88">
        <f t="shared" si="265"/>
        <v>73522323</v>
      </c>
      <c r="Q352" s="86">
        <f t="shared" si="266"/>
        <v>8322548</v>
      </c>
      <c r="R352" s="84">
        <f t="shared" si="267"/>
        <v>0.12764688221700152</v>
      </c>
      <c r="S352" s="85">
        <f t="shared" si="257"/>
        <v>1.2488060051579875E-2</v>
      </c>
      <c r="T352" s="85">
        <f t="shared" si="258"/>
        <v>0.90148271319282192</v>
      </c>
    </row>
    <row r="353" spans="1:20" hidden="1" outlineLevel="1">
      <c r="A353" s="79" t="s">
        <v>861</v>
      </c>
      <c r="B353" s="86">
        <f t="shared" si="268"/>
        <v>43399819</v>
      </c>
      <c r="C353" s="87">
        <f t="shared" si="268"/>
        <v>43588262</v>
      </c>
      <c r="D353" s="88">
        <f t="shared" si="262"/>
        <v>86988081</v>
      </c>
      <c r="E353" s="86">
        <f t="shared" si="269"/>
        <v>44965256</v>
      </c>
      <c r="F353" s="87">
        <f t="shared" si="269"/>
        <v>44952641</v>
      </c>
      <c r="G353" s="88">
        <f t="shared" si="252"/>
        <v>89917897</v>
      </c>
      <c r="H353" s="86">
        <f t="shared" si="253"/>
        <v>2929816</v>
      </c>
      <c r="I353" s="447">
        <f t="shared" si="263"/>
        <v>3.3680660227462654E-2</v>
      </c>
      <c r="J353" s="448">
        <f t="shared" si="254"/>
        <v>1.1135300362218145E-2</v>
      </c>
      <c r="K353" s="91">
        <f t="shared" si="270"/>
        <v>34128162</v>
      </c>
      <c r="L353" s="87">
        <f t="shared" si="270"/>
        <v>34283484</v>
      </c>
      <c r="M353" s="88">
        <f t="shared" si="264"/>
        <v>68411646</v>
      </c>
      <c r="N353" s="86">
        <f t="shared" si="271"/>
        <v>34938468</v>
      </c>
      <c r="O353" s="87">
        <f t="shared" si="271"/>
        <v>34919894</v>
      </c>
      <c r="P353" s="88">
        <f t="shared" si="265"/>
        <v>69858362</v>
      </c>
      <c r="Q353" s="86">
        <f t="shared" si="266"/>
        <v>1446716</v>
      </c>
      <c r="R353" s="84">
        <f t="shared" si="267"/>
        <v>2.1147218121312268E-2</v>
      </c>
      <c r="S353" s="85">
        <f t="shared" si="257"/>
        <v>1.1865721649749908E-2</v>
      </c>
      <c r="T353" s="85">
        <f t="shared" si="258"/>
        <v>0.77691276520846564</v>
      </c>
    </row>
    <row r="354" spans="1:20" hidden="1" outlineLevel="1">
      <c r="A354" s="79" t="s">
        <v>859</v>
      </c>
      <c r="B354" s="86">
        <f>B137</f>
        <v>17083282</v>
      </c>
      <c r="C354" s="87">
        <f>C137</f>
        <v>16025798</v>
      </c>
      <c r="D354" s="88">
        <f t="shared" si="262"/>
        <v>33109080</v>
      </c>
      <c r="E354" s="86">
        <f>E137</f>
        <v>15847273</v>
      </c>
      <c r="F354" s="87">
        <f>F137</f>
        <v>15810328</v>
      </c>
      <c r="G354" s="88">
        <f t="shared" si="252"/>
        <v>31657601</v>
      </c>
      <c r="H354" s="86">
        <f t="shared" si="253"/>
        <v>-1451479</v>
      </c>
      <c r="I354" s="447">
        <f t="shared" si="263"/>
        <v>-4.3839303296859956E-2</v>
      </c>
      <c r="J354" s="448">
        <f t="shared" si="254"/>
        <v>3.9204308334997821E-3</v>
      </c>
      <c r="K354" s="91">
        <f>K137</f>
        <v>14412533</v>
      </c>
      <c r="L354" s="87">
        <f>L137</f>
        <v>13347272</v>
      </c>
      <c r="M354" s="88">
        <f t="shared" si="264"/>
        <v>27759805</v>
      </c>
      <c r="N354" s="86">
        <f>N137</f>
        <v>13503616</v>
      </c>
      <c r="O354" s="87">
        <f>O137</f>
        <v>13464453</v>
      </c>
      <c r="P354" s="88">
        <f t="shared" si="265"/>
        <v>26968069</v>
      </c>
      <c r="Q354" s="86">
        <f t="shared" si="266"/>
        <v>-791736</v>
      </c>
      <c r="R354" s="84">
        <f t="shared" si="267"/>
        <v>-2.8520949624826254E-2</v>
      </c>
      <c r="S354" s="85">
        <f t="shared" si="257"/>
        <v>4.5806341721159926E-3</v>
      </c>
      <c r="T354" s="85">
        <f t="shared" si="258"/>
        <v>0.85186710768134322</v>
      </c>
    </row>
    <row r="355" spans="1:20" ht="25.5" hidden="1" outlineLevel="1">
      <c r="A355" s="79" t="s">
        <v>1427</v>
      </c>
      <c r="B355" s="86">
        <f>B138</f>
        <v>5985142</v>
      </c>
      <c r="C355" s="87">
        <f>C138</f>
        <v>6005129</v>
      </c>
      <c r="D355" s="88">
        <f t="shared" si="262"/>
        <v>11990271</v>
      </c>
      <c r="E355" s="86">
        <f>E138</f>
        <v>6154259</v>
      </c>
      <c r="F355" s="87">
        <f>F138</f>
        <v>6154298</v>
      </c>
      <c r="G355" s="88">
        <f t="shared" si="252"/>
        <v>12308557</v>
      </c>
      <c r="H355" s="86">
        <f t="shared" si="253"/>
        <v>318286</v>
      </c>
      <c r="I355" s="447">
        <f t="shared" si="263"/>
        <v>2.6545354979883275E-2</v>
      </c>
      <c r="J355" s="448">
        <f t="shared" si="254"/>
        <v>1.5242736295365393E-3</v>
      </c>
      <c r="K355" s="91">
        <f>K138</f>
        <v>5016591</v>
      </c>
      <c r="L355" s="87">
        <f>L138</f>
        <v>5035575</v>
      </c>
      <c r="M355" s="88">
        <f t="shared" si="264"/>
        <v>10052166</v>
      </c>
      <c r="N355" s="86">
        <f>N138</f>
        <v>5346373</v>
      </c>
      <c r="O355" s="87">
        <f>O138</f>
        <v>5346170</v>
      </c>
      <c r="P355" s="88">
        <f t="shared" si="265"/>
        <v>10692543</v>
      </c>
      <c r="Q355" s="86">
        <f t="shared" si="266"/>
        <v>640377</v>
      </c>
      <c r="R355" s="84">
        <f t="shared" si="267"/>
        <v>6.3705374543158166E-2</v>
      </c>
      <c r="S355" s="85">
        <f t="shared" si="257"/>
        <v>1.8161711115697477E-3</v>
      </c>
      <c r="T355" s="85">
        <f t="shared" si="258"/>
        <v>0.86870808657749243</v>
      </c>
    </row>
    <row r="356" spans="1:20" collapsed="1">
      <c r="A356" s="113" t="s">
        <v>804</v>
      </c>
      <c r="B356" s="105">
        <f t="shared" ref="B356:H356" si="272">SUM(B345:B355)</f>
        <v>663192047</v>
      </c>
      <c r="C356" s="106">
        <f t="shared" si="272"/>
        <v>665829419</v>
      </c>
      <c r="D356" s="107">
        <f t="shared" si="272"/>
        <v>1329021466</v>
      </c>
      <c r="E356" s="114">
        <f t="shared" si="272"/>
        <v>695234208</v>
      </c>
      <c r="F356" s="115">
        <f t="shared" si="272"/>
        <v>695205605</v>
      </c>
      <c r="G356" s="107">
        <f t="shared" si="272"/>
        <v>1390439813</v>
      </c>
      <c r="H356" s="105">
        <f t="shared" si="272"/>
        <v>61418347</v>
      </c>
      <c r="I356" s="449">
        <f t="shared" si="263"/>
        <v>4.6213209170242249E-2</v>
      </c>
      <c r="J356" s="450">
        <f t="shared" si="254"/>
        <v>0.17219002523314608</v>
      </c>
      <c r="K356" s="405">
        <f t="shared" ref="K356:Q356" si="273">SUM(K345:K355)</f>
        <v>493159421</v>
      </c>
      <c r="L356" s="106">
        <f t="shared" si="273"/>
        <v>494740452</v>
      </c>
      <c r="M356" s="107">
        <f t="shared" si="273"/>
        <v>987899873</v>
      </c>
      <c r="N356" s="114">
        <f t="shared" si="273"/>
        <v>522847182</v>
      </c>
      <c r="O356" s="115">
        <f t="shared" si="273"/>
        <v>522606516</v>
      </c>
      <c r="P356" s="107">
        <f t="shared" si="273"/>
        <v>1045453698</v>
      </c>
      <c r="Q356" s="105">
        <f t="shared" si="273"/>
        <v>57553825</v>
      </c>
      <c r="R356" s="108">
        <f t="shared" si="267"/>
        <v>5.8258763436443928E-2</v>
      </c>
      <c r="S356" s="109">
        <f t="shared" si="257"/>
        <v>0.17757448389885955</v>
      </c>
      <c r="T356" s="109">
        <f t="shared" si="258"/>
        <v>0.75188705632956443</v>
      </c>
    </row>
    <row r="357" spans="1:20">
      <c r="A357" s="79" t="s">
        <v>803</v>
      </c>
      <c r="B357" s="86">
        <f>SUM(B100,B101,B102,B107,B109,B110,B111,B112,B113,B114,B119,B120,B121,B122,B123,B124,B125,B126,B127,B128,B129,B130,B131,B132,B133,B134,B135,B136)</f>
        <v>3169106351</v>
      </c>
      <c r="C357" s="87">
        <f>SUM(C100,C101,C102,C107,C109,C110,C111,C112,C113,C114,C119,C120,C121,C122,C123,C124,C125,C126,C127,C128,C129,C130,C131,C132,C133,C134,C135,C136)</f>
        <v>3179201479</v>
      </c>
      <c r="D357" s="88">
        <f t="shared" ref="D357" si="274">B357+C357</f>
        <v>6348307830</v>
      </c>
      <c r="E357" s="86">
        <f>SUM(E100,E101,E102,E107,E109,E110,E111,E112,E113,E114,E119,E120,E121,E122,E123,E124,E125,E126,E127,E128,E129,E130,E131,E132,E133,E134,E135,E136)</f>
        <v>3370269966</v>
      </c>
      <c r="F357" s="87">
        <f>SUM(F100,F101,F102,F107,F109,F110,F111,F112,F113,F114,F119,F120,F121,F122,F123,F124,F125,F126,F127,F128,F129,F130,F131,F132,F133,F134,F135,F136)</f>
        <v>3314321345</v>
      </c>
      <c r="G357" s="88">
        <f t="shared" ref="G357" si="275">E357+F357</f>
        <v>6684591311</v>
      </c>
      <c r="H357" s="86">
        <f t="shared" ref="H357" si="276">G357-D357</f>
        <v>336283481</v>
      </c>
      <c r="I357" s="447">
        <f t="shared" si="263"/>
        <v>5.2972144704583425E-2</v>
      </c>
      <c r="J357" s="448">
        <f t="shared" si="254"/>
        <v>0.82780997476685392</v>
      </c>
      <c r="K357" s="91">
        <f>SUM(K100,K101,K102,K107,K109,K110,K111,K112,K113,K114,K119,K120,K121,K122,K123,K124,K125,K126,K127,K128,K129,K130,K131,K132,K133,K134,K135,K136)</f>
        <v>2244348865</v>
      </c>
      <c r="L357" s="87">
        <f>SUM(L100,L101,L102,L107,L109,L110,L111,L112,L113,L114,L119,L120,L121,L122,L123,L124,L125,L126,L127,L128,L129,L130,L131,L132,L133,L134,L135,L136)</f>
        <v>2247178133</v>
      </c>
      <c r="M357" s="88">
        <f t="shared" ref="M357" si="277">K357+L357</f>
        <v>4491526998</v>
      </c>
      <c r="N357" s="86">
        <f>SUM(N100,N101,N102,N107,N109,N110,N111,N112,N113,N114,N119,N120,N121,N122,N123,N124,N125,N126,N127,N128,N129,N130,N131,N132,N133,N134,N135,N136)</f>
        <v>2448683208.2312622</v>
      </c>
      <c r="O357" s="87">
        <f>SUM(O100,O101,O102,O107,O109,O110,O111,O112,O113,O114,O119,O120,O121,O122,O123,O124,O125,O126,O127,O128,O129,O130,O131,O132,O133,O134,O135,O136)</f>
        <v>2393272563</v>
      </c>
      <c r="P357" s="88">
        <f t="shared" ref="P357" si="278">N357+O357</f>
        <v>4841955771.2312622</v>
      </c>
      <c r="Q357" s="86">
        <f t="shared" ref="Q357" si="279">P357-M357</f>
        <v>350428773.23126221</v>
      </c>
      <c r="R357" s="84">
        <f t="shared" si="267"/>
        <v>7.8019963675449833E-2</v>
      </c>
      <c r="S357" s="85">
        <f t="shared" si="257"/>
        <v>0.82242551610114045</v>
      </c>
      <c r="T357" s="85">
        <f t="shared" si="258"/>
        <v>0.72434581950634114</v>
      </c>
    </row>
    <row r="358" spans="1:20" ht="13.5" thickBot="1">
      <c r="A358" s="95" t="s">
        <v>280</v>
      </c>
      <c r="B358" s="96">
        <f>B356+B357</f>
        <v>3832298398</v>
      </c>
      <c r="C358" s="97">
        <f t="shared" ref="C358:H358" si="280">C356+C357</f>
        <v>3845030898</v>
      </c>
      <c r="D358" s="98">
        <f t="shared" si="280"/>
        <v>7677329296</v>
      </c>
      <c r="E358" s="116">
        <f t="shared" si="280"/>
        <v>4065504174</v>
      </c>
      <c r="F358" s="117">
        <f t="shared" si="280"/>
        <v>4009526950</v>
      </c>
      <c r="G358" s="98">
        <f t="shared" si="280"/>
        <v>8075031124</v>
      </c>
      <c r="H358" s="96">
        <f t="shared" si="280"/>
        <v>397701828</v>
      </c>
      <c r="I358" s="451">
        <f t="shared" si="263"/>
        <v>5.1802106262031564E-2</v>
      </c>
      <c r="J358" s="452">
        <f t="shared" si="254"/>
        <v>1</v>
      </c>
      <c r="K358" s="100">
        <f t="shared" ref="K358:Q358" si="281">K356+K357</f>
        <v>2737508286</v>
      </c>
      <c r="L358" s="97">
        <f t="shared" si="281"/>
        <v>2741918585</v>
      </c>
      <c r="M358" s="98">
        <f t="shared" si="281"/>
        <v>5479426871</v>
      </c>
      <c r="N358" s="116">
        <f t="shared" si="281"/>
        <v>2971530390.2312622</v>
      </c>
      <c r="O358" s="117">
        <f t="shared" si="281"/>
        <v>2915879079</v>
      </c>
      <c r="P358" s="98">
        <f t="shared" si="281"/>
        <v>5887409469.2312622</v>
      </c>
      <c r="Q358" s="96">
        <f t="shared" si="281"/>
        <v>407982598.23126221</v>
      </c>
      <c r="R358" s="99">
        <f t="shared" si="267"/>
        <v>7.4457166385506493E-2</v>
      </c>
      <c r="S358" s="101">
        <f t="shared" si="257"/>
        <v>1</v>
      </c>
      <c r="T358" s="101">
        <f t="shared" si="258"/>
        <v>0.72908814576988401</v>
      </c>
    </row>
    <row r="359" spans="1:20">
      <c r="B359" s="118"/>
      <c r="T359" s="1180"/>
    </row>
    <row r="360" spans="1:20">
      <c r="T360" s="410"/>
    </row>
    <row r="361" spans="1:20">
      <c r="T361" s="410"/>
    </row>
    <row r="362" spans="1:20">
      <c r="T362" s="410"/>
    </row>
    <row r="363" spans="1:20">
      <c r="T363" s="410"/>
    </row>
    <row r="364" spans="1:20">
      <c r="T364" s="410"/>
    </row>
    <row r="365" spans="1:20">
      <c r="T365" s="410"/>
    </row>
    <row r="366" spans="1:20">
      <c r="T366" s="410"/>
    </row>
    <row r="367" spans="1:20">
      <c r="T367" s="410"/>
    </row>
    <row r="368" spans="1:20">
      <c r="T368" s="410"/>
    </row>
    <row r="369" spans="1:20">
      <c r="T369" s="410"/>
    </row>
    <row r="370" spans="1:20">
      <c r="T370" s="410"/>
    </row>
    <row r="371" spans="1:20">
      <c r="T371" s="410"/>
    </row>
    <row r="372" spans="1:20">
      <c r="T372" s="410"/>
    </row>
    <row r="373" spans="1:20">
      <c r="T373" s="410"/>
    </row>
    <row r="374" spans="1:20">
      <c r="T374" s="410"/>
    </row>
    <row r="375" spans="1:20">
      <c r="T375" s="410"/>
    </row>
    <row r="376" spans="1:20">
      <c r="T376" s="410"/>
    </row>
    <row r="377" spans="1:20">
      <c r="J377" s="411"/>
      <c r="T377" s="411"/>
    </row>
    <row r="378" spans="1:20" ht="13.5" thickBot="1">
      <c r="T378" s="1179"/>
    </row>
    <row r="379" spans="1:20" ht="13.5" customHeight="1" thickBot="1">
      <c r="A379" s="536" t="s">
        <v>2202</v>
      </c>
      <c r="B379" s="537"/>
      <c r="C379" s="537"/>
      <c r="D379" s="537"/>
      <c r="E379" s="537"/>
      <c r="F379" s="537"/>
      <c r="G379" s="537"/>
      <c r="H379" s="537"/>
      <c r="I379" s="537"/>
      <c r="J379" s="537"/>
      <c r="K379" s="537"/>
      <c r="L379" s="537"/>
      <c r="M379" s="537"/>
      <c r="N379" s="537"/>
      <c r="O379" s="537"/>
      <c r="P379" s="537"/>
      <c r="Q379" s="537"/>
      <c r="R379" s="537"/>
      <c r="S379" s="537"/>
      <c r="T379" s="538"/>
    </row>
    <row r="380" spans="1:20" ht="13.5" thickBot="1">
      <c r="A380" s="535" t="s">
        <v>1318</v>
      </c>
      <c r="B380" s="1292" t="s">
        <v>2</v>
      </c>
      <c r="C380" s="1293"/>
      <c r="D380" s="1293"/>
      <c r="E380" s="1293"/>
      <c r="F380" s="1293"/>
      <c r="G380" s="1293"/>
      <c r="H380" s="1293"/>
      <c r="I380" s="1293"/>
      <c r="J380" s="1294"/>
      <c r="K380" s="1295" t="s">
        <v>764</v>
      </c>
      <c r="L380" s="1295"/>
      <c r="M380" s="1295"/>
      <c r="N380" s="1295"/>
      <c r="O380" s="1295"/>
      <c r="P380" s="1295"/>
      <c r="Q380" s="1295"/>
      <c r="R380" s="1295"/>
      <c r="S380" s="1295"/>
      <c r="T380" s="1296"/>
    </row>
    <row r="381" spans="1:20" ht="25.5">
      <c r="A381" s="73" t="s">
        <v>766</v>
      </c>
      <c r="B381" s="74">
        <f>E381-2</f>
        <v>2018</v>
      </c>
      <c r="C381" s="75">
        <f>B381+1</f>
        <v>2019</v>
      </c>
      <c r="D381" s="76" t="str">
        <f>B381&amp;"-"&amp;C381</f>
        <v>2018-2019</v>
      </c>
      <c r="E381" s="74" t="str">
        <f>$T$1</f>
        <v>2020</v>
      </c>
      <c r="F381" s="75">
        <f>E381+1</f>
        <v>2021</v>
      </c>
      <c r="G381" s="76" t="str">
        <f>E381&amp;"-"&amp;F381</f>
        <v>2020-2021</v>
      </c>
      <c r="H381" s="74" t="s">
        <v>767</v>
      </c>
      <c r="I381" s="75" t="s">
        <v>768</v>
      </c>
      <c r="J381" s="76" t="s">
        <v>769</v>
      </c>
      <c r="K381" s="77">
        <f>N381-2</f>
        <v>2018</v>
      </c>
      <c r="L381" s="75">
        <f>K381+1</f>
        <v>2019</v>
      </c>
      <c r="M381" s="76" t="str">
        <f>K381&amp;"-"&amp;L381</f>
        <v>2018-2019</v>
      </c>
      <c r="N381" s="74" t="str">
        <f>$T$1</f>
        <v>2020</v>
      </c>
      <c r="O381" s="75">
        <f>N381+1</f>
        <v>2021</v>
      </c>
      <c r="P381" s="76" t="str">
        <f>N381&amp;"-"&amp;O381</f>
        <v>2020-2021</v>
      </c>
      <c r="Q381" s="74" t="s">
        <v>767</v>
      </c>
      <c r="R381" s="75" t="s">
        <v>768</v>
      </c>
      <c r="S381" s="78" t="s">
        <v>769</v>
      </c>
      <c r="T381" s="78" t="s">
        <v>770</v>
      </c>
    </row>
    <row r="382" spans="1:20" hidden="1" outlineLevel="1">
      <c r="A382" s="50" t="s">
        <v>754</v>
      </c>
      <c r="B382" s="83">
        <f>INDEX(Data!1559:1559,1,$U$1-2)</f>
        <v>2717773</v>
      </c>
      <c r="C382" s="81">
        <f>INDEX(Data!1559:1559,1,$U$1-1)</f>
        <v>2717771</v>
      </c>
      <c r="D382" s="82">
        <f t="shared" ref="D382:D420" si="282">B382+C382</f>
        <v>5435544</v>
      </c>
      <c r="E382" s="83">
        <f>INDEX(Data!1559:1559,1,$U$1)</f>
        <v>4467773</v>
      </c>
      <c r="F382" s="81">
        <f>INDEX(Data!1559:1559,1,$U$1+1)</f>
        <v>4467771</v>
      </c>
      <c r="G382" s="82">
        <f t="shared" ref="G382:G420" si="283">E382+F382</f>
        <v>8935544</v>
      </c>
      <c r="H382" s="83">
        <f>G382-D382</f>
        <v>3500000</v>
      </c>
      <c r="I382" s="447">
        <f>IFERROR(H382/D382,"")</f>
        <v>0.64390979081394617</v>
      </c>
      <c r="J382" s="453">
        <f t="shared" ref="J382:J413" si="284">IFERROR(G382/G$456,"")</f>
        <v>7.6737502777807923E-3</v>
      </c>
      <c r="K382" s="409">
        <f>B382</f>
        <v>2717773</v>
      </c>
      <c r="L382" s="81">
        <f>C382</f>
        <v>2717771</v>
      </c>
      <c r="M382" s="82">
        <f>K382+L382</f>
        <v>5435544</v>
      </c>
      <c r="N382" s="83">
        <f>E382</f>
        <v>4467773</v>
      </c>
      <c r="O382" s="81">
        <f>F382</f>
        <v>4467771</v>
      </c>
      <c r="P382" s="82">
        <f>N382+O382</f>
        <v>8935544</v>
      </c>
      <c r="Q382" s="83">
        <f>P382-M382</f>
        <v>3500000</v>
      </c>
      <c r="R382" s="84">
        <f>IFERROR(Q382/M382,"")</f>
        <v>0.64390979081394617</v>
      </c>
      <c r="S382" s="85">
        <f t="shared" ref="S382:S413" si="285">IFERROR(P382/P$456,"")</f>
        <v>7.6737502777807923E-3</v>
      </c>
      <c r="T382" s="85">
        <f t="shared" ref="T382:T448" si="286">IFERROR(P382/G382,"")</f>
        <v>1</v>
      </c>
    </row>
    <row r="383" spans="1:20" hidden="1" outlineLevel="1">
      <c r="A383" s="678" t="s">
        <v>749</v>
      </c>
      <c r="B383" s="86">
        <f>INDEX(Data!1578:1578,1,$U$1-2)</f>
        <v>20468522</v>
      </c>
      <c r="C383" s="87">
        <f>INDEX(Data!1578:1578,1,$U$1-1)</f>
        <v>20468516</v>
      </c>
      <c r="D383" s="88">
        <f t="shared" si="282"/>
        <v>40937038</v>
      </c>
      <c r="E383" s="89">
        <f>INDEX(Data!1578:1578,1,$U$1)</f>
        <v>47122247</v>
      </c>
      <c r="F383" s="90">
        <f>INDEX(Data!1578:1578,1,$U$1+1)</f>
        <v>47122244</v>
      </c>
      <c r="G383" s="88">
        <f t="shared" si="283"/>
        <v>94244491</v>
      </c>
      <c r="H383" s="86">
        <f t="shared" ref="H383:H420" si="287">G383-D383</f>
        <v>53307453</v>
      </c>
      <c r="I383" s="447">
        <f t="shared" ref="I383:I449" si="288">IFERROR(H383/D383,"")</f>
        <v>1.3021814866038917</v>
      </c>
      <c r="J383" s="453">
        <f t="shared" si="284"/>
        <v>8.0936167847258017E-2</v>
      </c>
      <c r="K383" s="91">
        <f t="shared" ref="K383:L420" si="289">B383</f>
        <v>20468522</v>
      </c>
      <c r="L383" s="87">
        <f t="shared" si="289"/>
        <v>20468516</v>
      </c>
      <c r="M383" s="88">
        <f t="shared" ref="M383:M420" si="290">K383+L383</f>
        <v>40937038</v>
      </c>
      <c r="N383" s="89">
        <f t="shared" ref="N383:O420" si="291">E383</f>
        <v>47122247</v>
      </c>
      <c r="O383" s="90">
        <f t="shared" si="291"/>
        <v>47122244</v>
      </c>
      <c r="P383" s="88">
        <f t="shared" ref="P383:P420" si="292">N383+O383</f>
        <v>94244491</v>
      </c>
      <c r="Q383" s="86">
        <f t="shared" ref="Q383:Q420" si="293">P383-M383</f>
        <v>53307453</v>
      </c>
      <c r="R383" s="84">
        <f t="shared" ref="R383:R449" si="294">IFERROR(Q383/M383,"")</f>
        <v>1.3021814866038917</v>
      </c>
      <c r="S383" s="85">
        <f t="shared" si="285"/>
        <v>8.0936167847258017E-2</v>
      </c>
      <c r="T383" s="85">
        <f t="shared" si="286"/>
        <v>1</v>
      </c>
    </row>
    <row r="384" spans="1:20" hidden="1" outlineLevel="1">
      <c r="A384" s="50" t="s">
        <v>755</v>
      </c>
      <c r="B384" s="86">
        <f>INDEX(Data!1587:1587,1,$U$1-2)</f>
        <v>1873595</v>
      </c>
      <c r="C384" s="87">
        <f>INDEX(Data!1587:1587,1,$U$1-1)</f>
        <v>1873593</v>
      </c>
      <c r="D384" s="88">
        <f t="shared" si="282"/>
        <v>3747188</v>
      </c>
      <c r="E384" s="89">
        <f>INDEX(Data!1587:1587,1,$U$1)</f>
        <v>2592017</v>
      </c>
      <c r="F384" s="90">
        <f>INDEX(Data!1587:1587,1,$U$1+1)</f>
        <v>2592015</v>
      </c>
      <c r="G384" s="88">
        <f t="shared" si="283"/>
        <v>5184032</v>
      </c>
      <c r="H384" s="86">
        <f t="shared" si="287"/>
        <v>1436844</v>
      </c>
      <c r="I384" s="447">
        <f t="shared" si="288"/>
        <v>0.38344593332386845</v>
      </c>
      <c r="J384" s="453">
        <f t="shared" si="284"/>
        <v>4.4519916190916319E-3</v>
      </c>
      <c r="K384" s="91">
        <f t="shared" si="289"/>
        <v>1873595</v>
      </c>
      <c r="L384" s="87">
        <f t="shared" si="289"/>
        <v>1873593</v>
      </c>
      <c r="M384" s="88">
        <f t="shared" si="290"/>
        <v>3747188</v>
      </c>
      <c r="N384" s="89">
        <f t="shared" si="291"/>
        <v>2592017</v>
      </c>
      <c r="O384" s="90">
        <f t="shared" si="291"/>
        <v>2592015</v>
      </c>
      <c r="P384" s="88">
        <f t="shared" si="292"/>
        <v>5184032</v>
      </c>
      <c r="Q384" s="86">
        <f t="shared" si="293"/>
        <v>1436844</v>
      </c>
      <c r="R384" s="84">
        <f t="shared" si="294"/>
        <v>0.38344593332386845</v>
      </c>
      <c r="S384" s="85">
        <f t="shared" si="285"/>
        <v>4.4519916190916319E-3</v>
      </c>
      <c r="T384" s="85">
        <f t="shared" si="286"/>
        <v>1</v>
      </c>
    </row>
    <row r="385" spans="1:20" hidden="1" outlineLevel="1">
      <c r="A385" s="50" t="s">
        <v>756</v>
      </c>
      <c r="B385" s="86">
        <f>INDEX(Data!1601:1601,1,$U$1-2)</f>
        <v>5745990</v>
      </c>
      <c r="C385" s="87">
        <f>INDEX(Data!1601:1601,1,$U$1-1)</f>
        <v>5745985</v>
      </c>
      <c r="D385" s="88">
        <f t="shared" si="282"/>
        <v>11491975</v>
      </c>
      <c r="E385" s="89">
        <f>INDEX(Data!1601:1601,1,$U$1)</f>
        <v>6660308</v>
      </c>
      <c r="F385" s="90">
        <f>INDEX(Data!1601:1601,1,$U$1+1)</f>
        <v>6660303</v>
      </c>
      <c r="G385" s="88">
        <f t="shared" si="283"/>
        <v>13320611</v>
      </c>
      <c r="H385" s="86">
        <f t="shared" si="287"/>
        <v>1828636</v>
      </c>
      <c r="I385" s="447">
        <f t="shared" si="288"/>
        <v>0.15912286617400404</v>
      </c>
      <c r="J385" s="453">
        <f t="shared" si="284"/>
        <v>1.143959924112733E-2</v>
      </c>
      <c r="K385" s="91">
        <f t="shared" si="289"/>
        <v>5745990</v>
      </c>
      <c r="L385" s="87">
        <f t="shared" si="289"/>
        <v>5745985</v>
      </c>
      <c r="M385" s="88">
        <f t="shared" si="290"/>
        <v>11491975</v>
      </c>
      <c r="N385" s="89">
        <f t="shared" si="291"/>
        <v>6660308</v>
      </c>
      <c r="O385" s="90">
        <f t="shared" si="291"/>
        <v>6660303</v>
      </c>
      <c r="P385" s="88">
        <f t="shared" si="292"/>
        <v>13320611</v>
      </c>
      <c r="Q385" s="86">
        <f t="shared" si="293"/>
        <v>1828636</v>
      </c>
      <c r="R385" s="84">
        <f t="shared" si="294"/>
        <v>0.15912286617400404</v>
      </c>
      <c r="S385" s="85">
        <f t="shared" si="285"/>
        <v>1.143959924112733E-2</v>
      </c>
      <c r="T385" s="85">
        <f t="shared" si="286"/>
        <v>1</v>
      </c>
    </row>
    <row r="386" spans="1:20" hidden="1" outlineLevel="1">
      <c r="A386" s="50" t="s">
        <v>1667</v>
      </c>
      <c r="B386" s="86">
        <f>INDEX(Data!1619:1619,1,$U$1-2)</f>
        <v>8672132</v>
      </c>
      <c r="C386" s="87">
        <f>INDEX(Data!1619:1619,1,$U$1-1)</f>
        <v>8672126</v>
      </c>
      <c r="D386" s="88">
        <f t="shared" ref="D386" si="295">B386+C386</f>
        <v>17344258</v>
      </c>
      <c r="E386" s="89">
        <f>INDEX(Data!1619:1619,1,$U$1)</f>
        <v>10735538</v>
      </c>
      <c r="F386" s="90">
        <f>INDEX(Data!1619:1619,1,$U$1+1)</f>
        <v>10735532</v>
      </c>
      <c r="G386" s="88">
        <f t="shared" ref="G386" si="296">E386+F386</f>
        <v>21471070</v>
      </c>
      <c r="H386" s="86">
        <f t="shared" ref="H386" si="297">G386-D386</f>
        <v>4126812</v>
      </c>
      <c r="I386" s="447">
        <f t="shared" ref="I386" si="298">IFERROR(H386/D386,"")</f>
        <v>0.23793534436584143</v>
      </c>
      <c r="J386" s="453">
        <f t="shared" si="284"/>
        <v>1.8439126859735772E-2</v>
      </c>
      <c r="K386" s="91">
        <f t="shared" ref="K386" si="299">B386</f>
        <v>8672132</v>
      </c>
      <c r="L386" s="87">
        <f t="shared" ref="L386" si="300">C386</f>
        <v>8672126</v>
      </c>
      <c r="M386" s="88">
        <f t="shared" ref="M386" si="301">K386+L386</f>
        <v>17344258</v>
      </c>
      <c r="N386" s="89">
        <f t="shared" ref="N386" si="302">E386</f>
        <v>10735538</v>
      </c>
      <c r="O386" s="90">
        <f t="shared" ref="O386" si="303">F386</f>
        <v>10735532</v>
      </c>
      <c r="P386" s="88">
        <f t="shared" ref="P386" si="304">N386+O386</f>
        <v>21471070</v>
      </c>
      <c r="Q386" s="86">
        <f t="shared" ref="Q386" si="305">P386-M386</f>
        <v>4126812</v>
      </c>
      <c r="R386" s="84">
        <f t="shared" ref="R386" si="306">IFERROR(Q386/M386,"")</f>
        <v>0.23793534436584143</v>
      </c>
      <c r="S386" s="85">
        <f t="shared" si="285"/>
        <v>1.8439126859735772E-2</v>
      </c>
      <c r="T386" s="85">
        <f t="shared" ref="T386" si="307">IFERROR(P386/G386,"")</f>
        <v>1</v>
      </c>
    </row>
    <row r="387" spans="1:20" hidden="1" outlineLevel="1">
      <c r="A387" s="50" t="s">
        <v>1356</v>
      </c>
      <c r="B387" s="86">
        <f>INDEX(Data!1633:1633,1,$U$1-2)</f>
        <v>0</v>
      </c>
      <c r="C387" s="87">
        <f>INDEX(Data!1633:1633,1,$U$1-1)</f>
        <v>0</v>
      </c>
      <c r="D387" s="88">
        <f t="shared" si="282"/>
        <v>0</v>
      </c>
      <c r="E387" s="89">
        <f>INDEX(Data!1633:1633,1,$U$1)</f>
        <v>0</v>
      </c>
      <c r="F387" s="90">
        <f>INDEX(Data!1633:1633,1,$U$1+1)</f>
        <v>0</v>
      </c>
      <c r="G387" s="88">
        <f t="shared" si="283"/>
        <v>0</v>
      </c>
      <c r="H387" s="86">
        <f t="shared" si="287"/>
        <v>0</v>
      </c>
      <c r="I387" s="447" t="str">
        <f t="shared" si="288"/>
        <v/>
      </c>
      <c r="J387" s="453">
        <f t="shared" si="284"/>
        <v>0</v>
      </c>
      <c r="K387" s="91">
        <f t="shared" si="289"/>
        <v>0</v>
      </c>
      <c r="L387" s="87">
        <f t="shared" si="289"/>
        <v>0</v>
      </c>
      <c r="M387" s="88">
        <f t="shared" si="290"/>
        <v>0</v>
      </c>
      <c r="N387" s="89">
        <f t="shared" si="291"/>
        <v>0</v>
      </c>
      <c r="O387" s="90">
        <f t="shared" si="291"/>
        <v>0</v>
      </c>
      <c r="P387" s="88">
        <f t="shared" si="292"/>
        <v>0</v>
      </c>
      <c r="Q387" s="86">
        <f t="shared" si="293"/>
        <v>0</v>
      </c>
      <c r="R387" s="84" t="str">
        <f t="shared" si="294"/>
        <v/>
      </c>
      <c r="S387" s="85">
        <f t="shared" si="285"/>
        <v>0</v>
      </c>
      <c r="T387" s="85" t="str">
        <f t="shared" si="286"/>
        <v/>
      </c>
    </row>
    <row r="388" spans="1:20" hidden="1" outlineLevel="1">
      <c r="A388" s="50" t="s">
        <v>1357</v>
      </c>
      <c r="B388" s="86">
        <f>INDEX(Data!1637:1637,1,$U$1-2)</f>
        <v>0</v>
      </c>
      <c r="C388" s="87">
        <f>INDEX(Data!1637:1637,1,$U$1-1)</f>
        <v>0</v>
      </c>
      <c r="D388" s="88">
        <f t="shared" si="282"/>
        <v>0</v>
      </c>
      <c r="E388" s="89">
        <f>INDEX(Data!1637:1637,1,$U$1)</f>
        <v>0</v>
      </c>
      <c r="F388" s="90">
        <f>INDEX(Data!1637:1637,1,$U$1+1)</f>
        <v>0</v>
      </c>
      <c r="G388" s="88">
        <f t="shared" si="283"/>
        <v>0</v>
      </c>
      <c r="H388" s="86">
        <f t="shared" si="287"/>
        <v>0</v>
      </c>
      <c r="I388" s="447" t="str">
        <f t="shared" si="288"/>
        <v/>
      </c>
      <c r="J388" s="453">
        <f t="shared" si="284"/>
        <v>0</v>
      </c>
      <c r="K388" s="91">
        <f t="shared" si="289"/>
        <v>0</v>
      </c>
      <c r="L388" s="87">
        <f t="shared" si="289"/>
        <v>0</v>
      </c>
      <c r="M388" s="88">
        <f t="shared" si="290"/>
        <v>0</v>
      </c>
      <c r="N388" s="89">
        <f t="shared" si="291"/>
        <v>0</v>
      </c>
      <c r="O388" s="90">
        <f t="shared" si="291"/>
        <v>0</v>
      </c>
      <c r="P388" s="88">
        <f t="shared" si="292"/>
        <v>0</v>
      </c>
      <c r="Q388" s="86">
        <f t="shared" si="293"/>
        <v>0</v>
      </c>
      <c r="R388" s="84" t="str">
        <f t="shared" si="294"/>
        <v/>
      </c>
      <c r="S388" s="85">
        <f t="shared" si="285"/>
        <v>0</v>
      </c>
      <c r="T388" s="85" t="str">
        <f t="shared" si="286"/>
        <v/>
      </c>
    </row>
    <row r="389" spans="1:20" hidden="1" outlineLevel="1">
      <c r="A389" s="50" t="s">
        <v>1358</v>
      </c>
      <c r="B389" s="86">
        <f>INDEX(Data!1647:1647,1,$U$1-2)</f>
        <v>8180259</v>
      </c>
      <c r="C389" s="87">
        <f>INDEX(Data!1647:1647,1,$U$1-1)</f>
        <v>8180257</v>
      </c>
      <c r="D389" s="88">
        <f t="shared" si="282"/>
        <v>16360516</v>
      </c>
      <c r="E389" s="89">
        <f>INDEX(Data!1647:1647,1,$U$1)</f>
        <v>9962998</v>
      </c>
      <c r="F389" s="90">
        <f>INDEX(Data!1647:1647,1,$U$1+1)</f>
        <v>9962997</v>
      </c>
      <c r="G389" s="88">
        <f t="shared" si="283"/>
        <v>19925995</v>
      </c>
      <c r="H389" s="86">
        <f t="shared" si="287"/>
        <v>3565479</v>
      </c>
      <c r="I389" s="447">
        <f t="shared" si="288"/>
        <v>0.21793194053292694</v>
      </c>
      <c r="J389" s="453">
        <f t="shared" si="284"/>
        <v>1.711223286084302E-2</v>
      </c>
      <c r="K389" s="91">
        <f t="shared" si="289"/>
        <v>8180259</v>
      </c>
      <c r="L389" s="87">
        <f t="shared" si="289"/>
        <v>8180257</v>
      </c>
      <c r="M389" s="88">
        <f t="shared" si="290"/>
        <v>16360516</v>
      </c>
      <c r="N389" s="89">
        <f t="shared" si="291"/>
        <v>9962998</v>
      </c>
      <c r="O389" s="90">
        <f t="shared" si="291"/>
        <v>9962997</v>
      </c>
      <c r="P389" s="88">
        <f t="shared" si="292"/>
        <v>19925995</v>
      </c>
      <c r="Q389" s="86">
        <f t="shared" si="293"/>
        <v>3565479</v>
      </c>
      <c r="R389" s="84">
        <f t="shared" si="294"/>
        <v>0.21793194053292694</v>
      </c>
      <c r="S389" s="85">
        <f t="shared" si="285"/>
        <v>1.711223286084302E-2</v>
      </c>
      <c r="T389" s="85">
        <f t="shared" si="286"/>
        <v>1</v>
      </c>
    </row>
    <row r="390" spans="1:20" hidden="1" outlineLevel="1">
      <c r="A390" s="50" t="s">
        <v>757</v>
      </c>
      <c r="B390" s="86">
        <f>INDEX(Data!1660:1660,1,$U$1-2)</f>
        <v>8437856</v>
      </c>
      <c r="C390" s="87">
        <f>INDEX(Data!1660:1660,1,$U$1-1)</f>
        <v>8437850</v>
      </c>
      <c r="D390" s="88">
        <f t="shared" si="282"/>
        <v>16875706</v>
      </c>
      <c r="E390" s="89">
        <f>INDEX(Data!1660:1660,1,$U$1)</f>
        <v>10187856</v>
      </c>
      <c r="F390" s="90">
        <f>INDEX(Data!1660:1660,1,$U$1+1)</f>
        <v>10187850</v>
      </c>
      <c r="G390" s="88">
        <f t="shared" si="283"/>
        <v>20375706</v>
      </c>
      <c r="H390" s="86">
        <f t="shared" si="287"/>
        <v>3500000</v>
      </c>
      <c r="I390" s="447">
        <f t="shared" si="288"/>
        <v>0.20739873045903975</v>
      </c>
      <c r="J390" s="453">
        <f t="shared" si="284"/>
        <v>1.7498439891010523E-2</v>
      </c>
      <c r="K390" s="91">
        <f t="shared" si="289"/>
        <v>8437856</v>
      </c>
      <c r="L390" s="87">
        <f t="shared" si="289"/>
        <v>8437850</v>
      </c>
      <c r="M390" s="88">
        <f t="shared" si="290"/>
        <v>16875706</v>
      </c>
      <c r="N390" s="89">
        <f t="shared" si="291"/>
        <v>10187856</v>
      </c>
      <c r="O390" s="90">
        <f t="shared" si="291"/>
        <v>10187850</v>
      </c>
      <c r="P390" s="88">
        <f t="shared" si="292"/>
        <v>20375706</v>
      </c>
      <c r="Q390" s="86">
        <f t="shared" si="293"/>
        <v>3500000</v>
      </c>
      <c r="R390" s="84">
        <f t="shared" si="294"/>
        <v>0.20739873045903975</v>
      </c>
      <c r="S390" s="85">
        <f t="shared" si="285"/>
        <v>1.7498439891010523E-2</v>
      </c>
      <c r="T390" s="85">
        <f t="shared" si="286"/>
        <v>1</v>
      </c>
    </row>
    <row r="391" spans="1:20" hidden="1" outlineLevel="1">
      <c r="A391" s="50" t="s">
        <v>1359</v>
      </c>
      <c r="B391" s="86">
        <f>INDEX(Data!1665:1665,1,$U$1-2)</f>
        <v>4004148</v>
      </c>
      <c r="C391" s="87">
        <f>INDEX(Data!1665:1665,1,$U$1-1)</f>
        <v>4004146</v>
      </c>
      <c r="D391" s="88">
        <f t="shared" si="282"/>
        <v>8008294</v>
      </c>
      <c r="E391" s="89">
        <f>INDEX(Data!1665:1665,1,$U$1)</f>
        <v>3929017</v>
      </c>
      <c r="F391" s="90">
        <f>INDEX(Data!1665:1665,1,$U$1+1)</f>
        <v>3929017</v>
      </c>
      <c r="G391" s="88">
        <f t="shared" si="283"/>
        <v>7858034</v>
      </c>
      <c r="H391" s="86">
        <f t="shared" si="287"/>
        <v>-150260</v>
      </c>
      <c r="I391" s="447">
        <f t="shared" si="288"/>
        <v>-1.8763047410597065E-2</v>
      </c>
      <c r="J391" s="453">
        <f t="shared" si="284"/>
        <v>6.7483961346182066E-3</v>
      </c>
      <c r="K391" s="91">
        <f t="shared" si="289"/>
        <v>4004148</v>
      </c>
      <c r="L391" s="87">
        <f t="shared" si="289"/>
        <v>4004146</v>
      </c>
      <c r="M391" s="88">
        <f t="shared" si="290"/>
        <v>8008294</v>
      </c>
      <c r="N391" s="89">
        <f t="shared" si="291"/>
        <v>3929017</v>
      </c>
      <c r="O391" s="90">
        <f t="shared" si="291"/>
        <v>3929017</v>
      </c>
      <c r="P391" s="88">
        <f t="shared" si="292"/>
        <v>7858034</v>
      </c>
      <c r="Q391" s="86">
        <f t="shared" si="293"/>
        <v>-150260</v>
      </c>
      <c r="R391" s="84">
        <f t="shared" si="294"/>
        <v>-1.8763047410597065E-2</v>
      </c>
      <c r="S391" s="85">
        <f t="shared" si="285"/>
        <v>6.7483961346182066E-3</v>
      </c>
      <c r="T391" s="85">
        <f t="shared" si="286"/>
        <v>1</v>
      </c>
    </row>
    <row r="392" spans="1:20" hidden="1" outlineLevel="1">
      <c r="A392" s="50" t="s">
        <v>751</v>
      </c>
      <c r="B392" s="86">
        <f>INDEX(Data!1675:1675,1,$U$1-2)</f>
        <v>1214448</v>
      </c>
      <c r="C392" s="87">
        <f>INDEX(Data!1675:1675,1,$U$1-1)</f>
        <v>1214447</v>
      </c>
      <c r="D392" s="88">
        <f t="shared" si="282"/>
        <v>2428895</v>
      </c>
      <c r="E392" s="89">
        <f>INDEX(Data!1675:1675,1,$U$1)</f>
        <v>28714448</v>
      </c>
      <c r="F392" s="90">
        <f>INDEX(Data!1675:1675,1,$U$1+1)</f>
        <v>28714447</v>
      </c>
      <c r="G392" s="88">
        <f t="shared" si="283"/>
        <v>57428895</v>
      </c>
      <c r="H392" s="86">
        <f t="shared" si="287"/>
        <v>55000000</v>
      </c>
      <c r="I392" s="447">
        <f t="shared" si="288"/>
        <v>22.644041837955118</v>
      </c>
      <c r="J392" s="453">
        <f t="shared" si="284"/>
        <v>4.9319325041530089E-2</v>
      </c>
      <c r="K392" s="91">
        <f t="shared" si="289"/>
        <v>1214448</v>
      </c>
      <c r="L392" s="87">
        <f t="shared" si="289"/>
        <v>1214447</v>
      </c>
      <c r="M392" s="88">
        <f t="shared" si="290"/>
        <v>2428895</v>
      </c>
      <c r="N392" s="89">
        <f t="shared" si="291"/>
        <v>28714448</v>
      </c>
      <c r="O392" s="90">
        <f t="shared" si="291"/>
        <v>28714447</v>
      </c>
      <c r="P392" s="88">
        <f t="shared" si="292"/>
        <v>57428895</v>
      </c>
      <c r="Q392" s="86">
        <f t="shared" si="293"/>
        <v>55000000</v>
      </c>
      <c r="R392" s="84">
        <f t="shared" si="294"/>
        <v>22.644041837955118</v>
      </c>
      <c r="S392" s="85">
        <f t="shared" si="285"/>
        <v>4.9319325041530089E-2</v>
      </c>
      <c r="T392" s="85">
        <f t="shared" si="286"/>
        <v>1</v>
      </c>
    </row>
    <row r="393" spans="1:20" hidden="1" outlineLevel="1">
      <c r="A393" s="50" t="s">
        <v>876</v>
      </c>
      <c r="B393" s="86">
        <f>INDEX(Data!1683:1683,1,$U$1-2)</f>
        <v>1890478</v>
      </c>
      <c r="C393" s="87">
        <f>INDEX(Data!1683:1683,1,$U$1-1)</f>
        <v>1890475</v>
      </c>
      <c r="D393" s="88">
        <f t="shared" si="282"/>
        <v>3780953</v>
      </c>
      <c r="E393" s="89">
        <f>INDEX(Data!1683:1683,1,$U$1)</f>
        <v>1920318</v>
      </c>
      <c r="F393" s="90">
        <f>INDEX(Data!1683:1683,1,$U$1+1)</f>
        <v>1920316</v>
      </c>
      <c r="G393" s="88">
        <f t="shared" si="283"/>
        <v>3840634</v>
      </c>
      <c r="H393" s="86">
        <f t="shared" si="287"/>
        <v>59681</v>
      </c>
      <c r="I393" s="447">
        <f t="shared" si="288"/>
        <v>1.5784644770776044E-2</v>
      </c>
      <c r="J393" s="453">
        <f t="shared" si="284"/>
        <v>3.2982956856744653E-3</v>
      </c>
      <c r="K393" s="91">
        <f t="shared" si="289"/>
        <v>1890478</v>
      </c>
      <c r="L393" s="87">
        <f t="shared" si="289"/>
        <v>1890475</v>
      </c>
      <c r="M393" s="88">
        <f t="shared" si="290"/>
        <v>3780953</v>
      </c>
      <c r="N393" s="89">
        <f t="shared" si="291"/>
        <v>1920318</v>
      </c>
      <c r="O393" s="90">
        <f t="shared" si="291"/>
        <v>1920316</v>
      </c>
      <c r="P393" s="88">
        <f t="shared" si="292"/>
        <v>3840634</v>
      </c>
      <c r="Q393" s="86">
        <f t="shared" si="293"/>
        <v>59681</v>
      </c>
      <c r="R393" s="84">
        <f t="shared" si="294"/>
        <v>1.5784644770776044E-2</v>
      </c>
      <c r="S393" s="85">
        <f t="shared" si="285"/>
        <v>3.2982956856744653E-3</v>
      </c>
      <c r="T393" s="85">
        <f t="shared" si="286"/>
        <v>1</v>
      </c>
    </row>
    <row r="394" spans="1:20" hidden="1" outlineLevel="1">
      <c r="A394" s="50" t="s">
        <v>750</v>
      </c>
      <c r="B394" s="86">
        <f>INDEX(Data!1694:1694,1,$U$1-2)</f>
        <v>19029327</v>
      </c>
      <c r="C394" s="87">
        <f>INDEX(Data!1694:1694,1,$U$1-1)</f>
        <v>19029322</v>
      </c>
      <c r="D394" s="88">
        <f t="shared" si="282"/>
        <v>38058649</v>
      </c>
      <c r="E394" s="89">
        <f>INDEX(Data!1694:1694,1,$U$1)</f>
        <v>23827378</v>
      </c>
      <c r="F394" s="90">
        <f>INDEX(Data!1694:1694,1,$U$1+1)</f>
        <v>23827372</v>
      </c>
      <c r="G394" s="88">
        <f t="shared" si="283"/>
        <v>47654750</v>
      </c>
      <c r="H394" s="86">
        <f t="shared" si="287"/>
        <v>9596101</v>
      </c>
      <c r="I394" s="447">
        <f t="shared" si="288"/>
        <v>0.25213982240935562</v>
      </c>
      <c r="J394" s="453">
        <f t="shared" si="284"/>
        <v>4.0925393132200366E-2</v>
      </c>
      <c r="K394" s="91">
        <f t="shared" si="289"/>
        <v>19029327</v>
      </c>
      <c r="L394" s="87">
        <f t="shared" si="289"/>
        <v>19029322</v>
      </c>
      <c r="M394" s="88">
        <f t="shared" si="290"/>
        <v>38058649</v>
      </c>
      <c r="N394" s="89">
        <f t="shared" si="291"/>
        <v>23827378</v>
      </c>
      <c r="O394" s="90">
        <f t="shared" si="291"/>
        <v>23827372</v>
      </c>
      <c r="P394" s="88">
        <f t="shared" si="292"/>
        <v>47654750</v>
      </c>
      <c r="Q394" s="86">
        <f t="shared" si="293"/>
        <v>9596101</v>
      </c>
      <c r="R394" s="84">
        <f t="shared" si="294"/>
        <v>0.25213982240935562</v>
      </c>
      <c r="S394" s="85">
        <f t="shared" si="285"/>
        <v>4.0925393132200366E-2</v>
      </c>
      <c r="T394" s="85">
        <f t="shared" si="286"/>
        <v>1</v>
      </c>
    </row>
    <row r="395" spans="1:20" hidden="1" outlineLevel="1">
      <c r="A395" s="50" t="s">
        <v>1209</v>
      </c>
      <c r="B395" s="86">
        <f>INDEX(Data!1703:1703,1,$U$1-2)</f>
        <v>3572226</v>
      </c>
      <c r="C395" s="87">
        <f>INDEX(Data!1703:1703,1,$U$1-1)</f>
        <v>3572224</v>
      </c>
      <c r="D395" s="88">
        <f t="shared" si="282"/>
        <v>7144450</v>
      </c>
      <c r="E395" s="89">
        <f>INDEX(Data!1703:1703,1,$U$1)</f>
        <v>3464993</v>
      </c>
      <c r="F395" s="90">
        <f>INDEX(Data!1703:1703,1,$U$1+1)</f>
        <v>3464992</v>
      </c>
      <c r="G395" s="88">
        <f t="shared" si="283"/>
        <v>6929985</v>
      </c>
      <c r="H395" s="86">
        <f t="shared" si="287"/>
        <v>-214465</v>
      </c>
      <c r="I395" s="447">
        <f t="shared" si="288"/>
        <v>-3.0018405895485305E-2</v>
      </c>
      <c r="J395" s="453">
        <f t="shared" si="284"/>
        <v>5.9513975107466002E-3</v>
      </c>
      <c r="K395" s="91">
        <f t="shared" si="289"/>
        <v>3572226</v>
      </c>
      <c r="L395" s="87">
        <f t="shared" si="289"/>
        <v>3572224</v>
      </c>
      <c r="M395" s="88">
        <f t="shared" si="290"/>
        <v>7144450</v>
      </c>
      <c r="N395" s="89">
        <f t="shared" si="291"/>
        <v>3464993</v>
      </c>
      <c r="O395" s="90">
        <f t="shared" si="291"/>
        <v>3464992</v>
      </c>
      <c r="P395" s="88">
        <f t="shared" si="292"/>
        <v>6929985</v>
      </c>
      <c r="Q395" s="86">
        <f t="shared" si="293"/>
        <v>-214465</v>
      </c>
      <c r="R395" s="84">
        <f t="shared" si="294"/>
        <v>-3.0018405895485305E-2</v>
      </c>
      <c r="S395" s="85">
        <f t="shared" si="285"/>
        <v>5.9513975107466002E-3</v>
      </c>
      <c r="T395" s="85">
        <f t="shared" si="286"/>
        <v>1</v>
      </c>
    </row>
    <row r="396" spans="1:20" hidden="1" outlineLevel="1">
      <c r="A396" s="50" t="s">
        <v>1210</v>
      </c>
      <c r="B396" s="86">
        <f>INDEX(Data!1707:1707,1,$U$1-2)</f>
        <v>4634790</v>
      </c>
      <c r="C396" s="87">
        <f>INDEX(Data!1707:1707,1,$U$1-1)</f>
        <v>4634790</v>
      </c>
      <c r="D396" s="88">
        <f t="shared" si="282"/>
        <v>9269580</v>
      </c>
      <c r="E396" s="89">
        <f>INDEX(Data!1707:1707,1,$U$1)</f>
        <v>6082475</v>
      </c>
      <c r="F396" s="90">
        <f>INDEX(Data!1707:1707,1,$U$1+1)</f>
        <v>6082475</v>
      </c>
      <c r="G396" s="88">
        <f t="shared" si="283"/>
        <v>12164950</v>
      </c>
      <c r="H396" s="86">
        <f t="shared" si="287"/>
        <v>2895370</v>
      </c>
      <c r="I396" s="447">
        <f t="shared" si="288"/>
        <v>0.31235180018943687</v>
      </c>
      <c r="J396" s="453">
        <f t="shared" si="284"/>
        <v>1.0447129849250303E-2</v>
      </c>
      <c r="K396" s="91">
        <f t="shared" si="289"/>
        <v>4634790</v>
      </c>
      <c r="L396" s="87">
        <f t="shared" si="289"/>
        <v>4634790</v>
      </c>
      <c r="M396" s="88">
        <f t="shared" si="290"/>
        <v>9269580</v>
      </c>
      <c r="N396" s="89">
        <f t="shared" si="291"/>
        <v>6082475</v>
      </c>
      <c r="O396" s="90">
        <f t="shared" si="291"/>
        <v>6082475</v>
      </c>
      <c r="P396" s="88">
        <f t="shared" si="292"/>
        <v>12164950</v>
      </c>
      <c r="Q396" s="86">
        <f t="shared" si="293"/>
        <v>2895370</v>
      </c>
      <c r="R396" s="84">
        <f t="shared" si="294"/>
        <v>0.31235180018943687</v>
      </c>
      <c r="S396" s="85">
        <f t="shared" si="285"/>
        <v>1.0447129849250303E-2</v>
      </c>
      <c r="T396" s="85">
        <f t="shared" si="286"/>
        <v>1</v>
      </c>
    </row>
    <row r="397" spans="1:20" hidden="1" outlineLevel="1">
      <c r="A397" s="678" t="s">
        <v>1211</v>
      </c>
      <c r="B397" s="86">
        <f>INDEX(Data!1719:1719,1,$U$1-2)</f>
        <v>12122134</v>
      </c>
      <c r="C397" s="87">
        <f>INDEX(Data!1719:1719,1,$U$1-1)</f>
        <v>12122127</v>
      </c>
      <c r="D397" s="88">
        <f t="shared" si="282"/>
        <v>24244261</v>
      </c>
      <c r="E397" s="89">
        <f>INDEX(Data!1719:1719,1,$U$1)</f>
        <v>13032909</v>
      </c>
      <c r="F397" s="90">
        <f>INDEX(Data!1719:1719,1,$U$1+1)</f>
        <v>13032902</v>
      </c>
      <c r="G397" s="88">
        <f t="shared" si="283"/>
        <v>26065811</v>
      </c>
      <c r="H397" s="86">
        <f t="shared" si="287"/>
        <v>1821550</v>
      </c>
      <c r="I397" s="447">
        <f t="shared" si="288"/>
        <v>7.5133244935780885E-2</v>
      </c>
      <c r="J397" s="453">
        <f t="shared" si="284"/>
        <v>2.2385041627217283E-2</v>
      </c>
      <c r="K397" s="91">
        <f t="shared" si="289"/>
        <v>12122134</v>
      </c>
      <c r="L397" s="87">
        <f t="shared" si="289"/>
        <v>12122127</v>
      </c>
      <c r="M397" s="88">
        <f t="shared" si="290"/>
        <v>24244261</v>
      </c>
      <c r="N397" s="89">
        <f t="shared" si="291"/>
        <v>13032909</v>
      </c>
      <c r="O397" s="90">
        <f t="shared" si="291"/>
        <v>13032902</v>
      </c>
      <c r="P397" s="88">
        <f t="shared" si="292"/>
        <v>26065811</v>
      </c>
      <c r="Q397" s="86">
        <f t="shared" si="293"/>
        <v>1821550</v>
      </c>
      <c r="R397" s="84">
        <f t="shared" si="294"/>
        <v>7.5133244935780885E-2</v>
      </c>
      <c r="S397" s="85">
        <f t="shared" si="285"/>
        <v>2.2385041627217283E-2</v>
      </c>
      <c r="T397" s="85">
        <f t="shared" si="286"/>
        <v>1</v>
      </c>
    </row>
    <row r="398" spans="1:20" hidden="1" outlineLevel="1">
      <c r="A398" s="678" t="s">
        <v>1212</v>
      </c>
      <c r="B398" s="86">
        <f>INDEX(Data!1730:1730,1,$U$1-2)</f>
        <v>5091467</v>
      </c>
      <c r="C398" s="87">
        <f>INDEX(Data!1730:1730,1,$U$1-1)</f>
        <v>5091464</v>
      </c>
      <c r="D398" s="88">
        <f t="shared" si="282"/>
        <v>10182931</v>
      </c>
      <c r="E398" s="89">
        <f>INDEX(Data!1730:1730,1,$U$1)</f>
        <v>11963559</v>
      </c>
      <c r="F398" s="90">
        <f>INDEX(Data!1730:1730,1,$U$1+1)</f>
        <v>11963556</v>
      </c>
      <c r="G398" s="88">
        <f t="shared" si="283"/>
        <v>23927115</v>
      </c>
      <c r="H398" s="86">
        <f t="shared" si="287"/>
        <v>13744184</v>
      </c>
      <c r="I398" s="447">
        <f t="shared" si="288"/>
        <v>1.3497276962791951</v>
      </c>
      <c r="J398" s="453">
        <f t="shared" si="284"/>
        <v>2.0548352218705761E-2</v>
      </c>
      <c r="K398" s="91">
        <f t="shared" si="289"/>
        <v>5091467</v>
      </c>
      <c r="L398" s="87">
        <f t="shared" si="289"/>
        <v>5091464</v>
      </c>
      <c r="M398" s="88">
        <f t="shared" si="290"/>
        <v>10182931</v>
      </c>
      <c r="N398" s="89">
        <f t="shared" si="291"/>
        <v>11963559</v>
      </c>
      <c r="O398" s="90">
        <f t="shared" si="291"/>
        <v>11963556</v>
      </c>
      <c r="P398" s="88">
        <f t="shared" si="292"/>
        <v>23927115</v>
      </c>
      <c r="Q398" s="86">
        <f t="shared" si="293"/>
        <v>13744184</v>
      </c>
      <c r="R398" s="84">
        <f t="shared" si="294"/>
        <v>1.3497276962791951</v>
      </c>
      <c r="S398" s="85">
        <f t="shared" si="285"/>
        <v>2.0548352218705761E-2</v>
      </c>
      <c r="T398" s="85">
        <f t="shared" si="286"/>
        <v>1</v>
      </c>
    </row>
    <row r="399" spans="1:20" hidden="1" outlineLevel="1">
      <c r="A399" s="678" t="s">
        <v>1213</v>
      </c>
      <c r="B399" s="86">
        <f>INDEX(Data!1734:1734,1,$U$1-2)</f>
        <v>7698086</v>
      </c>
      <c r="C399" s="87">
        <f>INDEX(Data!1734:1734,1,$U$1-1)</f>
        <v>7698084</v>
      </c>
      <c r="D399" s="88">
        <f t="shared" si="282"/>
        <v>15396170</v>
      </c>
      <c r="E399" s="89">
        <f>INDEX(Data!1734:1734,1,$U$1)</f>
        <v>10115749</v>
      </c>
      <c r="F399" s="90">
        <f>INDEX(Data!1734:1734,1,$U$1+1)</f>
        <v>10115749</v>
      </c>
      <c r="G399" s="88">
        <f t="shared" si="283"/>
        <v>20231498</v>
      </c>
      <c r="H399" s="86">
        <f t="shared" si="287"/>
        <v>4835328</v>
      </c>
      <c r="I399" s="447">
        <f t="shared" si="288"/>
        <v>0.31406044490285573</v>
      </c>
      <c r="J399" s="453">
        <f t="shared" si="284"/>
        <v>1.7374595592324488E-2</v>
      </c>
      <c r="K399" s="91">
        <f t="shared" si="289"/>
        <v>7698086</v>
      </c>
      <c r="L399" s="87">
        <f t="shared" si="289"/>
        <v>7698084</v>
      </c>
      <c r="M399" s="88">
        <f t="shared" si="290"/>
        <v>15396170</v>
      </c>
      <c r="N399" s="89">
        <f t="shared" si="291"/>
        <v>10115749</v>
      </c>
      <c r="O399" s="90">
        <f t="shared" si="291"/>
        <v>10115749</v>
      </c>
      <c r="P399" s="88">
        <f t="shared" si="292"/>
        <v>20231498</v>
      </c>
      <c r="Q399" s="86">
        <f t="shared" si="293"/>
        <v>4835328</v>
      </c>
      <c r="R399" s="84">
        <f t="shared" si="294"/>
        <v>0.31406044490285573</v>
      </c>
      <c r="S399" s="85">
        <f t="shared" si="285"/>
        <v>1.7374595592324488E-2</v>
      </c>
      <c r="T399" s="85">
        <f t="shared" si="286"/>
        <v>1</v>
      </c>
    </row>
    <row r="400" spans="1:20" hidden="1" outlineLevel="1">
      <c r="A400" s="678" t="s">
        <v>861</v>
      </c>
      <c r="B400" s="86">
        <f>INDEX(Data!1742:1742,1,$U$1-2)</f>
        <v>6137235</v>
      </c>
      <c r="C400" s="87">
        <f>INDEX(Data!1742:1742,1,$U$1-1)</f>
        <v>6137230</v>
      </c>
      <c r="D400" s="88">
        <f t="shared" si="282"/>
        <v>12274465</v>
      </c>
      <c r="E400" s="89">
        <f>INDEX(Data!1742:1742,1,$U$1)</f>
        <v>6137235</v>
      </c>
      <c r="F400" s="90">
        <f>INDEX(Data!1742:1742,1,$U$1+1)</f>
        <v>6137230</v>
      </c>
      <c r="G400" s="88">
        <f t="shared" si="283"/>
        <v>12274465</v>
      </c>
      <c r="H400" s="86">
        <f t="shared" si="287"/>
        <v>0</v>
      </c>
      <c r="I400" s="447">
        <f t="shared" si="288"/>
        <v>0</v>
      </c>
      <c r="J400" s="453">
        <f t="shared" si="284"/>
        <v>1.0541180168030129E-2</v>
      </c>
      <c r="K400" s="91">
        <f t="shared" si="289"/>
        <v>6137235</v>
      </c>
      <c r="L400" s="87">
        <f t="shared" si="289"/>
        <v>6137230</v>
      </c>
      <c r="M400" s="88">
        <f t="shared" si="290"/>
        <v>12274465</v>
      </c>
      <c r="N400" s="89">
        <f t="shared" si="291"/>
        <v>6137235</v>
      </c>
      <c r="O400" s="90">
        <f t="shared" si="291"/>
        <v>6137230</v>
      </c>
      <c r="P400" s="88">
        <f t="shared" si="292"/>
        <v>12274465</v>
      </c>
      <c r="Q400" s="86">
        <f t="shared" si="293"/>
        <v>0</v>
      </c>
      <c r="R400" s="84">
        <f t="shared" si="294"/>
        <v>0</v>
      </c>
      <c r="S400" s="85">
        <f t="shared" si="285"/>
        <v>1.0541180168030129E-2</v>
      </c>
      <c r="T400" s="85">
        <f t="shared" si="286"/>
        <v>1</v>
      </c>
    </row>
    <row r="401" spans="1:20" hidden="1" outlineLevel="1">
      <c r="A401" s="50" t="s">
        <v>871</v>
      </c>
      <c r="B401" s="86">
        <f>INDEX(Data!1753:1753,1,$U$1-2)</f>
        <v>4221593</v>
      </c>
      <c r="C401" s="87">
        <f>INDEX(Data!1753:1753,1,$U$1-1)</f>
        <v>4221587</v>
      </c>
      <c r="D401" s="88">
        <f t="shared" si="282"/>
        <v>8443180</v>
      </c>
      <c r="E401" s="89">
        <f>INDEX(Data!1753:1753,1,$U$1)</f>
        <v>6192384</v>
      </c>
      <c r="F401" s="90">
        <f>INDEX(Data!1753:1753,1,$U$1+1)</f>
        <v>6192379</v>
      </c>
      <c r="G401" s="88">
        <f t="shared" si="283"/>
        <v>12384763</v>
      </c>
      <c r="H401" s="86">
        <f t="shared" si="287"/>
        <v>3941583</v>
      </c>
      <c r="I401" s="447">
        <f t="shared" si="288"/>
        <v>0.46683631048964963</v>
      </c>
      <c r="J401" s="453">
        <f t="shared" si="284"/>
        <v>1.0635902918893273E-2</v>
      </c>
      <c r="K401" s="91">
        <f t="shared" si="289"/>
        <v>4221593</v>
      </c>
      <c r="L401" s="87">
        <f t="shared" si="289"/>
        <v>4221587</v>
      </c>
      <c r="M401" s="88">
        <f t="shared" si="290"/>
        <v>8443180</v>
      </c>
      <c r="N401" s="89">
        <f t="shared" si="291"/>
        <v>6192384</v>
      </c>
      <c r="O401" s="90">
        <f t="shared" si="291"/>
        <v>6192379</v>
      </c>
      <c r="P401" s="88">
        <f t="shared" si="292"/>
        <v>12384763</v>
      </c>
      <c r="Q401" s="86">
        <f t="shared" si="293"/>
        <v>3941583</v>
      </c>
      <c r="R401" s="84">
        <f t="shared" si="294"/>
        <v>0.46683631048964963</v>
      </c>
      <c r="S401" s="85">
        <f t="shared" si="285"/>
        <v>1.0635902918893273E-2</v>
      </c>
      <c r="T401" s="85">
        <f t="shared" si="286"/>
        <v>1</v>
      </c>
    </row>
    <row r="402" spans="1:20" hidden="1" outlineLevel="1">
      <c r="A402" s="50" t="s">
        <v>1361</v>
      </c>
      <c r="B402" s="86">
        <f>INDEX(Data!1759:1759,1,$U$1-2)</f>
        <v>2537317</v>
      </c>
      <c r="C402" s="87">
        <f>INDEX(Data!1759:1759,1,$U$1-1)</f>
        <v>2537316</v>
      </c>
      <c r="D402" s="88">
        <f t="shared" si="282"/>
        <v>5074633</v>
      </c>
      <c r="E402" s="89">
        <f>INDEX(Data!1759:1759,1,$U$1)</f>
        <v>2530046</v>
      </c>
      <c r="F402" s="90">
        <f>INDEX(Data!1759:1759,1,$U$1+1)</f>
        <v>2530046</v>
      </c>
      <c r="G402" s="88">
        <f t="shared" si="283"/>
        <v>5060092</v>
      </c>
      <c r="H402" s="86">
        <f t="shared" si="287"/>
        <v>-14541</v>
      </c>
      <c r="I402" s="447">
        <f t="shared" si="288"/>
        <v>-2.8654288891433134E-3</v>
      </c>
      <c r="J402" s="453">
        <f t="shared" si="284"/>
        <v>4.3455532635278127E-3</v>
      </c>
      <c r="K402" s="91">
        <f t="shared" si="289"/>
        <v>2537317</v>
      </c>
      <c r="L402" s="87">
        <f t="shared" si="289"/>
        <v>2537316</v>
      </c>
      <c r="M402" s="88">
        <f t="shared" si="290"/>
        <v>5074633</v>
      </c>
      <c r="N402" s="89">
        <f t="shared" si="291"/>
        <v>2530046</v>
      </c>
      <c r="O402" s="90">
        <f t="shared" si="291"/>
        <v>2530046</v>
      </c>
      <c r="P402" s="88">
        <f t="shared" si="292"/>
        <v>5060092</v>
      </c>
      <c r="Q402" s="86">
        <f t="shared" si="293"/>
        <v>-14541</v>
      </c>
      <c r="R402" s="84">
        <f t="shared" si="294"/>
        <v>-2.8654288891433134E-3</v>
      </c>
      <c r="S402" s="85">
        <f t="shared" si="285"/>
        <v>4.3455532635278127E-3</v>
      </c>
      <c r="T402" s="85">
        <f t="shared" si="286"/>
        <v>1</v>
      </c>
    </row>
    <row r="403" spans="1:20" hidden="1" outlineLevel="1">
      <c r="A403" s="678" t="s">
        <v>1425</v>
      </c>
      <c r="B403" s="86">
        <f>INDEX(Data!1768:1768,1,$U$1-2)</f>
        <v>4375315</v>
      </c>
      <c r="C403" s="87">
        <f>INDEX(Data!1768:1768,1,$U$1-1)</f>
        <v>4375315</v>
      </c>
      <c r="D403" s="88">
        <f t="shared" si="282"/>
        <v>8750630</v>
      </c>
      <c r="E403" s="89">
        <f>INDEX(Data!1768:1768,1,$U$1)</f>
        <v>9012059</v>
      </c>
      <c r="F403" s="90">
        <f>INDEX(Data!1768:1768,1,$U$1+1)</f>
        <v>9012058</v>
      </c>
      <c r="G403" s="88">
        <f t="shared" si="283"/>
        <v>18024117</v>
      </c>
      <c r="H403" s="86">
        <f t="shared" si="287"/>
        <v>9273487</v>
      </c>
      <c r="I403" s="447">
        <f t="shared" si="288"/>
        <v>1.0597507836578623</v>
      </c>
      <c r="J403" s="453">
        <f t="shared" si="284"/>
        <v>1.5478920235354836E-2</v>
      </c>
      <c r="K403" s="91">
        <f t="shared" si="289"/>
        <v>4375315</v>
      </c>
      <c r="L403" s="87">
        <f t="shared" si="289"/>
        <v>4375315</v>
      </c>
      <c r="M403" s="88">
        <f t="shared" si="290"/>
        <v>8750630</v>
      </c>
      <c r="N403" s="89">
        <f t="shared" si="291"/>
        <v>9012059</v>
      </c>
      <c r="O403" s="90">
        <f t="shared" si="291"/>
        <v>9012058</v>
      </c>
      <c r="P403" s="88">
        <f t="shared" si="292"/>
        <v>18024117</v>
      </c>
      <c r="Q403" s="86">
        <f t="shared" si="293"/>
        <v>9273487</v>
      </c>
      <c r="R403" s="84">
        <f t="shared" si="294"/>
        <v>1.0597507836578623</v>
      </c>
      <c r="S403" s="85">
        <f t="shared" si="285"/>
        <v>1.5478920235354836E-2</v>
      </c>
      <c r="T403" s="85">
        <f t="shared" si="286"/>
        <v>1</v>
      </c>
    </row>
    <row r="404" spans="1:20" hidden="1" outlineLevel="1">
      <c r="A404" s="50" t="s">
        <v>726</v>
      </c>
      <c r="B404" s="86">
        <f>INDEX(Data!1789:1789,1,$U$1-2)</f>
        <v>16054805</v>
      </c>
      <c r="C404" s="87">
        <f>INDEX(Data!1789:1789,1,$U$1-1)</f>
        <v>16054800</v>
      </c>
      <c r="D404" s="88">
        <f t="shared" si="282"/>
        <v>32109605</v>
      </c>
      <c r="E404" s="89">
        <f>INDEX(Data!1789:1789,1,$U$1)</f>
        <v>76961433</v>
      </c>
      <c r="F404" s="90">
        <f>INDEX(Data!1789:1789,1,$U$1+1)</f>
        <v>31961429</v>
      </c>
      <c r="G404" s="88">
        <f t="shared" si="283"/>
        <v>108922862</v>
      </c>
      <c r="H404" s="86">
        <f t="shared" si="287"/>
        <v>76813257</v>
      </c>
      <c r="I404" s="447">
        <f t="shared" si="288"/>
        <v>2.3922205520746829</v>
      </c>
      <c r="J404" s="453">
        <f t="shared" si="284"/>
        <v>9.3541796954855677E-2</v>
      </c>
      <c r="K404" s="91">
        <f t="shared" si="289"/>
        <v>16054805</v>
      </c>
      <c r="L404" s="87">
        <f t="shared" si="289"/>
        <v>16054800</v>
      </c>
      <c r="M404" s="88">
        <f t="shared" si="290"/>
        <v>32109605</v>
      </c>
      <c r="N404" s="89">
        <f t="shared" si="291"/>
        <v>76961433</v>
      </c>
      <c r="O404" s="90">
        <f t="shared" si="291"/>
        <v>31961429</v>
      </c>
      <c r="P404" s="88">
        <f t="shared" si="292"/>
        <v>108922862</v>
      </c>
      <c r="Q404" s="86">
        <f t="shared" si="293"/>
        <v>76813257</v>
      </c>
      <c r="R404" s="84">
        <f t="shared" si="294"/>
        <v>2.3922205520746829</v>
      </c>
      <c r="S404" s="85">
        <f t="shared" si="285"/>
        <v>9.3541796954855677E-2</v>
      </c>
      <c r="T404" s="85">
        <f t="shared" si="286"/>
        <v>1</v>
      </c>
    </row>
    <row r="405" spans="1:20" hidden="1" outlineLevel="1">
      <c r="A405" s="50" t="s">
        <v>1363</v>
      </c>
      <c r="B405" s="86">
        <f>INDEX(Data!1795:1795,1,$U$1-2)</f>
        <v>3997590</v>
      </c>
      <c r="C405" s="87">
        <f>INDEX(Data!1795:1795,1,$U$1-1)</f>
        <v>3997588</v>
      </c>
      <c r="D405" s="88">
        <f t="shared" si="282"/>
        <v>7995178</v>
      </c>
      <c r="E405" s="89">
        <f>INDEX(Data!1795:1795,1,$U$1)</f>
        <v>8220910</v>
      </c>
      <c r="F405" s="90">
        <f>INDEX(Data!1795:1795,1,$U$1+1)</f>
        <v>8220908</v>
      </c>
      <c r="G405" s="88">
        <f t="shared" si="283"/>
        <v>16441818</v>
      </c>
      <c r="H405" s="86">
        <f t="shared" si="287"/>
        <v>8446640</v>
      </c>
      <c r="I405" s="447">
        <f t="shared" si="288"/>
        <v>1.0564667853548726</v>
      </c>
      <c r="J405" s="453">
        <f t="shared" si="284"/>
        <v>1.4120058660639041E-2</v>
      </c>
      <c r="K405" s="91">
        <f t="shared" si="289"/>
        <v>3997590</v>
      </c>
      <c r="L405" s="87">
        <f t="shared" si="289"/>
        <v>3997588</v>
      </c>
      <c r="M405" s="88">
        <f t="shared" si="290"/>
        <v>7995178</v>
      </c>
      <c r="N405" s="89">
        <f t="shared" si="291"/>
        <v>8220910</v>
      </c>
      <c r="O405" s="90">
        <f t="shared" si="291"/>
        <v>8220908</v>
      </c>
      <c r="P405" s="88">
        <f t="shared" si="292"/>
        <v>16441818</v>
      </c>
      <c r="Q405" s="86">
        <f t="shared" si="293"/>
        <v>8446640</v>
      </c>
      <c r="R405" s="84">
        <f t="shared" si="294"/>
        <v>1.0564667853548726</v>
      </c>
      <c r="S405" s="85">
        <f t="shared" si="285"/>
        <v>1.4120058660639041E-2</v>
      </c>
      <c r="T405" s="85">
        <f t="shared" si="286"/>
        <v>1</v>
      </c>
    </row>
    <row r="406" spans="1:20" hidden="1" outlineLevel="1">
      <c r="A406" s="50" t="s">
        <v>1364</v>
      </c>
      <c r="B406" s="86">
        <f>INDEX(Data!1799:1799,1,$U$1-2)</f>
        <v>1878689</v>
      </c>
      <c r="C406" s="87">
        <f>INDEX(Data!1799:1799,1,$U$1-1)</f>
        <v>1878687</v>
      </c>
      <c r="D406" s="88">
        <f t="shared" si="282"/>
        <v>3757376</v>
      </c>
      <c r="E406" s="89">
        <f>INDEX(Data!1799:1799,1,$U$1)</f>
        <v>1928689</v>
      </c>
      <c r="F406" s="90">
        <f>INDEX(Data!1799:1799,1,$U$1+1)</f>
        <v>1928687</v>
      </c>
      <c r="G406" s="88">
        <f t="shared" si="283"/>
        <v>3857376</v>
      </c>
      <c r="H406" s="86">
        <f t="shared" si="287"/>
        <v>100000</v>
      </c>
      <c r="I406" s="447">
        <f t="shared" si="288"/>
        <v>2.6614318077296497E-2</v>
      </c>
      <c r="J406" s="453">
        <f t="shared" si="284"/>
        <v>3.3126735374483032E-3</v>
      </c>
      <c r="K406" s="91">
        <f t="shared" si="289"/>
        <v>1878689</v>
      </c>
      <c r="L406" s="87">
        <f t="shared" si="289"/>
        <v>1878687</v>
      </c>
      <c r="M406" s="88">
        <f t="shared" si="290"/>
        <v>3757376</v>
      </c>
      <c r="N406" s="89">
        <f t="shared" si="291"/>
        <v>1928689</v>
      </c>
      <c r="O406" s="90">
        <f t="shared" si="291"/>
        <v>1928687</v>
      </c>
      <c r="P406" s="88">
        <f t="shared" si="292"/>
        <v>3857376</v>
      </c>
      <c r="Q406" s="86">
        <f t="shared" si="293"/>
        <v>100000</v>
      </c>
      <c r="R406" s="84">
        <f t="shared" si="294"/>
        <v>2.6614318077296497E-2</v>
      </c>
      <c r="S406" s="85">
        <f t="shared" si="285"/>
        <v>3.3126735374483032E-3</v>
      </c>
      <c r="T406" s="85">
        <f t="shared" si="286"/>
        <v>1</v>
      </c>
    </row>
    <row r="407" spans="1:20" hidden="1" outlineLevel="1">
      <c r="A407" s="50" t="s">
        <v>1365</v>
      </c>
      <c r="B407" s="86">
        <f>INDEX(Data!1805:1805,1,$U$1-2)</f>
        <v>3186174</v>
      </c>
      <c r="C407" s="87">
        <f>INDEX(Data!1805:1805,1,$U$1-1)</f>
        <v>3186171</v>
      </c>
      <c r="D407" s="88">
        <f t="shared" si="282"/>
        <v>6372345</v>
      </c>
      <c r="E407" s="89">
        <f>INDEX(Data!1805:1805,1,$U$1)</f>
        <v>4116930</v>
      </c>
      <c r="F407" s="90">
        <f>INDEX(Data!1805:1805,1,$U$1+1)</f>
        <v>4116926</v>
      </c>
      <c r="G407" s="88">
        <f t="shared" si="283"/>
        <v>8233856</v>
      </c>
      <c r="H407" s="86">
        <f t="shared" si="287"/>
        <v>1861511</v>
      </c>
      <c r="I407" s="447">
        <f t="shared" si="288"/>
        <v>0.29212338628872103</v>
      </c>
      <c r="J407" s="453">
        <f t="shared" si="284"/>
        <v>7.0711480764021799E-3</v>
      </c>
      <c r="K407" s="91">
        <f t="shared" si="289"/>
        <v>3186174</v>
      </c>
      <c r="L407" s="87">
        <f t="shared" si="289"/>
        <v>3186171</v>
      </c>
      <c r="M407" s="88">
        <f t="shared" si="290"/>
        <v>6372345</v>
      </c>
      <c r="N407" s="89">
        <f t="shared" si="291"/>
        <v>4116930</v>
      </c>
      <c r="O407" s="90">
        <f t="shared" si="291"/>
        <v>4116926</v>
      </c>
      <c r="P407" s="88">
        <f t="shared" si="292"/>
        <v>8233856</v>
      </c>
      <c r="Q407" s="86">
        <f t="shared" si="293"/>
        <v>1861511</v>
      </c>
      <c r="R407" s="84">
        <f t="shared" si="294"/>
        <v>0.29212338628872103</v>
      </c>
      <c r="S407" s="85">
        <f t="shared" si="285"/>
        <v>7.0711480764021799E-3</v>
      </c>
      <c r="T407" s="85">
        <f t="shared" si="286"/>
        <v>1</v>
      </c>
    </row>
    <row r="408" spans="1:20" hidden="1" outlineLevel="1">
      <c r="A408" s="50" t="s">
        <v>730</v>
      </c>
      <c r="B408" s="86">
        <f>INDEX(Data!1809:1809,1,$U$1-2)</f>
        <v>1736109</v>
      </c>
      <c r="C408" s="87">
        <f>INDEX(Data!1809:1809,1,$U$1-1)</f>
        <v>1736108</v>
      </c>
      <c r="D408" s="88">
        <f t="shared" si="282"/>
        <v>3472217</v>
      </c>
      <c r="E408" s="89">
        <f>INDEX(Data!1809:1809,1,$U$1)</f>
        <v>1916055</v>
      </c>
      <c r="F408" s="90">
        <f>INDEX(Data!1809:1809,1,$U$1+1)</f>
        <v>1916054</v>
      </c>
      <c r="G408" s="88">
        <f t="shared" si="283"/>
        <v>3832109</v>
      </c>
      <c r="H408" s="86">
        <f t="shared" si="287"/>
        <v>359892</v>
      </c>
      <c r="I408" s="447">
        <f t="shared" si="288"/>
        <v>0.10364905188817404</v>
      </c>
      <c r="J408" s="453">
        <f t="shared" si="284"/>
        <v>3.2909745062232668E-3</v>
      </c>
      <c r="K408" s="91">
        <f t="shared" si="289"/>
        <v>1736109</v>
      </c>
      <c r="L408" s="87">
        <f t="shared" si="289"/>
        <v>1736108</v>
      </c>
      <c r="M408" s="88">
        <f t="shared" si="290"/>
        <v>3472217</v>
      </c>
      <c r="N408" s="89">
        <f t="shared" si="291"/>
        <v>1916055</v>
      </c>
      <c r="O408" s="90">
        <f t="shared" si="291"/>
        <v>1916054</v>
      </c>
      <c r="P408" s="88">
        <f t="shared" si="292"/>
        <v>3832109</v>
      </c>
      <c r="Q408" s="86">
        <f t="shared" si="293"/>
        <v>359892</v>
      </c>
      <c r="R408" s="84">
        <f t="shared" si="294"/>
        <v>0.10364905188817404</v>
      </c>
      <c r="S408" s="85">
        <f t="shared" si="285"/>
        <v>3.2909745062232668E-3</v>
      </c>
      <c r="T408" s="85">
        <f t="shared" si="286"/>
        <v>1</v>
      </c>
    </row>
    <row r="409" spans="1:20" hidden="1" outlineLevel="1">
      <c r="A409" s="50" t="s">
        <v>731</v>
      </c>
      <c r="B409" s="86">
        <f>INDEX(Data!1817:1817,1,$U$1-2)</f>
        <v>2066667</v>
      </c>
      <c r="C409" s="87">
        <f>INDEX(Data!1817:1817,1,$U$1-1)</f>
        <v>2066663</v>
      </c>
      <c r="D409" s="88">
        <f t="shared" si="282"/>
        <v>4133330</v>
      </c>
      <c r="E409" s="89">
        <f>INDEX(Data!1817:1817,1,$U$1)</f>
        <v>8365746</v>
      </c>
      <c r="F409" s="90">
        <f>INDEX(Data!1817:1817,1,$U$1+1)</f>
        <v>8365743</v>
      </c>
      <c r="G409" s="88">
        <f t="shared" si="283"/>
        <v>16731489</v>
      </c>
      <c r="H409" s="86">
        <f t="shared" si="287"/>
        <v>12598159</v>
      </c>
      <c r="I409" s="447">
        <f t="shared" si="288"/>
        <v>3.0479441515678642</v>
      </c>
      <c r="J409" s="453">
        <f t="shared" si="284"/>
        <v>1.4368825038681055E-2</v>
      </c>
      <c r="K409" s="91">
        <f t="shared" si="289"/>
        <v>2066667</v>
      </c>
      <c r="L409" s="87">
        <f t="shared" si="289"/>
        <v>2066663</v>
      </c>
      <c r="M409" s="88">
        <f t="shared" si="290"/>
        <v>4133330</v>
      </c>
      <c r="N409" s="89">
        <f t="shared" si="291"/>
        <v>8365746</v>
      </c>
      <c r="O409" s="90">
        <f t="shared" si="291"/>
        <v>8365743</v>
      </c>
      <c r="P409" s="88">
        <f t="shared" si="292"/>
        <v>16731489</v>
      </c>
      <c r="Q409" s="86">
        <f t="shared" si="293"/>
        <v>12598159</v>
      </c>
      <c r="R409" s="84">
        <f t="shared" si="294"/>
        <v>3.0479441515678642</v>
      </c>
      <c r="S409" s="85">
        <f t="shared" si="285"/>
        <v>1.4368825038681055E-2</v>
      </c>
      <c r="T409" s="85">
        <f t="shared" si="286"/>
        <v>1</v>
      </c>
    </row>
    <row r="410" spans="1:20" hidden="1" outlineLevel="1">
      <c r="A410" s="50" t="s">
        <v>1453</v>
      </c>
      <c r="B410" s="86">
        <f>INDEX(Data!1822:1822,1,$U$1-2)</f>
        <v>5987345</v>
      </c>
      <c r="C410" s="87">
        <f>INDEX(Data!1822:1822,1,$U$1-1)</f>
        <v>5987343</v>
      </c>
      <c r="D410" s="88">
        <f t="shared" si="282"/>
        <v>11974688</v>
      </c>
      <c r="E410" s="89">
        <f>INDEX(Data!1822:1822,1,$U$1)</f>
        <v>6423690</v>
      </c>
      <c r="F410" s="90">
        <f>INDEX(Data!1822:1822,1,$U$1+1)</f>
        <v>6423689</v>
      </c>
      <c r="G410" s="88">
        <f t="shared" si="283"/>
        <v>12847379</v>
      </c>
      <c r="H410" s="86">
        <f t="shared" si="287"/>
        <v>872691</v>
      </c>
      <c r="I410" s="447">
        <f t="shared" si="288"/>
        <v>7.2877973939696805E-2</v>
      </c>
      <c r="J410" s="453">
        <f t="shared" si="284"/>
        <v>1.1033192625989544E-2</v>
      </c>
      <c r="K410" s="91">
        <f t="shared" si="289"/>
        <v>5987345</v>
      </c>
      <c r="L410" s="87">
        <f t="shared" si="289"/>
        <v>5987343</v>
      </c>
      <c r="M410" s="88">
        <f t="shared" si="290"/>
        <v>11974688</v>
      </c>
      <c r="N410" s="89">
        <f t="shared" si="291"/>
        <v>6423690</v>
      </c>
      <c r="O410" s="90">
        <f t="shared" si="291"/>
        <v>6423689</v>
      </c>
      <c r="P410" s="88">
        <f t="shared" si="292"/>
        <v>12847379</v>
      </c>
      <c r="Q410" s="86">
        <f t="shared" si="293"/>
        <v>872691</v>
      </c>
      <c r="R410" s="84">
        <f t="shared" si="294"/>
        <v>7.2877973939696805E-2</v>
      </c>
      <c r="S410" s="85">
        <f t="shared" si="285"/>
        <v>1.1033192625989544E-2</v>
      </c>
      <c r="T410" s="85">
        <f t="shared" si="286"/>
        <v>1</v>
      </c>
    </row>
    <row r="411" spans="1:20" hidden="1" outlineLevel="1">
      <c r="A411" s="678" t="s">
        <v>1426</v>
      </c>
      <c r="B411" s="86">
        <f>INDEX(Data!1830:1830,1,$U$1-2)</f>
        <v>4067891</v>
      </c>
      <c r="C411" s="87">
        <f>INDEX(Data!1830:1830,1,$U$1-1)</f>
        <v>4067888</v>
      </c>
      <c r="D411" s="88">
        <f t="shared" si="282"/>
        <v>8135779</v>
      </c>
      <c r="E411" s="89">
        <f>INDEX(Data!1830:1830,1,$U$1)</f>
        <v>4037849</v>
      </c>
      <c r="F411" s="90">
        <f>INDEX(Data!1830:1830,1,$U$1+1)</f>
        <v>4037847</v>
      </c>
      <c r="G411" s="88">
        <f t="shared" si="283"/>
        <v>8075696</v>
      </c>
      <c r="H411" s="86">
        <f t="shared" si="287"/>
        <v>-60083</v>
      </c>
      <c r="I411" s="447">
        <f t="shared" si="288"/>
        <v>-7.3850334430175645E-3</v>
      </c>
      <c r="J411" s="453">
        <f t="shared" si="284"/>
        <v>6.9353219483081537E-3</v>
      </c>
      <c r="K411" s="91">
        <f t="shared" si="289"/>
        <v>4067891</v>
      </c>
      <c r="L411" s="87">
        <f t="shared" si="289"/>
        <v>4067888</v>
      </c>
      <c r="M411" s="88">
        <f t="shared" si="290"/>
        <v>8135779</v>
      </c>
      <c r="N411" s="89">
        <f t="shared" si="291"/>
        <v>4037849</v>
      </c>
      <c r="O411" s="90">
        <f t="shared" si="291"/>
        <v>4037847</v>
      </c>
      <c r="P411" s="88">
        <f t="shared" si="292"/>
        <v>8075696</v>
      </c>
      <c r="Q411" s="86">
        <f t="shared" si="293"/>
        <v>-60083</v>
      </c>
      <c r="R411" s="84">
        <f t="shared" si="294"/>
        <v>-7.3850334430175645E-3</v>
      </c>
      <c r="S411" s="85">
        <f t="shared" si="285"/>
        <v>6.9353219483081537E-3</v>
      </c>
      <c r="T411" s="85">
        <f t="shared" si="286"/>
        <v>1</v>
      </c>
    </row>
    <row r="412" spans="1:20" hidden="1" outlineLevel="1">
      <c r="A412" s="50" t="s">
        <v>733</v>
      </c>
      <c r="B412" s="86">
        <f>INDEX(Data!1841:1841,1,$U$1-2)</f>
        <v>17152558</v>
      </c>
      <c r="C412" s="87">
        <f>INDEX(Data!1841:1841,1,$U$1-1)</f>
        <v>17151553</v>
      </c>
      <c r="D412" s="88">
        <f t="shared" si="282"/>
        <v>34304111</v>
      </c>
      <c r="E412" s="89">
        <f>INDEX(Data!1841:1841,1,$U$1)</f>
        <v>19986453</v>
      </c>
      <c r="F412" s="90">
        <f>INDEX(Data!1841:1841,1,$U$1+1)</f>
        <v>19986448</v>
      </c>
      <c r="G412" s="88">
        <f t="shared" si="283"/>
        <v>39972901</v>
      </c>
      <c r="H412" s="86">
        <f t="shared" si="287"/>
        <v>5668790</v>
      </c>
      <c r="I412" s="447">
        <f t="shared" si="288"/>
        <v>0.16525103944538891</v>
      </c>
      <c r="J412" s="453">
        <f t="shared" si="284"/>
        <v>3.4328302804222562E-2</v>
      </c>
      <c r="K412" s="91">
        <f t="shared" si="289"/>
        <v>17152558</v>
      </c>
      <c r="L412" s="87">
        <f t="shared" si="289"/>
        <v>17151553</v>
      </c>
      <c r="M412" s="88">
        <f t="shared" si="290"/>
        <v>34304111</v>
      </c>
      <c r="N412" s="89">
        <f t="shared" si="291"/>
        <v>19986453</v>
      </c>
      <c r="O412" s="90">
        <f t="shared" si="291"/>
        <v>19986448</v>
      </c>
      <c r="P412" s="88">
        <f t="shared" si="292"/>
        <v>39972901</v>
      </c>
      <c r="Q412" s="86">
        <f t="shared" si="293"/>
        <v>5668790</v>
      </c>
      <c r="R412" s="84">
        <f t="shared" si="294"/>
        <v>0.16525103944538891</v>
      </c>
      <c r="S412" s="85">
        <f t="shared" si="285"/>
        <v>3.4328302804222562E-2</v>
      </c>
      <c r="T412" s="85">
        <f t="shared" si="286"/>
        <v>1</v>
      </c>
    </row>
    <row r="413" spans="1:20" hidden="1" outlineLevel="1">
      <c r="A413" s="50" t="s">
        <v>735</v>
      </c>
      <c r="B413" s="86">
        <f>INDEX(Data!1856:1856,1,$U$1-2)</f>
        <v>10252447</v>
      </c>
      <c r="C413" s="87">
        <f>INDEX(Data!1856:1856,1,$U$1-1)</f>
        <v>13025105</v>
      </c>
      <c r="D413" s="88">
        <f t="shared" si="282"/>
        <v>23277552</v>
      </c>
      <c r="E413" s="89">
        <f>INDEX(Data!1856:1856,1,$U$1)</f>
        <v>17160026</v>
      </c>
      <c r="F413" s="90">
        <f>INDEX(Data!1856:1856,1,$U$1+1)</f>
        <v>19510022</v>
      </c>
      <c r="G413" s="88">
        <f t="shared" si="283"/>
        <v>36670048</v>
      </c>
      <c r="H413" s="86">
        <f t="shared" si="287"/>
        <v>13392496</v>
      </c>
      <c r="I413" s="447">
        <f t="shared" si="288"/>
        <v>0.57533953742214816</v>
      </c>
      <c r="J413" s="453">
        <f t="shared" si="284"/>
        <v>3.149184772927479E-2</v>
      </c>
      <c r="K413" s="91">
        <f t="shared" si="289"/>
        <v>10252447</v>
      </c>
      <c r="L413" s="87">
        <f t="shared" si="289"/>
        <v>13025105</v>
      </c>
      <c r="M413" s="88">
        <f t="shared" si="290"/>
        <v>23277552</v>
      </c>
      <c r="N413" s="89">
        <f t="shared" si="291"/>
        <v>17160026</v>
      </c>
      <c r="O413" s="90">
        <f t="shared" si="291"/>
        <v>19510022</v>
      </c>
      <c r="P413" s="88">
        <f t="shared" si="292"/>
        <v>36670048</v>
      </c>
      <c r="Q413" s="86">
        <f t="shared" si="293"/>
        <v>13392496</v>
      </c>
      <c r="R413" s="84">
        <f t="shared" si="294"/>
        <v>0.57533953742214816</v>
      </c>
      <c r="S413" s="85">
        <f t="shared" si="285"/>
        <v>3.149184772927479E-2</v>
      </c>
      <c r="T413" s="85">
        <f t="shared" si="286"/>
        <v>1</v>
      </c>
    </row>
    <row r="414" spans="1:20" hidden="1" outlineLevel="1">
      <c r="A414" s="50" t="s">
        <v>855</v>
      </c>
      <c r="B414" s="86">
        <f>INDEX(Data!1866:1866,1,$U$1-2)</f>
        <v>5737799</v>
      </c>
      <c r="C414" s="87">
        <f>INDEX(Data!1866:1866,1,$U$1-1)</f>
        <v>5737795</v>
      </c>
      <c r="D414" s="88">
        <f t="shared" si="282"/>
        <v>11475594</v>
      </c>
      <c r="E414" s="89">
        <f>INDEX(Data!1866:1866,1,$U$1)</f>
        <v>7733240</v>
      </c>
      <c r="F414" s="90">
        <f>INDEX(Data!1866:1866,1,$U$1+1)</f>
        <v>7733236</v>
      </c>
      <c r="G414" s="88">
        <f t="shared" si="283"/>
        <v>15466476</v>
      </c>
      <c r="H414" s="86">
        <f t="shared" si="287"/>
        <v>3990882</v>
      </c>
      <c r="I414" s="447">
        <f t="shared" si="288"/>
        <v>0.3477712787677919</v>
      </c>
      <c r="J414" s="453">
        <f t="shared" ref="J414:J446" si="308">IFERROR(G414/G$456,"")</f>
        <v>1.3282445310692885E-2</v>
      </c>
      <c r="K414" s="91">
        <f t="shared" si="289"/>
        <v>5737799</v>
      </c>
      <c r="L414" s="87">
        <f t="shared" si="289"/>
        <v>5737795</v>
      </c>
      <c r="M414" s="88">
        <f t="shared" si="290"/>
        <v>11475594</v>
      </c>
      <c r="N414" s="89">
        <f t="shared" si="291"/>
        <v>7733240</v>
      </c>
      <c r="O414" s="90">
        <f t="shared" si="291"/>
        <v>7733236</v>
      </c>
      <c r="P414" s="88">
        <f t="shared" si="292"/>
        <v>15466476</v>
      </c>
      <c r="Q414" s="86">
        <f t="shared" si="293"/>
        <v>3990882</v>
      </c>
      <c r="R414" s="84">
        <f t="shared" si="294"/>
        <v>0.3477712787677919</v>
      </c>
      <c r="S414" s="85">
        <f t="shared" ref="S414:S446" si="309">IFERROR(P414/P$456,"")</f>
        <v>1.3282445310692885E-2</v>
      </c>
      <c r="T414" s="85">
        <f t="shared" si="286"/>
        <v>1</v>
      </c>
    </row>
    <row r="415" spans="1:20" hidden="1" outlineLevel="1">
      <c r="A415" s="50" t="s">
        <v>737</v>
      </c>
      <c r="B415" s="86">
        <f>INDEX(Data!1873:1873,1,$U$1-2)</f>
        <v>7544900</v>
      </c>
      <c r="C415" s="87">
        <f>INDEX(Data!1873:1873,1,$U$1-1)</f>
        <v>7544896</v>
      </c>
      <c r="D415" s="88">
        <f t="shared" si="282"/>
        <v>15089796</v>
      </c>
      <c r="E415" s="89">
        <f>INDEX(Data!1873:1873,1,$U$1)</f>
        <v>14002927</v>
      </c>
      <c r="F415" s="90">
        <f>INDEX(Data!1873:1873,1,$U$1+1)</f>
        <v>14002926</v>
      </c>
      <c r="G415" s="88">
        <f t="shared" si="283"/>
        <v>28005853</v>
      </c>
      <c r="H415" s="86">
        <f t="shared" si="287"/>
        <v>12916057</v>
      </c>
      <c r="I415" s="447">
        <f t="shared" si="288"/>
        <v>0.85594642896431472</v>
      </c>
      <c r="J415" s="453">
        <f t="shared" si="308"/>
        <v>2.405112909054424E-2</v>
      </c>
      <c r="K415" s="91">
        <f t="shared" si="289"/>
        <v>7544900</v>
      </c>
      <c r="L415" s="87">
        <f t="shared" si="289"/>
        <v>7544896</v>
      </c>
      <c r="M415" s="88">
        <f t="shared" si="290"/>
        <v>15089796</v>
      </c>
      <c r="N415" s="89">
        <f t="shared" si="291"/>
        <v>14002927</v>
      </c>
      <c r="O415" s="90">
        <f t="shared" si="291"/>
        <v>14002926</v>
      </c>
      <c r="P415" s="88">
        <f t="shared" si="292"/>
        <v>28005853</v>
      </c>
      <c r="Q415" s="86">
        <f t="shared" si="293"/>
        <v>12916057</v>
      </c>
      <c r="R415" s="84">
        <f t="shared" si="294"/>
        <v>0.85594642896431472</v>
      </c>
      <c r="S415" s="85">
        <f t="shared" si="309"/>
        <v>2.405112909054424E-2</v>
      </c>
      <c r="T415" s="85">
        <f t="shared" si="286"/>
        <v>1</v>
      </c>
    </row>
    <row r="416" spans="1:20" hidden="1" outlineLevel="1">
      <c r="A416" s="50" t="s">
        <v>738</v>
      </c>
      <c r="B416" s="86">
        <f>INDEX(Data!1885:1885,1,$U$1-2)</f>
        <v>3507673</v>
      </c>
      <c r="C416" s="87">
        <f>INDEX(Data!1885:1885,1,$U$1-1)</f>
        <v>3507667</v>
      </c>
      <c r="D416" s="88">
        <f t="shared" si="282"/>
        <v>7015340</v>
      </c>
      <c r="E416" s="89">
        <f>INDEX(Data!1885:1885,1,$U$1)</f>
        <v>7464198</v>
      </c>
      <c r="F416" s="90">
        <f>INDEX(Data!1885:1885,1,$U$1+1)</f>
        <v>7464191</v>
      </c>
      <c r="G416" s="88">
        <f t="shared" si="283"/>
        <v>14928389</v>
      </c>
      <c r="H416" s="86">
        <f t="shared" si="287"/>
        <v>7913049</v>
      </c>
      <c r="I416" s="447">
        <f t="shared" si="288"/>
        <v>1.127963719506111</v>
      </c>
      <c r="J416" s="453">
        <f t="shared" si="308"/>
        <v>1.2820341910416391E-2</v>
      </c>
      <c r="K416" s="91">
        <f t="shared" si="289"/>
        <v>3507673</v>
      </c>
      <c r="L416" s="87">
        <f t="shared" si="289"/>
        <v>3507667</v>
      </c>
      <c r="M416" s="88">
        <f t="shared" si="290"/>
        <v>7015340</v>
      </c>
      <c r="N416" s="89">
        <f t="shared" si="291"/>
        <v>7464198</v>
      </c>
      <c r="O416" s="90">
        <f t="shared" si="291"/>
        <v>7464191</v>
      </c>
      <c r="P416" s="88">
        <f t="shared" si="292"/>
        <v>14928389</v>
      </c>
      <c r="Q416" s="86">
        <f t="shared" si="293"/>
        <v>7913049</v>
      </c>
      <c r="R416" s="84">
        <f t="shared" si="294"/>
        <v>1.127963719506111</v>
      </c>
      <c r="S416" s="85">
        <f t="shared" si="309"/>
        <v>1.2820341910416391E-2</v>
      </c>
      <c r="T416" s="85">
        <f t="shared" si="286"/>
        <v>1</v>
      </c>
    </row>
    <row r="417" spans="1:20" hidden="1" outlineLevel="1">
      <c r="A417" s="50" t="s">
        <v>1367</v>
      </c>
      <c r="B417" s="86">
        <f>INDEX(Data!1896:1896,1,$U$1-2)</f>
        <v>8176075</v>
      </c>
      <c r="C417" s="87">
        <f>INDEX(Data!1896:1896,1,$U$1-1)</f>
        <v>8176071</v>
      </c>
      <c r="D417" s="88">
        <f t="shared" si="282"/>
        <v>16352146</v>
      </c>
      <c r="E417" s="89">
        <f>INDEX(Data!1896:1896,1,$U$1)</f>
        <v>10337835</v>
      </c>
      <c r="F417" s="90">
        <f>INDEX(Data!1896:1896,1,$U$1+1)</f>
        <v>8017832</v>
      </c>
      <c r="G417" s="88">
        <f t="shared" si="283"/>
        <v>18355667</v>
      </c>
      <c r="H417" s="86">
        <f t="shared" si="287"/>
        <v>2003521</v>
      </c>
      <c r="I417" s="447">
        <f t="shared" si="288"/>
        <v>0.12252342903494134</v>
      </c>
      <c r="J417" s="453">
        <f t="shared" si="308"/>
        <v>1.5763651853776525E-2</v>
      </c>
      <c r="K417" s="91">
        <f t="shared" si="289"/>
        <v>8176075</v>
      </c>
      <c r="L417" s="87">
        <f t="shared" si="289"/>
        <v>8176071</v>
      </c>
      <c r="M417" s="88">
        <f t="shared" si="290"/>
        <v>16352146</v>
      </c>
      <c r="N417" s="89">
        <f t="shared" si="291"/>
        <v>10337835</v>
      </c>
      <c r="O417" s="90">
        <f t="shared" si="291"/>
        <v>8017832</v>
      </c>
      <c r="P417" s="88">
        <f t="shared" si="292"/>
        <v>18355667</v>
      </c>
      <c r="Q417" s="86">
        <f t="shared" si="293"/>
        <v>2003521</v>
      </c>
      <c r="R417" s="84">
        <f t="shared" si="294"/>
        <v>0.12252342903494134</v>
      </c>
      <c r="S417" s="85">
        <f t="shared" si="309"/>
        <v>1.5763651853776525E-2</v>
      </c>
      <c r="T417" s="85">
        <f t="shared" si="286"/>
        <v>1</v>
      </c>
    </row>
    <row r="418" spans="1:20" hidden="1" outlineLevel="1">
      <c r="A418" s="50" t="s">
        <v>1094</v>
      </c>
      <c r="B418" s="86">
        <f>INDEX(Data!1910:1910,1,$U$1-2)</f>
        <v>5474565</v>
      </c>
      <c r="C418" s="87">
        <f>INDEX(Data!1910:1910,1,$U$1-1)</f>
        <v>5474562</v>
      </c>
      <c r="D418" s="88">
        <f t="shared" si="282"/>
        <v>10949127</v>
      </c>
      <c r="E418" s="89">
        <f>INDEX(Data!1910:1910,1,$U$1)</f>
        <v>12028290</v>
      </c>
      <c r="F418" s="90">
        <f>INDEX(Data!1910:1910,1,$U$1+1)</f>
        <v>12028289</v>
      </c>
      <c r="G418" s="88">
        <f t="shared" si="283"/>
        <v>24056579</v>
      </c>
      <c r="H418" s="86">
        <f t="shared" si="287"/>
        <v>13107452</v>
      </c>
      <c r="I418" s="447">
        <f t="shared" si="288"/>
        <v>1.1971230217715074</v>
      </c>
      <c r="J418" s="453">
        <f t="shared" si="308"/>
        <v>2.0659534526796083E-2</v>
      </c>
      <c r="K418" s="91">
        <f t="shared" si="289"/>
        <v>5474565</v>
      </c>
      <c r="L418" s="87">
        <f t="shared" si="289"/>
        <v>5474562</v>
      </c>
      <c r="M418" s="88">
        <f t="shared" si="290"/>
        <v>10949127</v>
      </c>
      <c r="N418" s="89">
        <f t="shared" si="291"/>
        <v>12028290</v>
      </c>
      <c r="O418" s="90">
        <f t="shared" si="291"/>
        <v>12028289</v>
      </c>
      <c r="P418" s="88">
        <f t="shared" si="292"/>
        <v>24056579</v>
      </c>
      <c r="Q418" s="86">
        <f t="shared" si="293"/>
        <v>13107452</v>
      </c>
      <c r="R418" s="84">
        <f t="shared" si="294"/>
        <v>1.1971230217715074</v>
      </c>
      <c r="S418" s="85">
        <f t="shared" si="309"/>
        <v>2.0659534526796083E-2</v>
      </c>
      <c r="T418" s="85">
        <f t="shared" si="286"/>
        <v>1</v>
      </c>
    </row>
    <row r="419" spans="1:20" hidden="1" outlineLevel="1">
      <c r="A419" s="678" t="s">
        <v>859</v>
      </c>
      <c r="B419" s="86">
        <f>INDEX(Data!1921:1921,1,$U$1-2)</f>
        <v>2877072</v>
      </c>
      <c r="C419" s="87">
        <f>INDEX(Data!1921:1921,1,$U$1-1)</f>
        <v>2877070</v>
      </c>
      <c r="D419" s="88">
        <f t="shared" si="282"/>
        <v>5754142</v>
      </c>
      <c r="E419" s="89">
        <f>INDEX(Data!1921:1921,1,$U$1)</f>
        <v>3466216</v>
      </c>
      <c r="F419" s="90">
        <f>INDEX(Data!1921:1921,1,$U$1+1)</f>
        <v>3466214</v>
      </c>
      <c r="G419" s="88">
        <f t="shared" si="283"/>
        <v>6932430</v>
      </c>
      <c r="H419" s="86">
        <f t="shared" si="287"/>
        <v>1178288</v>
      </c>
      <c r="I419" s="447">
        <f t="shared" si="288"/>
        <v>0.20477214500441596</v>
      </c>
      <c r="J419" s="453">
        <f t="shared" si="308"/>
        <v>5.9534972507768857E-3</v>
      </c>
      <c r="K419" s="91">
        <f t="shared" si="289"/>
        <v>2877072</v>
      </c>
      <c r="L419" s="87">
        <f t="shared" si="289"/>
        <v>2877070</v>
      </c>
      <c r="M419" s="88">
        <f t="shared" si="290"/>
        <v>5754142</v>
      </c>
      <c r="N419" s="89">
        <f t="shared" si="291"/>
        <v>3466216</v>
      </c>
      <c r="O419" s="90">
        <f t="shared" si="291"/>
        <v>3466214</v>
      </c>
      <c r="P419" s="88">
        <f t="shared" si="292"/>
        <v>6932430</v>
      </c>
      <c r="Q419" s="86">
        <f t="shared" si="293"/>
        <v>1178288</v>
      </c>
      <c r="R419" s="84">
        <f t="shared" si="294"/>
        <v>0.20477214500441596</v>
      </c>
      <c r="S419" s="85">
        <f t="shared" si="309"/>
        <v>5.9534972507768857E-3</v>
      </c>
      <c r="T419" s="85">
        <f t="shared" si="286"/>
        <v>1</v>
      </c>
    </row>
    <row r="420" spans="1:20" hidden="1" outlineLevel="1">
      <c r="A420" s="50" t="s">
        <v>1427</v>
      </c>
      <c r="B420" s="86">
        <f>INDEX(Data!1926:1926,1,$U$1-2)</f>
        <v>1811310</v>
      </c>
      <c r="C420" s="87">
        <f>INDEX(Data!1926:1926,1,$U$1-1)</f>
        <v>1811309</v>
      </c>
      <c r="D420" s="88">
        <f t="shared" si="282"/>
        <v>3622619</v>
      </c>
      <c r="E420" s="89">
        <f>INDEX(Data!1926:1926,1,$U$1)</f>
        <v>1986810</v>
      </c>
      <c r="F420" s="90">
        <f>INDEX(Data!1926:1926,1,$U$1+1)</f>
        <v>1986809</v>
      </c>
      <c r="G420" s="88">
        <f t="shared" si="283"/>
        <v>3973619</v>
      </c>
      <c r="H420" s="86">
        <f t="shared" si="287"/>
        <v>351000</v>
      </c>
      <c r="I420" s="447">
        <f t="shared" si="288"/>
        <v>9.6891227037676331E-2</v>
      </c>
      <c r="J420" s="453">
        <f t="shared" si="308"/>
        <v>3.4125017911662719E-3</v>
      </c>
      <c r="K420" s="91">
        <f t="shared" si="289"/>
        <v>1811310</v>
      </c>
      <c r="L420" s="87">
        <f t="shared" si="289"/>
        <v>1811309</v>
      </c>
      <c r="M420" s="88">
        <f t="shared" si="290"/>
        <v>3622619</v>
      </c>
      <c r="N420" s="89">
        <f t="shared" si="291"/>
        <v>1986810</v>
      </c>
      <c r="O420" s="90">
        <f t="shared" si="291"/>
        <v>1986809</v>
      </c>
      <c r="P420" s="88">
        <f t="shared" si="292"/>
        <v>3973619</v>
      </c>
      <c r="Q420" s="86">
        <f t="shared" si="293"/>
        <v>351000</v>
      </c>
      <c r="R420" s="84">
        <f t="shared" si="294"/>
        <v>9.6891227037676331E-2</v>
      </c>
      <c r="S420" s="85">
        <f t="shared" si="309"/>
        <v>3.4125017911662719E-3</v>
      </c>
      <c r="T420" s="85">
        <f t="shared" si="286"/>
        <v>1</v>
      </c>
    </row>
    <row r="421" spans="1:20" collapsed="1">
      <c r="A421" s="113" t="s">
        <v>805</v>
      </c>
      <c r="B421" s="105">
        <f>SUM(B382:B420)</f>
        <v>234134360</v>
      </c>
      <c r="C421" s="106">
        <f t="shared" ref="C421:H421" si="310">SUM(C382:C420)</f>
        <v>236905901</v>
      </c>
      <c r="D421" s="107">
        <f t="shared" si="310"/>
        <v>471040261</v>
      </c>
      <c r="E421" s="114">
        <f t="shared" si="310"/>
        <v>424788604</v>
      </c>
      <c r="F421" s="115">
        <f t="shared" si="310"/>
        <v>379818501</v>
      </c>
      <c r="G421" s="107">
        <f t="shared" si="310"/>
        <v>804607105</v>
      </c>
      <c r="H421" s="105">
        <f t="shared" si="310"/>
        <v>333566844</v>
      </c>
      <c r="I421" s="449">
        <f t="shared" si="288"/>
        <v>0.70814932738838643</v>
      </c>
      <c r="J421" s="454">
        <f t="shared" si="308"/>
        <v>0.69098803559113453</v>
      </c>
      <c r="K421" s="405">
        <f t="shared" ref="K421:Q421" si="311">SUM(K382:K420)</f>
        <v>234134360</v>
      </c>
      <c r="L421" s="106">
        <f t="shared" si="311"/>
        <v>236905901</v>
      </c>
      <c r="M421" s="107">
        <f t="shared" si="311"/>
        <v>471040261</v>
      </c>
      <c r="N421" s="114">
        <f t="shared" si="311"/>
        <v>424788604</v>
      </c>
      <c r="O421" s="115">
        <f t="shared" si="311"/>
        <v>379818501</v>
      </c>
      <c r="P421" s="107">
        <f t="shared" si="311"/>
        <v>804607105</v>
      </c>
      <c r="Q421" s="105">
        <f t="shared" si="311"/>
        <v>333566844</v>
      </c>
      <c r="R421" s="108">
        <f t="shared" si="294"/>
        <v>0.70814932738838643</v>
      </c>
      <c r="S421" s="109">
        <f t="shared" si="309"/>
        <v>0.69098803559113453</v>
      </c>
      <c r="T421" s="109">
        <f t="shared" si="286"/>
        <v>1</v>
      </c>
    </row>
    <row r="422" spans="1:20" ht="25.5" hidden="1" outlineLevel="1">
      <c r="A422" s="79" t="s">
        <v>1429</v>
      </c>
      <c r="B422" s="86">
        <f>INDEX(Data!1929:1929,1,$U$1-2)</f>
        <v>0</v>
      </c>
      <c r="C422" s="87">
        <f>INDEX(Data!1929:1929,1,$U$1-1)</f>
        <v>0</v>
      </c>
      <c r="D422" s="88">
        <f>B422+C422</f>
        <v>0</v>
      </c>
      <c r="E422" s="89">
        <f>INDEX(Data!1929:1929,1,$U$1)</f>
        <v>570260</v>
      </c>
      <c r="F422" s="90">
        <f>INDEX(Data!1929:1929,1,$U$1+1)</f>
        <v>570259</v>
      </c>
      <c r="G422" s="88">
        <f>E422+F422</f>
        <v>1140519</v>
      </c>
      <c r="H422" s="86">
        <f t="shared" ref="H422:H424" si="312">G422-D422</f>
        <v>1140519</v>
      </c>
      <c r="I422" s="447" t="str">
        <f t="shared" si="288"/>
        <v/>
      </c>
      <c r="J422" s="453">
        <f t="shared" si="308"/>
        <v>9.7946560310869396E-4</v>
      </c>
      <c r="K422" s="91">
        <f t="shared" ref="K422:L424" si="313">B422</f>
        <v>0</v>
      </c>
      <c r="L422" s="87">
        <f t="shared" si="313"/>
        <v>0</v>
      </c>
      <c r="M422" s="88">
        <f t="shared" ref="M422:M424" si="314">K422+L422</f>
        <v>0</v>
      </c>
      <c r="N422" s="89">
        <f t="shared" ref="N422:O424" si="315">E422</f>
        <v>570260</v>
      </c>
      <c r="O422" s="90">
        <f t="shared" si="315"/>
        <v>570259</v>
      </c>
      <c r="P422" s="88">
        <f t="shared" ref="P422:P424" si="316">N422+O422</f>
        <v>1140519</v>
      </c>
      <c r="Q422" s="86">
        <f t="shared" ref="Q422:Q424" si="317">P422-M422</f>
        <v>1140519</v>
      </c>
      <c r="R422" s="84" t="str">
        <f t="shared" si="294"/>
        <v/>
      </c>
      <c r="S422" s="85">
        <f t="shared" si="309"/>
        <v>9.7946560310869396E-4</v>
      </c>
      <c r="T422" s="85">
        <f t="shared" si="286"/>
        <v>1</v>
      </c>
    </row>
    <row r="423" spans="1:20" ht="25.5" hidden="1" outlineLevel="1">
      <c r="A423" s="79" t="s">
        <v>1430</v>
      </c>
      <c r="B423" s="86">
        <f>INDEX(Data!1931:1931,1,$U$1-2)</f>
        <v>474532</v>
      </c>
      <c r="C423" s="87">
        <f>INDEX(Data!1931:1931,1,$U$1-1)</f>
        <v>474531</v>
      </c>
      <c r="D423" s="88">
        <f>B423+C423</f>
        <v>949063</v>
      </c>
      <c r="E423" s="89">
        <f>INDEX(Data!1931:1931,1,$U$1)</f>
        <v>0</v>
      </c>
      <c r="F423" s="90">
        <f>INDEX(Data!1931:1931,1,$U$1+1)</f>
        <v>0</v>
      </c>
      <c r="G423" s="88">
        <f>E423+F423</f>
        <v>0</v>
      </c>
      <c r="H423" s="86">
        <f t="shared" si="312"/>
        <v>-949063</v>
      </c>
      <c r="I423" s="447">
        <f t="shared" si="288"/>
        <v>-1</v>
      </c>
      <c r="J423" s="453">
        <f t="shared" si="308"/>
        <v>0</v>
      </c>
      <c r="K423" s="91">
        <f t="shared" si="313"/>
        <v>474532</v>
      </c>
      <c r="L423" s="87">
        <f t="shared" si="313"/>
        <v>474531</v>
      </c>
      <c r="M423" s="88">
        <f t="shared" si="314"/>
        <v>949063</v>
      </c>
      <c r="N423" s="89">
        <f t="shared" si="315"/>
        <v>0</v>
      </c>
      <c r="O423" s="90">
        <f t="shared" si="315"/>
        <v>0</v>
      </c>
      <c r="P423" s="88">
        <f t="shared" si="316"/>
        <v>0</v>
      </c>
      <c r="Q423" s="86">
        <f t="shared" si="317"/>
        <v>-949063</v>
      </c>
      <c r="R423" s="84">
        <f t="shared" si="294"/>
        <v>-1</v>
      </c>
      <c r="S423" s="85">
        <f t="shared" si="309"/>
        <v>0</v>
      </c>
      <c r="T423" s="85" t="str">
        <f t="shared" si="286"/>
        <v/>
      </c>
    </row>
    <row r="424" spans="1:20" ht="25.5" hidden="1" outlineLevel="1">
      <c r="A424" s="79" t="s">
        <v>1431</v>
      </c>
      <c r="B424" s="86">
        <f>INDEX(Data!1936:1936,1,$U$1-2)</f>
        <v>314003</v>
      </c>
      <c r="C424" s="87">
        <f>INDEX(Data!1936:1936,1,$U$1-1)</f>
        <v>314003</v>
      </c>
      <c r="D424" s="88">
        <f>B424+C424</f>
        <v>628006</v>
      </c>
      <c r="E424" s="89">
        <f>INDEX(Data!1936:1936,1,$U$1)</f>
        <v>314003</v>
      </c>
      <c r="F424" s="90">
        <f>INDEX(Data!1936:1936,1,$U$1+1)</f>
        <v>314003</v>
      </c>
      <c r="G424" s="88">
        <f>E424+F424</f>
        <v>628006</v>
      </c>
      <c r="H424" s="86">
        <f t="shared" si="312"/>
        <v>0</v>
      </c>
      <c r="I424" s="447">
        <f t="shared" si="288"/>
        <v>0</v>
      </c>
      <c r="J424" s="453">
        <f t="shared" si="308"/>
        <v>5.3932488239641634E-4</v>
      </c>
      <c r="K424" s="91">
        <f t="shared" si="313"/>
        <v>314003</v>
      </c>
      <c r="L424" s="87">
        <f t="shared" si="313"/>
        <v>314003</v>
      </c>
      <c r="M424" s="88">
        <f t="shared" si="314"/>
        <v>628006</v>
      </c>
      <c r="N424" s="89">
        <f t="shared" si="315"/>
        <v>314003</v>
      </c>
      <c r="O424" s="90">
        <f t="shared" si="315"/>
        <v>314003</v>
      </c>
      <c r="P424" s="88">
        <f t="shared" si="316"/>
        <v>628006</v>
      </c>
      <c r="Q424" s="86">
        <f t="shared" si="317"/>
        <v>0</v>
      </c>
      <c r="R424" s="84">
        <f t="shared" si="294"/>
        <v>0</v>
      </c>
      <c r="S424" s="85">
        <f t="shared" si="309"/>
        <v>5.3932488239641634E-4</v>
      </c>
      <c r="T424" s="85">
        <f t="shared" si="286"/>
        <v>1</v>
      </c>
    </row>
    <row r="425" spans="1:20" collapsed="1">
      <c r="A425" s="113" t="s">
        <v>1830</v>
      </c>
      <c r="B425" s="105">
        <f t="shared" ref="B425:G425" si="318">SUM(B422:B424)</f>
        <v>788535</v>
      </c>
      <c r="C425" s="106">
        <f t="shared" si="318"/>
        <v>788534</v>
      </c>
      <c r="D425" s="107">
        <f t="shared" si="318"/>
        <v>1577069</v>
      </c>
      <c r="E425" s="114">
        <f t="shared" si="318"/>
        <v>884263</v>
      </c>
      <c r="F425" s="115">
        <f t="shared" si="318"/>
        <v>884262</v>
      </c>
      <c r="G425" s="107">
        <f t="shared" si="318"/>
        <v>1768525</v>
      </c>
      <c r="H425" s="105">
        <f t="shared" ref="H425" si="319">SUM(H422:H424)</f>
        <v>191456</v>
      </c>
      <c r="I425" s="449">
        <f t="shared" si="288"/>
        <v>0.12139988802011834</v>
      </c>
      <c r="J425" s="454">
        <f t="shared" si="308"/>
        <v>1.5187904855051102E-3</v>
      </c>
      <c r="K425" s="405">
        <f t="shared" ref="K425:Q425" si="320">SUM(K422:K424)</f>
        <v>788535</v>
      </c>
      <c r="L425" s="106">
        <f t="shared" si="320"/>
        <v>788534</v>
      </c>
      <c r="M425" s="107">
        <f t="shared" si="320"/>
        <v>1577069</v>
      </c>
      <c r="N425" s="114">
        <f t="shared" si="320"/>
        <v>884263</v>
      </c>
      <c r="O425" s="115">
        <f t="shared" si="320"/>
        <v>884262</v>
      </c>
      <c r="P425" s="107">
        <f t="shared" si="320"/>
        <v>1768525</v>
      </c>
      <c r="Q425" s="105">
        <f t="shared" si="320"/>
        <v>191456</v>
      </c>
      <c r="R425" s="108">
        <f t="shared" si="294"/>
        <v>0.12139988802011834</v>
      </c>
      <c r="S425" s="109">
        <f t="shared" si="309"/>
        <v>1.5187904855051102E-3</v>
      </c>
      <c r="T425" s="109">
        <f t="shared" si="286"/>
        <v>1</v>
      </c>
    </row>
    <row r="426" spans="1:20" ht="25.5" hidden="1" outlineLevel="1">
      <c r="A426" s="79" t="s">
        <v>1433</v>
      </c>
      <c r="B426" s="86">
        <f>INDEX(Data!1951:1951,1,$U$1-2)</f>
        <v>41784966</v>
      </c>
      <c r="C426" s="87">
        <f>INDEX(Data!1951:1951,1,$U$1-1)</f>
        <v>41784966</v>
      </c>
      <c r="D426" s="88">
        <f t="shared" ref="D426:D434" si="321">B426+C426</f>
        <v>83569932</v>
      </c>
      <c r="E426" s="89">
        <f>INDEX(Data!1951:1951,1,$U$1)</f>
        <v>2307632</v>
      </c>
      <c r="F426" s="90">
        <f>INDEX(Data!1951:1951,1,$U$1+1)</f>
        <v>2307632</v>
      </c>
      <c r="G426" s="88">
        <f t="shared" ref="G426:G434" si="322">E426+F426</f>
        <v>4615264</v>
      </c>
      <c r="H426" s="86">
        <f t="shared" ref="H426:H434" si="323">G426-D426</f>
        <v>-78954668</v>
      </c>
      <c r="I426" s="447">
        <f t="shared" si="288"/>
        <v>-0.94477362982657442</v>
      </c>
      <c r="J426" s="453">
        <f t="shared" si="308"/>
        <v>3.9635397018952271E-3</v>
      </c>
      <c r="K426" s="91">
        <f t="shared" ref="K426:L434" si="324">B426</f>
        <v>41784966</v>
      </c>
      <c r="L426" s="87">
        <f t="shared" si="324"/>
        <v>41784966</v>
      </c>
      <c r="M426" s="88">
        <f t="shared" ref="M426:M434" si="325">K426+L426</f>
        <v>83569932</v>
      </c>
      <c r="N426" s="89">
        <f t="shared" ref="N426:O434" si="326">E426</f>
        <v>2307632</v>
      </c>
      <c r="O426" s="90">
        <f t="shared" si="326"/>
        <v>2307632</v>
      </c>
      <c r="P426" s="88">
        <f t="shared" ref="P426:P434" si="327">N426+O426</f>
        <v>4615264</v>
      </c>
      <c r="Q426" s="86">
        <f t="shared" ref="Q426:Q434" si="328">P426-M426</f>
        <v>-78954668</v>
      </c>
      <c r="R426" s="84">
        <f t="shared" si="294"/>
        <v>-0.94477362982657442</v>
      </c>
      <c r="S426" s="85">
        <f t="shared" si="309"/>
        <v>3.9635397018952271E-3</v>
      </c>
      <c r="T426" s="85">
        <f t="shared" si="286"/>
        <v>1</v>
      </c>
    </row>
    <row r="427" spans="1:20" ht="25.5" hidden="1" outlineLevel="1">
      <c r="A427" s="79" t="s">
        <v>1434</v>
      </c>
      <c r="B427" s="86">
        <f>INDEX(Data!1960:1960,1,$U$1-2)</f>
        <v>7599726</v>
      </c>
      <c r="C427" s="87">
        <f>INDEX(Data!1960:1960,1,$U$1-1)</f>
        <v>7599726</v>
      </c>
      <c r="D427" s="88">
        <f t="shared" si="321"/>
        <v>15199452</v>
      </c>
      <c r="E427" s="89">
        <f>INDEX(Data!1960:1960,1,$U$1)</f>
        <v>8016617</v>
      </c>
      <c r="F427" s="90">
        <f>INDEX(Data!1960:1960,1,$U$1+1)</f>
        <v>8016617</v>
      </c>
      <c r="G427" s="88">
        <f t="shared" si="322"/>
        <v>16033234</v>
      </c>
      <c r="H427" s="86">
        <f t="shared" si="323"/>
        <v>833782</v>
      </c>
      <c r="I427" s="447">
        <f t="shared" si="288"/>
        <v>5.4856056652568791E-2</v>
      </c>
      <c r="J427" s="453">
        <f t="shared" si="308"/>
        <v>1.3769171061238625E-2</v>
      </c>
      <c r="K427" s="91">
        <f t="shared" si="324"/>
        <v>7599726</v>
      </c>
      <c r="L427" s="87">
        <f t="shared" si="324"/>
        <v>7599726</v>
      </c>
      <c r="M427" s="88">
        <f t="shared" si="325"/>
        <v>15199452</v>
      </c>
      <c r="N427" s="89">
        <f t="shared" si="326"/>
        <v>8016617</v>
      </c>
      <c r="O427" s="90">
        <f t="shared" si="326"/>
        <v>8016617</v>
      </c>
      <c r="P427" s="88">
        <f t="shared" si="327"/>
        <v>16033234</v>
      </c>
      <c r="Q427" s="86">
        <f t="shared" si="328"/>
        <v>833782</v>
      </c>
      <c r="R427" s="84">
        <f t="shared" si="294"/>
        <v>5.4856056652568791E-2</v>
      </c>
      <c r="S427" s="85">
        <f t="shared" si="309"/>
        <v>1.3769171061238625E-2</v>
      </c>
      <c r="T427" s="85">
        <f t="shared" si="286"/>
        <v>1</v>
      </c>
    </row>
    <row r="428" spans="1:20" ht="25.5" hidden="1" outlineLevel="1">
      <c r="A428" s="79" t="s">
        <v>1435</v>
      </c>
      <c r="B428" s="86">
        <f>INDEX(Data!1975:1975,1,$U$1-2)</f>
        <v>23633535</v>
      </c>
      <c r="C428" s="87">
        <f>INDEX(Data!1975:1975,1,$U$1-1)</f>
        <v>22633535</v>
      </c>
      <c r="D428" s="88">
        <f t="shared" si="321"/>
        <v>46267070</v>
      </c>
      <c r="E428" s="89">
        <f>INDEX(Data!1975:1975,1,$U$1)</f>
        <v>17395455</v>
      </c>
      <c r="F428" s="90">
        <f>INDEX(Data!1975:1975,1,$U$1+1)</f>
        <v>17395455</v>
      </c>
      <c r="G428" s="88">
        <f t="shared" si="322"/>
        <v>34790910</v>
      </c>
      <c r="H428" s="86">
        <f t="shared" si="323"/>
        <v>-11476160</v>
      </c>
      <c r="I428" s="447">
        <f t="shared" si="288"/>
        <v>-0.24804164171191304</v>
      </c>
      <c r="J428" s="453">
        <f t="shared" si="308"/>
        <v>2.9878063974252328E-2</v>
      </c>
      <c r="K428" s="91">
        <f t="shared" si="324"/>
        <v>23633535</v>
      </c>
      <c r="L428" s="87">
        <f t="shared" si="324"/>
        <v>22633535</v>
      </c>
      <c r="M428" s="88">
        <f t="shared" si="325"/>
        <v>46267070</v>
      </c>
      <c r="N428" s="89">
        <f t="shared" si="326"/>
        <v>17395455</v>
      </c>
      <c r="O428" s="90">
        <f t="shared" si="326"/>
        <v>17395455</v>
      </c>
      <c r="P428" s="88">
        <f t="shared" si="327"/>
        <v>34790910</v>
      </c>
      <c r="Q428" s="86">
        <f t="shared" si="328"/>
        <v>-11476160</v>
      </c>
      <c r="R428" s="84">
        <f t="shared" si="294"/>
        <v>-0.24804164171191304</v>
      </c>
      <c r="S428" s="85">
        <f t="shared" si="309"/>
        <v>2.9878063974252328E-2</v>
      </c>
      <c r="T428" s="85">
        <f t="shared" si="286"/>
        <v>1</v>
      </c>
    </row>
    <row r="429" spans="1:20" ht="25.5" hidden="1" outlineLevel="1">
      <c r="A429" s="79" t="s">
        <v>1436</v>
      </c>
      <c r="B429" s="86">
        <f>INDEX(Data!1988:1988,1,$U$1-2)</f>
        <v>16310635</v>
      </c>
      <c r="C429" s="87">
        <f>INDEX(Data!1988:1988,1,$U$1-1)</f>
        <v>16310635</v>
      </c>
      <c r="D429" s="88">
        <f t="shared" si="321"/>
        <v>32621270</v>
      </c>
      <c r="E429" s="89">
        <f>INDEX(Data!1988:1988,1,$U$1)</f>
        <v>10836635</v>
      </c>
      <c r="F429" s="90">
        <f>INDEX(Data!1988:1988,1,$U$1+1)</f>
        <v>10836635</v>
      </c>
      <c r="G429" s="88">
        <f t="shared" si="322"/>
        <v>21673270</v>
      </c>
      <c r="H429" s="86">
        <f t="shared" si="323"/>
        <v>-10948000</v>
      </c>
      <c r="I429" s="447">
        <f t="shared" si="288"/>
        <v>-0.33560925126458901</v>
      </c>
      <c r="J429" s="453">
        <f t="shared" si="308"/>
        <v>1.8612774072056283E-2</v>
      </c>
      <c r="K429" s="91">
        <f t="shared" si="324"/>
        <v>16310635</v>
      </c>
      <c r="L429" s="87">
        <f t="shared" si="324"/>
        <v>16310635</v>
      </c>
      <c r="M429" s="88">
        <f t="shared" si="325"/>
        <v>32621270</v>
      </c>
      <c r="N429" s="89">
        <f t="shared" si="326"/>
        <v>10836635</v>
      </c>
      <c r="O429" s="90">
        <f t="shared" si="326"/>
        <v>10836635</v>
      </c>
      <c r="P429" s="88">
        <f t="shared" si="327"/>
        <v>21673270</v>
      </c>
      <c r="Q429" s="86">
        <f t="shared" si="328"/>
        <v>-10948000</v>
      </c>
      <c r="R429" s="84">
        <f t="shared" si="294"/>
        <v>-0.33560925126458901</v>
      </c>
      <c r="S429" s="85">
        <f t="shared" si="309"/>
        <v>1.8612774072056283E-2</v>
      </c>
      <c r="T429" s="85">
        <f t="shared" si="286"/>
        <v>1</v>
      </c>
    </row>
    <row r="430" spans="1:20" ht="25.5" hidden="1" outlineLevel="1">
      <c r="A430" s="79" t="s">
        <v>1668</v>
      </c>
      <c r="B430" s="86">
        <f>INDEX(Data!1993:1993,1,$U$1-2)</f>
        <v>21000000</v>
      </c>
      <c r="C430" s="87">
        <f>INDEX(Data!1993:1993,1,$U$1-1)</f>
        <v>21000000</v>
      </c>
      <c r="D430" s="88">
        <f t="shared" ref="D430" si="329">B430+C430</f>
        <v>42000000</v>
      </c>
      <c r="E430" s="89">
        <f>INDEX(Data!1993:1993,1,$U$1)</f>
        <v>22356250</v>
      </c>
      <c r="F430" s="90">
        <f>INDEX(Data!1993:1993,1,$U$1+1)</f>
        <v>22356250</v>
      </c>
      <c r="G430" s="88">
        <f t="shared" ref="G430" si="330">E430+F430</f>
        <v>44712500</v>
      </c>
      <c r="H430" s="86">
        <f t="shared" ref="H430" si="331">G430-D430</f>
        <v>2712500</v>
      </c>
      <c r="I430" s="447">
        <f t="shared" ref="I430" si="332">IFERROR(H430/D430,"")</f>
        <v>6.458333333333334E-2</v>
      </c>
      <c r="J430" s="453">
        <f t="shared" si="308"/>
        <v>3.8398620083486094E-2</v>
      </c>
      <c r="K430" s="91">
        <f t="shared" ref="K430" si="333">B430</f>
        <v>21000000</v>
      </c>
      <c r="L430" s="87">
        <f t="shared" ref="L430" si="334">C430</f>
        <v>21000000</v>
      </c>
      <c r="M430" s="88">
        <f t="shared" ref="M430" si="335">K430+L430</f>
        <v>42000000</v>
      </c>
      <c r="N430" s="89">
        <f t="shared" ref="N430" si="336">E430</f>
        <v>22356250</v>
      </c>
      <c r="O430" s="90">
        <f t="shared" ref="O430" si="337">F430</f>
        <v>22356250</v>
      </c>
      <c r="P430" s="88">
        <f t="shared" ref="P430" si="338">N430+O430</f>
        <v>44712500</v>
      </c>
      <c r="Q430" s="86">
        <f t="shared" ref="Q430" si="339">P430-M430</f>
        <v>2712500</v>
      </c>
      <c r="R430" s="84">
        <f t="shared" ref="R430" si="340">IFERROR(Q430/M430,"")</f>
        <v>6.458333333333334E-2</v>
      </c>
      <c r="S430" s="85">
        <f t="shared" si="309"/>
        <v>3.8398620083486094E-2</v>
      </c>
      <c r="T430" s="85">
        <f t="shared" ref="T430" si="341">IFERROR(P430/G430,"")</f>
        <v>1</v>
      </c>
    </row>
    <row r="431" spans="1:20" ht="25.5" hidden="1" outlineLevel="1">
      <c r="A431" s="79" t="s">
        <v>1437</v>
      </c>
      <c r="B431" s="86">
        <f>INDEX(Data!1998:1998,1,$U$1-2)</f>
        <v>2984849</v>
      </c>
      <c r="C431" s="87">
        <f>INDEX(Data!1998:1998,1,$U$1-1)</f>
        <v>2984850</v>
      </c>
      <c r="D431" s="88">
        <f t="shared" si="321"/>
        <v>5969699</v>
      </c>
      <c r="E431" s="89">
        <f>INDEX(Data!1998:1998,1,$U$1)</f>
        <v>2984849</v>
      </c>
      <c r="F431" s="90">
        <f>INDEX(Data!1998:1998,1,$U$1+1)</f>
        <v>2984850</v>
      </c>
      <c r="G431" s="88">
        <f t="shared" si="322"/>
        <v>5969699</v>
      </c>
      <c r="H431" s="86">
        <f t="shared" si="323"/>
        <v>0</v>
      </c>
      <c r="I431" s="447">
        <f t="shared" si="288"/>
        <v>0</v>
      </c>
      <c r="J431" s="453">
        <f t="shared" si="308"/>
        <v>5.1267140936822331E-3</v>
      </c>
      <c r="K431" s="91">
        <f t="shared" si="324"/>
        <v>2984849</v>
      </c>
      <c r="L431" s="87">
        <f t="shared" si="324"/>
        <v>2984850</v>
      </c>
      <c r="M431" s="88">
        <f t="shared" si="325"/>
        <v>5969699</v>
      </c>
      <c r="N431" s="89">
        <f t="shared" si="326"/>
        <v>2984849</v>
      </c>
      <c r="O431" s="90">
        <f t="shared" si="326"/>
        <v>2984850</v>
      </c>
      <c r="P431" s="88">
        <f t="shared" si="327"/>
        <v>5969699</v>
      </c>
      <c r="Q431" s="86">
        <f t="shared" si="328"/>
        <v>0</v>
      </c>
      <c r="R431" s="84">
        <f t="shared" si="294"/>
        <v>0</v>
      </c>
      <c r="S431" s="85">
        <f t="shared" si="309"/>
        <v>5.1267140936822331E-3</v>
      </c>
      <c r="T431" s="85">
        <f t="shared" si="286"/>
        <v>1</v>
      </c>
    </row>
    <row r="432" spans="1:20" ht="15" hidden="1" customHeight="1" outlineLevel="1">
      <c r="A432" s="79" t="s">
        <v>1438</v>
      </c>
      <c r="B432" s="86">
        <f>INDEX(Data!2005:2005,1,$U$1-2)</f>
        <v>6733263</v>
      </c>
      <c r="C432" s="87">
        <f>INDEX(Data!2005:2005,1,$U$1-1)</f>
        <v>6733263</v>
      </c>
      <c r="D432" s="88">
        <f t="shared" si="321"/>
        <v>13466526</v>
      </c>
      <c r="E432" s="89">
        <f>INDEX(Data!2005:2005,1,$U$1)</f>
        <v>9463263</v>
      </c>
      <c r="F432" s="90">
        <f>INDEX(Data!2005:2005,1,$U$1+1)</f>
        <v>9463263</v>
      </c>
      <c r="G432" s="88">
        <f t="shared" si="322"/>
        <v>18926526</v>
      </c>
      <c r="H432" s="86">
        <f t="shared" si="323"/>
        <v>5460000</v>
      </c>
      <c r="I432" s="447">
        <f t="shared" si="288"/>
        <v>0.4054497796981939</v>
      </c>
      <c r="J432" s="453">
        <f t="shared" si="308"/>
        <v>1.6253899499563247E-2</v>
      </c>
      <c r="K432" s="91">
        <f t="shared" si="324"/>
        <v>6733263</v>
      </c>
      <c r="L432" s="87">
        <f t="shared" si="324"/>
        <v>6733263</v>
      </c>
      <c r="M432" s="88">
        <f t="shared" si="325"/>
        <v>13466526</v>
      </c>
      <c r="N432" s="89">
        <f t="shared" si="326"/>
        <v>9463263</v>
      </c>
      <c r="O432" s="90">
        <f t="shared" si="326"/>
        <v>9463263</v>
      </c>
      <c r="P432" s="88">
        <f t="shared" si="327"/>
        <v>18926526</v>
      </c>
      <c r="Q432" s="86">
        <f t="shared" si="328"/>
        <v>5460000</v>
      </c>
      <c r="R432" s="84">
        <f t="shared" si="294"/>
        <v>0.4054497796981939</v>
      </c>
      <c r="S432" s="85">
        <f t="shared" si="309"/>
        <v>1.6253899499563247E-2</v>
      </c>
      <c r="T432" s="85">
        <f t="shared" si="286"/>
        <v>1</v>
      </c>
    </row>
    <row r="433" spans="1:20" ht="25.5" hidden="1" outlineLevel="1">
      <c r="A433" s="79" t="s">
        <v>1439</v>
      </c>
      <c r="B433" s="86">
        <f>INDEX(Data!2016:2016,1,$U$1-2)</f>
        <v>24088732</v>
      </c>
      <c r="C433" s="87">
        <f>INDEX(Data!2016:2016,1,$U$1-1)</f>
        <v>24088732</v>
      </c>
      <c r="D433" s="88">
        <f t="shared" si="321"/>
        <v>48177464</v>
      </c>
      <c r="E433" s="89">
        <f>INDEX(Data!2016:2016,1,$U$1)</f>
        <v>24088732</v>
      </c>
      <c r="F433" s="90">
        <f>INDEX(Data!2016:2016,1,$U$1+1)</f>
        <v>24088732</v>
      </c>
      <c r="G433" s="88">
        <f t="shared" si="322"/>
        <v>48177464</v>
      </c>
      <c r="H433" s="86">
        <f t="shared" si="323"/>
        <v>0</v>
      </c>
      <c r="I433" s="447">
        <f t="shared" si="288"/>
        <v>0</v>
      </c>
      <c r="J433" s="453">
        <f t="shared" si="308"/>
        <v>4.137429436336211E-2</v>
      </c>
      <c r="K433" s="91">
        <f t="shared" si="324"/>
        <v>24088732</v>
      </c>
      <c r="L433" s="87">
        <f t="shared" si="324"/>
        <v>24088732</v>
      </c>
      <c r="M433" s="88">
        <f t="shared" si="325"/>
        <v>48177464</v>
      </c>
      <c r="N433" s="89">
        <f t="shared" si="326"/>
        <v>24088732</v>
      </c>
      <c r="O433" s="90">
        <f t="shared" si="326"/>
        <v>24088732</v>
      </c>
      <c r="P433" s="88">
        <f t="shared" si="327"/>
        <v>48177464</v>
      </c>
      <c r="Q433" s="86">
        <f t="shared" si="328"/>
        <v>0</v>
      </c>
      <c r="R433" s="84">
        <f t="shared" si="294"/>
        <v>0</v>
      </c>
      <c r="S433" s="85">
        <f t="shared" si="309"/>
        <v>4.137429436336211E-2</v>
      </c>
      <c r="T433" s="85">
        <f t="shared" si="286"/>
        <v>1</v>
      </c>
    </row>
    <row r="434" spans="1:20" ht="25.5" hidden="1" outlineLevel="1">
      <c r="A434" s="79" t="s">
        <v>1440</v>
      </c>
      <c r="B434" s="86">
        <f>INDEX(Data!2026:2026,1,$U$1-2)</f>
        <v>8687018</v>
      </c>
      <c r="C434" s="87">
        <f>INDEX(Data!2026:2026,1,$U$1-1)</f>
        <v>8411754</v>
      </c>
      <c r="D434" s="88">
        <f t="shared" si="321"/>
        <v>17098772</v>
      </c>
      <c r="E434" s="89">
        <f>INDEX(Data!2026:2026,1,$U$1)</f>
        <v>16187018</v>
      </c>
      <c r="F434" s="90">
        <f>INDEX(Data!2026:2026,1,$U$1+1)</f>
        <v>15911754</v>
      </c>
      <c r="G434" s="88">
        <f t="shared" si="322"/>
        <v>32098772</v>
      </c>
      <c r="H434" s="86">
        <f t="shared" si="323"/>
        <v>15000000</v>
      </c>
      <c r="I434" s="447">
        <f t="shared" si="288"/>
        <v>0.87725598072189048</v>
      </c>
      <c r="J434" s="453">
        <f t="shared" si="308"/>
        <v>2.7566084454558368E-2</v>
      </c>
      <c r="K434" s="91">
        <f t="shared" si="324"/>
        <v>8687018</v>
      </c>
      <c r="L434" s="87">
        <f t="shared" si="324"/>
        <v>8411754</v>
      </c>
      <c r="M434" s="88">
        <f t="shared" si="325"/>
        <v>17098772</v>
      </c>
      <c r="N434" s="89">
        <f t="shared" si="326"/>
        <v>16187018</v>
      </c>
      <c r="O434" s="90">
        <f t="shared" si="326"/>
        <v>15911754</v>
      </c>
      <c r="P434" s="88">
        <f t="shared" si="327"/>
        <v>32098772</v>
      </c>
      <c r="Q434" s="86">
        <f t="shared" si="328"/>
        <v>15000000</v>
      </c>
      <c r="R434" s="84">
        <f t="shared" si="294"/>
        <v>0.87725598072189048</v>
      </c>
      <c r="S434" s="85">
        <f t="shared" si="309"/>
        <v>2.7566084454558368E-2</v>
      </c>
      <c r="T434" s="85">
        <f t="shared" si="286"/>
        <v>1</v>
      </c>
    </row>
    <row r="435" spans="1:20" ht="25.5" hidden="1" outlineLevel="1">
      <c r="A435" s="79" t="s">
        <v>942</v>
      </c>
      <c r="B435" s="86">
        <f>INDEX(Data!2045:2045,1,$U$1-2)</f>
        <v>16678851</v>
      </c>
      <c r="C435" s="87">
        <f>INDEX(Data!2045:2045,1,$U$1-1)</f>
        <v>16678850</v>
      </c>
      <c r="D435" s="88">
        <f>B435+C435</f>
        <v>33357701</v>
      </c>
      <c r="E435" s="89">
        <f>INDEX(Data!2045:2045,1,$U$1)</f>
        <v>19328853</v>
      </c>
      <c r="F435" s="90">
        <f>INDEX(Data!2045:2045,1,$U$1+1)</f>
        <v>19328852</v>
      </c>
      <c r="G435" s="88">
        <f>E435+F435</f>
        <v>38657705</v>
      </c>
      <c r="H435" s="86">
        <f>G435-D435</f>
        <v>5300004</v>
      </c>
      <c r="I435" s="447">
        <f>IFERROR(H435/D435,"")</f>
        <v>0.15888397105064284</v>
      </c>
      <c r="J435" s="453">
        <f t="shared" si="308"/>
        <v>3.3198826448856154E-2</v>
      </c>
      <c r="K435" s="91">
        <f>B435</f>
        <v>16678851</v>
      </c>
      <c r="L435" s="87">
        <f>C435</f>
        <v>16678850</v>
      </c>
      <c r="M435" s="88">
        <f>K435+L435</f>
        <v>33357701</v>
      </c>
      <c r="N435" s="89">
        <f>E435</f>
        <v>19328853</v>
      </c>
      <c r="O435" s="90">
        <f>F435</f>
        <v>19328852</v>
      </c>
      <c r="P435" s="88">
        <f>N435+O435</f>
        <v>38657705</v>
      </c>
      <c r="Q435" s="86">
        <f>P435-M435</f>
        <v>5300004</v>
      </c>
      <c r="R435" s="84">
        <f>IFERROR(Q435/M435,"")</f>
        <v>0.15888397105064284</v>
      </c>
      <c r="S435" s="85">
        <f t="shared" si="309"/>
        <v>3.3198826448856154E-2</v>
      </c>
      <c r="T435" s="85">
        <f>IFERROR(P435/G435,"")</f>
        <v>1</v>
      </c>
    </row>
    <row r="436" spans="1:20" ht="25.5" hidden="1" outlineLevel="1">
      <c r="A436" s="79" t="s">
        <v>1556</v>
      </c>
      <c r="B436" s="86">
        <f>INDEX(Data!2053:2053,1,$U$1-2)</f>
        <v>29435859</v>
      </c>
      <c r="C436" s="87">
        <f>INDEX(Data!2053:2053,1,$U$1-1)</f>
        <v>29435859</v>
      </c>
      <c r="D436" s="88">
        <f>B436+C436</f>
        <v>58871718</v>
      </c>
      <c r="E436" s="89">
        <f>INDEX(Data!2053:2053,1,$U$1)</f>
        <v>29435860</v>
      </c>
      <c r="F436" s="90">
        <f>INDEX(Data!2053:2053,1,$U$1+1)</f>
        <v>29435860</v>
      </c>
      <c r="G436" s="88">
        <f>E436+F436</f>
        <v>58871720</v>
      </c>
      <c r="H436" s="86">
        <f>G436-D436</f>
        <v>2</v>
      </c>
      <c r="I436" s="447">
        <f>IFERROR(H436/D436,"")</f>
        <v>3.3972169794671189E-8</v>
      </c>
      <c r="J436" s="453">
        <f t="shared" si="308"/>
        <v>5.0558407826477379E-2</v>
      </c>
      <c r="K436" s="91">
        <f>B436</f>
        <v>29435859</v>
      </c>
      <c r="L436" s="87">
        <f>C436</f>
        <v>29435859</v>
      </c>
      <c r="M436" s="88">
        <f>K436+L436</f>
        <v>58871718</v>
      </c>
      <c r="N436" s="89">
        <f>E436</f>
        <v>29435860</v>
      </c>
      <c r="O436" s="90">
        <f>F436</f>
        <v>29435860</v>
      </c>
      <c r="P436" s="88">
        <f>N436+O436</f>
        <v>58871720</v>
      </c>
      <c r="Q436" s="86">
        <f>P436-M436</f>
        <v>2</v>
      </c>
      <c r="R436" s="84">
        <f>IFERROR(Q436/M436,"")</f>
        <v>3.3972169794671189E-8</v>
      </c>
      <c r="S436" s="85">
        <f t="shared" si="309"/>
        <v>5.0558407826477379E-2</v>
      </c>
      <c r="T436" s="85">
        <f>IFERROR(P436/G436,"")</f>
        <v>1</v>
      </c>
    </row>
    <row r="437" spans="1:20" collapsed="1">
      <c r="A437" s="113" t="s">
        <v>806</v>
      </c>
      <c r="B437" s="105">
        <f t="shared" ref="B437:H437" si="342">SUM(B426:B436)</f>
        <v>198937434</v>
      </c>
      <c r="C437" s="106">
        <f t="shared" si="342"/>
        <v>197662170</v>
      </c>
      <c r="D437" s="107">
        <f t="shared" si="342"/>
        <v>396599604</v>
      </c>
      <c r="E437" s="114">
        <f t="shared" si="342"/>
        <v>162401164</v>
      </c>
      <c r="F437" s="115">
        <f t="shared" si="342"/>
        <v>162125900</v>
      </c>
      <c r="G437" s="107">
        <f t="shared" si="342"/>
        <v>324527064</v>
      </c>
      <c r="H437" s="105">
        <f t="shared" si="342"/>
        <v>-72072540</v>
      </c>
      <c r="I437" s="449">
        <f t="shared" si="288"/>
        <v>-0.1817262026313067</v>
      </c>
      <c r="J437" s="454">
        <f t="shared" si="308"/>
        <v>0.27870039557942805</v>
      </c>
      <c r="K437" s="405">
        <f t="shared" ref="K437:Q437" si="343">SUM(K426:K436)</f>
        <v>198937434</v>
      </c>
      <c r="L437" s="106">
        <f t="shared" si="343"/>
        <v>197662170</v>
      </c>
      <c r="M437" s="107">
        <f t="shared" si="343"/>
        <v>396599604</v>
      </c>
      <c r="N437" s="114">
        <f t="shared" si="343"/>
        <v>162401164</v>
      </c>
      <c r="O437" s="115">
        <f t="shared" si="343"/>
        <v>162125900</v>
      </c>
      <c r="P437" s="107">
        <f t="shared" si="343"/>
        <v>324527064</v>
      </c>
      <c r="Q437" s="105">
        <f t="shared" si="343"/>
        <v>-72072540</v>
      </c>
      <c r="R437" s="108">
        <f t="shared" si="294"/>
        <v>-0.1817262026313067</v>
      </c>
      <c r="S437" s="109">
        <f t="shared" si="309"/>
        <v>0.27870039557942805</v>
      </c>
      <c r="T437" s="109">
        <f t="shared" si="286"/>
        <v>1</v>
      </c>
    </row>
    <row r="438" spans="1:20" ht="17.25" hidden="1" customHeight="1" outlineLevel="1">
      <c r="A438" s="79" t="s">
        <v>1442</v>
      </c>
      <c r="B438" s="86">
        <f>INDEX(Data!2084:2084,1,$U$1-2)</f>
        <v>631855</v>
      </c>
      <c r="C438" s="87">
        <f>INDEX(Data!2084:2084,1,$U$1-1)</f>
        <v>631855</v>
      </c>
      <c r="D438" s="88">
        <f>B438+C438</f>
        <v>1263710</v>
      </c>
      <c r="E438" s="89">
        <f>INDEX(Data!2084:2084,1,$U$1)</f>
        <v>631855</v>
      </c>
      <c r="F438" s="90">
        <f>INDEX(Data!2084:2084,1,$U$1+1)</f>
        <v>631855</v>
      </c>
      <c r="G438" s="88">
        <f>E438+F438</f>
        <v>1263710</v>
      </c>
      <c r="H438" s="86">
        <f t="shared" ref="H438:H441" si="344">G438-D438</f>
        <v>0</v>
      </c>
      <c r="I438" s="447">
        <f t="shared" si="288"/>
        <v>0</v>
      </c>
      <c r="J438" s="453">
        <f t="shared" si="308"/>
        <v>1.0852607254280618E-3</v>
      </c>
      <c r="K438" s="91">
        <f t="shared" ref="K438:L441" si="345">B438</f>
        <v>631855</v>
      </c>
      <c r="L438" s="87">
        <f t="shared" si="345"/>
        <v>631855</v>
      </c>
      <c r="M438" s="88">
        <f t="shared" ref="M438:M441" si="346">K438+L438</f>
        <v>1263710</v>
      </c>
      <c r="N438" s="89">
        <f t="shared" ref="N438:O441" si="347">E438</f>
        <v>631855</v>
      </c>
      <c r="O438" s="90">
        <f t="shared" si="347"/>
        <v>631855</v>
      </c>
      <c r="P438" s="88">
        <f t="shared" ref="P438:P441" si="348">N438+O438</f>
        <v>1263710</v>
      </c>
      <c r="Q438" s="86">
        <f t="shared" ref="Q438:Q441" si="349">P438-M438</f>
        <v>0</v>
      </c>
      <c r="R438" s="84">
        <f t="shared" si="294"/>
        <v>0</v>
      </c>
      <c r="S438" s="85">
        <f t="shared" si="309"/>
        <v>1.0852607254280618E-3</v>
      </c>
      <c r="T438" s="85">
        <f t="shared" si="286"/>
        <v>1</v>
      </c>
    </row>
    <row r="439" spans="1:20" ht="25.5" hidden="1" outlineLevel="1">
      <c r="A439" s="79" t="s">
        <v>1443</v>
      </c>
      <c r="B439" s="86">
        <f>INDEX(Data!2086:2086,1,$U$1-2)</f>
        <v>770446</v>
      </c>
      <c r="C439" s="87">
        <f>INDEX(Data!2086:2086,1,$U$1-1)</f>
        <v>770445</v>
      </c>
      <c r="D439" s="88">
        <f>B439+C439</f>
        <v>1540891</v>
      </c>
      <c r="E439" s="89">
        <f>INDEX(Data!2086:2086,1,$U$1)</f>
        <v>773986</v>
      </c>
      <c r="F439" s="90">
        <f>INDEX(Data!2086:2086,1,$U$1+1)</f>
        <v>773984</v>
      </c>
      <c r="G439" s="88">
        <f>E439+F439</f>
        <v>1547970</v>
      </c>
      <c r="H439" s="86">
        <f t="shared" si="344"/>
        <v>7079</v>
      </c>
      <c r="I439" s="447">
        <f t="shared" si="288"/>
        <v>4.5940952345104227E-3</v>
      </c>
      <c r="J439" s="453">
        <f t="shared" si="308"/>
        <v>1.3293801941433373E-3</v>
      </c>
      <c r="K439" s="91">
        <f t="shared" si="345"/>
        <v>770446</v>
      </c>
      <c r="L439" s="87">
        <f t="shared" si="345"/>
        <v>770445</v>
      </c>
      <c r="M439" s="88">
        <f t="shared" si="346"/>
        <v>1540891</v>
      </c>
      <c r="N439" s="89">
        <f t="shared" si="347"/>
        <v>773986</v>
      </c>
      <c r="O439" s="90">
        <f t="shared" si="347"/>
        <v>773984</v>
      </c>
      <c r="P439" s="88">
        <f t="shared" si="348"/>
        <v>1547970</v>
      </c>
      <c r="Q439" s="86">
        <f t="shared" si="349"/>
        <v>7079</v>
      </c>
      <c r="R439" s="84">
        <f t="shared" si="294"/>
        <v>4.5940952345104227E-3</v>
      </c>
      <c r="S439" s="85">
        <f t="shared" si="309"/>
        <v>1.3293801941433373E-3</v>
      </c>
      <c r="T439" s="85">
        <f t="shared" si="286"/>
        <v>1</v>
      </c>
    </row>
    <row r="440" spans="1:20" hidden="1" outlineLevel="1">
      <c r="A440" s="79" t="s">
        <v>1444</v>
      </c>
      <c r="B440" s="86">
        <f>INDEX(Data!2088:2088,1,$U$1-2)</f>
        <v>547975</v>
      </c>
      <c r="C440" s="87">
        <f>INDEX(Data!2088:2088,1,$U$1-1)</f>
        <v>547974</v>
      </c>
      <c r="D440" s="88">
        <f>B440+C440</f>
        <v>1095949</v>
      </c>
      <c r="E440" s="89">
        <f>INDEX(Data!2088:2088,1,$U$1)</f>
        <v>547975</v>
      </c>
      <c r="F440" s="90">
        <f>INDEX(Data!2088:2088,1,$U$1+1)</f>
        <v>547974</v>
      </c>
      <c r="G440" s="88">
        <f>E440+F440</f>
        <v>1095949</v>
      </c>
      <c r="H440" s="86">
        <f t="shared" si="344"/>
        <v>0</v>
      </c>
      <c r="I440" s="447">
        <f t="shared" si="288"/>
        <v>0</v>
      </c>
      <c r="J440" s="453">
        <f t="shared" si="308"/>
        <v>9.4118936051163545E-4</v>
      </c>
      <c r="K440" s="91">
        <f t="shared" si="345"/>
        <v>547975</v>
      </c>
      <c r="L440" s="87">
        <f t="shared" si="345"/>
        <v>547974</v>
      </c>
      <c r="M440" s="88">
        <f t="shared" si="346"/>
        <v>1095949</v>
      </c>
      <c r="N440" s="89">
        <f t="shared" si="347"/>
        <v>547975</v>
      </c>
      <c r="O440" s="90">
        <f t="shared" si="347"/>
        <v>547974</v>
      </c>
      <c r="P440" s="88">
        <f t="shared" si="348"/>
        <v>1095949</v>
      </c>
      <c r="Q440" s="86">
        <f t="shared" si="349"/>
        <v>0</v>
      </c>
      <c r="R440" s="84">
        <f t="shared" si="294"/>
        <v>0</v>
      </c>
      <c r="S440" s="85">
        <f t="shared" si="309"/>
        <v>9.4118936051163545E-4</v>
      </c>
      <c r="T440" s="85">
        <f t="shared" si="286"/>
        <v>1</v>
      </c>
    </row>
    <row r="441" spans="1:20" hidden="1" outlineLevel="1">
      <c r="A441" s="79" t="s">
        <v>1445</v>
      </c>
      <c r="B441" s="86">
        <f>INDEX(Data!2091:2091,1,$U$1-2)</f>
        <v>689724</v>
      </c>
      <c r="C441" s="87">
        <f>INDEX(Data!2091:2091,1,$U$1-1)</f>
        <v>689724</v>
      </c>
      <c r="D441" s="88">
        <f>B441+C441</f>
        <v>1379448</v>
      </c>
      <c r="E441" s="89">
        <f>INDEX(Data!2091:2091,1,$U$1)</f>
        <v>689724</v>
      </c>
      <c r="F441" s="90">
        <f>INDEX(Data!2091:2091,1,$U$1+1)</f>
        <v>689724</v>
      </c>
      <c r="G441" s="88">
        <f>E441+F441</f>
        <v>1379448</v>
      </c>
      <c r="H441" s="86">
        <f t="shared" si="344"/>
        <v>0</v>
      </c>
      <c r="I441" s="447">
        <f t="shared" si="288"/>
        <v>0</v>
      </c>
      <c r="J441" s="453">
        <f t="shared" si="308"/>
        <v>1.1846552905099184E-3</v>
      </c>
      <c r="K441" s="91">
        <f t="shared" si="345"/>
        <v>689724</v>
      </c>
      <c r="L441" s="87">
        <f t="shared" si="345"/>
        <v>689724</v>
      </c>
      <c r="M441" s="88">
        <f t="shared" si="346"/>
        <v>1379448</v>
      </c>
      <c r="N441" s="89">
        <f t="shared" si="347"/>
        <v>689724</v>
      </c>
      <c r="O441" s="90">
        <f t="shared" si="347"/>
        <v>689724</v>
      </c>
      <c r="P441" s="88">
        <f t="shared" si="348"/>
        <v>1379448</v>
      </c>
      <c r="Q441" s="86">
        <f t="shared" si="349"/>
        <v>0</v>
      </c>
      <c r="R441" s="84">
        <f t="shared" si="294"/>
        <v>0</v>
      </c>
      <c r="S441" s="85">
        <f t="shared" si="309"/>
        <v>1.1846552905099184E-3</v>
      </c>
      <c r="T441" s="85">
        <f t="shared" si="286"/>
        <v>1</v>
      </c>
    </row>
    <row r="442" spans="1:20" collapsed="1">
      <c r="A442" s="113" t="s">
        <v>807</v>
      </c>
      <c r="B442" s="105">
        <f t="shared" ref="B442:G442" si="350">SUM(B438:B441)</f>
        <v>2640000</v>
      </c>
      <c r="C442" s="106">
        <f t="shared" si="350"/>
        <v>2639998</v>
      </c>
      <c r="D442" s="107">
        <f t="shared" si="350"/>
        <v>5279998</v>
      </c>
      <c r="E442" s="114">
        <f t="shared" si="350"/>
        <v>2643540</v>
      </c>
      <c r="F442" s="115">
        <f t="shared" si="350"/>
        <v>2643537</v>
      </c>
      <c r="G442" s="107">
        <f t="shared" si="350"/>
        <v>5287077</v>
      </c>
      <c r="H442" s="105">
        <f t="shared" ref="H442" si="351">SUM(H438:H441)</f>
        <v>7079</v>
      </c>
      <c r="I442" s="449">
        <f t="shared" si="288"/>
        <v>1.3407202048182595E-3</v>
      </c>
      <c r="J442" s="454">
        <f t="shared" si="308"/>
        <v>4.5404855705929526E-3</v>
      </c>
      <c r="K442" s="405">
        <f t="shared" ref="K442:Q442" si="352">SUM(K438:K441)</f>
        <v>2640000</v>
      </c>
      <c r="L442" s="106">
        <f t="shared" si="352"/>
        <v>2639998</v>
      </c>
      <c r="M442" s="107">
        <f t="shared" si="352"/>
        <v>5279998</v>
      </c>
      <c r="N442" s="114">
        <f t="shared" si="352"/>
        <v>2643540</v>
      </c>
      <c r="O442" s="115">
        <f t="shared" si="352"/>
        <v>2643537</v>
      </c>
      <c r="P442" s="107">
        <f t="shared" si="352"/>
        <v>5287077</v>
      </c>
      <c r="Q442" s="105">
        <f t="shared" si="352"/>
        <v>7079</v>
      </c>
      <c r="R442" s="108">
        <f t="shared" si="294"/>
        <v>1.3407202048182595E-3</v>
      </c>
      <c r="S442" s="109">
        <f t="shared" si="309"/>
        <v>4.5404855705929526E-3</v>
      </c>
      <c r="T442" s="109">
        <f t="shared" si="286"/>
        <v>1</v>
      </c>
    </row>
    <row r="443" spans="1:20" hidden="1" outlineLevel="1">
      <c r="A443" s="79" t="s">
        <v>1446</v>
      </c>
      <c r="B443" s="86">
        <f>INDEX(Data!2107:2107,1,$U$1-2)</f>
        <v>1428701</v>
      </c>
      <c r="C443" s="87">
        <f>INDEX(Data!2107:2107,1,$U$1-1)</f>
        <v>1428698</v>
      </c>
      <c r="D443" s="88">
        <f>B443+C443</f>
        <v>2857399</v>
      </c>
      <c r="E443" s="89">
        <f>INDEX(Data!2107:2107,1,$U$1)</f>
        <v>1959480</v>
      </c>
      <c r="F443" s="90">
        <f>INDEX(Data!2107:2107,1,$U$1+1)</f>
        <v>1959478</v>
      </c>
      <c r="G443" s="88">
        <f>E443+F443</f>
        <v>3918958</v>
      </c>
      <c r="H443" s="86">
        <f t="shared" ref="H443:H445" si="353">G443-D443</f>
        <v>1061559</v>
      </c>
      <c r="I443" s="447">
        <f t="shared" si="288"/>
        <v>0.37151234391836774</v>
      </c>
      <c r="J443" s="453">
        <f t="shared" si="308"/>
        <v>3.3655595049513782E-3</v>
      </c>
      <c r="K443" s="91">
        <f t="shared" ref="K443:L445" si="354">B443</f>
        <v>1428701</v>
      </c>
      <c r="L443" s="87">
        <f t="shared" si="354"/>
        <v>1428698</v>
      </c>
      <c r="M443" s="88">
        <f t="shared" ref="M443:M445" si="355">K443+L443</f>
        <v>2857399</v>
      </c>
      <c r="N443" s="89">
        <f t="shared" ref="N443:O445" si="356">E443</f>
        <v>1959480</v>
      </c>
      <c r="O443" s="90">
        <f t="shared" si="356"/>
        <v>1959478</v>
      </c>
      <c r="P443" s="88">
        <f t="shared" ref="P443:P445" si="357">N443+O443</f>
        <v>3918958</v>
      </c>
      <c r="Q443" s="86">
        <f t="shared" ref="Q443:Q445" si="358">P443-M443</f>
        <v>1061559</v>
      </c>
      <c r="R443" s="84">
        <f t="shared" si="294"/>
        <v>0.37151234391836774</v>
      </c>
      <c r="S443" s="85">
        <f t="shared" si="309"/>
        <v>3.3655595049513782E-3</v>
      </c>
      <c r="T443" s="85">
        <f t="shared" si="286"/>
        <v>1</v>
      </c>
    </row>
    <row r="444" spans="1:20" hidden="1" outlineLevel="1">
      <c r="A444" s="79" t="s">
        <v>1447</v>
      </c>
      <c r="B444" s="86">
        <f>INDEX(Data!2111:2111,1,$U$1-2)</f>
        <v>1831297</v>
      </c>
      <c r="C444" s="87">
        <f>INDEX(Data!2111:2111,1,$U$1-1)</f>
        <v>1831296</v>
      </c>
      <c r="D444" s="88">
        <f>B444+C444</f>
        <v>3662593</v>
      </c>
      <c r="E444" s="89">
        <f>INDEX(Data!2111:2111,1,$U$1)</f>
        <v>2232107</v>
      </c>
      <c r="F444" s="90">
        <f>INDEX(Data!2111:2111,1,$U$1+1)</f>
        <v>2232105</v>
      </c>
      <c r="G444" s="88">
        <f>E444+F444</f>
        <v>4464212</v>
      </c>
      <c r="H444" s="86">
        <f t="shared" si="353"/>
        <v>801619</v>
      </c>
      <c r="I444" s="447">
        <f t="shared" si="288"/>
        <v>0.21886652434491083</v>
      </c>
      <c r="J444" s="453">
        <f t="shared" si="308"/>
        <v>3.8338178487031505E-3</v>
      </c>
      <c r="K444" s="91">
        <f t="shared" si="354"/>
        <v>1831297</v>
      </c>
      <c r="L444" s="87">
        <f t="shared" si="354"/>
        <v>1831296</v>
      </c>
      <c r="M444" s="88">
        <f t="shared" si="355"/>
        <v>3662593</v>
      </c>
      <c r="N444" s="89">
        <f t="shared" si="356"/>
        <v>2232107</v>
      </c>
      <c r="O444" s="90">
        <f t="shared" si="356"/>
        <v>2232105</v>
      </c>
      <c r="P444" s="88">
        <f t="shared" si="357"/>
        <v>4464212</v>
      </c>
      <c r="Q444" s="86">
        <f t="shared" si="358"/>
        <v>801619</v>
      </c>
      <c r="R444" s="84">
        <f t="shared" si="294"/>
        <v>0.21886652434491083</v>
      </c>
      <c r="S444" s="85">
        <f t="shared" si="309"/>
        <v>3.8338178487031505E-3</v>
      </c>
      <c r="T444" s="85">
        <f t="shared" si="286"/>
        <v>1</v>
      </c>
    </row>
    <row r="445" spans="1:20" hidden="1" outlineLevel="1">
      <c r="A445" s="79" t="s">
        <v>1448</v>
      </c>
      <c r="B445" s="86">
        <f>INDEX(Data!2117:2117,1,$U$1-2)</f>
        <v>1351350</v>
      </c>
      <c r="C445" s="87">
        <f>INDEX(Data!2117:2117,1,$U$1-1)</f>
        <v>1351348</v>
      </c>
      <c r="D445" s="88">
        <f>B445+C445</f>
        <v>2702698</v>
      </c>
      <c r="E445" s="89">
        <f>INDEX(Data!2117:2117,1,$U$1)</f>
        <v>2197781</v>
      </c>
      <c r="F445" s="90">
        <f>INDEX(Data!2117:2117,1,$U$1+1)</f>
        <v>2197780</v>
      </c>
      <c r="G445" s="88">
        <f>E445+F445</f>
        <v>4395561</v>
      </c>
      <c r="H445" s="86">
        <f t="shared" si="353"/>
        <v>1692863</v>
      </c>
      <c r="I445" s="447">
        <f t="shared" si="288"/>
        <v>0.6263603998670958</v>
      </c>
      <c r="J445" s="453">
        <f t="shared" si="308"/>
        <v>3.7748610990838852E-3</v>
      </c>
      <c r="K445" s="91">
        <f t="shared" si="354"/>
        <v>1351350</v>
      </c>
      <c r="L445" s="87">
        <f t="shared" si="354"/>
        <v>1351348</v>
      </c>
      <c r="M445" s="88">
        <f t="shared" si="355"/>
        <v>2702698</v>
      </c>
      <c r="N445" s="89">
        <f t="shared" si="356"/>
        <v>2197781</v>
      </c>
      <c r="O445" s="90">
        <f t="shared" si="356"/>
        <v>2197780</v>
      </c>
      <c r="P445" s="88">
        <f t="shared" si="357"/>
        <v>4395561</v>
      </c>
      <c r="Q445" s="86">
        <f t="shared" si="358"/>
        <v>1692863</v>
      </c>
      <c r="R445" s="84">
        <f t="shared" si="294"/>
        <v>0.6263603998670958</v>
      </c>
      <c r="S445" s="85">
        <f t="shared" si="309"/>
        <v>3.7748610990838852E-3</v>
      </c>
      <c r="T445" s="85">
        <f t="shared" si="286"/>
        <v>1</v>
      </c>
    </row>
    <row r="446" spans="1:20" collapsed="1">
      <c r="A446" s="113" t="s">
        <v>808</v>
      </c>
      <c r="B446" s="105">
        <f t="shared" ref="B446:G446" si="359">SUM(B443:B445)</f>
        <v>4611348</v>
      </c>
      <c r="C446" s="106">
        <f t="shared" si="359"/>
        <v>4611342</v>
      </c>
      <c r="D446" s="107">
        <f t="shared" si="359"/>
        <v>9222690</v>
      </c>
      <c r="E446" s="114">
        <f t="shared" si="359"/>
        <v>6389368</v>
      </c>
      <c r="F446" s="115">
        <f t="shared" si="359"/>
        <v>6389363</v>
      </c>
      <c r="G446" s="107">
        <f t="shared" si="359"/>
        <v>12778731</v>
      </c>
      <c r="H446" s="105">
        <f t="shared" ref="H446" si="360">SUM(H443:H445)</f>
        <v>3556041</v>
      </c>
      <c r="I446" s="449">
        <f t="shared" si="288"/>
        <v>0.38557524973733259</v>
      </c>
      <c r="J446" s="454">
        <f t="shared" si="308"/>
        <v>1.0974238452738413E-2</v>
      </c>
      <c r="K446" s="405">
        <f t="shared" ref="K446:Q446" si="361">SUM(K443:K445)</f>
        <v>4611348</v>
      </c>
      <c r="L446" s="106">
        <f t="shared" si="361"/>
        <v>4611342</v>
      </c>
      <c r="M446" s="107">
        <f t="shared" si="361"/>
        <v>9222690</v>
      </c>
      <c r="N446" s="114">
        <f t="shared" si="361"/>
        <v>6389368</v>
      </c>
      <c r="O446" s="115">
        <f t="shared" si="361"/>
        <v>6389363</v>
      </c>
      <c r="P446" s="107">
        <f t="shared" si="361"/>
        <v>12778731</v>
      </c>
      <c r="Q446" s="105">
        <f t="shared" si="361"/>
        <v>3556041</v>
      </c>
      <c r="R446" s="108">
        <f t="shared" si="294"/>
        <v>0.38557524973733259</v>
      </c>
      <c r="S446" s="109">
        <f t="shared" si="309"/>
        <v>1.0974238452738413E-2</v>
      </c>
      <c r="T446" s="109">
        <f t="shared" si="286"/>
        <v>1</v>
      </c>
    </row>
    <row r="447" spans="1:20" hidden="1" outlineLevel="1">
      <c r="A447" s="79" t="s">
        <v>105</v>
      </c>
      <c r="B447" s="86">
        <f>INDEX(Data!2060:2060,1,$U$1-2)</f>
        <v>4998900</v>
      </c>
      <c r="C447" s="87">
        <f>INDEX(Data!2060:2060,1,$U$1-1)</f>
        <v>438900</v>
      </c>
      <c r="D447" s="88">
        <f t="shared" ref="D447:D455" si="362">B447+C447</f>
        <v>5437800</v>
      </c>
      <c r="E447" s="89">
        <f>INDEX(Data!2060:2060,1,$U$1)</f>
        <v>4998900</v>
      </c>
      <c r="F447" s="90">
        <f>INDEX(Data!2060:2060,1,$U$1+1)</f>
        <v>438900</v>
      </c>
      <c r="G447" s="88">
        <f t="shared" ref="G447:G455" si="363">E447+F447</f>
        <v>5437800</v>
      </c>
      <c r="H447" s="86">
        <f t="shared" ref="H447:H455" si="364">G447-D447</f>
        <v>0</v>
      </c>
      <c r="I447" s="447">
        <f t="shared" si="288"/>
        <v>0</v>
      </c>
      <c r="J447" s="453">
        <f t="shared" ref="J447:J454" si="365">IFERROR(G447/G$254,"")</f>
        <v>2.2617271917468534E-4</v>
      </c>
      <c r="K447" s="91">
        <f t="shared" ref="K447:L454" si="366">B447</f>
        <v>4998900</v>
      </c>
      <c r="L447" s="87">
        <f t="shared" si="366"/>
        <v>438900</v>
      </c>
      <c r="M447" s="88">
        <f t="shared" ref="M447:M455" si="367">K447+L447</f>
        <v>5437800</v>
      </c>
      <c r="N447" s="89">
        <f t="shared" ref="N447:O454" si="368">E447</f>
        <v>4998900</v>
      </c>
      <c r="O447" s="90">
        <f t="shared" si="368"/>
        <v>438900</v>
      </c>
      <c r="P447" s="88">
        <f t="shared" ref="P447:P455" si="369">N447+O447</f>
        <v>5437800</v>
      </c>
      <c r="Q447" s="86">
        <f t="shared" ref="Q447:Q455" si="370">P447-M447</f>
        <v>0</v>
      </c>
      <c r="R447" s="84">
        <f t="shared" si="294"/>
        <v>0</v>
      </c>
      <c r="S447" s="85">
        <f t="shared" ref="S447:S454" si="371">IFERROR(P447/P$254,"")</f>
        <v>3.6583121512260089E-4</v>
      </c>
      <c r="T447" s="85">
        <f t="shared" si="286"/>
        <v>1</v>
      </c>
    </row>
    <row r="448" spans="1:20" hidden="1" outlineLevel="1">
      <c r="A448" s="79" t="s">
        <v>106</v>
      </c>
      <c r="B448" s="86">
        <f>INDEX(Data!2062:2062,1,$U$1-2)</f>
        <v>410400</v>
      </c>
      <c r="C448" s="87">
        <f>INDEX(Data!2062:2062,1,$U$1-1)</f>
        <v>410400</v>
      </c>
      <c r="D448" s="88">
        <f t="shared" si="362"/>
        <v>820800</v>
      </c>
      <c r="E448" s="89">
        <f>INDEX(Data!2062:2062,1,$U$1)</f>
        <v>136800</v>
      </c>
      <c r="F448" s="90">
        <f>INDEX(Data!2062:2062,1,$U$1+1)</f>
        <v>0</v>
      </c>
      <c r="G448" s="88">
        <f t="shared" si="363"/>
        <v>136800</v>
      </c>
      <c r="H448" s="86">
        <f t="shared" si="364"/>
        <v>-684000</v>
      </c>
      <c r="I448" s="447">
        <f t="shared" si="288"/>
        <v>-0.83333333333333337</v>
      </c>
      <c r="J448" s="453">
        <f t="shared" si="365"/>
        <v>5.6898797276650405E-6</v>
      </c>
      <c r="K448" s="91">
        <f t="shared" si="366"/>
        <v>410400</v>
      </c>
      <c r="L448" s="87">
        <f t="shared" si="366"/>
        <v>410400</v>
      </c>
      <c r="M448" s="88">
        <f t="shared" si="367"/>
        <v>820800</v>
      </c>
      <c r="N448" s="89">
        <f t="shared" si="368"/>
        <v>136800</v>
      </c>
      <c r="O448" s="90">
        <f t="shared" si="368"/>
        <v>0</v>
      </c>
      <c r="P448" s="88">
        <f t="shared" si="369"/>
        <v>136800</v>
      </c>
      <c r="Q448" s="86">
        <f t="shared" si="370"/>
        <v>-684000</v>
      </c>
      <c r="R448" s="84">
        <f t="shared" si="294"/>
        <v>-0.83333333333333337</v>
      </c>
      <c r="S448" s="85">
        <f t="shared" si="371"/>
        <v>9.203301009373607E-6</v>
      </c>
      <c r="T448" s="85">
        <f t="shared" si="286"/>
        <v>1</v>
      </c>
    </row>
    <row r="449" spans="1:22" hidden="1" outlineLevel="1">
      <c r="A449" s="79" t="s">
        <v>107</v>
      </c>
      <c r="B449" s="86">
        <f>INDEX(Data!2065:2065,1,$U$1-2)</f>
        <v>0</v>
      </c>
      <c r="C449" s="87">
        <f>INDEX(Data!2065:2065,1,$U$1-1)</f>
        <v>0</v>
      </c>
      <c r="D449" s="88">
        <f t="shared" si="362"/>
        <v>0</v>
      </c>
      <c r="E449" s="89">
        <f>INDEX(Data!2065:2065,1,$U$1)</f>
        <v>500000</v>
      </c>
      <c r="F449" s="90">
        <f>INDEX(Data!2065:2065,1,$U$1+1)</f>
        <v>500000</v>
      </c>
      <c r="G449" s="88">
        <f t="shared" si="363"/>
        <v>1000000</v>
      </c>
      <c r="H449" s="86">
        <f t="shared" si="364"/>
        <v>1000000</v>
      </c>
      <c r="I449" s="447" t="str">
        <f t="shared" si="288"/>
        <v/>
      </c>
      <c r="J449" s="453">
        <f t="shared" si="365"/>
        <v>4.1592688067726904E-5</v>
      </c>
      <c r="K449" s="91">
        <f t="shared" si="366"/>
        <v>0</v>
      </c>
      <c r="L449" s="87">
        <f t="shared" si="366"/>
        <v>0</v>
      </c>
      <c r="M449" s="88">
        <f t="shared" si="367"/>
        <v>0</v>
      </c>
      <c r="N449" s="89">
        <f t="shared" si="368"/>
        <v>500000</v>
      </c>
      <c r="O449" s="90">
        <f t="shared" si="368"/>
        <v>500000</v>
      </c>
      <c r="P449" s="88">
        <f t="shared" si="369"/>
        <v>1000000</v>
      </c>
      <c r="Q449" s="86">
        <f t="shared" si="370"/>
        <v>1000000</v>
      </c>
      <c r="R449" s="84" t="str">
        <f t="shared" si="294"/>
        <v/>
      </c>
      <c r="S449" s="85">
        <f t="shared" si="371"/>
        <v>6.7275592173783678E-5</v>
      </c>
      <c r="T449" s="85">
        <f t="shared" ref="T449:T456" si="372">IFERROR(P449/G449,"")</f>
        <v>1</v>
      </c>
    </row>
    <row r="450" spans="1:22" hidden="1" outlineLevel="1">
      <c r="A450" s="79" t="s">
        <v>1406</v>
      </c>
      <c r="B450" s="86">
        <f>INDEX(Data!2070:2070,1,$U$1-2)</f>
        <v>319200</v>
      </c>
      <c r="C450" s="87">
        <f>INDEX(Data!2070:2070,1,$U$1-1)</f>
        <v>319200</v>
      </c>
      <c r="D450" s="88">
        <f t="shared" si="362"/>
        <v>638400</v>
      </c>
      <c r="E450" s="89">
        <f>INDEX(Data!2070:2070,1,$U$1)</f>
        <v>319200</v>
      </c>
      <c r="F450" s="90">
        <f>INDEX(Data!2070:2070,1,$U$1+1)</f>
        <v>319200</v>
      </c>
      <c r="G450" s="88">
        <f t="shared" si="363"/>
        <v>638400</v>
      </c>
      <c r="H450" s="86">
        <f t="shared" si="364"/>
        <v>0</v>
      </c>
      <c r="I450" s="447">
        <f t="shared" ref="I450:I456" si="373">IFERROR(H450/D450,"")</f>
        <v>0</v>
      </c>
      <c r="J450" s="453">
        <f t="shared" si="365"/>
        <v>2.6552772062436856E-5</v>
      </c>
      <c r="K450" s="91">
        <f t="shared" si="366"/>
        <v>319200</v>
      </c>
      <c r="L450" s="87">
        <f t="shared" si="366"/>
        <v>319200</v>
      </c>
      <c r="M450" s="88">
        <f t="shared" si="367"/>
        <v>638400</v>
      </c>
      <c r="N450" s="89">
        <f t="shared" si="368"/>
        <v>319200</v>
      </c>
      <c r="O450" s="90">
        <f t="shared" si="368"/>
        <v>319200</v>
      </c>
      <c r="P450" s="88">
        <f t="shared" si="369"/>
        <v>638400</v>
      </c>
      <c r="Q450" s="86">
        <f t="shared" si="370"/>
        <v>0</v>
      </c>
      <c r="R450" s="84">
        <f t="shared" ref="R450:R456" si="374">IFERROR(Q450/M450,"")</f>
        <v>0</v>
      </c>
      <c r="S450" s="85">
        <f t="shared" si="371"/>
        <v>4.29487380437435E-5</v>
      </c>
      <c r="T450" s="85">
        <f t="shared" si="372"/>
        <v>1</v>
      </c>
    </row>
    <row r="451" spans="1:22" hidden="1" outlineLevel="1">
      <c r="A451" s="79" t="s">
        <v>119</v>
      </c>
      <c r="B451" s="86">
        <f>INDEX(Data!2072:2072,1,$U$1-2)</f>
        <v>325128</v>
      </c>
      <c r="C451" s="87">
        <f>INDEX(Data!2072:2072,1,$U$1-1)</f>
        <v>325128</v>
      </c>
      <c r="D451" s="88">
        <f t="shared" si="362"/>
        <v>650256</v>
      </c>
      <c r="E451" s="89">
        <f>INDEX(Data!2072:2072,1,$U$1)</f>
        <v>325128</v>
      </c>
      <c r="F451" s="90">
        <f>INDEX(Data!2072:2072,1,$U$1+1)</f>
        <v>325128</v>
      </c>
      <c r="G451" s="88">
        <f t="shared" si="363"/>
        <v>650256</v>
      </c>
      <c r="H451" s="86">
        <f t="shared" si="364"/>
        <v>0</v>
      </c>
      <c r="I451" s="447">
        <f t="shared" si="373"/>
        <v>0</v>
      </c>
      <c r="J451" s="453">
        <f t="shared" si="365"/>
        <v>2.7045894972167827E-5</v>
      </c>
      <c r="K451" s="91">
        <f t="shared" si="366"/>
        <v>325128</v>
      </c>
      <c r="L451" s="87">
        <f t="shared" si="366"/>
        <v>325128</v>
      </c>
      <c r="M451" s="88">
        <f t="shared" si="367"/>
        <v>650256</v>
      </c>
      <c r="N451" s="89">
        <f t="shared" si="368"/>
        <v>325128</v>
      </c>
      <c r="O451" s="90">
        <f t="shared" si="368"/>
        <v>325128</v>
      </c>
      <c r="P451" s="88">
        <f t="shared" si="369"/>
        <v>650256</v>
      </c>
      <c r="Q451" s="86">
        <f t="shared" si="370"/>
        <v>0</v>
      </c>
      <c r="R451" s="84">
        <f t="shared" si="374"/>
        <v>0</v>
      </c>
      <c r="S451" s="85">
        <f t="shared" si="371"/>
        <v>4.3746357464555878E-5</v>
      </c>
      <c r="T451" s="85">
        <f t="shared" si="372"/>
        <v>1</v>
      </c>
    </row>
    <row r="452" spans="1:22" hidden="1" outlineLevel="1">
      <c r="A452" s="79" t="s">
        <v>1415</v>
      </c>
      <c r="B452" s="86">
        <f>INDEX(Data!2077:2077,1,$U$1-2)</f>
        <v>3326403</v>
      </c>
      <c r="C452" s="87">
        <f>INDEX(Data!2077:2077,1,$U$1-1)</f>
        <v>3326403</v>
      </c>
      <c r="D452" s="88">
        <f t="shared" si="362"/>
        <v>6652806</v>
      </c>
      <c r="E452" s="89">
        <f>INDEX(Data!2077:2077,1,$U$1)</f>
        <v>3326403</v>
      </c>
      <c r="F452" s="90">
        <f>INDEX(Data!2077:2077,1,$U$1+1)</f>
        <v>3326403</v>
      </c>
      <c r="G452" s="88">
        <f t="shared" si="363"/>
        <v>6652806</v>
      </c>
      <c r="H452" s="86">
        <f t="shared" si="364"/>
        <v>0</v>
      </c>
      <c r="I452" s="447">
        <f t="shared" si="373"/>
        <v>0</v>
      </c>
      <c r="J452" s="453">
        <f t="shared" si="365"/>
        <v>2.7670808473310196E-4</v>
      </c>
      <c r="K452" s="91">
        <f t="shared" si="366"/>
        <v>3326403</v>
      </c>
      <c r="L452" s="87">
        <f t="shared" si="366"/>
        <v>3326403</v>
      </c>
      <c r="M452" s="88">
        <f t="shared" si="367"/>
        <v>6652806</v>
      </c>
      <c r="N452" s="89">
        <f t="shared" si="368"/>
        <v>3326403</v>
      </c>
      <c r="O452" s="90">
        <f t="shared" si="368"/>
        <v>3326403</v>
      </c>
      <c r="P452" s="88">
        <f t="shared" si="369"/>
        <v>6652806</v>
      </c>
      <c r="Q452" s="86">
        <f t="shared" si="370"/>
        <v>0</v>
      </c>
      <c r="R452" s="84">
        <f t="shared" si="374"/>
        <v>0</v>
      </c>
      <c r="S452" s="85">
        <f t="shared" si="371"/>
        <v>4.4757146326730111E-4</v>
      </c>
      <c r="T452" s="85">
        <f t="shared" si="372"/>
        <v>1</v>
      </c>
    </row>
    <row r="453" spans="1:22" hidden="1" outlineLevel="1">
      <c r="A453" s="79" t="s">
        <v>123</v>
      </c>
      <c r="B453" s="86">
        <f>INDEX(Data!2079:2079,1,$U$1-2)</f>
        <v>148594</v>
      </c>
      <c r="C453" s="87">
        <f>INDEX(Data!2079:2079,1,$U$1-1)</f>
        <v>148594</v>
      </c>
      <c r="D453" s="88">
        <f t="shared" si="362"/>
        <v>297188</v>
      </c>
      <c r="E453" s="89">
        <f>INDEX(Data!2079:2079,1,$U$1)</f>
        <v>148594</v>
      </c>
      <c r="F453" s="90">
        <f>INDEX(Data!2079:2079,1,$U$1+1)</f>
        <v>148594</v>
      </c>
      <c r="G453" s="88">
        <f t="shared" si="363"/>
        <v>297188</v>
      </c>
      <c r="H453" s="86">
        <f t="shared" si="364"/>
        <v>0</v>
      </c>
      <c r="I453" s="447">
        <f t="shared" si="373"/>
        <v>0</v>
      </c>
      <c r="J453" s="453">
        <f t="shared" si="365"/>
        <v>1.2360847781471624E-5</v>
      </c>
      <c r="K453" s="91">
        <f t="shared" si="366"/>
        <v>148594</v>
      </c>
      <c r="L453" s="87">
        <f t="shared" si="366"/>
        <v>148594</v>
      </c>
      <c r="M453" s="88">
        <f t="shared" si="367"/>
        <v>297188</v>
      </c>
      <c r="N453" s="89">
        <f t="shared" si="368"/>
        <v>148594</v>
      </c>
      <c r="O453" s="90">
        <f t="shared" si="368"/>
        <v>148594</v>
      </c>
      <c r="P453" s="88">
        <f t="shared" si="369"/>
        <v>297188</v>
      </c>
      <c r="Q453" s="86">
        <f t="shared" si="370"/>
        <v>0</v>
      </c>
      <c r="R453" s="84">
        <f t="shared" si="374"/>
        <v>0</v>
      </c>
      <c r="S453" s="85">
        <f t="shared" si="371"/>
        <v>1.9993498686942425E-5</v>
      </c>
      <c r="T453" s="85">
        <f t="shared" si="372"/>
        <v>1</v>
      </c>
    </row>
    <row r="454" spans="1:22" hidden="1" outlineLevel="1">
      <c r="A454" s="79" t="s">
        <v>127</v>
      </c>
      <c r="B454" s="86">
        <f>INDEX(Data!2082:2082,1,$U$1-2)</f>
        <v>324056</v>
      </c>
      <c r="C454" s="87">
        <f>INDEX(Data!2082:2082,1,$U$1-1)</f>
        <v>324056</v>
      </c>
      <c r="D454" s="88">
        <f t="shared" si="362"/>
        <v>648112</v>
      </c>
      <c r="E454" s="89">
        <f>INDEX(Data!2082:2082,1,$U$1)</f>
        <v>324057</v>
      </c>
      <c r="F454" s="90">
        <f>INDEX(Data!2082:2082,1,$U$1+1)</f>
        <v>324056</v>
      </c>
      <c r="G454" s="88">
        <f t="shared" si="363"/>
        <v>648113</v>
      </c>
      <c r="H454" s="86">
        <f t="shared" si="364"/>
        <v>1</v>
      </c>
      <c r="I454" s="447">
        <f t="shared" si="373"/>
        <v>1.5429431950033328E-6</v>
      </c>
      <c r="J454" s="453">
        <f t="shared" si="365"/>
        <v>2.6956761841638685E-5</v>
      </c>
      <c r="K454" s="91">
        <f t="shared" si="366"/>
        <v>324056</v>
      </c>
      <c r="L454" s="87">
        <f t="shared" si="366"/>
        <v>324056</v>
      </c>
      <c r="M454" s="88">
        <f t="shared" si="367"/>
        <v>648112</v>
      </c>
      <c r="N454" s="89">
        <f t="shared" si="368"/>
        <v>324057</v>
      </c>
      <c r="O454" s="90">
        <f t="shared" si="368"/>
        <v>324056</v>
      </c>
      <c r="P454" s="88">
        <f t="shared" si="369"/>
        <v>648113</v>
      </c>
      <c r="Q454" s="86">
        <f t="shared" si="370"/>
        <v>1</v>
      </c>
      <c r="R454" s="84">
        <f t="shared" si="374"/>
        <v>1.5429431950033328E-6</v>
      </c>
      <c r="S454" s="85">
        <f t="shared" si="371"/>
        <v>4.3602185870527459E-5</v>
      </c>
      <c r="T454" s="85">
        <f t="shared" si="372"/>
        <v>1</v>
      </c>
    </row>
    <row r="455" spans="1:22" collapsed="1">
      <c r="A455" s="113" t="s">
        <v>77</v>
      </c>
      <c r="B455" s="105">
        <f>SUM(B447:B454)</f>
        <v>9852681</v>
      </c>
      <c r="C455" s="106">
        <f>SUM(C447:C454)</f>
        <v>5292681</v>
      </c>
      <c r="D455" s="107">
        <f t="shared" si="362"/>
        <v>15145362</v>
      </c>
      <c r="E455" s="105">
        <f>SUM(E447:E454)</f>
        <v>10079082</v>
      </c>
      <c r="F455" s="106">
        <f>SUM(F447:F454)</f>
        <v>5382281</v>
      </c>
      <c r="G455" s="107">
        <f t="shared" si="363"/>
        <v>15461363</v>
      </c>
      <c r="H455" s="105">
        <f t="shared" si="364"/>
        <v>316001</v>
      </c>
      <c r="I455" s="449">
        <f t="shared" si="373"/>
        <v>2.0864539256308302E-2</v>
      </c>
      <c r="J455" s="454">
        <f>IFERROR(G455/G$456,"")</f>
        <v>1.3278054320600923E-2</v>
      </c>
      <c r="K455" s="405">
        <f>SUM(K447:K454)</f>
        <v>9852681</v>
      </c>
      <c r="L455" s="106">
        <f>SUM(L447:L454)</f>
        <v>5292681</v>
      </c>
      <c r="M455" s="107">
        <f t="shared" si="367"/>
        <v>15145362</v>
      </c>
      <c r="N455" s="105">
        <f>SUM(N447:N454)</f>
        <v>10079082</v>
      </c>
      <c r="O455" s="106">
        <f>SUM(O447:O454)</f>
        <v>5382281</v>
      </c>
      <c r="P455" s="107">
        <f t="shared" si="369"/>
        <v>15461363</v>
      </c>
      <c r="Q455" s="105">
        <f t="shared" si="370"/>
        <v>316001</v>
      </c>
      <c r="R455" s="108">
        <f t="shared" si="374"/>
        <v>2.0864539256308302E-2</v>
      </c>
      <c r="S455" s="109">
        <f>IFERROR(P455/P$456,"")</f>
        <v>1.3278054320600923E-2</v>
      </c>
      <c r="T455" s="109">
        <f t="shared" si="372"/>
        <v>1</v>
      </c>
      <c r="V455" s="121"/>
    </row>
    <row r="456" spans="1:22" ht="13.5" thickBot="1">
      <c r="A456" s="95" t="s">
        <v>280</v>
      </c>
      <c r="B456" s="96">
        <f t="shared" ref="B456:H456" si="375">B421+B425+B437+B442+B446+B455</f>
        <v>450964358</v>
      </c>
      <c r="C456" s="97">
        <f t="shared" si="375"/>
        <v>447900626</v>
      </c>
      <c r="D456" s="98">
        <f t="shared" si="375"/>
        <v>898864984</v>
      </c>
      <c r="E456" s="96">
        <f t="shared" si="375"/>
        <v>607186021</v>
      </c>
      <c r="F456" s="97">
        <f t="shared" si="375"/>
        <v>557243844</v>
      </c>
      <c r="G456" s="98">
        <f t="shared" si="375"/>
        <v>1164429865</v>
      </c>
      <c r="H456" s="96">
        <f t="shared" si="375"/>
        <v>265564881</v>
      </c>
      <c r="I456" s="451">
        <f t="shared" si="373"/>
        <v>0.29544468382584144</v>
      </c>
      <c r="J456" s="455">
        <f>IFERROR(G456/G$456,"")</f>
        <v>1</v>
      </c>
      <c r="K456" s="100">
        <f t="shared" ref="K456:Q456" si="376">K421+K425+K437+K442+K446+K455</f>
        <v>450964358</v>
      </c>
      <c r="L456" s="97">
        <f t="shared" si="376"/>
        <v>447900626</v>
      </c>
      <c r="M456" s="98">
        <f t="shared" si="376"/>
        <v>898864984</v>
      </c>
      <c r="N456" s="96">
        <f t="shared" si="376"/>
        <v>607186021</v>
      </c>
      <c r="O456" s="97">
        <f t="shared" si="376"/>
        <v>557243844</v>
      </c>
      <c r="P456" s="98">
        <f t="shared" si="376"/>
        <v>1164429865</v>
      </c>
      <c r="Q456" s="96">
        <f t="shared" si="376"/>
        <v>265564881</v>
      </c>
      <c r="R456" s="99">
        <f t="shared" si="374"/>
        <v>0.29544468382584144</v>
      </c>
      <c r="S456" s="101">
        <f>IFERROR(P456/P$456,"")</f>
        <v>1</v>
      </c>
      <c r="T456" s="101">
        <f t="shared" si="372"/>
        <v>1</v>
      </c>
    </row>
    <row r="457" spans="1:22">
      <c r="T457" s="1180"/>
    </row>
    <row r="458" spans="1:22">
      <c r="T458" s="410"/>
    </row>
    <row r="459" spans="1:22">
      <c r="T459" s="410"/>
    </row>
    <row r="460" spans="1:22">
      <c r="T460" s="410"/>
    </row>
    <row r="461" spans="1:22">
      <c r="T461" s="410"/>
    </row>
    <row r="462" spans="1:22">
      <c r="T462" s="410"/>
    </row>
    <row r="463" spans="1:22">
      <c r="T463" s="410"/>
    </row>
    <row r="464" spans="1:22">
      <c r="T464" s="410"/>
    </row>
    <row r="465" spans="1:22">
      <c r="T465" s="410"/>
    </row>
    <row r="466" spans="1:22">
      <c r="T466" s="410"/>
    </row>
    <row r="467" spans="1:22">
      <c r="T467" s="410"/>
    </row>
    <row r="468" spans="1:22">
      <c r="T468" s="410"/>
    </row>
    <row r="469" spans="1:22">
      <c r="T469" s="410"/>
    </row>
    <row r="470" spans="1:22">
      <c r="T470" s="410"/>
    </row>
    <row r="471" spans="1:22">
      <c r="T471" s="410"/>
    </row>
    <row r="472" spans="1:22">
      <c r="T472" s="410"/>
    </row>
    <row r="473" spans="1:22">
      <c r="T473" s="410"/>
    </row>
    <row r="474" spans="1:22">
      <c r="T474" s="410"/>
    </row>
    <row r="475" spans="1:22">
      <c r="J475" s="411"/>
      <c r="T475" s="411"/>
    </row>
    <row r="476" spans="1:22" ht="13.5" thickBot="1">
      <c r="T476" s="1179"/>
    </row>
    <row r="477" spans="1:22" ht="13.5" customHeight="1" thickBot="1">
      <c r="A477" s="536" t="s">
        <v>2203</v>
      </c>
      <c r="B477" s="537"/>
      <c r="C477" s="537"/>
      <c r="D477" s="537"/>
      <c r="E477" s="537"/>
      <c r="F477" s="537"/>
      <c r="G477" s="537"/>
      <c r="H477" s="537"/>
      <c r="I477" s="537"/>
      <c r="J477" s="537"/>
      <c r="K477" s="537"/>
      <c r="L477" s="537"/>
      <c r="M477" s="537"/>
      <c r="N477" s="537"/>
      <c r="O477" s="537"/>
      <c r="P477" s="537"/>
      <c r="Q477" s="537"/>
      <c r="R477" s="537"/>
      <c r="S477" s="537"/>
      <c r="T477" s="538"/>
    </row>
    <row r="478" spans="1:22" ht="13.5" thickBot="1">
      <c r="A478" s="535" t="s">
        <v>1318</v>
      </c>
      <c r="B478" s="1292" t="s">
        <v>2</v>
      </c>
      <c r="C478" s="1293"/>
      <c r="D478" s="1293"/>
      <c r="E478" s="1293"/>
      <c r="F478" s="1293"/>
      <c r="G478" s="1293"/>
      <c r="H478" s="1293"/>
      <c r="I478" s="1293"/>
      <c r="J478" s="1294"/>
      <c r="K478" s="1295" t="s">
        <v>764</v>
      </c>
      <c r="L478" s="1295"/>
      <c r="M478" s="1295"/>
      <c r="N478" s="1295"/>
      <c r="O478" s="1295"/>
      <c r="P478" s="1295"/>
      <c r="Q478" s="1295"/>
      <c r="R478" s="1295"/>
      <c r="S478" s="1295"/>
      <c r="T478" s="1296"/>
    </row>
    <row r="479" spans="1:22" ht="25.5">
      <c r="A479" s="73" t="s">
        <v>766</v>
      </c>
      <c r="B479" s="74">
        <f>E479-2</f>
        <v>2018</v>
      </c>
      <c r="C479" s="75">
        <f>B479+1</f>
        <v>2019</v>
      </c>
      <c r="D479" s="76" t="str">
        <f>B479&amp;"-"&amp;C479</f>
        <v>2018-2019</v>
      </c>
      <c r="E479" s="74" t="str">
        <f>$T$1</f>
        <v>2020</v>
      </c>
      <c r="F479" s="75">
        <f>E479+1</f>
        <v>2021</v>
      </c>
      <c r="G479" s="76" t="str">
        <f>E479&amp;"-"&amp;F479</f>
        <v>2020-2021</v>
      </c>
      <c r="H479" s="74" t="s">
        <v>767</v>
      </c>
      <c r="I479" s="75" t="s">
        <v>768</v>
      </c>
      <c r="J479" s="76" t="s">
        <v>769</v>
      </c>
      <c r="K479" s="77">
        <f>N479-2</f>
        <v>2018</v>
      </c>
      <c r="L479" s="75">
        <f>K479+1</f>
        <v>2019</v>
      </c>
      <c r="M479" s="76" t="str">
        <f>K479&amp;"-"&amp;L479</f>
        <v>2018-2019</v>
      </c>
      <c r="N479" s="74" t="str">
        <f>$T$1</f>
        <v>2020</v>
      </c>
      <c r="O479" s="75">
        <f>N479+1</f>
        <v>2021</v>
      </c>
      <c r="P479" s="76" t="str">
        <f>N479&amp;"-"&amp;O479</f>
        <v>2020-2021</v>
      </c>
      <c r="Q479" s="74" t="s">
        <v>767</v>
      </c>
      <c r="R479" s="75" t="s">
        <v>768</v>
      </c>
      <c r="S479" s="78" t="s">
        <v>769</v>
      </c>
      <c r="T479" s="78" t="s">
        <v>770</v>
      </c>
    </row>
    <row r="480" spans="1:22" hidden="1" outlineLevel="1">
      <c r="A480" s="79" t="s">
        <v>754</v>
      </c>
      <c r="B480" s="86">
        <f>INDEX(Data!1557:1557,1,$U$1-2)</f>
        <v>1201054</v>
      </c>
      <c r="C480" s="87">
        <f>INDEX(Data!1557:1557,1,$U$1-1)</f>
        <v>1201054</v>
      </c>
      <c r="D480" s="88">
        <f t="shared" ref="D480:D514" si="377">B480+C480</f>
        <v>2402108</v>
      </c>
      <c r="E480" s="89">
        <f>INDEX(Data!1557:1557,1,$U$1)</f>
        <v>1201054</v>
      </c>
      <c r="F480" s="90">
        <f>INDEX(Data!1557:1557,1,$U$1+1)</f>
        <v>1201054</v>
      </c>
      <c r="G480" s="88">
        <f t="shared" ref="G480:G514" si="378">E480+F480</f>
        <v>2402108</v>
      </c>
      <c r="H480" s="83">
        <f>G480-D480</f>
        <v>0</v>
      </c>
      <c r="I480" s="447">
        <f>IFERROR(H480/D480,"")</f>
        <v>0</v>
      </c>
      <c r="J480" s="453">
        <f t="shared" ref="J480:J511" si="379">IFERROR(G480/G$537,"")</f>
        <v>7.0914430969559999E-3</v>
      </c>
      <c r="K480" s="409">
        <f>B480</f>
        <v>1201054</v>
      </c>
      <c r="L480" s="81">
        <f>C480</f>
        <v>1201054</v>
      </c>
      <c r="M480" s="82">
        <f>K480+L480</f>
        <v>2402108</v>
      </c>
      <c r="N480" s="83">
        <f>E480</f>
        <v>1201054</v>
      </c>
      <c r="O480" s="81">
        <f>F480</f>
        <v>1201054</v>
      </c>
      <c r="P480" s="82">
        <f>N480+O480</f>
        <v>2402108</v>
      </c>
      <c r="Q480" s="83">
        <f>P480-M480</f>
        <v>0</v>
      </c>
      <c r="R480" s="84">
        <f>IFERROR(Q480/M480,"")</f>
        <v>0</v>
      </c>
      <c r="S480" s="85">
        <f t="shared" ref="S480:S536" si="380">IFERROR(P480/P$456,"")</f>
        <v>2.0629048362650849E-3</v>
      </c>
      <c r="T480" s="85">
        <f t="shared" ref="T480:T511" si="381">IFERROR(P480/G$537,"")</f>
        <v>7.0914430969559999E-3</v>
      </c>
      <c r="U480" s="122"/>
      <c r="V480" s="123"/>
    </row>
    <row r="481" spans="1:22" hidden="1" outlineLevel="1">
      <c r="A481" s="79" t="s">
        <v>749</v>
      </c>
      <c r="B481" s="86">
        <f>INDEX(Data!1576:1576,1,$U$1-2)</f>
        <v>851080</v>
      </c>
      <c r="C481" s="87">
        <f>INDEX(Data!1576:1576,1,$U$1-1)</f>
        <v>851080</v>
      </c>
      <c r="D481" s="88">
        <f t="shared" si="377"/>
        <v>1702160</v>
      </c>
      <c r="E481" s="89">
        <f>INDEX(Data!1576:1576,1,$U$1)</f>
        <v>20415724</v>
      </c>
      <c r="F481" s="90">
        <f>INDEX(Data!1576:1576,1,$U$1+1)</f>
        <v>20415723</v>
      </c>
      <c r="G481" s="88">
        <f t="shared" si="378"/>
        <v>40831447</v>
      </c>
      <c r="H481" s="86">
        <f t="shared" ref="H481:H514" si="382">G481-D481</f>
        <v>39129287</v>
      </c>
      <c r="I481" s="447">
        <f t="shared" ref="I481:I537" si="383">IFERROR(H481/D481,"")</f>
        <v>22.988019340132539</v>
      </c>
      <c r="J481" s="453">
        <f t="shared" si="379"/>
        <v>0.12054157555233769</v>
      </c>
      <c r="K481" s="91">
        <f t="shared" ref="K481:L514" si="384">B481</f>
        <v>851080</v>
      </c>
      <c r="L481" s="87">
        <f t="shared" si="384"/>
        <v>851080</v>
      </c>
      <c r="M481" s="88">
        <f t="shared" ref="M481:M514" si="385">K481+L481</f>
        <v>1702160</v>
      </c>
      <c r="N481" s="89">
        <f t="shared" ref="N481:O514" si="386">E481</f>
        <v>20415724</v>
      </c>
      <c r="O481" s="90">
        <f t="shared" si="386"/>
        <v>20415723</v>
      </c>
      <c r="P481" s="88">
        <f t="shared" ref="P481:P514" si="387">N481+O481</f>
        <v>40831447</v>
      </c>
      <c r="Q481" s="86">
        <f t="shared" ref="Q481:Q514" si="388">P481-M481</f>
        <v>39129287</v>
      </c>
      <c r="R481" s="84">
        <f t="shared" ref="R481:R537" si="389">IFERROR(Q481/M481,"")</f>
        <v>22.988019340132539</v>
      </c>
      <c r="S481" s="85">
        <f t="shared" si="380"/>
        <v>3.5065612989924472E-2</v>
      </c>
      <c r="T481" s="85">
        <f t="shared" si="381"/>
        <v>0.12054157555233769</v>
      </c>
      <c r="U481" s="122"/>
      <c r="V481" s="121"/>
    </row>
    <row r="482" spans="1:22" hidden="1" outlineLevel="1">
      <c r="A482" s="79" t="s">
        <v>755</v>
      </c>
      <c r="B482" s="86">
        <f>INDEX(Data!1583:1583,1,$U$1-2)</f>
        <v>0</v>
      </c>
      <c r="C482" s="87">
        <f>INDEX(Data!1583:1583,1,$U$1-1)</f>
        <v>0</v>
      </c>
      <c r="D482" s="88">
        <f t="shared" si="377"/>
        <v>0</v>
      </c>
      <c r="E482" s="89">
        <f>INDEX(Data!1583:1583,1,$U$1)</f>
        <v>0</v>
      </c>
      <c r="F482" s="90">
        <f>INDEX(Data!1583:1583,1,$U$1+1)</f>
        <v>0</v>
      </c>
      <c r="G482" s="88">
        <f t="shared" si="378"/>
        <v>0</v>
      </c>
      <c r="H482" s="86">
        <f t="shared" si="382"/>
        <v>0</v>
      </c>
      <c r="I482" s="447" t="str">
        <f t="shared" si="383"/>
        <v/>
      </c>
      <c r="J482" s="453">
        <f t="shared" si="379"/>
        <v>0</v>
      </c>
      <c r="K482" s="91">
        <f t="shared" si="384"/>
        <v>0</v>
      </c>
      <c r="L482" s="87">
        <f t="shared" si="384"/>
        <v>0</v>
      </c>
      <c r="M482" s="88">
        <f t="shared" si="385"/>
        <v>0</v>
      </c>
      <c r="N482" s="89">
        <f t="shared" si="386"/>
        <v>0</v>
      </c>
      <c r="O482" s="90">
        <f t="shared" si="386"/>
        <v>0</v>
      </c>
      <c r="P482" s="88">
        <f t="shared" si="387"/>
        <v>0</v>
      </c>
      <c r="Q482" s="86">
        <f t="shared" si="388"/>
        <v>0</v>
      </c>
      <c r="R482" s="84" t="str">
        <f t="shared" si="389"/>
        <v/>
      </c>
      <c r="S482" s="85">
        <f t="shared" si="380"/>
        <v>0</v>
      </c>
      <c r="T482" s="85">
        <f t="shared" si="381"/>
        <v>0</v>
      </c>
      <c r="U482" s="122"/>
      <c r="V482" s="121"/>
    </row>
    <row r="483" spans="1:22" hidden="1" outlineLevel="1">
      <c r="A483" s="79" t="s">
        <v>756</v>
      </c>
      <c r="B483" s="86">
        <f>INDEX(Data!1600:1600,1,$U$1-2)</f>
        <v>2257471</v>
      </c>
      <c r="C483" s="87">
        <f>INDEX(Data!1600:1600,1,$U$1-1)</f>
        <v>2257471</v>
      </c>
      <c r="D483" s="88">
        <f t="shared" si="377"/>
        <v>4514942</v>
      </c>
      <c r="E483" s="89">
        <f>INDEX(Data!1600:1600,1,$U$1)</f>
        <v>2257471</v>
      </c>
      <c r="F483" s="90">
        <f>INDEX(Data!1600:1600,1,$U$1+1)</f>
        <v>2257471</v>
      </c>
      <c r="G483" s="88">
        <f t="shared" si="378"/>
        <v>4514942</v>
      </c>
      <c r="H483" s="86">
        <f t="shared" si="382"/>
        <v>0</v>
      </c>
      <c r="I483" s="447">
        <f t="shared" si="383"/>
        <v>0</v>
      </c>
      <c r="J483" s="453">
        <f t="shared" si="379"/>
        <v>1.3328898733552662E-2</v>
      </c>
      <c r="K483" s="91">
        <f t="shared" si="384"/>
        <v>2257471</v>
      </c>
      <c r="L483" s="87">
        <f t="shared" si="384"/>
        <v>2257471</v>
      </c>
      <c r="M483" s="88">
        <f t="shared" si="385"/>
        <v>4514942</v>
      </c>
      <c r="N483" s="89">
        <f t="shared" si="386"/>
        <v>2257471</v>
      </c>
      <c r="O483" s="90">
        <f t="shared" si="386"/>
        <v>2257471</v>
      </c>
      <c r="P483" s="88">
        <f t="shared" si="387"/>
        <v>4514942</v>
      </c>
      <c r="Q483" s="86">
        <f t="shared" si="388"/>
        <v>0</v>
      </c>
      <c r="R483" s="84">
        <f t="shared" si="389"/>
        <v>0</v>
      </c>
      <c r="S483" s="85">
        <f t="shared" si="380"/>
        <v>3.8773842338713977E-3</v>
      </c>
      <c r="T483" s="85">
        <f t="shared" si="381"/>
        <v>1.3328898733552662E-2</v>
      </c>
      <c r="U483" s="122"/>
      <c r="V483" s="121"/>
    </row>
    <row r="484" spans="1:22" ht="11.25" hidden="1" customHeight="1" outlineLevel="1">
      <c r="A484" s="1104" t="s">
        <v>1667</v>
      </c>
      <c r="B484" s="86">
        <f>INDEX(Data!1616:1616,1,$U$1-2)</f>
        <v>6339880</v>
      </c>
      <c r="C484" s="87">
        <f>INDEX(Data!1616:1616,1,$U$1-1)</f>
        <v>6339878</v>
      </c>
      <c r="D484" s="88">
        <f t="shared" ref="D484" si="390">B484+C484</f>
        <v>12679758</v>
      </c>
      <c r="E484" s="89">
        <f>INDEX(Data!1616:1616,1,$U$1)</f>
        <v>8444215</v>
      </c>
      <c r="F484" s="90">
        <f>INDEX(Data!1616:1616,1,$U$1+1)</f>
        <v>8444212</v>
      </c>
      <c r="G484" s="88">
        <f t="shared" ref="G484" si="391">E484+F484</f>
        <v>16888427</v>
      </c>
      <c r="H484" s="86">
        <f t="shared" ref="H484" si="392">G484-D484</f>
        <v>4208669</v>
      </c>
      <c r="I484" s="447">
        <f t="shared" ref="I484" si="393">IFERROR(H484/D484,"")</f>
        <v>0.33192029374693111</v>
      </c>
      <c r="J484" s="453">
        <f t="shared" si="379"/>
        <v>4.9857591360419819E-2</v>
      </c>
      <c r="K484" s="91">
        <f t="shared" ref="K484" si="394">B484</f>
        <v>6339880</v>
      </c>
      <c r="L484" s="87">
        <f t="shared" ref="L484" si="395">C484</f>
        <v>6339878</v>
      </c>
      <c r="M484" s="88">
        <f t="shared" ref="M484" si="396">K484+L484</f>
        <v>12679758</v>
      </c>
      <c r="N484" s="89">
        <f t="shared" ref="N484" si="397">E484</f>
        <v>8444215</v>
      </c>
      <c r="O484" s="90">
        <f t="shared" ref="O484" si="398">F484</f>
        <v>8444212</v>
      </c>
      <c r="P484" s="88">
        <f t="shared" ref="P484" si="399">N484+O484</f>
        <v>16888427</v>
      </c>
      <c r="Q484" s="86">
        <f t="shared" ref="Q484" si="400">P484-M484</f>
        <v>4208669</v>
      </c>
      <c r="R484" s="84">
        <f t="shared" ref="R484" si="401">IFERROR(Q484/M484,"")</f>
        <v>0.33192029374693111</v>
      </c>
      <c r="S484" s="85">
        <f t="shared" ref="S484" si="402">IFERROR(P484/P$456,"")</f>
        <v>1.4503601726154627E-2</v>
      </c>
      <c r="T484" s="85">
        <f t="shared" si="381"/>
        <v>4.9857591360419819E-2</v>
      </c>
      <c r="U484" s="122"/>
      <c r="V484" s="121"/>
    </row>
    <row r="485" spans="1:22" hidden="1" outlineLevel="1">
      <c r="A485" s="79" t="s">
        <v>1356</v>
      </c>
      <c r="B485" s="86">
        <f>INDEX(Data!1631:1631,1,$U$1-2)</f>
        <v>0</v>
      </c>
      <c r="C485" s="87">
        <f>INDEX(Data!1631:1631,1,$U$1-1)</f>
        <v>0</v>
      </c>
      <c r="D485" s="88">
        <f t="shared" si="377"/>
        <v>0</v>
      </c>
      <c r="E485" s="89">
        <f>INDEX(Data!1631:1631,1,$U$1)</f>
        <v>0</v>
      </c>
      <c r="F485" s="90">
        <f>INDEX(Data!1631:1631,1,$U$1+1)</f>
        <v>0</v>
      </c>
      <c r="G485" s="88">
        <f t="shared" si="378"/>
        <v>0</v>
      </c>
      <c r="H485" s="86">
        <f t="shared" si="382"/>
        <v>0</v>
      </c>
      <c r="I485" s="447" t="str">
        <f t="shared" si="383"/>
        <v/>
      </c>
      <c r="J485" s="453">
        <f t="shared" si="379"/>
        <v>0</v>
      </c>
      <c r="K485" s="91">
        <f t="shared" si="384"/>
        <v>0</v>
      </c>
      <c r="L485" s="87">
        <f t="shared" si="384"/>
        <v>0</v>
      </c>
      <c r="M485" s="88">
        <f t="shared" si="385"/>
        <v>0</v>
      </c>
      <c r="N485" s="89">
        <f t="shared" si="386"/>
        <v>0</v>
      </c>
      <c r="O485" s="90">
        <f t="shared" si="386"/>
        <v>0</v>
      </c>
      <c r="P485" s="88">
        <f t="shared" si="387"/>
        <v>0</v>
      </c>
      <c r="Q485" s="86">
        <f t="shared" si="388"/>
        <v>0</v>
      </c>
      <c r="R485" s="84" t="str">
        <f t="shared" si="389"/>
        <v/>
      </c>
      <c r="S485" s="85">
        <f t="shared" si="380"/>
        <v>0</v>
      </c>
      <c r="T485" s="85">
        <f t="shared" si="381"/>
        <v>0</v>
      </c>
      <c r="U485" s="122"/>
      <c r="V485" s="121"/>
    </row>
    <row r="486" spans="1:22" hidden="1" outlineLevel="1">
      <c r="A486" s="79" t="s">
        <v>1357</v>
      </c>
      <c r="B486" s="86">
        <f>INDEX(Data!1636:1636,1,$U$1-2)</f>
        <v>0</v>
      </c>
      <c r="C486" s="87">
        <f>INDEX(Data!1636:1636,1,$U$1-1)</f>
        <v>0</v>
      </c>
      <c r="D486" s="88">
        <f t="shared" si="377"/>
        <v>0</v>
      </c>
      <c r="E486" s="89">
        <f>INDEX(Data!1636:1636,1,$U$1)</f>
        <v>0</v>
      </c>
      <c r="F486" s="90">
        <f>INDEX(Data!1636:1636,1,$U$1+1)</f>
        <v>0</v>
      </c>
      <c r="G486" s="88">
        <f t="shared" si="378"/>
        <v>0</v>
      </c>
      <c r="H486" s="86">
        <f t="shared" si="382"/>
        <v>0</v>
      </c>
      <c r="I486" s="447" t="str">
        <f t="shared" si="383"/>
        <v/>
      </c>
      <c r="J486" s="453">
        <f t="shared" si="379"/>
        <v>0</v>
      </c>
      <c r="K486" s="91">
        <f t="shared" si="384"/>
        <v>0</v>
      </c>
      <c r="L486" s="87">
        <f t="shared" si="384"/>
        <v>0</v>
      </c>
      <c r="M486" s="88">
        <f t="shared" si="385"/>
        <v>0</v>
      </c>
      <c r="N486" s="89">
        <f t="shared" si="386"/>
        <v>0</v>
      </c>
      <c r="O486" s="90">
        <f t="shared" si="386"/>
        <v>0</v>
      </c>
      <c r="P486" s="88">
        <f t="shared" si="387"/>
        <v>0</v>
      </c>
      <c r="Q486" s="86">
        <f t="shared" si="388"/>
        <v>0</v>
      </c>
      <c r="R486" s="84" t="str">
        <f t="shared" si="389"/>
        <v/>
      </c>
      <c r="S486" s="85">
        <f t="shared" si="380"/>
        <v>0</v>
      </c>
      <c r="T486" s="85">
        <f t="shared" si="381"/>
        <v>0</v>
      </c>
      <c r="U486" s="122"/>
      <c r="V486" s="121"/>
    </row>
    <row r="487" spans="1:22" ht="25.5" hidden="1" outlineLevel="1">
      <c r="A487" s="79" t="s">
        <v>1358</v>
      </c>
      <c r="B487" s="86">
        <f>INDEX(Data!1646:1646,1,$U$1-2)</f>
        <v>2135491</v>
      </c>
      <c r="C487" s="87">
        <f>INDEX(Data!1646:1646,1,$U$1-1)</f>
        <v>2135491</v>
      </c>
      <c r="D487" s="88">
        <f t="shared" si="377"/>
        <v>4270982</v>
      </c>
      <c r="E487" s="89">
        <f>INDEX(Data!1646:1646,1,$U$1)</f>
        <v>4241369</v>
      </c>
      <c r="F487" s="90">
        <f>INDEX(Data!1646:1646,1,$U$1+1)</f>
        <v>4241369</v>
      </c>
      <c r="G487" s="88">
        <f t="shared" si="378"/>
        <v>8482738</v>
      </c>
      <c r="H487" s="86">
        <f t="shared" si="382"/>
        <v>4211756</v>
      </c>
      <c r="I487" s="447">
        <f t="shared" si="383"/>
        <v>0.98613293148976044</v>
      </c>
      <c r="J487" s="453">
        <f t="shared" si="379"/>
        <v>2.5042526744586981E-2</v>
      </c>
      <c r="K487" s="91">
        <f t="shared" si="384"/>
        <v>2135491</v>
      </c>
      <c r="L487" s="87">
        <f t="shared" si="384"/>
        <v>2135491</v>
      </c>
      <c r="M487" s="88">
        <f t="shared" si="385"/>
        <v>4270982</v>
      </c>
      <c r="N487" s="89">
        <f t="shared" si="386"/>
        <v>4241369</v>
      </c>
      <c r="O487" s="90">
        <f t="shared" si="386"/>
        <v>4241369</v>
      </c>
      <c r="P487" s="88">
        <f t="shared" si="387"/>
        <v>8482738</v>
      </c>
      <c r="Q487" s="86">
        <f t="shared" si="388"/>
        <v>4211756</v>
      </c>
      <c r="R487" s="84">
        <f t="shared" si="389"/>
        <v>0.98613293148976044</v>
      </c>
      <c r="S487" s="85">
        <f t="shared" si="380"/>
        <v>7.2848852944870151E-3</v>
      </c>
      <c r="T487" s="85">
        <f t="shared" si="381"/>
        <v>2.5042526744586981E-2</v>
      </c>
      <c r="U487" s="122"/>
      <c r="V487" s="121"/>
    </row>
    <row r="488" spans="1:22" hidden="1" outlineLevel="1">
      <c r="A488" s="79" t="s">
        <v>757</v>
      </c>
      <c r="B488" s="86">
        <f>INDEX(Data!1655:1655,1,$U$1-2)</f>
        <v>1788839</v>
      </c>
      <c r="C488" s="87">
        <f>INDEX(Data!1655:1655,1,$U$1-1)</f>
        <v>1788838</v>
      </c>
      <c r="D488" s="88">
        <f t="shared" si="377"/>
        <v>3577677</v>
      </c>
      <c r="E488" s="89">
        <f>INDEX(Data!1655:1655,1,$U$1)</f>
        <v>1788839</v>
      </c>
      <c r="F488" s="90">
        <f>INDEX(Data!1655:1655,1,$U$1+1)</f>
        <v>1788838</v>
      </c>
      <c r="G488" s="88">
        <f t="shared" si="378"/>
        <v>3577677</v>
      </c>
      <c r="H488" s="86">
        <f t="shared" si="382"/>
        <v>0</v>
      </c>
      <c r="I488" s="447">
        <f t="shared" si="383"/>
        <v>0</v>
      </c>
      <c r="J488" s="453">
        <f t="shared" si="379"/>
        <v>1.0561928466492036E-2</v>
      </c>
      <c r="K488" s="91">
        <f t="shared" si="384"/>
        <v>1788839</v>
      </c>
      <c r="L488" s="87">
        <f t="shared" si="384"/>
        <v>1788838</v>
      </c>
      <c r="M488" s="88">
        <f t="shared" si="385"/>
        <v>3577677</v>
      </c>
      <c r="N488" s="89">
        <f t="shared" si="386"/>
        <v>1788839</v>
      </c>
      <c r="O488" s="90">
        <f t="shared" si="386"/>
        <v>1788838</v>
      </c>
      <c r="P488" s="88">
        <f t="shared" si="387"/>
        <v>3577677</v>
      </c>
      <c r="Q488" s="86">
        <f t="shared" si="388"/>
        <v>0</v>
      </c>
      <c r="R488" s="84">
        <f t="shared" si="389"/>
        <v>0</v>
      </c>
      <c r="S488" s="85">
        <f t="shared" si="380"/>
        <v>3.0724710070880912E-3</v>
      </c>
      <c r="T488" s="85">
        <f t="shared" si="381"/>
        <v>1.0561928466492036E-2</v>
      </c>
      <c r="U488" s="122"/>
      <c r="V488" s="121"/>
    </row>
    <row r="489" spans="1:22" hidden="1" outlineLevel="1">
      <c r="A489" s="79" t="s">
        <v>1359</v>
      </c>
      <c r="B489" s="86">
        <f>INDEX(Data!1664:1664,1,$U$1-2)</f>
        <v>3252842</v>
      </c>
      <c r="C489" s="87">
        <f>INDEX(Data!1664:1664,1,$U$1-1)</f>
        <v>3252842</v>
      </c>
      <c r="D489" s="88">
        <f t="shared" si="377"/>
        <v>6505684</v>
      </c>
      <c r="E489" s="89">
        <f>INDEX(Data!1664:1664,1,$U$1)</f>
        <v>3252842</v>
      </c>
      <c r="F489" s="90">
        <f>INDEX(Data!1664:1664,1,$U$1+1)</f>
        <v>3252842</v>
      </c>
      <c r="G489" s="88">
        <f t="shared" si="378"/>
        <v>6505684</v>
      </c>
      <c r="H489" s="86">
        <f t="shared" si="382"/>
        <v>0</v>
      </c>
      <c r="I489" s="447">
        <f t="shared" si="383"/>
        <v>0</v>
      </c>
      <c r="J489" s="453">
        <f t="shared" si="379"/>
        <v>1.9205917424519256E-2</v>
      </c>
      <c r="K489" s="91">
        <f t="shared" si="384"/>
        <v>3252842</v>
      </c>
      <c r="L489" s="87">
        <f t="shared" si="384"/>
        <v>3252842</v>
      </c>
      <c r="M489" s="88">
        <f t="shared" si="385"/>
        <v>6505684</v>
      </c>
      <c r="N489" s="89">
        <f t="shared" si="386"/>
        <v>3252842</v>
      </c>
      <c r="O489" s="90">
        <f t="shared" si="386"/>
        <v>3252842</v>
      </c>
      <c r="P489" s="88">
        <f t="shared" si="387"/>
        <v>6505684</v>
      </c>
      <c r="Q489" s="86">
        <f t="shared" si="388"/>
        <v>0</v>
      </c>
      <c r="R489" s="84">
        <f t="shared" si="389"/>
        <v>0</v>
      </c>
      <c r="S489" s="85">
        <f t="shared" si="380"/>
        <v>5.587012318685248E-3</v>
      </c>
      <c r="T489" s="85">
        <f t="shared" si="381"/>
        <v>1.9205917424519256E-2</v>
      </c>
      <c r="U489" s="122"/>
      <c r="V489" s="121"/>
    </row>
    <row r="490" spans="1:22" hidden="1" outlineLevel="1">
      <c r="A490" s="79" t="s">
        <v>876</v>
      </c>
      <c r="B490" s="86">
        <f>INDEX(Data!1682:1682,1,$U$1-2)</f>
        <v>1574271</v>
      </c>
      <c r="C490" s="87">
        <f>INDEX(Data!1682:1682,1,$U$1-1)</f>
        <v>1574270</v>
      </c>
      <c r="D490" s="88">
        <f t="shared" si="377"/>
        <v>3148541</v>
      </c>
      <c r="E490" s="89">
        <f>INDEX(Data!1682:1682,1,$U$1)</f>
        <v>1574271</v>
      </c>
      <c r="F490" s="90">
        <f>INDEX(Data!1682:1682,1,$U$1+1)</f>
        <v>1574270</v>
      </c>
      <c r="G490" s="88">
        <f t="shared" si="378"/>
        <v>3148541</v>
      </c>
      <c r="H490" s="86">
        <f t="shared" si="382"/>
        <v>0</v>
      </c>
      <c r="I490" s="447">
        <f t="shared" si="383"/>
        <v>0</v>
      </c>
      <c r="J490" s="453">
        <f t="shared" si="379"/>
        <v>9.2950439114032092E-3</v>
      </c>
      <c r="K490" s="91">
        <f t="shared" si="384"/>
        <v>1574271</v>
      </c>
      <c r="L490" s="87">
        <f t="shared" si="384"/>
        <v>1574270</v>
      </c>
      <c r="M490" s="88">
        <f t="shared" si="385"/>
        <v>3148541</v>
      </c>
      <c r="N490" s="89">
        <f t="shared" si="386"/>
        <v>1574271</v>
      </c>
      <c r="O490" s="90">
        <f t="shared" si="386"/>
        <v>1574270</v>
      </c>
      <c r="P490" s="88">
        <f t="shared" si="387"/>
        <v>3148541</v>
      </c>
      <c r="Q490" s="86">
        <f t="shared" si="388"/>
        <v>0</v>
      </c>
      <c r="R490" s="84">
        <f t="shared" si="389"/>
        <v>0</v>
      </c>
      <c r="S490" s="85">
        <f t="shared" si="380"/>
        <v>2.7039335683819825E-3</v>
      </c>
      <c r="T490" s="85">
        <f t="shared" si="381"/>
        <v>9.2950439114032092E-3</v>
      </c>
      <c r="U490" s="122"/>
      <c r="V490" s="121"/>
    </row>
    <row r="491" spans="1:22" hidden="1" outlineLevel="1">
      <c r="A491" s="79" t="s">
        <v>750</v>
      </c>
      <c r="B491" s="86">
        <f>INDEX(Data!1691:1691,1,$U$1-2)</f>
        <v>2765311</v>
      </c>
      <c r="C491" s="87">
        <f>INDEX(Data!1691:1691,1,$U$1-1)</f>
        <v>2765309</v>
      </c>
      <c r="D491" s="88">
        <f t="shared" si="377"/>
        <v>5530620</v>
      </c>
      <c r="E491" s="89">
        <f>INDEX(Data!1691:1691,1,$U$1)</f>
        <v>7563362</v>
      </c>
      <c r="F491" s="90">
        <f>INDEX(Data!1691:1691,1,$U$1+1)</f>
        <v>7563359</v>
      </c>
      <c r="G491" s="88">
        <f t="shared" si="378"/>
        <v>15126721</v>
      </c>
      <c r="H491" s="86">
        <f t="shared" si="382"/>
        <v>9596101</v>
      </c>
      <c r="I491" s="447">
        <f t="shared" si="383"/>
        <v>1.7350859397318927</v>
      </c>
      <c r="J491" s="453">
        <f t="shared" si="379"/>
        <v>4.4656727014367952E-2</v>
      </c>
      <c r="K491" s="91">
        <f t="shared" si="384"/>
        <v>2765311</v>
      </c>
      <c r="L491" s="87">
        <f t="shared" si="384"/>
        <v>2765309</v>
      </c>
      <c r="M491" s="88">
        <f t="shared" si="385"/>
        <v>5530620</v>
      </c>
      <c r="N491" s="89">
        <f t="shared" si="386"/>
        <v>7563362</v>
      </c>
      <c r="O491" s="90">
        <f t="shared" si="386"/>
        <v>7563359</v>
      </c>
      <c r="P491" s="88">
        <f t="shared" si="387"/>
        <v>15126721</v>
      </c>
      <c r="Q491" s="86">
        <f t="shared" si="388"/>
        <v>9596101</v>
      </c>
      <c r="R491" s="84">
        <f t="shared" si="389"/>
        <v>1.7350859397318927</v>
      </c>
      <c r="S491" s="85">
        <f t="shared" si="380"/>
        <v>1.2990667325421097E-2</v>
      </c>
      <c r="T491" s="85">
        <f t="shared" si="381"/>
        <v>4.4656727014367952E-2</v>
      </c>
      <c r="U491" s="122"/>
      <c r="V491" s="121"/>
    </row>
    <row r="492" spans="1:22" hidden="1" outlineLevel="1">
      <c r="A492" s="79" t="s">
        <v>1209</v>
      </c>
      <c r="B492" s="86">
        <f>INDEX(Data!1702:1702,1,$U$1-2)</f>
        <v>1909723</v>
      </c>
      <c r="C492" s="87">
        <f>INDEX(Data!1702:1702,1,$U$1-1)</f>
        <v>1909723</v>
      </c>
      <c r="D492" s="88">
        <f t="shared" si="377"/>
        <v>3819446</v>
      </c>
      <c r="E492" s="89">
        <f>INDEX(Data!1702:1702,1,$U$1)</f>
        <v>1909723</v>
      </c>
      <c r="F492" s="90">
        <f>INDEX(Data!1702:1702,1,$U$1+1)</f>
        <v>1909723</v>
      </c>
      <c r="G492" s="88">
        <f t="shared" si="378"/>
        <v>3819446</v>
      </c>
      <c r="H492" s="86">
        <f t="shared" si="382"/>
        <v>0</v>
      </c>
      <c r="I492" s="447">
        <f t="shared" si="383"/>
        <v>0</v>
      </c>
      <c r="J492" s="453">
        <f t="shared" si="379"/>
        <v>1.1275672855215588E-2</v>
      </c>
      <c r="K492" s="91">
        <f t="shared" si="384"/>
        <v>1909723</v>
      </c>
      <c r="L492" s="87">
        <f t="shared" si="384"/>
        <v>1909723</v>
      </c>
      <c r="M492" s="88">
        <f t="shared" si="385"/>
        <v>3819446</v>
      </c>
      <c r="N492" s="89">
        <f t="shared" si="386"/>
        <v>1909723</v>
      </c>
      <c r="O492" s="90">
        <f t="shared" si="386"/>
        <v>1909723</v>
      </c>
      <c r="P492" s="88">
        <f t="shared" si="387"/>
        <v>3819446</v>
      </c>
      <c r="Q492" s="86">
        <f t="shared" si="388"/>
        <v>0</v>
      </c>
      <c r="R492" s="84">
        <f t="shared" si="389"/>
        <v>0</v>
      </c>
      <c r="S492" s="85">
        <f t="shared" si="380"/>
        <v>3.2800996563240844E-3</v>
      </c>
      <c r="T492" s="85">
        <f t="shared" si="381"/>
        <v>1.1275672855215588E-2</v>
      </c>
      <c r="U492" s="122"/>
      <c r="V492" s="121"/>
    </row>
    <row r="493" spans="1:22" hidden="1" outlineLevel="1">
      <c r="A493" s="79" t="s">
        <v>1211</v>
      </c>
      <c r="B493" s="86">
        <f>INDEX(Data!1718:1718,1,$U$1-2)</f>
        <v>5348766</v>
      </c>
      <c r="C493" s="87">
        <f>INDEX(Data!1718:1718,1,$U$1-1)</f>
        <v>5348763</v>
      </c>
      <c r="D493" s="88">
        <f t="shared" si="377"/>
        <v>10697529</v>
      </c>
      <c r="E493" s="89">
        <f>INDEX(Data!1718:1718,1,$U$1)</f>
        <v>5348766</v>
      </c>
      <c r="F493" s="90">
        <f>INDEX(Data!1718:1718,1,$U$1+1)</f>
        <v>5348764</v>
      </c>
      <c r="G493" s="88">
        <f t="shared" si="378"/>
        <v>10697530</v>
      </c>
      <c r="H493" s="86">
        <f t="shared" si="382"/>
        <v>1</v>
      </c>
      <c r="I493" s="447">
        <f t="shared" si="383"/>
        <v>9.3479531581545604E-8</v>
      </c>
      <c r="J493" s="453">
        <f t="shared" si="379"/>
        <v>3.1580980236100842E-2</v>
      </c>
      <c r="K493" s="91">
        <f t="shared" si="384"/>
        <v>5348766</v>
      </c>
      <c r="L493" s="87">
        <f t="shared" si="384"/>
        <v>5348763</v>
      </c>
      <c r="M493" s="88">
        <f t="shared" si="385"/>
        <v>10697529</v>
      </c>
      <c r="N493" s="89">
        <f t="shared" si="386"/>
        <v>5348766</v>
      </c>
      <c r="O493" s="90">
        <f t="shared" si="386"/>
        <v>5348764</v>
      </c>
      <c r="P493" s="88">
        <f t="shared" si="387"/>
        <v>10697530</v>
      </c>
      <c r="Q493" s="86">
        <f t="shared" si="388"/>
        <v>1</v>
      </c>
      <c r="R493" s="84">
        <f t="shared" si="389"/>
        <v>9.3479531581545604E-8</v>
      </c>
      <c r="S493" s="85">
        <f t="shared" si="380"/>
        <v>9.1869251395402841E-3</v>
      </c>
      <c r="T493" s="85">
        <f t="shared" si="381"/>
        <v>3.1580980236100842E-2</v>
      </c>
      <c r="U493" s="122"/>
      <c r="V493" s="121"/>
    </row>
    <row r="494" spans="1:22" hidden="1" outlineLevel="1">
      <c r="A494" s="79" t="s">
        <v>1212</v>
      </c>
      <c r="B494" s="86">
        <f>INDEX(Data!1729:1729,1,$U$1-2)</f>
        <v>3796451</v>
      </c>
      <c r="C494" s="87">
        <f>INDEX(Data!1729:1729,1,$U$1-1)</f>
        <v>3796451</v>
      </c>
      <c r="D494" s="88">
        <f t="shared" si="377"/>
        <v>7592902</v>
      </c>
      <c r="E494" s="89">
        <f>INDEX(Data!1729:1729,1,$U$1)</f>
        <v>10537974</v>
      </c>
      <c r="F494" s="90">
        <f>INDEX(Data!1729:1729,1,$U$1+1)</f>
        <v>10537973</v>
      </c>
      <c r="G494" s="88">
        <f t="shared" si="378"/>
        <v>21075947</v>
      </c>
      <c r="H494" s="86">
        <f t="shared" si="382"/>
        <v>13483045</v>
      </c>
      <c r="I494" s="447">
        <f t="shared" si="383"/>
        <v>1.7757433192210303</v>
      </c>
      <c r="J494" s="453">
        <f t="shared" si="379"/>
        <v>6.2219883063109785E-2</v>
      </c>
      <c r="K494" s="91">
        <f t="shared" si="384"/>
        <v>3796451</v>
      </c>
      <c r="L494" s="87">
        <f t="shared" si="384"/>
        <v>3796451</v>
      </c>
      <c r="M494" s="88">
        <f t="shared" si="385"/>
        <v>7592902</v>
      </c>
      <c r="N494" s="89">
        <f t="shared" si="386"/>
        <v>10537974</v>
      </c>
      <c r="O494" s="90">
        <f t="shared" si="386"/>
        <v>10537973</v>
      </c>
      <c r="P494" s="88">
        <f t="shared" si="387"/>
        <v>21075947</v>
      </c>
      <c r="Q494" s="86">
        <f t="shared" si="388"/>
        <v>13483045</v>
      </c>
      <c r="R494" s="84">
        <f t="shared" si="389"/>
        <v>1.7757433192210303</v>
      </c>
      <c r="S494" s="85">
        <f t="shared" si="380"/>
        <v>1.8099799424158534E-2</v>
      </c>
      <c r="T494" s="85">
        <f t="shared" si="381"/>
        <v>6.2219883063109785E-2</v>
      </c>
      <c r="U494" s="122"/>
      <c r="V494" s="121"/>
    </row>
    <row r="495" spans="1:22" hidden="1" outlineLevel="1">
      <c r="A495" s="79" t="s">
        <v>861</v>
      </c>
      <c r="B495" s="86">
        <f>INDEX(Data!1739:1739,1,$U$1-2)</f>
        <v>4331407</v>
      </c>
      <c r="C495" s="87">
        <f>INDEX(Data!1739:1739,1,$U$1-1)</f>
        <v>4331406</v>
      </c>
      <c r="D495" s="88">
        <f t="shared" si="377"/>
        <v>8662813</v>
      </c>
      <c r="E495" s="89">
        <f>INDEX(Data!1739:1739,1,$U$1)</f>
        <v>4331407</v>
      </c>
      <c r="F495" s="90">
        <f>INDEX(Data!1739:1739,1,$U$1+1)</f>
        <v>4331406</v>
      </c>
      <c r="G495" s="88">
        <f t="shared" si="378"/>
        <v>8662813</v>
      </c>
      <c r="H495" s="86">
        <f t="shared" si="382"/>
        <v>0</v>
      </c>
      <c r="I495" s="447">
        <f t="shared" si="383"/>
        <v>0</v>
      </c>
      <c r="J495" s="453">
        <f t="shared" si="379"/>
        <v>2.5574139651119224E-2</v>
      </c>
      <c r="K495" s="91">
        <f t="shared" si="384"/>
        <v>4331407</v>
      </c>
      <c r="L495" s="87">
        <f t="shared" si="384"/>
        <v>4331406</v>
      </c>
      <c r="M495" s="88">
        <f t="shared" si="385"/>
        <v>8662813</v>
      </c>
      <c r="N495" s="89">
        <f t="shared" si="386"/>
        <v>4331407</v>
      </c>
      <c r="O495" s="90">
        <f t="shared" si="386"/>
        <v>4331406</v>
      </c>
      <c r="P495" s="88">
        <f t="shared" si="387"/>
        <v>8662813</v>
      </c>
      <c r="Q495" s="86">
        <f t="shared" si="388"/>
        <v>0</v>
      </c>
      <c r="R495" s="84">
        <f t="shared" si="389"/>
        <v>0</v>
      </c>
      <c r="S495" s="85">
        <f t="shared" si="380"/>
        <v>7.4395317918095477E-3</v>
      </c>
      <c r="T495" s="85">
        <f t="shared" si="381"/>
        <v>2.5574139651119224E-2</v>
      </c>
      <c r="U495" s="122"/>
      <c r="V495" s="121"/>
    </row>
    <row r="496" spans="1:22" hidden="1" outlineLevel="1">
      <c r="A496" s="79" t="s">
        <v>871</v>
      </c>
      <c r="B496" s="86">
        <f>INDEX(Data!1752:1752,1,$U$1-2)</f>
        <v>2465529</v>
      </c>
      <c r="C496" s="87">
        <f>INDEX(Data!1752:1752,1,$U$1-1)</f>
        <v>2465527</v>
      </c>
      <c r="D496" s="88">
        <f t="shared" si="377"/>
        <v>4931056</v>
      </c>
      <c r="E496" s="89">
        <f>INDEX(Data!1752:1752,1,$U$1)</f>
        <v>2465529</v>
      </c>
      <c r="F496" s="90">
        <f>INDEX(Data!1752:1752,1,$U$1+1)</f>
        <v>2465527</v>
      </c>
      <c r="G496" s="88">
        <f t="shared" si="378"/>
        <v>4931056</v>
      </c>
      <c r="H496" s="86">
        <f t="shared" si="382"/>
        <v>0</v>
      </c>
      <c r="I496" s="447">
        <f t="shared" si="383"/>
        <v>0</v>
      </c>
      <c r="J496" s="453">
        <f t="shared" si="379"/>
        <v>1.4557340066268239E-2</v>
      </c>
      <c r="K496" s="91">
        <f t="shared" si="384"/>
        <v>2465529</v>
      </c>
      <c r="L496" s="87">
        <f t="shared" si="384"/>
        <v>2465527</v>
      </c>
      <c r="M496" s="88">
        <f t="shared" si="385"/>
        <v>4931056</v>
      </c>
      <c r="N496" s="89">
        <f t="shared" si="386"/>
        <v>2465529</v>
      </c>
      <c r="O496" s="90">
        <f t="shared" si="386"/>
        <v>2465527</v>
      </c>
      <c r="P496" s="88">
        <f t="shared" si="387"/>
        <v>4931056</v>
      </c>
      <c r="Q496" s="86">
        <f t="shared" si="388"/>
        <v>0</v>
      </c>
      <c r="R496" s="84">
        <f t="shared" si="389"/>
        <v>0</v>
      </c>
      <c r="S496" s="85">
        <f t="shared" si="380"/>
        <v>4.234738517291464E-3</v>
      </c>
      <c r="T496" s="85">
        <f t="shared" si="381"/>
        <v>1.4557340066268239E-2</v>
      </c>
      <c r="U496" s="122"/>
      <c r="V496" s="121"/>
    </row>
    <row r="497" spans="1:22" hidden="1" outlineLevel="1">
      <c r="A497" s="79" t="s">
        <v>1361</v>
      </c>
      <c r="B497" s="86">
        <f>INDEX(Data!1757:1757,1,$U$1-2)</f>
        <v>1706487</v>
      </c>
      <c r="C497" s="87">
        <f>INDEX(Data!1757:1757,1,$U$1-1)</f>
        <v>1706487</v>
      </c>
      <c r="D497" s="88">
        <f t="shared" si="377"/>
        <v>3412974</v>
      </c>
      <c r="E497" s="89">
        <f>INDEX(Data!1757:1757,1,$U$1)</f>
        <v>1706487</v>
      </c>
      <c r="F497" s="90">
        <f>INDEX(Data!1757:1757,1,$U$1+1)</f>
        <v>1706487</v>
      </c>
      <c r="G497" s="88">
        <f t="shared" si="378"/>
        <v>3412974</v>
      </c>
      <c r="H497" s="86">
        <f t="shared" si="382"/>
        <v>0</v>
      </c>
      <c r="I497" s="447">
        <f t="shared" si="383"/>
        <v>0</v>
      </c>
      <c r="J497" s="453">
        <f t="shared" si="379"/>
        <v>1.0075696393497006E-2</v>
      </c>
      <c r="K497" s="91">
        <f t="shared" si="384"/>
        <v>1706487</v>
      </c>
      <c r="L497" s="87">
        <f t="shared" si="384"/>
        <v>1706487</v>
      </c>
      <c r="M497" s="88">
        <f t="shared" si="385"/>
        <v>3412974</v>
      </c>
      <c r="N497" s="89">
        <f t="shared" si="386"/>
        <v>1706487</v>
      </c>
      <c r="O497" s="90">
        <f t="shared" si="386"/>
        <v>1706487</v>
      </c>
      <c r="P497" s="88">
        <f t="shared" si="387"/>
        <v>3412974</v>
      </c>
      <c r="Q497" s="86">
        <f t="shared" si="388"/>
        <v>0</v>
      </c>
      <c r="R497" s="84">
        <f t="shared" si="389"/>
        <v>0</v>
      </c>
      <c r="S497" s="85">
        <f t="shared" si="380"/>
        <v>2.9310258200909334E-3</v>
      </c>
      <c r="T497" s="85">
        <f t="shared" si="381"/>
        <v>1.0075696393497006E-2</v>
      </c>
      <c r="U497" s="122"/>
      <c r="V497" s="121"/>
    </row>
    <row r="498" spans="1:22" hidden="1" outlineLevel="1">
      <c r="A498" s="79" t="s">
        <v>1425</v>
      </c>
      <c r="B498" s="86">
        <f>INDEX(Data!1766:1766,1,$U$1-2)</f>
        <v>1608613</v>
      </c>
      <c r="C498" s="87">
        <f>INDEX(Data!1766:1766,1,$U$1-1)</f>
        <v>1608613</v>
      </c>
      <c r="D498" s="88">
        <f t="shared" si="377"/>
        <v>3217226</v>
      </c>
      <c r="E498" s="89">
        <f>INDEX(Data!1766:1766,1,$U$1)</f>
        <v>4666198</v>
      </c>
      <c r="F498" s="90">
        <f>INDEX(Data!1766:1766,1,$U$1+1)</f>
        <v>4666197</v>
      </c>
      <c r="G498" s="88">
        <f t="shared" si="378"/>
        <v>9332395</v>
      </c>
      <c r="H498" s="86">
        <f t="shared" si="382"/>
        <v>6115169</v>
      </c>
      <c r="I498" s="447">
        <f t="shared" si="383"/>
        <v>1.9007582930139195</v>
      </c>
      <c r="J498" s="453">
        <f t="shared" si="379"/>
        <v>2.7550862867455041E-2</v>
      </c>
      <c r="K498" s="91">
        <f t="shared" si="384"/>
        <v>1608613</v>
      </c>
      <c r="L498" s="87">
        <f t="shared" si="384"/>
        <v>1608613</v>
      </c>
      <c r="M498" s="88">
        <f t="shared" si="385"/>
        <v>3217226</v>
      </c>
      <c r="N498" s="89">
        <f t="shared" si="386"/>
        <v>4666198</v>
      </c>
      <c r="O498" s="90">
        <f t="shared" si="386"/>
        <v>4666197</v>
      </c>
      <c r="P498" s="88">
        <f t="shared" si="387"/>
        <v>9332395</v>
      </c>
      <c r="Q498" s="86">
        <f t="shared" si="388"/>
        <v>6115169</v>
      </c>
      <c r="R498" s="84">
        <f t="shared" si="389"/>
        <v>1.9007582930139195</v>
      </c>
      <c r="S498" s="85">
        <f t="shared" si="380"/>
        <v>8.0145617014039747E-3</v>
      </c>
      <c r="T498" s="85">
        <f t="shared" si="381"/>
        <v>2.7550862867455041E-2</v>
      </c>
      <c r="U498" s="122"/>
      <c r="V498" s="121"/>
    </row>
    <row r="499" spans="1:22" hidden="1" outlineLevel="1">
      <c r="A499" s="79" t="s">
        <v>726</v>
      </c>
      <c r="B499" s="86">
        <f>INDEX(Data!1786:1786,1,$U$1-2)</f>
        <v>2429295</v>
      </c>
      <c r="C499" s="87">
        <f>INDEX(Data!1786:1786,1,$U$1-1)</f>
        <v>2429295</v>
      </c>
      <c r="D499" s="88">
        <f t="shared" si="377"/>
        <v>4858590</v>
      </c>
      <c r="E499" s="89">
        <f>INDEX(Data!1786:1786,1,$U$1)</f>
        <v>7729295</v>
      </c>
      <c r="F499" s="90">
        <f>INDEX(Data!1786:1786,1,$U$1+1)</f>
        <v>7729295</v>
      </c>
      <c r="G499" s="88">
        <f t="shared" si="378"/>
        <v>15458590</v>
      </c>
      <c r="H499" s="86">
        <f t="shared" si="382"/>
        <v>10600000</v>
      </c>
      <c r="I499" s="447">
        <f t="shared" si="383"/>
        <v>2.1817029220411683</v>
      </c>
      <c r="J499" s="453">
        <f t="shared" si="379"/>
        <v>4.5636462367292838E-2</v>
      </c>
      <c r="K499" s="91">
        <f t="shared" si="384"/>
        <v>2429295</v>
      </c>
      <c r="L499" s="87">
        <f t="shared" si="384"/>
        <v>2429295</v>
      </c>
      <c r="M499" s="88">
        <f t="shared" si="385"/>
        <v>4858590</v>
      </c>
      <c r="N499" s="89">
        <f t="shared" si="386"/>
        <v>7729295</v>
      </c>
      <c r="O499" s="90">
        <f t="shared" si="386"/>
        <v>7729295</v>
      </c>
      <c r="P499" s="88">
        <f t="shared" si="387"/>
        <v>15458590</v>
      </c>
      <c r="Q499" s="86">
        <f t="shared" si="388"/>
        <v>10600000</v>
      </c>
      <c r="R499" s="84">
        <f t="shared" si="389"/>
        <v>2.1817029220411683</v>
      </c>
      <c r="S499" s="85">
        <f t="shared" si="380"/>
        <v>1.327567289765451E-2</v>
      </c>
      <c r="T499" s="85">
        <f t="shared" si="381"/>
        <v>4.5636462367292838E-2</v>
      </c>
      <c r="U499" s="122"/>
      <c r="V499" s="121"/>
    </row>
    <row r="500" spans="1:22" hidden="1" outlineLevel="1">
      <c r="A500" s="79" t="s">
        <v>1363</v>
      </c>
      <c r="B500" s="86">
        <f>INDEX(Data!1794:1794,1,$U$1-2)</f>
        <v>1482071</v>
      </c>
      <c r="C500" s="87">
        <f>INDEX(Data!1794:1794,1,$U$1-1)</f>
        <v>1482070</v>
      </c>
      <c r="D500" s="88">
        <f t="shared" si="377"/>
        <v>2964141</v>
      </c>
      <c r="E500" s="89">
        <f>INDEX(Data!1794:1794,1,$U$1)</f>
        <v>5118057</v>
      </c>
      <c r="F500" s="90">
        <f>INDEX(Data!1794:1794,1,$U$1+1)</f>
        <v>5118056</v>
      </c>
      <c r="G500" s="88">
        <f t="shared" si="378"/>
        <v>10236113</v>
      </c>
      <c r="H500" s="86">
        <f t="shared" si="382"/>
        <v>7271972</v>
      </c>
      <c r="I500" s="447">
        <f t="shared" si="383"/>
        <v>2.4533151425657551</v>
      </c>
      <c r="J500" s="453">
        <f t="shared" si="379"/>
        <v>3.0218796521018863E-2</v>
      </c>
      <c r="K500" s="91">
        <f t="shared" si="384"/>
        <v>1482071</v>
      </c>
      <c r="L500" s="87">
        <f t="shared" si="384"/>
        <v>1482070</v>
      </c>
      <c r="M500" s="88">
        <f t="shared" si="385"/>
        <v>2964141</v>
      </c>
      <c r="N500" s="89">
        <f t="shared" si="386"/>
        <v>5118057</v>
      </c>
      <c r="O500" s="90">
        <f t="shared" si="386"/>
        <v>5118056</v>
      </c>
      <c r="P500" s="88">
        <f t="shared" si="387"/>
        <v>10236113</v>
      </c>
      <c r="Q500" s="86">
        <f t="shared" si="388"/>
        <v>7271972</v>
      </c>
      <c r="R500" s="84">
        <f t="shared" si="389"/>
        <v>2.4533151425657551</v>
      </c>
      <c r="S500" s="85">
        <f t="shared" si="380"/>
        <v>8.7906651209087635E-3</v>
      </c>
      <c r="T500" s="85">
        <f t="shared" si="381"/>
        <v>3.0218796521018863E-2</v>
      </c>
      <c r="U500" s="122"/>
      <c r="V500" s="121"/>
    </row>
    <row r="501" spans="1:22" hidden="1" outlineLevel="1">
      <c r="A501" s="79" t="s">
        <v>1364</v>
      </c>
      <c r="B501" s="86">
        <f>INDEX(Data!1798:1798,1,$U$1-2)</f>
        <v>1613728</v>
      </c>
      <c r="C501" s="87">
        <f>INDEX(Data!1798:1798,1,$U$1-1)</f>
        <v>1613727</v>
      </c>
      <c r="D501" s="88">
        <f t="shared" si="377"/>
        <v>3227455</v>
      </c>
      <c r="E501" s="89">
        <f>INDEX(Data!1798:1798,1,$U$1)</f>
        <v>1613728</v>
      </c>
      <c r="F501" s="90">
        <f>INDEX(Data!1798:1798,1,$U$1+1)</f>
        <v>1613727</v>
      </c>
      <c r="G501" s="88">
        <f t="shared" si="378"/>
        <v>3227455</v>
      </c>
      <c r="H501" s="86">
        <f t="shared" si="382"/>
        <v>0</v>
      </c>
      <c r="I501" s="447">
        <f t="shared" si="383"/>
        <v>0</v>
      </c>
      <c r="J501" s="453">
        <f t="shared" si="379"/>
        <v>9.5280118464640753E-3</v>
      </c>
      <c r="K501" s="91">
        <f t="shared" si="384"/>
        <v>1613728</v>
      </c>
      <c r="L501" s="87">
        <f t="shared" si="384"/>
        <v>1613727</v>
      </c>
      <c r="M501" s="88">
        <f t="shared" si="385"/>
        <v>3227455</v>
      </c>
      <c r="N501" s="89">
        <f t="shared" si="386"/>
        <v>1613728</v>
      </c>
      <c r="O501" s="90">
        <f t="shared" si="386"/>
        <v>1613727</v>
      </c>
      <c r="P501" s="88">
        <f t="shared" si="387"/>
        <v>3227455</v>
      </c>
      <c r="Q501" s="86">
        <f t="shared" si="388"/>
        <v>0</v>
      </c>
      <c r="R501" s="84">
        <f t="shared" si="389"/>
        <v>0</v>
      </c>
      <c r="S501" s="85">
        <f t="shared" si="380"/>
        <v>2.7717040733921746E-3</v>
      </c>
      <c r="T501" s="85">
        <f t="shared" si="381"/>
        <v>9.5280118464640753E-3</v>
      </c>
      <c r="U501" s="122"/>
      <c r="V501" s="121"/>
    </row>
    <row r="502" spans="1:22" hidden="1" outlineLevel="1">
      <c r="A502" s="79" t="s">
        <v>1365</v>
      </c>
      <c r="B502" s="86">
        <f>INDEX(Data!1804:1804,1,$U$1-2)</f>
        <v>1433564</v>
      </c>
      <c r="C502" s="87">
        <f>INDEX(Data!1804:1804,1,$U$1-1)</f>
        <v>1433563</v>
      </c>
      <c r="D502" s="88">
        <f t="shared" si="377"/>
        <v>2867127</v>
      </c>
      <c r="E502" s="89">
        <f>INDEX(Data!1804:1804,1,$U$1)</f>
        <v>2517935</v>
      </c>
      <c r="F502" s="90">
        <f>INDEX(Data!1804:1804,1,$U$1+1)</f>
        <v>2517933</v>
      </c>
      <c r="G502" s="88">
        <f t="shared" si="378"/>
        <v>5035868</v>
      </c>
      <c r="H502" s="86">
        <f t="shared" si="382"/>
        <v>2168741</v>
      </c>
      <c r="I502" s="447">
        <f t="shared" si="383"/>
        <v>0.75641609178805125</v>
      </c>
      <c r="J502" s="453">
        <f t="shared" si="379"/>
        <v>1.4866763428530948E-2</v>
      </c>
      <c r="K502" s="91">
        <f t="shared" si="384"/>
        <v>1433564</v>
      </c>
      <c r="L502" s="87">
        <f t="shared" si="384"/>
        <v>1433563</v>
      </c>
      <c r="M502" s="88">
        <f t="shared" si="385"/>
        <v>2867127</v>
      </c>
      <c r="N502" s="89">
        <f t="shared" si="386"/>
        <v>2517935</v>
      </c>
      <c r="O502" s="90">
        <f t="shared" si="386"/>
        <v>2517933</v>
      </c>
      <c r="P502" s="88">
        <f t="shared" si="387"/>
        <v>5035868</v>
      </c>
      <c r="Q502" s="86">
        <f t="shared" si="388"/>
        <v>2168741</v>
      </c>
      <c r="R502" s="84">
        <f t="shared" si="389"/>
        <v>0.75641609178805125</v>
      </c>
      <c r="S502" s="85">
        <f t="shared" si="380"/>
        <v>4.3247499496244885E-3</v>
      </c>
      <c r="T502" s="85">
        <f t="shared" si="381"/>
        <v>1.4866763428530948E-2</v>
      </c>
      <c r="U502" s="122"/>
      <c r="V502" s="121"/>
    </row>
    <row r="503" spans="1:22" hidden="1" outlineLevel="1">
      <c r="A503" s="79" t="s">
        <v>730</v>
      </c>
      <c r="B503" s="86">
        <f>INDEX(Data!1807:1807,1,$U$1-2)</f>
        <v>1637899</v>
      </c>
      <c r="C503" s="87">
        <f>INDEX(Data!1807:1807,1,$U$1-1)</f>
        <v>1637899</v>
      </c>
      <c r="D503" s="88">
        <f t="shared" si="377"/>
        <v>3275798</v>
      </c>
      <c r="E503" s="89">
        <f>INDEX(Data!1807:1807,1,$U$1)</f>
        <v>1817845</v>
      </c>
      <c r="F503" s="90">
        <f>INDEX(Data!1807:1807,1,$U$1+1)</f>
        <v>1817845</v>
      </c>
      <c r="G503" s="88">
        <f t="shared" si="378"/>
        <v>3635690</v>
      </c>
      <c r="H503" s="86">
        <f t="shared" si="382"/>
        <v>359892</v>
      </c>
      <c r="I503" s="447">
        <f t="shared" si="383"/>
        <v>0.1098639171279792</v>
      </c>
      <c r="J503" s="453">
        <f t="shared" si="379"/>
        <v>1.0733192992643113E-2</v>
      </c>
      <c r="K503" s="91">
        <f t="shared" si="384"/>
        <v>1637899</v>
      </c>
      <c r="L503" s="87">
        <f t="shared" si="384"/>
        <v>1637899</v>
      </c>
      <c r="M503" s="88">
        <f t="shared" si="385"/>
        <v>3275798</v>
      </c>
      <c r="N503" s="89">
        <f t="shared" si="386"/>
        <v>1817845</v>
      </c>
      <c r="O503" s="90">
        <f t="shared" si="386"/>
        <v>1817845</v>
      </c>
      <c r="P503" s="88">
        <f t="shared" si="387"/>
        <v>3635690</v>
      </c>
      <c r="Q503" s="86">
        <f t="shared" si="388"/>
        <v>359892</v>
      </c>
      <c r="R503" s="84">
        <f t="shared" si="389"/>
        <v>0.1098639171279792</v>
      </c>
      <c r="S503" s="85">
        <f t="shared" si="380"/>
        <v>3.122291955299515E-3</v>
      </c>
      <c r="T503" s="85">
        <f t="shared" si="381"/>
        <v>1.0733192992643113E-2</v>
      </c>
      <c r="U503" s="122"/>
      <c r="V503" s="121"/>
    </row>
    <row r="504" spans="1:22" hidden="1" outlineLevel="1">
      <c r="A504" s="79" t="s">
        <v>731</v>
      </c>
      <c r="B504" s="86">
        <f>INDEX(Data!1815:1815,1,$U$1-2)</f>
        <v>1100114</v>
      </c>
      <c r="C504" s="87">
        <f>INDEX(Data!1815:1815,1,$U$1-1)</f>
        <v>1100114</v>
      </c>
      <c r="D504" s="88">
        <f t="shared" si="377"/>
        <v>2200228</v>
      </c>
      <c r="E504" s="89">
        <f>INDEX(Data!1815:1815,1,$U$1)</f>
        <v>1987793</v>
      </c>
      <c r="F504" s="90">
        <f>INDEX(Data!1815:1815,1,$U$1+1)</f>
        <v>1987793</v>
      </c>
      <c r="G504" s="88">
        <f t="shared" si="378"/>
        <v>3975586</v>
      </c>
      <c r="H504" s="86">
        <f t="shared" si="382"/>
        <v>1775358</v>
      </c>
      <c r="I504" s="447">
        <f t="shared" si="383"/>
        <v>0.8068972851904439</v>
      </c>
      <c r="J504" s="453">
        <f t="shared" si="379"/>
        <v>1.173662545399912E-2</v>
      </c>
      <c r="K504" s="91">
        <f t="shared" si="384"/>
        <v>1100114</v>
      </c>
      <c r="L504" s="87">
        <f t="shared" si="384"/>
        <v>1100114</v>
      </c>
      <c r="M504" s="88">
        <f t="shared" si="385"/>
        <v>2200228</v>
      </c>
      <c r="N504" s="89">
        <f t="shared" si="386"/>
        <v>1987793</v>
      </c>
      <c r="O504" s="90">
        <f t="shared" si="386"/>
        <v>1987793</v>
      </c>
      <c r="P504" s="88">
        <f t="shared" si="387"/>
        <v>3975586</v>
      </c>
      <c r="Q504" s="86">
        <f t="shared" si="388"/>
        <v>1775358</v>
      </c>
      <c r="R504" s="84">
        <f t="shared" si="389"/>
        <v>0.8068972851904439</v>
      </c>
      <c r="S504" s="85">
        <f t="shared" si="380"/>
        <v>3.4141910298736626E-3</v>
      </c>
      <c r="T504" s="85">
        <f t="shared" si="381"/>
        <v>1.173662545399912E-2</v>
      </c>
      <c r="U504" s="122"/>
      <c r="V504" s="121"/>
    </row>
    <row r="505" spans="1:22" hidden="1" outlineLevel="1">
      <c r="A505" s="79" t="s">
        <v>1426</v>
      </c>
      <c r="B505" s="86">
        <f>INDEX(Data!1829:1829,1,$U$1-2)</f>
        <v>3238235</v>
      </c>
      <c r="C505" s="87">
        <f>INDEX(Data!1829:1829,1,$U$1-1)</f>
        <v>3238235</v>
      </c>
      <c r="D505" s="88">
        <f t="shared" si="377"/>
        <v>6476470</v>
      </c>
      <c r="E505" s="89">
        <f>INDEX(Data!1829:1829,1,$U$1)</f>
        <v>3238235</v>
      </c>
      <c r="F505" s="90">
        <f>INDEX(Data!1829:1829,1,$U$1+1)</f>
        <v>3238235</v>
      </c>
      <c r="G505" s="88">
        <f t="shared" si="378"/>
        <v>6476470</v>
      </c>
      <c r="H505" s="86">
        <f t="shared" si="382"/>
        <v>0</v>
      </c>
      <c r="I505" s="447">
        <f t="shared" si="383"/>
        <v>0</v>
      </c>
      <c r="J505" s="453">
        <f t="shared" si="379"/>
        <v>1.9119672585138813E-2</v>
      </c>
      <c r="K505" s="91">
        <f t="shared" si="384"/>
        <v>3238235</v>
      </c>
      <c r="L505" s="87">
        <f t="shared" si="384"/>
        <v>3238235</v>
      </c>
      <c r="M505" s="88">
        <f t="shared" si="385"/>
        <v>6476470</v>
      </c>
      <c r="N505" s="89">
        <f t="shared" si="386"/>
        <v>3238235</v>
      </c>
      <c r="O505" s="90">
        <f t="shared" si="386"/>
        <v>3238235</v>
      </c>
      <c r="P505" s="88">
        <f t="shared" si="387"/>
        <v>6476470</v>
      </c>
      <c r="Q505" s="86">
        <f t="shared" si="388"/>
        <v>0</v>
      </c>
      <c r="R505" s="84">
        <f t="shared" si="389"/>
        <v>0</v>
      </c>
      <c r="S505" s="85">
        <f t="shared" si="380"/>
        <v>5.5619236457835099E-3</v>
      </c>
      <c r="T505" s="85">
        <f t="shared" si="381"/>
        <v>1.9119672585138813E-2</v>
      </c>
      <c r="U505" s="122"/>
      <c r="V505" s="121"/>
    </row>
    <row r="506" spans="1:22" hidden="1" outlineLevel="1">
      <c r="A506" s="79" t="s">
        <v>733</v>
      </c>
      <c r="B506" s="86">
        <f>INDEX(Data!1838:1838,1,$U$1-2)</f>
        <v>4016555</v>
      </c>
      <c r="C506" s="87">
        <f>INDEX(Data!1838:1838,1,$U$1-1)</f>
        <v>4015554</v>
      </c>
      <c r="D506" s="88">
        <f t="shared" si="377"/>
        <v>8032109</v>
      </c>
      <c r="E506" s="89">
        <f>INDEX(Data!1838:1838,1,$U$1)</f>
        <v>6867714</v>
      </c>
      <c r="F506" s="90">
        <f>INDEX(Data!1838:1838,1,$U$1+1)</f>
        <v>6867713</v>
      </c>
      <c r="G506" s="88">
        <f t="shared" si="378"/>
        <v>13735427</v>
      </c>
      <c r="H506" s="86">
        <f t="shared" si="382"/>
        <v>5703318</v>
      </c>
      <c r="I506" s="447">
        <f t="shared" si="383"/>
        <v>0.71006481610247074</v>
      </c>
      <c r="J506" s="453">
        <f t="shared" si="379"/>
        <v>4.0549383700854862E-2</v>
      </c>
      <c r="K506" s="91">
        <f t="shared" si="384"/>
        <v>4016555</v>
      </c>
      <c r="L506" s="87">
        <f t="shared" si="384"/>
        <v>4015554</v>
      </c>
      <c r="M506" s="88">
        <f t="shared" si="385"/>
        <v>8032109</v>
      </c>
      <c r="N506" s="89">
        <f t="shared" si="386"/>
        <v>6867714</v>
      </c>
      <c r="O506" s="90">
        <f t="shared" si="386"/>
        <v>6867713</v>
      </c>
      <c r="P506" s="88">
        <f t="shared" si="387"/>
        <v>13735427</v>
      </c>
      <c r="Q506" s="86">
        <f t="shared" si="388"/>
        <v>5703318</v>
      </c>
      <c r="R506" s="84">
        <f t="shared" si="389"/>
        <v>0.71006481610247074</v>
      </c>
      <c r="S506" s="85">
        <f t="shared" si="380"/>
        <v>1.1795838815934183E-2</v>
      </c>
      <c r="T506" s="85">
        <f t="shared" si="381"/>
        <v>4.0549383700854862E-2</v>
      </c>
      <c r="U506" s="122"/>
      <c r="V506" s="121"/>
    </row>
    <row r="507" spans="1:22" hidden="1" outlineLevel="1">
      <c r="A507" s="79" t="s">
        <v>735</v>
      </c>
      <c r="B507" s="86">
        <f>INDEX(Data!1854:1854,1,$U$1-2)</f>
        <v>4998476</v>
      </c>
      <c r="C507" s="87">
        <f>INDEX(Data!1854:1854,1,$U$1-1)</f>
        <v>4998475</v>
      </c>
      <c r="D507" s="88">
        <f t="shared" si="377"/>
        <v>9996951</v>
      </c>
      <c r="E507" s="89">
        <f>INDEX(Data!1854:1854,1,$U$1)</f>
        <v>4982351</v>
      </c>
      <c r="F507" s="90">
        <f>INDEX(Data!1854:1854,1,$U$1+1)</f>
        <v>4982350</v>
      </c>
      <c r="G507" s="88">
        <f t="shared" si="378"/>
        <v>9964701</v>
      </c>
      <c r="H507" s="86">
        <f t="shared" si="382"/>
        <v>-32250</v>
      </c>
      <c r="I507" s="447">
        <f t="shared" si="383"/>
        <v>-3.2259836024003717E-3</v>
      </c>
      <c r="J507" s="453">
        <f t="shared" si="379"/>
        <v>2.9417540809855574E-2</v>
      </c>
      <c r="K507" s="91">
        <f t="shared" si="384"/>
        <v>4998476</v>
      </c>
      <c r="L507" s="87">
        <f t="shared" si="384"/>
        <v>4998475</v>
      </c>
      <c r="M507" s="88">
        <f t="shared" si="385"/>
        <v>9996951</v>
      </c>
      <c r="N507" s="89">
        <f t="shared" si="386"/>
        <v>4982351</v>
      </c>
      <c r="O507" s="90">
        <f t="shared" si="386"/>
        <v>4982350</v>
      </c>
      <c r="P507" s="88">
        <f t="shared" si="387"/>
        <v>9964701</v>
      </c>
      <c r="Q507" s="86">
        <f t="shared" si="388"/>
        <v>-32250</v>
      </c>
      <c r="R507" s="84">
        <f t="shared" si="389"/>
        <v>-3.2259836024003717E-3</v>
      </c>
      <c r="S507" s="85">
        <f t="shared" si="380"/>
        <v>8.5575793781276811E-3</v>
      </c>
      <c r="T507" s="85">
        <f t="shared" si="381"/>
        <v>2.9417540809855574E-2</v>
      </c>
      <c r="U507" s="122"/>
      <c r="V507" s="121"/>
    </row>
    <row r="508" spans="1:22" hidden="1" outlineLevel="1">
      <c r="A508" s="79" t="s">
        <v>855</v>
      </c>
      <c r="B508" s="86">
        <f>INDEX(Data!1864:1864,1,$U$1-2)</f>
        <v>3883532</v>
      </c>
      <c r="C508" s="87">
        <f>INDEX(Data!1864:1864,1,$U$1-1)</f>
        <v>3883532</v>
      </c>
      <c r="D508" s="88">
        <f t="shared" si="377"/>
        <v>7767064</v>
      </c>
      <c r="E508" s="89">
        <f>INDEX(Data!1864:1864,1,$U$1)</f>
        <v>5945625</v>
      </c>
      <c r="F508" s="90">
        <f>INDEX(Data!1864:1864,1,$U$1+1)</f>
        <v>5945624</v>
      </c>
      <c r="G508" s="88">
        <f t="shared" si="378"/>
        <v>11891249</v>
      </c>
      <c r="H508" s="86">
        <f t="shared" si="382"/>
        <v>4124185</v>
      </c>
      <c r="I508" s="447">
        <f t="shared" si="383"/>
        <v>0.53098377971393051</v>
      </c>
      <c r="J508" s="453">
        <f t="shared" si="379"/>
        <v>3.5105047581222383E-2</v>
      </c>
      <c r="K508" s="91">
        <f t="shared" si="384"/>
        <v>3883532</v>
      </c>
      <c r="L508" s="87">
        <f t="shared" si="384"/>
        <v>3883532</v>
      </c>
      <c r="M508" s="88">
        <f t="shared" si="385"/>
        <v>7767064</v>
      </c>
      <c r="N508" s="89">
        <f t="shared" si="386"/>
        <v>5945625</v>
      </c>
      <c r="O508" s="90">
        <f t="shared" si="386"/>
        <v>5945624</v>
      </c>
      <c r="P508" s="88">
        <f t="shared" si="387"/>
        <v>11891249</v>
      </c>
      <c r="Q508" s="86">
        <f t="shared" si="388"/>
        <v>4124185</v>
      </c>
      <c r="R508" s="84">
        <f t="shared" si="389"/>
        <v>0.53098377971393051</v>
      </c>
      <c r="S508" s="85">
        <f t="shared" si="380"/>
        <v>1.0212078337581972E-2</v>
      </c>
      <c r="T508" s="85">
        <f t="shared" si="381"/>
        <v>3.5105047581222383E-2</v>
      </c>
      <c r="U508" s="122"/>
      <c r="V508" s="121"/>
    </row>
    <row r="509" spans="1:22" hidden="1" outlineLevel="1">
      <c r="A509" s="79" t="s">
        <v>737</v>
      </c>
      <c r="B509" s="86">
        <f>INDEX(Data!1872:1872,1,$U$1-2)</f>
        <v>3692909</v>
      </c>
      <c r="C509" s="87">
        <f>INDEX(Data!1872:1872,1,$U$1-1)</f>
        <v>3692908</v>
      </c>
      <c r="D509" s="88">
        <f t="shared" si="377"/>
        <v>7385817</v>
      </c>
      <c r="E509" s="89">
        <f>INDEX(Data!1872:1872,1,$U$1)</f>
        <v>5173618</v>
      </c>
      <c r="F509" s="90">
        <f>INDEX(Data!1872:1872,1,$U$1+1)</f>
        <v>5173618</v>
      </c>
      <c r="G509" s="88">
        <f t="shared" si="378"/>
        <v>10347236</v>
      </c>
      <c r="H509" s="86">
        <f t="shared" si="382"/>
        <v>2961419</v>
      </c>
      <c r="I509" s="447">
        <f t="shared" si="383"/>
        <v>0.40096024583333162</v>
      </c>
      <c r="J509" s="453">
        <f t="shared" si="379"/>
        <v>3.0546851059475518E-2</v>
      </c>
      <c r="K509" s="91">
        <f t="shared" si="384"/>
        <v>3692909</v>
      </c>
      <c r="L509" s="87">
        <f t="shared" si="384"/>
        <v>3692908</v>
      </c>
      <c r="M509" s="88">
        <f t="shared" si="385"/>
        <v>7385817</v>
      </c>
      <c r="N509" s="89">
        <f t="shared" si="386"/>
        <v>5173618</v>
      </c>
      <c r="O509" s="90">
        <f t="shared" si="386"/>
        <v>5173618</v>
      </c>
      <c r="P509" s="88">
        <f t="shared" si="387"/>
        <v>10347236</v>
      </c>
      <c r="Q509" s="86">
        <f t="shared" si="388"/>
        <v>2961419</v>
      </c>
      <c r="R509" s="84">
        <f t="shared" si="389"/>
        <v>0.40096024583333162</v>
      </c>
      <c r="S509" s="85">
        <f t="shared" si="380"/>
        <v>8.8860963730091214E-3</v>
      </c>
      <c r="T509" s="85">
        <f t="shared" si="381"/>
        <v>3.0546851059475518E-2</v>
      </c>
      <c r="U509" s="122"/>
      <c r="V509" s="121"/>
    </row>
    <row r="510" spans="1:22" hidden="1" outlineLevel="1">
      <c r="A510" s="79" t="s">
        <v>738</v>
      </c>
      <c r="B510" s="86">
        <f>INDEX(Data!1884:1884,1,$U$1-2)</f>
        <v>1463338</v>
      </c>
      <c r="C510" s="87">
        <f>INDEX(Data!1884:1884,1,$U$1-1)</f>
        <v>1463338</v>
      </c>
      <c r="D510" s="88">
        <f t="shared" si="377"/>
        <v>2926676</v>
      </c>
      <c r="E510" s="89">
        <f>INDEX(Data!1884:1884,1,$U$1)</f>
        <v>4469863</v>
      </c>
      <c r="F510" s="90">
        <f>INDEX(Data!1884:1884,1,$U$1+1)</f>
        <v>4469862</v>
      </c>
      <c r="G510" s="88">
        <f t="shared" si="378"/>
        <v>8939725</v>
      </c>
      <c r="H510" s="86">
        <f t="shared" si="382"/>
        <v>6013049</v>
      </c>
      <c r="I510" s="447">
        <f t="shared" si="383"/>
        <v>2.0545659991061531</v>
      </c>
      <c r="J510" s="453">
        <f t="shared" si="379"/>
        <v>2.6391632324581152E-2</v>
      </c>
      <c r="K510" s="91">
        <f t="shared" si="384"/>
        <v>1463338</v>
      </c>
      <c r="L510" s="87">
        <f t="shared" si="384"/>
        <v>1463338</v>
      </c>
      <c r="M510" s="88">
        <f t="shared" si="385"/>
        <v>2926676</v>
      </c>
      <c r="N510" s="89">
        <f t="shared" si="386"/>
        <v>4469863</v>
      </c>
      <c r="O510" s="90">
        <f t="shared" si="386"/>
        <v>4469862</v>
      </c>
      <c r="P510" s="88">
        <f t="shared" si="387"/>
        <v>8939725</v>
      </c>
      <c r="Q510" s="86">
        <f t="shared" si="388"/>
        <v>6013049</v>
      </c>
      <c r="R510" s="84">
        <f t="shared" si="389"/>
        <v>2.0545659991061531</v>
      </c>
      <c r="S510" s="85">
        <f t="shared" si="380"/>
        <v>7.6773408761720485E-3</v>
      </c>
      <c r="T510" s="85">
        <f t="shared" si="381"/>
        <v>2.6391632324581152E-2</v>
      </c>
      <c r="U510" s="122"/>
      <c r="V510" s="121"/>
    </row>
    <row r="511" spans="1:22" hidden="1" outlineLevel="1">
      <c r="A511" s="79" t="s">
        <v>1367</v>
      </c>
      <c r="B511" s="86">
        <f>INDEX(Data!1894:1894,1,$U$1-2)</f>
        <v>1667610</v>
      </c>
      <c r="C511" s="87">
        <f>INDEX(Data!1894:1894,1,$U$1-1)</f>
        <v>1667610</v>
      </c>
      <c r="D511" s="88">
        <f t="shared" si="377"/>
        <v>3335220</v>
      </c>
      <c r="E511" s="89">
        <f>INDEX(Data!1894:1894,1,$U$1)</f>
        <v>1667610</v>
      </c>
      <c r="F511" s="90">
        <f>INDEX(Data!1894:1894,1,$U$1+1)</f>
        <v>1667610</v>
      </c>
      <c r="G511" s="88">
        <f t="shared" si="378"/>
        <v>3335220</v>
      </c>
      <c r="H511" s="86">
        <f t="shared" si="382"/>
        <v>0</v>
      </c>
      <c r="I511" s="447">
        <f t="shared" si="383"/>
        <v>0</v>
      </c>
      <c r="J511" s="453">
        <f t="shared" si="379"/>
        <v>9.8461529813936716E-3</v>
      </c>
      <c r="K511" s="91">
        <f t="shared" si="384"/>
        <v>1667610</v>
      </c>
      <c r="L511" s="87">
        <f t="shared" si="384"/>
        <v>1667610</v>
      </c>
      <c r="M511" s="88">
        <f t="shared" si="385"/>
        <v>3335220</v>
      </c>
      <c r="N511" s="89">
        <f t="shared" si="386"/>
        <v>1667610</v>
      </c>
      <c r="O511" s="90">
        <f t="shared" si="386"/>
        <v>1667610</v>
      </c>
      <c r="P511" s="88">
        <f t="shared" si="387"/>
        <v>3335220</v>
      </c>
      <c r="Q511" s="86">
        <f t="shared" si="388"/>
        <v>0</v>
      </c>
      <c r="R511" s="84">
        <f t="shared" si="389"/>
        <v>0</v>
      </c>
      <c r="S511" s="85">
        <f t="shared" si="380"/>
        <v>2.8642515107597313E-3</v>
      </c>
      <c r="T511" s="85">
        <f t="shared" si="381"/>
        <v>9.8461529813936716E-3</v>
      </c>
      <c r="U511" s="122"/>
      <c r="V511" s="121"/>
    </row>
    <row r="512" spans="1:22" hidden="1" outlineLevel="1">
      <c r="A512" s="79" t="s">
        <v>1094</v>
      </c>
      <c r="B512" s="86">
        <f>INDEX(Data!1908:1908,1,$U$1-2)</f>
        <v>1394806</v>
      </c>
      <c r="C512" s="87">
        <f>INDEX(Data!1908:1908,1,$U$1-1)</f>
        <v>1394805</v>
      </c>
      <c r="D512" s="88">
        <f t="shared" si="377"/>
        <v>2789611</v>
      </c>
      <c r="E512" s="89">
        <f>INDEX(Data!1908:1908,1,$U$1)</f>
        <v>1394806</v>
      </c>
      <c r="F512" s="90">
        <f>INDEX(Data!1908:1908,1,$U$1+1)</f>
        <v>1394805</v>
      </c>
      <c r="G512" s="88">
        <f t="shared" si="378"/>
        <v>2789611</v>
      </c>
      <c r="H512" s="86">
        <f t="shared" si="382"/>
        <v>0</v>
      </c>
      <c r="I512" s="447">
        <f t="shared" si="383"/>
        <v>0</v>
      </c>
      <c r="J512" s="453">
        <f t="shared" ref="J512:J537" si="403">IFERROR(G512/G$537,"")</f>
        <v>8.2354197517940601E-3</v>
      </c>
      <c r="K512" s="91">
        <f t="shared" si="384"/>
        <v>1394806</v>
      </c>
      <c r="L512" s="87">
        <f t="shared" si="384"/>
        <v>1394805</v>
      </c>
      <c r="M512" s="88">
        <f t="shared" si="385"/>
        <v>2789611</v>
      </c>
      <c r="N512" s="89">
        <f t="shared" si="386"/>
        <v>1394806</v>
      </c>
      <c r="O512" s="90">
        <f t="shared" si="386"/>
        <v>1394805</v>
      </c>
      <c r="P512" s="88">
        <f t="shared" si="387"/>
        <v>2789611</v>
      </c>
      <c r="Q512" s="86">
        <f t="shared" si="388"/>
        <v>0</v>
      </c>
      <c r="R512" s="84">
        <f t="shared" si="389"/>
        <v>0</v>
      </c>
      <c r="S512" s="85">
        <f t="shared" si="380"/>
        <v>2.395688296778613E-3</v>
      </c>
      <c r="T512" s="85">
        <f t="shared" ref="T512:T537" si="404">IFERROR(P512/G$537,"")</f>
        <v>8.2354197517940601E-3</v>
      </c>
      <c r="U512" s="122"/>
      <c r="V512" s="121"/>
    </row>
    <row r="513" spans="1:22" hidden="1" outlineLevel="1">
      <c r="A513" s="79" t="s">
        <v>859</v>
      </c>
      <c r="B513" s="86">
        <f>INDEX(Data!1919:1919,1,$U$1-2)</f>
        <v>2550324</v>
      </c>
      <c r="C513" s="87">
        <f>INDEX(Data!1919:1919,1,$U$1-1)</f>
        <v>2550324</v>
      </c>
      <c r="D513" s="88">
        <f t="shared" si="377"/>
        <v>5100648</v>
      </c>
      <c r="E513" s="89">
        <f>INDEX(Data!1919:1919,1,$U$1)</f>
        <v>3139468</v>
      </c>
      <c r="F513" s="90">
        <f>INDEX(Data!1919:1919,1,$U$1+1)</f>
        <v>3139468</v>
      </c>
      <c r="G513" s="88">
        <f t="shared" si="378"/>
        <v>6278936</v>
      </c>
      <c r="H513" s="86">
        <f t="shared" si="382"/>
        <v>1178288</v>
      </c>
      <c r="I513" s="447">
        <f t="shared" si="383"/>
        <v>0.23100751120249818</v>
      </c>
      <c r="J513" s="453">
        <f t="shared" si="403"/>
        <v>1.8536517655920768E-2</v>
      </c>
      <c r="K513" s="91">
        <f t="shared" si="384"/>
        <v>2550324</v>
      </c>
      <c r="L513" s="87">
        <f t="shared" si="384"/>
        <v>2550324</v>
      </c>
      <c r="M513" s="88">
        <f t="shared" si="385"/>
        <v>5100648</v>
      </c>
      <c r="N513" s="89">
        <f t="shared" si="386"/>
        <v>3139468</v>
      </c>
      <c r="O513" s="90">
        <f t="shared" si="386"/>
        <v>3139468</v>
      </c>
      <c r="P513" s="88">
        <f t="shared" si="387"/>
        <v>6278936</v>
      </c>
      <c r="Q513" s="86">
        <f t="shared" si="388"/>
        <v>1178288</v>
      </c>
      <c r="R513" s="84">
        <f t="shared" si="389"/>
        <v>0.23100751120249818</v>
      </c>
      <c r="S513" s="85">
        <f t="shared" si="380"/>
        <v>5.3922835447027979E-3</v>
      </c>
      <c r="T513" s="85">
        <f t="shared" si="404"/>
        <v>1.8536517655920768E-2</v>
      </c>
      <c r="U513" s="122"/>
      <c r="V513" s="121"/>
    </row>
    <row r="514" spans="1:22" ht="25.5" hidden="1" outlineLevel="1">
      <c r="A514" s="79" t="s">
        <v>1427</v>
      </c>
      <c r="B514" s="86">
        <f>INDEX(Data!1925:1925,1,$U$1-2)</f>
        <v>1689876</v>
      </c>
      <c r="C514" s="87">
        <f>INDEX(Data!1925:1925,1,$U$1-1)</f>
        <v>1689875</v>
      </c>
      <c r="D514" s="88">
        <f t="shared" si="377"/>
        <v>3379751</v>
      </c>
      <c r="E514" s="89">
        <f>INDEX(Data!1925:1925,1,$U$1)</f>
        <v>1689876</v>
      </c>
      <c r="F514" s="90">
        <f>INDEX(Data!1925:1925,1,$U$1+1)</f>
        <v>1689875</v>
      </c>
      <c r="G514" s="88">
        <f t="shared" si="378"/>
        <v>3379751</v>
      </c>
      <c r="H514" s="86">
        <f t="shared" si="382"/>
        <v>0</v>
      </c>
      <c r="I514" s="447">
        <f t="shared" si="383"/>
        <v>0</v>
      </c>
      <c r="J514" s="453">
        <f t="shared" si="403"/>
        <v>9.9776162846883405E-3</v>
      </c>
      <c r="K514" s="91">
        <f t="shared" si="384"/>
        <v>1689876</v>
      </c>
      <c r="L514" s="87">
        <f t="shared" si="384"/>
        <v>1689875</v>
      </c>
      <c r="M514" s="88">
        <f t="shared" si="385"/>
        <v>3379751</v>
      </c>
      <c r="N514" s="89">
        <f t="shared" si="386"/>
        <v>1689876</v>
      </c>
      <c r="O514" s="90">
        <f t="shared" si="386"/>
        <v>1689875</v>
      </c>
      <c r="P514" s="88">
        <f t="shared" si="387"/>
        <v>3379751</v>
      </c>
      <c r="Q514" s="86">
        <f t="shared" si="388"/>
        <v>0</v>
      </c>
      <c r="R514" s="84">
        <f t="shared" si="389"/>
        <v>0</v>
      </c>
      <c r="S514" s="85">
        <f t="shared" si="380"/>
        <v>2.9024942605710307E-3</v>
      </c>
      <c r="T514" s="85">
        <f t="shared" si="404"/>
        <v>9.9776162846883405E-3</v>
      </c>
      <c r="U514" s="122"/>
      <c r="V514" s="121"/>
    </row>
    <row r="515" spans="1:22" collapsed="1">
      <c r="A515" s="113" t="s">
        <v>805</v>
      </c>
      <c r="B515" s="105">
        <f>SUM(B480:B514)</f>
        <v>81625547</v>
      </c>
      <c r="C515" s="106">
        <f>SUM(C480:C514)</f>
        <v>81624527</v>
      </c>
      <c r="D515" s="107">
        <f>SUM(D480:D514)</f>
        <v>163250074</v>
      </c>
      <c r="E515" s="114">
        <f>SUM(E480:E514)</f>
        <v>141059050</v>
      </c>
      <c r="F515" s="115">
        <f>SUM(F480:F514)</f>
        <v>141059024</v>
      </c>
      <c r="G515" s="107">
        <f t="shared" ref="G515:H515" si="405">SUM(G480:G514)</f>
        <v>282118074</v>
      </c>
      <c r="H515" s="105">
        <f t="shared" si="405"/>
        <v>118868000</v>
      </c>
      <c r="I515" s="449">
        <f t="shared" si="383"/>
        <v>0.72813443257612243</v>
      </c>
      <c r="J515" s="454">
        <f t="shared" si="403"/>
        <v>0.83286191478227545</v>
      </c>
      <c r="K515" s="405">
        <f t="shared" ref="K515:Q515" si="406">SUM(K480:K514)</f>
        <v>81625547</v>
      </c>
      <c r="L515" s="106">
        <f t="shared" si="406"/>
        <v>81624527</v>
      </c>
      <c r="M515" s="107">
        <f t="shared" si="406"/>
        <v>163250074</v>
      </c>
      <c r="N515" s="114">
        <f t="shared" si="406"/>
        <v>141059050</v>
      </c>
      <c r="O515" s="115">
        <f t="shared" si="406"/>
        <v>141059024</v>
      </c>
      <c r="P515" s="107">
        <f t="shared" si="406"/>
        <v>282118074</v>
      </c>
      <c r="Q515" s="105">
        <f t="shared" si="406"/>
        <v>118868000</v>
      </c>
      <c r="R515" s="108">
        <f t="shared" si="389"/>
        <v>0.72813443257612243</v>
      </c>
      <c r="S515" s="109">
        <f t="shared" si="380"/>
        <v>0.24228000541707165</v>
      </c>
      <c r="T515" s="109">
        <f t="shared" si="404"/>
        <v>0.83286191478227545</v>
      </c>
      <c r="U515" s="122"/>
      <c r="V515" s="121"/>
    </row>
    <row r="516" spans="1:22" ht="25.5" hidden="1" outlineLevel="1">
      <c r="A516" s="79" t="s">
        <v>1433</v>
      </c>
      <c r="B516" s="86">
        <f>INDEX(Data!1948:1948,1,$U$1-2)</f>
        <v>729592</v>
      </c>
      <c r="C516" s="87">
        <f>INDEX(Data!1948:1948,1,$U$1-1)</f>
        <v>729592</v>
      </c>
      <c r="D516" s="88">
        <f t="shared" ref="D516:D524" si="407">B516+C516</f>
        <v>1459184</v>
      </c>
      <c r="E516" s="89">
        <f>INDEX(Data!1948:1948,1,$U$1)</f>
        <v>729592</v>
      </c>
      <c r="F516" s="90">
        <f>INDEX(Data!1948:1948,1,$U$1+1)</f>
        <v>729592</v>
      </c>
      <c r="G516" s="88">
        <f t="shared" ref="G516:G524" si="408">E516+F516</f>
        <v>1459184</v>
      </c>
      <c r="H516" s="86">
        <f t="shared" ref="H516:H524" si="409">G516-D516</f>
        <v>0</v>
      </c>
      <c r="I516" s="447">
        <f t="shared" si="383"/>
        <v>0</v>
      </c>
      <c r="J516" s="453">
        <f t="shared" si="403"/>
        <v>4.3077664717775573E-3</v>
      </c>
      <c r="K516" s="91">
        <f t="shared" ref="K516:L524" si="410">B516</f>
        <v>729592</v>
      </c>
      <c r="L516" s="87">
        <f t="shared" si="410"/>
        <v>729592</v>
      </c>
      <c r="M516" s="88">
        <f t="shared" ref="M516:M524" si="411">K516+L516</f>
        <v>1459184</v>
      </c>
      <c r="N516" s="89">
        <f t="shared" ref="N516:O524" si="412">E516</f>
        <v>729592</v>
      </c>
      <c r="O516" s="90">
        <f t="shared" si="412"/>
        <v>729592</v>
      </c>
      <c r="P516" s="88">
        <f t="shared" ref="P516:P524" si="413">N516+O516</f>
        <v>1459184</v>
      </c>
      <c r="Q516" s="86">
        <f t="shared" ref="Q516:Q524" si="414">P516-M516</f>
        <v>0</v>
      </c>
      <c r="R516" s="84">
        <f t="shared" si="389"/>
        <v>0</v>
      </c>
      <c r="S516" s="85">
        <f t="shared" si="380"/>
        <v>1.253131720389188E-3</v>
      </c>
      <c r="T516" s="85">
        <f t="shared" si="404"/>
        <v>4.3077664717775573E-3</v>
      </c>
      <c r="U516" s="122"/>
      <c r="V516" s="121"/>
    </row>
    <row r="517" spans="1:22" ht="25.5" hidden="1" outlineLevel="1">
      <c r="A517" s="79" t="s">
        <v>1434</v>
      </c>
      <c r="B517" s="86">
        <f>INDEX(Data!1958:1958,1,$U$1-2)</f>
        <v>76689</v>
      </c>
      <c r="C517" s="87">
        <f>INDEX(Data!1958:1958,1,$U$1-1)</f>
        <v>76689</v>
      </c>
      <c r="D517" s="88">
        <f t="shared" si="407"/>
        <v>153378</v>
      </c>
      <c r="E517" s="89">
        <f>INDEX(Data!1958:1958,1,$U$1)</f>
        <v>128399</v>
      </c>
      <c r="F517" s="90">
        <f>INDEX(Data!1958:1958,1,$U$1+1)</f>
        <v>128399</v>
      </c>
      <c r="G517" s="88">
        <f t="shared" si="408"/>
        <v>256798</v>
      </c>
      <c r="H517" s="86">
        <f t="shared" si="409"/>
        <v>103420</v>
      </c>
      <c r="I517" s="447">
        <f t="shared" si="383"/>
        <v>0.67428183963801847</v>
      </c>
      <c r="J517" s="453">
        <f t="shared" si="403"/>
        <v>7.5811262624832308E-4</v>
      </c>
      <c r="K517" s="91">
        <f t="shared" si="410"/>
        <v>76689</v>
      </c>
      <c r="L517" s="87">
        <f t="shared" si="410"/>
        <v>76689</v>
      </c>
      <c r="M517" s="88">
        <f t="shared" si="411"/>
        <v>153378</v>
      </c>
      <c r="N517" s="89">
        <f t="shared" si="412"/>
        <v>128399</v>
      </c>
      <c r="O517" s="90">
        <f t="shared" si="412"/>
        <v>128399</v>
      </c>
      <c r="P517" s="88">
        <f t="shared" si="413"/>
        <v>256798</v>
      </c>
      <c r="Q517" s="86">
        <f t="shared" si="414"/>
        <v>103420</v>
      </c>
      <c r="R517" s="84">
        <f t="shared" si="389"/>
        <v>0.67428183963801847</v>
      </c>
      <c r="S517" s="85">
        <f t="shared" si="380"/>
        <v>2.2053539480456385E-4</v>
      </c>
      <c r="T517" s="85">
        <f t="shared" si="404"/>
        <v>7.5811262624832308E-4</v>
      </c>
      <c r="U517" s="122"/>
      <c r="V517" s="121"/>
    </row>
    <row r="518" spans="1:22" ht="25.5" hidden="1" outlineLevel="1">
      <c r="A518" s="79" t="s">
        <v>1435</v>
      </c>
      <c r="B518" s="86">
        <f>INDEX(Data!1973:1973,1,$U$1-2)</f>
        <v>582334</v>
      </c>
      <c r="C518" s="87">
        <f>INDEX(Data!1973:1973,1,$U$1-1)</f>
        <v>582334</v>
      </c>
      <c r="D518" s="88">
        <f t="shared" si="407"/>
        <v>1164668</v>
      </c>
      <c r="E518" s="89">
        <f>INDEX(Data!1973:1973,1,$U$1)</f>
        <v>582334</v>
      </c>
      <c r="F518" s="90">
        <f>INDEX(Data!1973:1973,1,$U$1+1)</f>
        <v>582334</v>
      </c>
      <c r="G518" s="88">
        <f t="shared" si="408"/>
        <v>1164668</v>
      </c>
      <c r="H518" s="86">
        <f t="shared" si="409"/>
        <v>0</v>
      </c>
      <c r="I518" s="447">
        <f t="shared" si="383"/>
        <v>0</v>
      </c>
      <c r="J518" s="453">
        <f t="shared" si="403"/>
        <v>3.4383037102601343E-3</v>
      </c>
      <c r="K518" s="91">
        <f t="shared" si="410"/>
        <v>582334</v>
      </c>
      <c r="L518" s="87">
        <f t="shared" si="410"/>
        <v>582334</v>
      </c>
      <c r="M518" s="88">
        <f t="shared" si="411"/>
        <v>1164668</v>
      </c>
      <c r="N518" s="89">
        <f t="shared" si="412"/>
        <v>582334</v>
      </c>
      <c r="O518" s="90">
        <f t="shared" si="412"/>
        <v>582334</v>
      </c>
      <c r="P518" s="88">
        <f t="shared" si="413"/>
        <v>1164668</v>
      </c>
      <c r="Q518" s="86">
        <f t="shared" si="414"/>
        <v>0</v>
      </c>
      <c r="R518" s="84">
        <f t="shared" si="389"/>
        <v>0</v>
      </c>
      <c r="S518" s="85">
        <f t="shared" si="380"/>
        <v>1.0002045078086347E-3</v>
      </c>
      <c r="T518" s="85">
        <f t="shared" si="404"/>
        <v>3.4383037102601343E-3</v>
      </c>
      <c r="U518" s="122"/>
      <c r="V518" s="121"/>
    </row>
    <row r="519" spans="1:22" ht="25.5" hidden="1" outlineLevel="1">
      <c r="A519" s="79" t="s">
        <v>1436</v>
      </c>
      <c r="B519" s="86">
        <f>INDEX(Data!1985:1985,1,$U$1-2)</f>
        <v>5342024</v>
      </c>
      <c r="C519" s="87">
        <f>INDEX(Data!1985:1985,1,$U$1-1)</f>
        <v>5342024</v>
      </c>
      <c r="D519" s="88">
        <f t="shared" si="407"/>
        <v>10684048</v>
      </c>
      <c r="E519" s="89">
        <f>INDEX(Data!1985:1985,1,$U$1)</f>
        <v>6092024</v>
      </c>
      <c r="F519" s="90">
        <f>INDEX(Data!1985:1985,1,$U$1+1)</f>
        <v>6092024</v>
      </c>
      <c r="G519" s="88">
        <f t="shared" si="408"/>
        <v>12184048</v>
      </c>
      <c r="H519" s="86">
        <f t="shared" si="409"/>
        <v>1500000</v>
      </c>
      <c r="I519" s="447">
        <f t="shared" si="383"/>
        <v>0.14039622435241775</v>
      </c>
      <c r="J519" s="453">
        <f t="shared" si="403"/>
        <v>3.5969441458327672E-2</v>
      </c>
      <c r="K519" s="91">
        <f t="shared" si="410"/>
        <v>5342024</v>
      </c>
      <c r="L519" s="87">
        <f t="shared" si="410"/>
        <v>5342024</v>
      </c>
      <c r="M519" s="88">
        <f t="shared" si="411"/>
        <v>10684048</v>
      </c>
      <c r="N519" s="89">
        <f t="shared" si="412"/>
        <v>6092024</v>
      </c>
      <c r="O519" s="90">
        <f t="shared" si="412"/>
        <v>6092024</v>
      </c>
      <c r="P519" s="88">
        <f t="shared" si="413"/>
        <v>12184048</v>
      </c>
      <c r="Q519" s="86">
        <f t="shared" si="414"/>
        <v>1500000</v>
      </c>
      <c r="R519" s="84">
        <f t="shared" si="389"/>
        <v>0.14039622435241775</v>
      </c>
      <c r="S519" s="85">
        <f t="shared" si="380"/>
        <v>1.0463531008799744E-2</v>
      </c>
      <c r="T519" s="85">
        <f t="shared" si="404"/>
        <v>3.5969441458327672E-2</v>
      </c>
      <c r="U519" s="122"/>
      <c r="V519" s="121"/>
    </row>
    <row r="520" spans="1:22" ht="25.5" hidden="1" outlineLevel="1">
      <c r="A520" s="1104" t="s">
        <v>1668</v>
      </c>
      <c r="B520" s="86">
        <f>INDEX(Data!1986:1986,1,$U$1-2)</f>
        <v>0</v>
      </c>
      <c r="C520" s="87">
        <f>INDEX(Data!1986:1986,1,$U$1-1)</f>
        <v>0</v>
      </c>
      <c r="D520" s="88">
        <f t="shared" ref="D520" si="415">B520+C520</f>
        <v>0</v>
      </c>
      <c r="E520" s="89">
        <f>INDEX(Data!1986:1986,1,$U$1)</f>
        <v>0</v>
      </c>
      <c r="F520" s="90">
        <f>INDEX(Data!1986:1986,1,$U$1+1)</f>
        <v>0</v>
      </c>
      <c r="G520" s="88">
        <f t="shared" ref="G520" si="416">E520+F520</f>
        <v>0</v>
      </c>
      <c r="H520" s="86">
        <f t="shared" ref="H520" si="417">G520-D520</f>
        <v>0</v>
      </c>
      <c r="I520" s="447" t="str">
        <f t="shared" ref="I520" si="418">IFERROR(H520/D520,"")</f>
        <v/>
      </c>
      <c r="J520" s="453">
        <f t="shared" si="403"/>
        <v>0</v>
      </c>
      <c r="K520" s="91">
        <f t="shared" ref="K520" si="419">B520</f>
        <v>0</v>
      </c>
      <c r="L520" s="87">
        <f t="shared" ref="L520" si="420">C520</f>
        <v>0</v>
      </c>
      <c r="M520" s="88">
        <f t="shared" ref="M520" si="421">K520+L520</f>
        <v>0</v>
      </c>
      <c r="N520" s="89">
        <f t="shared" ref="N520" si="422">E520</f>
        <v>0</v>
      </c>
      <c r="O520" s="90">
        <f t="shared" ref="O520" si="423">F520</f>
        <v>0</v>
      </c>
      <c r="P520" s="88">
        <f t="shared" ref="P520" si="424">N520+O520</f>
        <v>0</v>
      </c>
      <c r="Q520" s="86">
        <f t="shared" ref="Q520" si="425">P520-M520</f>
        <v>0</v>
      </c>
      <c r="R520" s="84" t="str">
        <f t="shared" ref="R520" si="426">IFERROR(Q520/M520,"")</f>
        <v/>
      </c>
      <c r="S520" s="85">
        <f t="shared" ref="S520" si="427">IFERROR(P520/P$456,"")</f>
        <v>0</v>
      </c>
      <c r="T520" s="85">
        <f t="shared" si="404"/>
        <v>0</v>
      </c>
      <c r="U520" s="122"/>
      <c r="V520" s="121"/>
    </row>
    <row r="521" spans="1:22" ht="25.5" hidden="1" outlineLevel="1">
      <c r="A521" s="79" t="s">
        <v>1437</v>
      </c>
      <c r="B521" s="86">
        <f>INDEX(Data!1996:1996,1,$U$1-2)</f>
        <v>363935</v>
      </c>
      <c r="C521" s="87">
        <f>INDEX(Data!1996:1996,1,$U$1-1)</f>
        <v>363936</v>
      </c>
      <c r="D521" s="88">
        <f t="shared" si="407"/>
        <v>727871</v>
      </c>
      <c r="E521" s="89">
        <f>INDEX(Data!1996:1996,1,$U$1)</f>
        <v>363935</v>
      </c>
      <c r="F521" s="90">
        <f>INDEX(Data!1996:1996,1,$U$1+1)</f>
        <v>363936</v>
      </c>
      <c r="G521" s="88">
        <f t="shared" si="408"/>
        <v>727871</v>
      </c>
      <c r="H521" s="86">
        <f t="shared" si="409"/>
        <v>0</v>
      </c>
      <c r="I521" s="447">
        <f t="shared" si="383"/>
        <v>0</v>
      </c>
      <c r="J521" s="453">
        <f t="shared" si="403"/>
        <v>2.1488025427767866E-3</v>
      </c>
      <c r="K521" s="91">
        <f t="shared" si="410"/>
        <v>363935</v>
      </c>
      <c r="L521" s="87">
        <f t="shared" si="410"/>
        <v>363936</v>
      </c>
      <c r="M521" s="88">
        <f t="shared" si="411"/>
        <v>727871</v>
      </c>
      <c r="N521" s="89">
        <f t="shared" si="412"/>
        <v>363935</v>
      </c>
      <c r="O521" s="90">
        <f t="shared" si="412"/>
        <v>363936</v>
      </c>
      <c r="P521" s="88">
        <f t="shared" si="413"/>
        <v>727871</v>
      </c>
      <c r="Q521" s="86">
        <f t="shared" si="414"/>
        <v>0</v>
      </c>
      <c r="R521" s="84">
        <f t="shared" si="389"/>
        <v>0</v>
      </c>
      <c r="S521" s="85">
        <f t="shared" si="380"/>
        <v>6.2508788367429929E-4</v>
      </c>
      <c r="T521" s="85">
        <f t="shared" si="404"/>
        <v>2.1488025427767866E-3</v>
      </c>
      <c r="U521" s="122"/>
      <c r="V521" s="121"/>
    </row>
    <row r="522" spans="1:22" ht="25.5" hidden="1" outlineLevel="1">
      <c r="A522" s="79" t="s">
        <v>1438</v>
      </c>
      <c r="B522" s="86">
        <f>INDEX(Data!2003:2003,1,$U$1-2)</f>
        <v>1026661</v>
      </c>
      <c r="C522" s="87">
        <f>INDEX(Data!2003:2003,1,$U$1-1)</f>
        <v>1026661</v>
      </c>
      <c r="D522" s="88">
        <f t="shared" si="407"/>
        <v>2053322</v>
      </c>
      <c r="E522" s="89">
        <f>INDEX(Data!2003:2003,1,$U$1)</f>
        <v>1026661</v>
      </c>
      <c r="F522" s="90">
        <f>INDEX(Data!2003:2003,1,$U$1+1)</f>
        <v>1026661</v>
      </c>
      <c r="G522" s="88">
        <f t="shared" si="408"/>
        <v>2053322</v>
      </c>
      <c r="H522" s="86">
        <f t="shared" si="409"/>
        <v>0</v>
      </c>
      <c r="I522" s="447">
        <f t="shared" si="383"/>
        <v>0</v>
      </c>
      <c r="J522" s="453">
        <f t="shared" si="403"/>
        <v>6.061765800175466E-3</v>
      </c>
      <c r="K522" s="91">
        <f t="shared" si="410"/>
        <v>1026661</v>
      </c>
      <c r="L522" s="87">
        <f t="shared" si="410"/>
        <v>1026661</v>
      </c>
      <c r="M522" s="88">
        <f t="shared" si="411"/>
        <v>2053322</v>
      </c>
      <c r="N522" s="89">
        <f t="shared" si="412"/>
        <v>1026661</v>
      </c>
      <c r="O522" s="90">
        <f t="shared" si="412"/>
        <v>1026661</v>
      </c>
      <c r="P522" s="88">
        <f t="shared" si="413"/>
        <v>2053322</v>
      </c>
      <c r="Q522" s="86">
        <f t="shared" si="414"/>
        <v>0</v>
      </c>
      <c r="R522" s="84">
        <f t="shared" si="389"/>
        <v>0</v>
      </c>
      <c r="S522" s="85">
        <f t="shared" si="380"/>
        <v>1.763371124116608E-3</v>
      </c>
      <c r="T522" s="85">
        <f t="shared" si="404"/>
        <v>6.061765800175466E-3</v>
      </c>
      <c r="U522" s="122"/>
      <c r="V522" s="121"/>
    </row>
    <row r="523" spans="1:22" ht="25.5" hidden="1" outlineLevel="1">
      <c r="A523" s="79" t="s">
        <v>1439</v>
      </c>
      <c r="B523" s="86">
        <f>INDEX(Data!2013:2013,1,$U$1-2)</f>
        <v>2145432</v>
      </c>
      <c r="C523" s="87">
        <f>INDEX(Data!2013:2013,1,$U$1-1)</f>
        <v>2145432</v>
      </c>
      <c r="D523" s="88">
        <f t="shared" si="407"/>
        <v>4290864</v>
      </c>
      <c r="E523" s="89">
        <f>INDEX(Data!2013:2013,1,$U$1)</f>
        <v>2145432</v>
      </c>
      <c r="F523" s="90">
        <f>INDEX(Data!2013:2013,1,$U$1+1)</f>
        <v>2145432</v>
      </c>
      <c r="G523" s="88">
        <f t="shared" si="408"/>
        <v>4290864</v>
      </c>
      <c r="H523" s="86">
        <f t="shared" si="409"/>
        <v>0</v>
      </c>
      <c r="I523" s="447">
        <f t="shared" si="383"/>
        <v>0</v>
      </c>
      <c r="J523" s="453">
        <f t="shared" si="403"/>
        <v>1.2667381272106421E-2</v>
      </c>
      <c r="K523" s="91">
        <f t="shared" si="410"/>
        <v>2145432</v>
      </c>
      <c r="L523" s="87">
        <f t="shared" si="410"/>
        <v>2145432</v>
      </c>
      <c r="M523" s="88">
        <f t="shared" si="411"/>
        <v>4290864</v>
      </c>
      <c r="N523" s="89">
        <f t="shared" si="412"/>
        <v>2145432</v>
      </c>
      <c r="O523" s="90">
        <f t="shared" si="412"/>
        <v>2145432</v>
      </c>
      <c r="P523" s="88">
        <f t="shared" si="413"/>
        <v>4290864</v>
      </c>
      <c r="Q523" s="86">
        <f t="shared" si="414"/>
        <v>0</v>
      </c>
      <c r="R523" s="84">
        <f t="shared" si="389"/>
        <v>0</v>
      </c>
      <c r="S523" s="85">
        <f t="shared" si="380"/>
        <v>3.6849484275293816E-3</v>
      </c>
      <c r="T523" s="85">
        <f t="shared" si="404"/>
        <v>1.2667381272106421E-2</v>
      </c>
      <c r="U523" s="122"/>
      <c r="V523" s="121"/>
    </row>
    <row r="524" spans="1:22" ht="25.5" hidden="1" outlineLevel="1">
      <c r="A524" s="79" t="s">
        <v>1440</v>
      </c>
      <c r="B524" s="86">
        <f>INDEX(Data!2024:2024,1,$U$1-2)</f>
        <v>650000</v>
      </c>
      <c r="C524" s="87">
        <f>INDEX(Data!2024:2024,1,$U$1-1)</f>
        <v>650000</v>
      </c>
      <c r="D524" s="88">
        <f t="shared" si="407"/>
        <v>1300000</v>
      </c>
      <c r="E524" s="89">
        <f>INDEX(Data!2024:2024,1,$U$1)</f>
        <v>650000</v>
      </c>
      <c r="F524" s="90">
        <f>INDEX(Data!2024:2024,1,$U$1+1)</f>
        <v>650000</v>
      </c>
      <c r="G524" s="88">
        <f t="shared" si="408"/>
        <v>1300000</v>
      </c>
      <c r="H524" s="86">
        <f t="shared" si="409"/>
        <v>0</v>
      </c>
      <c r="I524" s="447">
        <f t="shared" si="383"/>
        <v>0</v>
      </c>
      <c r="J524" s="453">
        <f t="shared" si="403"/>
        <v>3.8378274524054705E-3</v>
      </c>
      <c r="K524" s="91">
        <f t="shared" si="410"/>
        <v>650000</v>
      </c>
      <c r="L524" s="87">
        <f t="shared" si="410"/>
        <v>650000</v>
      </c>
      <c r="M524" s="88">
        <f t="shared" si="411"/>
        <v>1300000</v>
      </c>
      <c r="N524" s="89">
        <f t="shared" si="412"/>
        <v>650000</v>
      </c>
      <c r="O524" s="90">
        <f t="shared" si="412"/>
        <v>650000</v>
      </c>
      <c r="P524" s="88">
        <f t="shared" si="413"/>
        <v>1300000</v>
      </c>
      <c r="Q524" s="86">
        <f t="shared" si="414"/>
        <v>0</v>
      </c>
      <c r="R524" s="84">
        <f t="shared" si="389"/>
        <v>0</v>
      </c>
      <c r="S524" s="85">
        <f t="shared" si="380"/>
        <v>1.1164261919716393E-3</v>
      </c>
      <c r="T524" s="85">
        <f t="shared" si="404"/>
        <v>3.8378274524054705E-3</v>
      </c>
      <c r="U524" s="122"/>
      <c r="V524" s="121"/>
    </row>
    <row r="525" spans="1:22" ht="25.5" hidden="1" outlineLevel="1">
      <c r="A525" s="79" t="s">
        <v>942</v>
      </c>
      <c r="B525" s="86">
        <f>INDEX(Data!2042:2042,1,$U$1-2)</f>
        <v>1824000</v>
      </c>
      <c r="C525" s="87">
        <f>INDEX(Data!2042:2042,1,$U$1-1)</f>
        <v>1824000</v>
      </c>
      <c r="D525" s="88">
        <f t="shared" ref="D525" si="428">B525+C525</f>
        <v>3648000</v>
      </c>
      <c r="E525" s="89">
        <f>INDEX(Data!2042:2042,1,$U$1)</f>
        <v>1824000</v>
      </c>
      <c r="F525" s="90">
        <f>INDEX(Data!2042:2042,1,$U$1+1)</f>
        <v>1824000</v>
      </c>
      <c r="G525" s="88">
        <f t="shared" ref="G525" si="429">E525+F525</f>
        <v>3648000</v>
      </c>
      <c r="H525" s="86">
        <f t="shared" ref="H525" si="430">G525-D525</f>
        <v>0</v>
      </c>
      <c r="I525" s="447">
        <f t="shared" ref="I525" si="431">IFERROR(H525/D525,"")</f>
        <v>0</v>
      </c>
      <c r="J525" s="453">
        <f t="shared" si="403"/>
        <v>1.0769534266442428E-2</v>
      </c>
      <c r="K525" s="91">
        <f t="shared" ref="K525" si="432">B525</f>
        <v>1824000</v>
      </c>
      <c r="L525" s="87">
        <f t="shared" ref="L525" si="433">C525</f>
        <v>1824000</v>
      </c>
      <c r="M525" s="88">
        <f t="shared" ref="M525" si="434">K525+L525</f>
        <v>3648000</v>
      </c>
      <c r="N525" s="89">
        <f t="shared" ref="N525" si="435">E525</f>
        <v>1824000</v>
      </c>
      <c r="O525" s="90">
        <f t="shared" ref="O525" si="436">F525</f>
        <v>1824000</v>
      </c>
      <c r="P525" s="88">
        <f t="shared" ref="P525" si="437">N525+O525</f>
        <v>3648000</v>
      </c>
      <c r="Q525" s="86">
        <f t="shared" ref="Q525" si="438">P525-M525</f>
        <v>0</v>
      </c>
      <c r="R525" s="84">
        <f t="shared" ref="R525" si="439">IFERROR(Q525/M525,"")</f>
        <v>0</v>
      </c>
      <c r="S525" s="85">
        <f t="shared" ref="S525" si="440">IFERROR(P525/P$456,"")</f>
        <v>3.1328636525481076E-3</v>
      </c>
      <c r="T525" s="85">
        <f t="shared" si="404"/>
        <v>1.0769534266442428E-2</v>
      </c>
      <c r="U525" s="122"/>
      <c r="V525" s="121"/>
    </row>
    <row r="526" spans="1:22" ht="25.5" hidden="1" outlineLevel="1">
      <c r="A526" s="79" t="s">
        <v>1556</v>
      </c>
      <c r="B526" s="86">
        <f>INDEX(Data!2043:2043,1,$U$1-2)</f>
        <v>7697864</v>
      </c>
      <c r="C526" s="87">
        <f>INDEX(Data!2043:2043,1,$U$1-1)</f>
        <v>7697863</v>
      </c>
      <c r="D526" s="88">
        <f t="shared" ref="D526" si="441">B526+C526</f>
        <v>15395727</v>
      </c>
      <c r="E526" s="89">
        <f>INDEX(Data!2043:2043,1,$U$1)</f>
        <v>7697866</v>
      </c>
      <c r="F526" s="90">
        <f>INDEX(Data!2043:2043,1,$U$1+1)</f>
        <v>7697865</v>
      </c>
      <c r="G526" s="88">
        <f t="shared" ref="G526" si="442">E526+F526</f>
        <v>15395731</v>
      </c>
      <c r="H526" s="86">
        <f t="shared" ref="H526" si="443">G526-D526</f>
        <v>4</v>
      </c>
      <c r="I526" s="447">
        <f t="shared" ref="I526" si="444">IFERROR(H526/D526,"")</f>
        <v>2.5981234923170564E-7</v>
      </c>
      <c r="J526" s="453">
        <f t="shared" si="403"/>
        <v>4.5450891601269174E-2</v>
      </c>
      <c r="K526" s="91">
        <f t="shared" ref="K526" si="445">B526</f>
        <v>7697864</v>
      </c>
      <c r="L526" s="87">
        <f t="shared" ref="L526" si="446">C526</f>
        <v>7697863</v>
      </c>
      <c r="M526" s="88">
        <f t="shared" ref="M526" si="447">K526+L526</f>
        <v>15395727</v>
      </c>
      <c r="N526" s="89">
        <f t="shared" ref="N526" si="448">E526</f>
        <v>7697866</v>
      </c>
      <c r="O526" s="90">
        <f t="shared" ref="O526" si="449">F526</f>
        <v>7697865</v>
      </c>
      <c r="P526" s="88">
        <f t="shared" ref="P526" si="450">N526+O526</f>
        <v>15395731</v>
      </c>
      <c r="Q526" s="86">
        <f t="shared" ref="Q526" si="451">P526-M526</f>
        <v>4</v>
      </c>
      <c r="R526" s="84">
        <f t="shared" ref="R526" si="452">IFERROR(Q526/M526,"")</f>
        <v>2.5981234923170564E-7</v>
      </c>
      <c r="S526" s="85">
        <f t="shared" ref="S526" si="453">IFERROR(P526/P$456,"")</f>
        <v>1.3221690256115167E-2</v>
      </c>
      <c r="T526" s="85">
        <f t="shared" si="404"/>
        <v>4.5450891601269174E-2</v>
      </c>
      <c r="U526" s="122"/>
      <c r="V526" s="121"/>
    </row>
    <row r="527" spans="1:22" collapsed="1">
      <c r="A527" s="113" t="s">
        <v>806</v>
      </c>
      <c r="B527" s="105">
        <f>SUM(B516:B526)</f>
        <v>20438531</v>
      </c>
      <c r="C527" s="106">
        <f>SUM(C516:C526)</f>
        <v>20438531</v>
      </c>
      <c r="D527" s="107">
        <f>SUM(D516:D526)</f>
        <v>40877062</v>
      </c>
      <c r="E527" s="114">
        <f>SUM(E516:E526)</f>
        <v>21240243</v>
      </c>
      <c r="F527" s="115">
        <f>SUM(F516:F526)</f>
        <v>21240243</v>
      </c>
      <c r="G527" s="107">
        <f t="shared" ref="G527:H527" si="454">SUM(G516:G526)</f>
        <v>42480486</v>
      </c>
      <c r="H527" s="105">
        <f t="shared" si="454"/>
        <v>1603424</v>
      </c>
      <c r="I527" s="449">
        <f t="shared" si="383"/>
        <v>3.9225519681429157E-2</v>
      </c>
      <c r="J527" s="454">
        <f t="shared" si="403"/>
        <v>0.12540982720178942</v>
      </c>
      <c r="K527" s="405">
        <f t="shared" ref="K527:Q527" si="455">SUM(K516:K526)</f>
        <v>20438531</v>
      </c>
      <c r="L527" s="106">
        <f t="shared" si="455"/>
        <v>20438531</v>
      </c>
      <c r="M527" s="107">
        <f t="shared" si="455"/>
        <v>40877062</v>
      </c>
      <c r="N527" s="114">
        <f t="shared" si="455"/>
        <v>21240243</v>
      </c>
      <c r="O527" s="115">
        <f t="shared" si="455"/>
        <v>21240243</v>
      </c>
      <c r="P527" s="107">
        <f t="shared" si="455"/>
        <v>42480486</v>
      </c>
      <c r="Q527" s="105">
        <f t="shared" si="455"/>
        <v>1603424</v>
      </c>
      <c r="R527" s="108">
        <f t="shared" si="389"/>
        <v>3.9225519681429157E-2</v>
      </c>
      <c r="S527" s="109">
        <f t="shared" si="380"/>
        <v>3.6481790167757336E-2</v>
      </c>
      <c r="T527" s="109">
        <f t="shared" si="404"/>
        <v>0.12540982720178942</v>
      </c>
      <c r="U527" s="122"/>
      <c r="V527" s="121"/>
    </row>
    <row r="528" spans="1:22" ht="12" hidden="1" customHeight="1" outlineLevel="1">
      <c r="A528" s="79" t="s">
        <v>1442</v>
      </c>
      <c r="B528" s="86">
        <f>INDEX(Data!2083:2083,1,$U$1-2)</f>
        <v>631855</v>
      </c>
      <c r="C528" s="87">
        <f>INDEX(Data!2083:2083,1,$U$1-1)</f>
        <v>631855</v>
      </c>
      <c r="D528" s="88">
        <f>B528+C528</f>
        <v>1263710</v>
      </c>
      <c r="E528" s="89">
        <f>INDEX(Data!2083:2083,1,$U$1)</f>
        <v>631855</v>
      </c>
      <c r="F528" s="90">
        <f>INDEX(Data!2083:2083,1,$U$1+1)</f>
        <v>631855</v>
      </c>
      <c r="G528" s="88">
        <f t="shared" ref="G528:G531" si="456">E528+F528</f>
        <v>1263710</v>
      </c>
      <c r="H528" s="86">
        <f t="shared" ref="H528:H531" si="457">G528-D528</f>
        <v>0</v>
      </c>
      <c r="I528" s="447">
        <f t="shared" si="383"/>
        <v>0</v>
      </c>
      <c r="J528" s="453">
        <f t="shared" si="403"/>
        <v>3.7306930229840901E-3</v>
      </c>
      <c r="K528" s="91">
        <f t="shared" ref="K528:L531" si="458">B528</f>
        <v>631855</v>
      </c>
      <c r="L528" s="87">
        <f t="shared" si="458"/>
        <v>631855</v>
      </c>
      <c r="M528" s="88">
        <f t="shared" ref="M528:M531" si="459">K528+L528</f>
        <v>1263710</v>
      </c>
      <c r="N528" s="89">
        <f t="shared" ref="N528:O531" si="460">E528</f>
        <v>631855</v>
      </c>
      <c r="O528" s="90">
        <f t="shared" si="460"/>
        <v>631855</v>
      </c>
      <c r="P528" s="88">
        <f t="shared" ref="P528:P531" si="461">N528+O528</f>
        <v>1263710</v>
      </c>
      <c r="Q528" s="86">
        <f t="shared" ref="Q528:Q531" si="462">P528-M528</f>
        <v>0</v>
      </c>
      <c r="R528" s="84">
        <f t="shared" si="389"/>
        <v>0</v>
      </c>
      <c r="S528" s="85">
        <f t="shared" si="380"/>
        <v>1.0852607254280618E-3</v>
      </c>
      <c r="T528" s="85">
        <f t="shared" si="404"/>
        <v>3.7306930229840901E-3</v>
      </c>
      <c r="U528" s="122"/>
      <c r="V528" s="121"/>
    </row>
    <row r="529" spans="1:22" ht="25.5" hidden="1" outlineLevel="1">
      <c r="A529" s="79" t="s">
        <v>1443</v>
      </c>
      <c r="B529" s="86">
        <f>INDEX(Data!2085:2085,1,$U$1-2)</f>
        <v>770446</v>
      </c>
      <c r="C529" s="87">
        <f>INDEX(Data!2085:2085,1,$U$1-1)</f>
        <v>770445</v>
      </c>
      <c r="D529" s="88">
        <f>B529+C529</f>
        <v>1540891</v>
      </c>
      <c r="E529" s="89">
        <f>INDEX(Data!2085:2085,1,$U$1)</f>
        <v>773986</v>
      </c>
      <c r="F529" s="90">
        <f>INDEX(Data!2085:2085,1,$U$1+1)</f>
        <v>773984</v>
      </c>
      <c r="G529" s="88">
        <f t="shared" si="456"/>
        <v>1547970</v>
      </c>
      <c r="H529" s="86">
        <f t="shared" si="457"/>
        <v>7079</v>
      </c>
      <c r="I529" s="447">
        <f t="shared" si="383"/>
        <v>4.5940952345104227E-3</v>
      </c>
      <c r="J529" s="453">
        <f t="shared" si="403"/>
        <v>4.5698782780769975E-3</v>
      </c>
      <c r="K529" s="91">
        <f t="shared" si="458"/>
        <v>770446</v>
      </c>
      <c r="L529" s="87">
        <f t="shared" si="458"/>
        <v>770445</v>
      </c>
      <c r="M529" s="88">
        <f t="shared" si="459"/>
        <v>1540891</v>
      </c>
      <c r="N529" s="89">
        <f t="shared" si="460"/>
        <v>773986</v>
      </c>
      <c r="O529" s="90">
        <f t="shared" si="460"/>
        <v>773984</v>
      </c>
      <c r="P529" s="88">
        <f t="shared" si="461"/>
        <v>1547970</v>
      </c>
      <c r="Q529" s="86">
        <f t="shared" si="462"/>
        <v>7079</v>
      </c>
      <c r="R529" s="84">
        <f t="shared" si="389"/>
        <v>4.5940952345104227E-3</v>
      </c>
      <c r="S529" s="85">
        <f t="shared" si="380"/>
        <v>1.3293801941433373E-3</v>
      </c>
      <c r="T529" s="85">
        <f t="shared" si="404"/>
        <v>4.5698782780769975E-3</v>
      </c>
      <c r="U529" s="122"/>
      <c r="V529" s="121"/>
    </row>
    <row r="530" spans="1:22" hidden="1" outlineLevel="1">
      <c r="A530" s="79" t="s">
        <v>1444</v>
      </c>
      <c r="B530" s="86">
        <f>INDEX(Data!2087:2087,1,$U$1-2)</f>
        <v>547975</v>
      </c>
      <c r="C530" s="87">
        <f>INDEX(Data!2087:2087,1,$U$1-1)</f>
        <v>547974</v>
      </c>
      <c r="D530" s="88">
        <f>B530+C530</f>
        <v>1095949</v>
      </c>
      <c r="E530" s="89">
        <f>INDEX(Data!2087:2087,1,$U$1)</f>
        <v>547975</v>
      </c>
      <c r="F530" s="90">
        <f>INDEX(Data!2087:2087,1,$U$1+1)</f>
        <v>547974</v>
      </c>
      <c r="G530" s="88">
        <f t="shared" si="456"/>
        <v>1095949</v>
      </c>
      <c r="H530" s="86">
        <f t="shared" si="457"/>
        <v>0</v>
      </c>
      <c r="I530" s="447">
        <f t="shared" si="383"/>
        <v>0</v>
      </c>
      <c r="J530" s="453">
        <f t="shared" si="403"/>
        <v>3.2354331989510178E-3</v>
      </c>
      <c r="K530" s="91">
        <f t="shared" si="458"/>
        <v>547975</v>
      </c>
      <c r="L530" s="87">
        <f t="shared" si="458"/>
        <v>547974</v>
      </c>
      <c r="M530" s="88">
        <f t="shared" si="459"/>
        <v>1095949</v>
      </c>
      <c r="N530" s="89">
        <f t="shared" si="460"/>
        <v>547975</v>
      </c>
      <c r="O530" s="90">
        <f t="shared" si="460"/>
        <v>547974</v>
      </c>
      <c r="P530" s="88">
        <f t="shared" si="461"/>
        <v>1095949</v>
      </c>
      <c r="Q530" s="86">
        <f t="shared" si="462"/>
        <v>0</v>
      </c>
      <c r="R530" s="84">
        <f t="shared" si="389"/>
        <v>0</v>
      </c>
      <c r="S530" s="85">
        <f t="shared" si="380"/>
        <v>9.4118936051163545E-4</v>
      </c>
      <c r="T530" s="85">
        <f t="shared" si="404"/>
        <v>3.2354331989510178E-3</v>
      </c>
      <c r="U530" s="122"/>
      <c r="V530" s="121"/>
    </row>
    <row r="531" spans="1:22" hidden="1" outlineLevel="1">
      <c r="A531" s="79" t="s">
        <v>1445</v>
      </c>
      <c r="B531" s="86">
        <f>INDEX(Data!2089:2089,1,$U$1-2)</f>
        <v>689724</v>
      </c>
      <c r="C531" s="87">
        <f>INDEX(Data!2089:2089,1,$U$1-1)</f>
        <v>689724</v>
      </c>
      <c r="D531" s="88">
        <f>B531+C531</f>
        <v>1379448</v>
      </c>
      <c r="E531" s="89">
        <f>INDEX(Data!2089:2089,1,$U$1)</f>
        <v>689724</v>
      </c>
      <c r="F531" s="90">
        <f>INDEX(Data!2089:2089,1,$U$1+1)</f>
        <v>689724</v>
      </c>
      <c r="G531" s="88">
        <f t="shared" si="456"/>
        <v>1379448</v>
      </c>
      <c r="H531" s="86">
        <f t="shared" si="457"/>
        <v>0</v>
      </c>
      <c r="I531" s="447">
        <f t="shared" si="383"/>
        <v>0</v>
      </c>
      <c r="J531" s="453">
        <f t="shared" si="403"/>
        <v>4.0723718488967862E-3</v>
      </c>
      <c r="K531" s="91">
        <f t="shared" si="458"/>
        <v>689724</v>
      </c>
      <c r="L531" s="87">
        <f t="shared" si="458"/>
        <v>689724</v>
      </c>
      <c r="M531" s="88">
        <f t="shared" si="459"/>
        <v>1379448</v>
      </c>
      <c r="N531" s="89">
        <f t="shared" si="460"/>
        <v>689724</v>
      </c>
      <c r="O531" s="90">
        <f t="shared" si="460"/>
        <v>689724</v>
      </c>
      <c r="P531" s="88">
        <f t="shared" si="461"/>
        <v>1379448</v>
      </c>
      <c r="Q531" s="86">
        <f t="shared" si="462"/>
        <v>0</v>
      </c>
      <c r="R531" s="84">
        <f t="shared" si="389"/>
        <v>0</v>
      </c>
      <c r="S531" s="85">
        <f t="shared" si="380"/>
        <v>1.1846552905099184E-3</v>
      </c>
      <c r="T531" s="85">
        <f t="shared" si="404"/>
        <v>4.0723718488967862E-3</v>
      </c>
      <c r="U531" s="122"/>
      <c r="V531" s="121"/>
    </row>
    <row r="532" spans="1:22" collapsed="1">
      <c r="A532" s="113" t="s">
        <v>807</v>
      </c>
      <c r="B532" s="105">
        <f>SUM(B528:B531)</f>
        <v>2640000</v>
      </c>
      <c r="C532" s="106">
        <f>SUM(C528:C531)</f>
        <v>2639998</v>
      </c>
      <c r="D532" s="107">
        <f>SUM(D528:D531)</f>
        <v>5279998</v>
      </c>
      <c r="E532" s="114">
        <f>SUM(E528:E531)</f>
        <v>2643540</v>
      </c>
      <c r="F532" s="115">
        <f>SUM(F528:F531)</f>
        <v>2643537</v>
      </c>
      <c r="G532" s="107">
        <f t="shared" ref="G532:H532" si="463">SUM(G528:G531)</f>
        <v>5287077</v>
      </c>
      <c r="H532" s="105">
        <f t="shared" si="463"/>
        <v>7079</v>
      </c>
      <c r="I532" s="449">
        <f t="shared" si="383"/>
        <v>1.3407202048182595E-3</v>
      </c>
      <c r="J532" s="454">
        <f t="shared" si="403"/>
        <v>1.5608376348908892E-2</v>
      </c>
      <c r="K532" s="405">
        <f t="shared" ref="K532:Q532" si="464">SUM(K528:K531)</f>
        <v>2640000</v>
      </c>
      <c r="L532" s="106">
        <f t="shared" si="464"/>
        <v>2639998</v>
      </c>
      <c r="M532" s="107">
        <f t="shared" si="464"/>
        <v>5279998</v>
      </c>
      <c r="N532" s="114">
        <f t="shared" si="464"/>
        <v>2643540</v>
      </c>
      <c r="O532" s="115">
        <f t="shared" si="464"/>
        <v>2643537</v>
      </c>
      <c r="P532" s="107">
        <f t="shared" si="464"/>
        <v>5287077</v>
      </c>
      <c r="Q532" s="105">
        <f t="shared" si="464"/>
        <v>7079</v>
      </c>
      <c r="R532" s="108">
        <f t="shared" si="389"/>
        <v>1.3407202048182595E-3</v>
      </c>
      <c r="S532" s="109">
        <f t="shared" si="380"/>
        <v>4.5404855705929526E-3</v>
      </c>
      <c r="T532" s="109">
        <f t="shared" si="404"/>
        <v>1.5608376348908892E-2</v>
      </c>
      <c r="U532" s="122"/>
      <c r="V532" s="121"/>
    </row>
    <row r="533" spans="1:22" hidden="1" outlineLevel="1">
      <c r="A533" s="79" t="s">
        <v>1446</v>
      </c>
      <c r="B533" s="86">
        <f>INDEX(Data!2103:2103,1,$U$1-2)</f>
        <v>890625</v>
      </c>
      <c r="C533" s="87">
        <f>INDEX(Data!2103:2103,1,$U$1-1)</f>
        <v>890624</v>
      </c>
      <c r="D533" s="88">
        <f>B533+C533</f>
        <v>1781249</v>
      </c>
      <c r="E533" s="89">
        <f>INDEX(Data!2103:2103,1,$U$1)</f>
        <v>890625</v>
      </c>
      <c r="F533" s="90">
        <f>INDEX(Data!2103:2103,1,$U$1+1)</f>
        <v>890624</v>
      </c>
      <c r="G533" s="88">
        <f t="shared" ref="G533:G535" si="465">E533+F533</f>
        <v>1781249</v>
      </c>
      <c r="H533" s="86">
        <f t="shared" ref="H533:H535" si="466">G533-D533</f>
        <v>0</v>
      </c>
      <c r="I533" s="447">
        <f t="shared" si="383"/>
        <v>0</v>
      </c>
      <c r="J533" s="453">
        <f t="shared" si="403"/>
        <v>5.2585587013613787E-3</v>
      </c>
      <c r="K533" s="91">
        <f t="shared" ref="K533:L535" si="467">B533</f>
        <v>890625</v>
      </c>
      <c r="L533" s="87">
        <f t="shared" si="467"/>
        <v>890624</v>
      </c>
      <c r="M533" s="88">
        <f t="shared" ref="M533:M535" si="468">K533+L533</f>
        <v>1781249</v>
      </c>
      <c r="N533" s="89">
        <f t="shared" ref="N533:O535" si="469">E533</f>
        <v>890625</v>
      </c>
      <c r="O533" s="90">
        <f t="shared" si="469"/>
        <v>890624</v>
      </c>
      <c r="P533" s="88">
        <f t="shared" ref="P533:P535" si="470">N533+O533</f>
        <v>1781249</v>
      </c>
      <c r="Q533" s="86">
        <f t="shared" ref="Q533:Q535" si="471">P533-M533</f>
        <v>0</v>
      </c>
      <c r="R533" s="84">
        <f t="shared" si="389"/>
        <v>0</v>
      </c>
      <c r="S533" s="85">
        <f t="shared" si="380"/>
        <v>1.5297177215563772E-3</v>
      </c>
      <c r="T533" s="85">
        <f t="shared" si="404"/>
        <v>5.2585587013613787E-3</v>
      </c>
      <c r="U533" s="122"/>
      <c r="V533" s="121"/>
    </row>
    <row r="534" spans="1:22" hidden="1" outlineLevel="1">
      <c r="A534" s="79" t="s">
        <v>1447</v>
      </c>
      <c r="B534" s="86">
        <f>INDEX(Data!2110:2110,1,$U$1-2)</f>
        <v>1157445</v>
      </c>
      <c r="C534" s="87">
        <f>INDEX(Data!2110:2110,1,$U$1-1)</f>
        <v>1157444</v>
      </c>
      <c r="D534" s="88">
        <f>B534+C534</f>
        <v>2314889</v>
      </c>
      <c r="E534" s="89">
        <f>INDEX(Data!2110:2110,1,$U$1)</f>
        <v>1594621</v>
      </c>
      <c r="F534" s="90">
        <f>INDEX(Data!2110:2110,1,$U$1+1)</f>
        <v>1594619</v>
      </c>
      <c r="G534" s="88">
        <f t="shared" si="465"/>
        <v>3189240</v>
      </c>
      <c r="H534" s="86">
        <f t="shared" si="466"/>
        <v>874351</v>
      </c>
      <c r="I534" s="447">
        <f t="shared" si="383"/>
        <v>0.37770752722916734</v>
      </c>
      <c r="J534" s="453">
        <f t="shared" si="403"/>
        <v>9.4151944802381721E-3</v>
      </c>
      <c r="K534" s="91">
        <f t="shared" si="467"/>
        <v>1157445</v>
      </c>
      <c r="L534" s="87">
        <f t="shared" si="467"/>
        <v>1157444</v>
      </c>
      <c r="M534" s="88">
        <f t="shared" si="468"/>
        <v>2314889</v>
      </c>
      <c r="N534" s="89">
        <f t="shared" si="469"/>
        <v>1594621</v>
      </c>
      <c r="O534" s="90">
        <f t="shared" si="469"/>
        <v>1594619</v>
      </c>
      <c r="P534" s="88">
        <f t="shared" si="470"/>
        <v>3189240</v>
      </c>
      <c r="Q534" s="86">
        <f t="shared" si="471"/>
        <v>874351</v>
      </c>
      <c r="R534" s="84">
        <f t="shared" si="389"/>
        <v>0.37770752722916734</v>
      </c>
      <c r="S534" s="85">
        <f t="shared" si="380"/>
        <v>2.7388854372951007E-3</v>
      </c>
      <c r="T534" s="85">
        <f t="shared" si="404"/>
        <v>9.4151944802381721E-3</v>
      </c>
      <c r="U534" s="122"/>
      <c r="V534" s="121"/>
    </row>
    <row r="535" spans="1:22" hidden="1" outlineLevel="1">
      <c r="A535" s="79" t="s">
        <v>1448</v>
      </c>
      <c r="B535" s="86">
        <f>INDEX(Data!2114:2114,1,$U$1-2)</f>
        <v>1080245</v>
      </c>
      <c r="C535" s="87">
        <f>INDEX(Data!2114:2114,1,$U$1-1)</f>
        <v>1080244</v>
      </c>
      <c r="D535" s="88">
        <f>B535+C535</f>
        <v>2160489</v>
      </c>
      <c r="E535" s="89">
        <f>INDEX(Data!2114:2114,1,$U$1)</f>
        <v>1938593</v>
      </c>
      <c r="F535" s="90">
        <f>INDEX(Data!2114:2114,1,$U$1+1)</f>
        <v>1938592</v>
      </c>
      <c r="G535" s="88">
        <f t="shared" si="465"/>
        <v>3877185</v>
      </c>
      <c r="H535" s="86">
        <f t="shared" si="466"/>
        <v>1716696</v>
      </c>
      <c r="I535" s="447">
        <f t="shared" si="383"/>
        <v>0.79458678104817937</v>
      </c>
      <c r="J535" s="453">
        <f t="shared" si="403"/>
        <v>1.1446128485426695E-2</v>
      </c>
      <c r="K535" s="91">
        <f t="shared" si="467"/>
        <v>1080245</v>
      </c>
      <c r="L535" s="87">
        <f t="shared" si="467"/>
        <v>1080244</v>
      </c>
      <c r="M535" s="88">
        <f t="shared" si="468"/>
        <v>2160489</v>
      </c>
      <c r="N535" s="89">
        <f t="shared" si="469"/>
        <v>1938593</v>
      </c>
      <c r="O535" s="90">
        <f t="shared" si="469"/>
        <v>1938592</v>
      </c>
      <c r="P535" s="88">
        <f t="shared" si="470"/>
        <v>3877185</v>
      </c>
      <c r="Q535" s="86">
        <f t="shared" si="471"/>
        <v>1716696</v>
      </c>
      <c r="R535" s="84">
        <f t="shared" si="389"/>
        <v>0.79458678104817937</v>
      </c>
      <c r="S535" s="85">
        <f t="shared" si="380"/>
        <v>3.3296852962458154E-3</v>
      </c>
      <c r="T535" s="85">
        <f t="shared" si="404"/>
        <v>1.1446128485426695E-2</v>
      </c>
      <c r="U535" s="122"/>
      <c r="V535" s="121"/>
    </row>
    <row r="536" spans="1:22" collapsed="1">
      <c r="A536" s="113" t="s">
        <v>808</v>
      </c>
      <c r="B536" s="105">
        <f>SUM(B533:B535)</f>
        <v>3128315</v>
      </c>
      <c r="C536" s="106">
        <f t="shared" ref="C536:H536" si="472">SUM(C533:C535)</f>
        <v>3128312</v>
      </c>
      <c r="D536" s="107">
        <f t="shared" si="472"/>
        <v>6256627</v>
      </c>
      <c r="E536" s="114">
        <f t="shared" si="472"/>
        <v>4423839</v>
      </c>
      <c r="F536" s="115">
        <f t="shared" si="472"/>
        <v>4423835</v>
      </c>
      <c r="G536" s="107">
        <f t="shared" si="472"/>
        <v>8847674</v>
      </c>
      <c r="H536" s="105">
        <f t="shared" si="472"/>
        <v>2591047</v>
      </c>
      <c r="I536" s="449">
        <f t="shared" si="383"/>
        <v>0.41412841136286371</v>
      </c>
      <c r="J536" s="454">
        <f t="shared" si="403"/>
        <v>2.6119881667026248E-2</v>
      </c>
      <c r="K536" s="405">
        <f t="shared" ref="K536:Q536" si="473">SUM(K533:K535)</f>
        <v>3128315</v>
      </c>
      <c r="L536" s="106">
        <f t="shared" si="473"/>
        <v>3128312</v>
      </c>
      <c r="M536" s="107">
        <f t="shared" si="473"/>
        <v>6256627</v>
      </c>
      <c r="N536" s="114">
        <f t="shared" si="473"/>
        <v>4423839</v>
      </c>
      <c r="O536" s="115">
        <f t="shared" si="473"/>
        <v>4423835</v>
      </c>
      <c r="P536" s="107">
        <f t="shared" si="473"/>
        <v>8847674</v>
      </c>
      <c r="Q536" s="105">
        <f t="shared" si="473"/>
        <v>2591047</v>
      </c>
      <c r="R536" s="108">
        <f t="shared" si="389"/>
        <v>0.41412841136286371</v>
      </c>
      <c r="S536" s="109">
        <f t="shared" si="380"/>
        <v>7.5982884550972931E-3</v>
      </c>
      <c r="T536" s="109">
        <f t="shared" si="404"/>
        <v>2.6119881667026248E-2</v>
      </c>
      <c r="V536" s="122"/>
    </row>
    <row r="537" spans="1:22" ht="13.5" thickBot="1">
      <c r="A537" s="95" t="s">
        <v>280</v>
      </c>
      <c r="B537" s="96">
        <f>B515+B527+B532+B536</f>
        <v>107832393</v>
      </c>
      <c r="C537" s="97">
        <f t="shared" ref="C537:H537" si="474">C515+C527+C532+C536</f>
        <v>107831368</v>
      </c>
      <c r="D537" s="98">
        <f t="shared" si="474"/>
        <v>215663761</v>
      </c>
      <c r="E537" s="96">
        <f t="shared" si="474"/>
        <v>169366672</v>
      </c>
      <c r="F537" s="97">
        <f t="shared" si="474"/>
        <v>169366639</v>
      </c>
      <c r="G537" s="98">
        <f t="shared" si="474"/>
        <v>338733311</v>
      </c>
      <c r="H537" s="96">
        <f t="shared" si="474"/>
        <v>123069550</v>
      </c>
      <c r="I537" s="451">
        <f t="shared" si="383"/>
        <v>0.57065475177352587</v>
      </c>
      <c r="J537" s="455">
        <f t="shared" si="403"/>
        <v>1</v>
      </c>
      <c r="K537" s="100">
        <f t="shared" ref="K537:Q537" si="475">K515+K527+K532+K536</f>
        <v>107832393</v>
      </c>
      <c r="L537" s="97">
        <f t="shared" si="475"/>
        <v>107831368</v>
      </c>
      <c r="M537" s="98">
        <f t="shared" si="475"/>
        <v>215663761</v>
      </c>
      <c r="N537" s="96">
        <f t="shared" si="475"/>
        <v>169366672</v>
      </c>
      <c r="O537" s="97">
        <f t="shared" si="475"/>
        <v>169366639</v>
      </c>
      <c r="P537" s="98">
        <f t="shared" si="475"/>
        <v>338733311</v>
      </c>
      <c r="Q537" s="96">
        <f t="shared" si="475"/>
        <v>123069550</v>
      </c>
      <c r="R537" s="99">
        <f t="shared" si="389"/>
        <v>0.57065475177352587</v>
      </c>
      <c r="S537" s="101">
        <f>IFERROR(P537/P$456,"")</f>
        <v>0.29090056961051924</v>
      </c>
      <c r="T537" s="101">
        <f t="shared" si="404"/>
        <v>1</v>
      </c>
      <c r="V537" s="122"/>
    </row>
    <row r="538" spans="1:22">
      <c r="T538" s="1180"/>
      <c r="V538" s="122"/>
    </row>
    <row r="539" spans="1:22">
      <c r="T539" s="410"/>
    </row>
    <row r="540" spans="1:22">
      <c r="T540" s="410"/>
    </row>
    <row r="541" spans="1:22">
      <c r="T541" s="410"/>
    </row>
    <row r="542" spans="1:22">
      <c r="T542" s="410"/>
    </row>
    <row r="543" spans="1:22">
      <c r="T543" s="410"/>
    </row>
    <row r="544" spans="1:22">
      <c r="T544" s="410"/>
    </row>
    <row r="545" spans="1:22">
      <c r="T545" s="410"/>
    </row>
    <row r="546" spans="1:22">
      <c r="T546" s="410"/>
    </row>
    <row r="547" spans="1:22">
      <c r="T547" s="410"/>
    </row>
    <row r="548" spans="1:22">
      <c r="T548" s="410"/>
    </row>
    <row r="549" spans="1:22">
      <c r="T549" s="410"/>
    </row>
    <row r="550" spans="1:22">
      <c r="T550" s="410"/>
    </row>
    <row r="551" spans="1:22">
      <c r="T551" s="410"/>
    </row>
    <row r="552" spans="1:22">
      <c r="T552" s="410"/>
    </row>
    <row r="553" spans="1:22">
      <c r="T553" s="410"/>
    </row>
    <row r="554" spans="1:22">
      <c r="T554" s="410"/>
    </row>
    <row r="555" spans="1:22">
      <c r="T555" s="410"/>
    </row>
    <row r="556" spans="1:22">
      <c r="J556" s="411"/>
      <c r="T556" s="411"/>
    </row>
    <row r="557" spans="1:22" ht="13.5" thickBot="1">
      <c r="T557" s="1179"/>
    </row>
    <row r="558" spans="1:22" ht="13.5" customHeight="1" thickBot="1">
      <c r="A558" s="536" t="s">
        <v>810</v>
      </c>
      <c r="B558" s="537"/>
      <c r="C558" s="537"/>
      <c r="D558" s="537"/>
      <c r="E558" s="537"/>
      <c r="F558" s="537"/>
      <c r="G558" s="537"/>
      <c r="H558" s="537"/>
      <c r="I558" s="537"/>
      <c r="J558" s="537"/>
      <c r="K558" s="537"/>
      <c r="L558" s="537"/>
      <c r="M558" s="537"/>
      <c r="N558" s="537"/>
      <c r="O558" s="537"/>
      <c r="P558" s="537"/>
      <c r="Q558" s="537"/>
      <c r="R558" s="537"/>
      <c r="S558" s="537"/>
      <c r="T558" s="538"/>
    </row>
    <row r="559" spans="1:22" ht="13.5" thickBot="1">
      <c r="A559" s="535" t="s">
        <v>1318</v>
      </c>
      <c r="B559" s="1292" t="s">
        <v>2</v>
      </c>
      <c r="C559" s="1293"/>
      <c r="D559" s="1293"/>
      <c r="E559" s="1293"/>
      <c r="F559" s="1293"/>
      <c r="G559" s="1293"/>
      <c r="H559" s="1293"/>
      <c r="I559" s="1293"/>
      <c r="J559" s="1294"/>
      <c r="K559" s="1295" t="s">
        <v>764</v>
      </c>
      <c r="L559" s="1295"/>
      <c r="M559" s="1295"/>
      <c r="N559" s="1295"/>
      <c r="O559" s="1295"/>
      <c r="P559" s="1295"/>
      <c r="Q559" s="1295"/>
      <c r="R559" s="1295"/>
      <c r="S559" s="1295"/>
      <c r="T559" s="1296"/>
    </row>
    <row r="560" spans="1:22" ht="25.5">
      <c r="A560" s="73" t="s">
        <v>766</v>
      </c>
      <c r="B560" s="74">
        <f>E560-2</f>
        <v>2018</v>
      </c>
      <c r="C560" s="75">
        <f>B560+1</f>
        <v>2019</v>
      </c>
      <c r="D560" s="76" t="str">
        <f>B560&amp;"-"&amp;C560</f>
        <v>2018-2019</v>
      </c>
      <c r="E560" s="74" t="str">
        <f>$T$1</f>
        <v>2020</v>
      </c>
      <c r="F560" s="75">
        <f>E560+1</f>
        <v>2021</v>
      </c>
      <c r="G560" s="76" t="str">
        <f>E560&amp;"-"&amp;F560</f>
        <v>2020-2021</v>
      </c>
      <c r="H560" s="74" t="s">
        <v>767</v>
      </c>
      <c r="I560" s="75" t="s">
        <v>768</v>
      </c>
      <c r="J560" s="76" t="s">
        <v>769</v>
      </c>
      <c r="K560" s="77">
        <f>N560-2</f>
        <v>2018</v>
      </c>
      <c r="L560" s="75">
        <f>K560+1</f>
        <v>2019</v>
      </c>
      <c r="M560" s="76" t="str">
        <f>K560&amp;"-"&amp;L560</f>
        <v>2018-2019</v>
      </c>
      <c r="N560" s="74" t="str">
        <f>$T$1</f>
        <v>2020</v>
      </c>
      <c r="O560" s="75">
        <f>N560+1</f>
        <v>2021</v>
      </c>
      <c r="P560" s="76" t="str">
        <f>N560&amp;"-"&amp;O560</f>
        <v>2020-2021</v>
      </c>
      <c r="Q560" s="74" t="s">
        <v>767</v>
      </c>
      <c r="R560" s="75" t="s">
        <v>768</v>
      </c>
      <c r="S560" s="78" t="s">
        <v>769</v>
      </c>
      <c r="T560" s="78" t="s">
        <v>770</v>
      </c>
      <c r="V560" s="122"/>
    </row>
    <row r="561" spans="1:22" hidden="1" outlineLevel="1">
      <c r="A561" s="79" t="s">
        <v>754</v>
      </c>
      <c r="B561" s="83">
        <f>INDEX(Data!2223:2223,1,$U$1-2)</f>
        <v>12828287</v>
      </c>
      <c r="C561" s="81">
        <f>INDEX(Data!2223:2223,1,$U$1-1)</f>
        <v>12828287</v>
      </c>
      <c r="D561" s="82">
        <f t="shared" ref="D561:D599" si="476">B561+C561</f>
        <v>25656574</v>
      </c>
      <c r="E561" s="102">
        <f>INDEX(Data!2223:2223,1,$U$1)</f>
        <v>12828175</v>
      </c>
      <c r="F561" s="103">
        <f>INDEX(Data!2223:2223,1,$U$1+1)</f>
        <v>12828000</v>
      </c>
      <c r="G561" s="82">
        <f t="shared" ref="G561:G599" si="477">E561+F561</f>
        <v>25656175</v>
      </c>
      <c r="H561" s="83">
        <f>G561-D561</f>
        <v>-399</v>
      </c>
      <c r="I561" s="447">
        <f>IFERROR(H561/D561,"")</f>
        <v>-1.5551569745828106E-5</v>
      </c>
      <c r="J561" s="453">
        <f>IFERROR(G561/G$456,"")</f>
        <v>2.2033250581390749E-2</v>
      </c>
      <c r="K561" s="409">
        <f t="shared" ref="K561:L599" si="478">B561</f>
        <v>12828287</v>
      </c>
      <c r="L561" s="81">
        <f t="shared" si="478"/>
        <v>12828287</v>
      </c>
      <c r="M561" s="82">
        <f t="shared" ref="M561:M599" si="479">K561+L561</f>
        <v>25656574</v>
      </c>
      <c r="N561" s="102">
        <f t="shared" ref="N561:O599" si="480">E561</f>
        <v>12828175</v>
      </c>
      <c r="O561" s="103">
        <f t="shared" si="480"/>
        <v>12828000</v>
      </c>
      <c r="P561" s="82">
        <f t="shared" ref="P561:P599" si="481">N561+O561</f>
        <v>25656175</v>
      </c>
      <c r="Q561" s="83">
        <f>P561-M561</f>
        <v>-399</v>
      </c>
      <c r="R561" s="84">
        <f>IFERROR(Q561/M561,"")</f>
        <v>-1.5551569745828106E-5</v>
      </c>
      <c r="S561" s="85">
        <f t="shared" ref="S561:S627" si="482">IFERROR(P561/P$456,"")</f>
        <v>2.2033250581390749E-2</v>
      </c>
      <c r="T561" s="85">
        <f t="shared" ref="T561:T627" si="483">IFERROR(P561/G561,"")</f>
        <v>1</v>
      </c>
      <c r="U561" s="122"/>
      <c r="V561" s="121"/>
    </row>
    <row r="562" spans="1:22" hidden="1" outlineLevel="1">
      <c r="A562" s="79" t="s">
        <v>749</v>
      </c>
      <c r="B562" s="86">
        <f>INDEX(Data!2224:2224,1,$U$1-2)</f>
        <v>19678585</v>
      </c>
      <c r="C562" s="87">
        <f>INDEX(Data!2224:2224,1,$U$1-1)</f>
        <v>19678585</v>
      </c>
      <c r="D562" s="88">
        <f t="shared" si="476"/>
        <v>39357170</v>
      </c>
      <c r="E562" s="89">
        <f>INDEX(Data!2224:2224,1,$U$1)</f>
        <v>19676338</v>
      </c>
      <c r="F562" s="90">
        <f>INDEX(Data!2224:2224,1,$U$1+1)</f>
        <v>19674000</v>
      </c>
      <c r="G562" s="88">
        <f t="shared" si="477"/>
        <v>39350338</v>
      </c>
      <c r="H562" s="86">
        <f t="shared" ref="H562:H599" si="484">G562-D562</f>
        <v>-6832</v>
      </c>
      <c r="I562" s="447">
        <f t="shared" ref="I562:I628" si="485">IFERROR(H562/D562,"")</f>
        <v>-1.735897169435709E-4</v>
      </c>
      <c r="J562" s="453">
        <f t="shared" ref="J562:J628" si="486">IFERROR(G562/G$456,"")</f>
        <v>3.3793652312412992E-2</v>
      </c>
      <c r="K562" s="91">
        <f t="shared" si="478"/>
        <v>19678585</v>
      </c>
      <c r="L562" s="87">
        <f t="shared" si="478"/>
        <v>19678585</v>
      </c>
      <c r="M562" s="88">
        <f t="shared" si="479"/>
        <v>39357170</v>
      </c>
      <c r="N562" s="89">
        <f t="shared" si="480"/>
        <v>19676338</v>
      </c>
      <c r="O562" s="90">
        <f t="shared" si="480"/>
        <v>19674000</v>
      </c>
      <c r="P562" s="88">
        <f t="shared" si="481"/>
        <v>39350338</v>
      </c>
      <c r="Q562" s="86">
        <f t="shared" ref="Q562:Q599" si="487">P562-M562</f>
        <v>-6832</v>
      </c>
      <c r="R562" s="84">
        <f t="shared" ref="R562:R628" si="488">IFERROR(Q562/M562,"")</f>
        <v>-1.735897169435709E-4</v>
      </c>
      <c r="S562" s="85">
        <f t="shared" si="482"/>
        <v>3.3793652312412992E-2</v>
      </c>
      <c r="T562" s="85">
        <f t="shared" si="483"/>
        <v>1</v>
      </c>
      <c r="U562" s="122"/>
      <c r="V562" s="123"/>
    </row>
    <row r="563" spans="1:22" hidden="1" outlineLevel="1">
      <c r="A563" s="79" t="s">
        <v>755</v>
      </c>
      <c r="B563" s="86">
        <f>INDEX(Data!2225:2225,1,$U$1-2)</f>
        <v>8757062</v>
      </c>
      <c r="C563" s="87">
        <f>INDEX(Data!2225:2225,1,$U$1-1)</f>
        <v>8757062</v>
      </c>
      <c r="D563" s="88">
        <f t="shared" si="476"/>
        <v>17514124</v>
      </c>
      <c r="E563" s="89">
        <f>INDEX(Data!2225:2225,1,$U$1)</f>
        <v>8756475</v>
      </c>
      <c r="F563" s="90">
        <f>INDEX(Data!2225:2225,1,$U$1+1)</f>
        <v>8756750</v>
      </c>
      <c r="G563" s="88">
        <f t="shared" si="477"/>
        <v>17513225</v>
      </c>
      <c r="H563" s="86">
        <f t="shared" si="484"/>
        <v>-899</v>
      </c>
      <c r="I563" s="447">
        <f t="shared" si="485"/>
        <v>-5.133000086101937E-5</v>
      </c>
      <c r="J563" s="453">
        <f t="shared" si="486"/>
        <v>1.504017161222501E-2</v>
      </c>
      <c r="K563" s="91">
        <f t="shared" si="478"/>
        <v>8757062</v>
      </c>
      <c r="L563" s="87">
        <f t="shared" si="478"/>
        <v>8757062</v>
      </c>
      <c r="M563" s="88">
        <f t="shared" si="479"/>
        <v>17514124</v>
      </c>
      <c r="N563" s="89">
        <f t="shared" si="480"/>
        <v>8756475</v>
      </c>
      <c r="O563" s="90">
        <f t="shared" si="480"/>
        <v>8756750</v>
      </c>
      <c r="P563" s="88">
        <f t="shared" si="481"/>
        <v>17513225</v>
      </c>
      <c r="Q563" s="86">
        <f t="shared" si="487"/>
        <v>-899</v>
      </c>
      <c r="R563" s="84">
        <f t="shared" si="488"/>
        <v>-5.133000086101937E-5</v>
      </c>
      <c r="S563" s="85">
        <f t="shared" si="482"/>
        <v>1.504017161222501E-2</v>
      </c>
      <c r="T563" s="85">
        <f t="shared" si="483"/>
        <v>1</v>
      </c>
      <c r="U563" s="122"/>
      <c r="V563" s="123"/>
    </row>
    <row r="564" spans="1:22" hidden="1" outlineLevel="1">
      <c r="A564" s="79" t="s">
        <v>756</v>
      </c>
      <c r="B564" s="86">
        <f>INDEX(Data!2226:2226,1,$U$1-2)</f>
        <v>12707849</v>
      </c>
      <c r="C564" s="87">
        <f>INDEX(Data!2226:2226,1,$U$1-1)</f>
        <v>12707849</v>
      </c>
      <c r="D564" s="88">
        <f t="shared" si="476"/>
        <v>25415698</v>
      </c>
      <c r="E564" s="89">
        <f>INDEX(Data!2226:2226,1,$U$1)</f>
        <v>12707275</v>
      </c>
      <c r="F564" s="90">
        <f>INDEX(Data!2226:2226,1,$U$1+1)</f>
        <v>12707350</v>
      </c>
      <c r="G564" s="88">
        <f t="shared" si="477"/>
        <v>25414625</v>
      </c>
      <c r="H564" s="86">
        <f t="shared" si="484"/>
        <v>-1073</v>
      </c>
      <c r="I564" s="447">
        <f t="shared" si="485"/>
        <v>-4.2218002432984527E-5</v>
      </c>
      <c r="J564" s="453">
        <f t="shared" si="486"/>
        <v>2.1825810007028632E-2</v>
      </c>
      <c r="K564" s="91">
        <f t="shared" si="478"/>
        <v>12707849</v>
      </c>
      <c r="L564" s="87">
        <f t="shared" si="478"/>
        <v>12707849</v>
      </c>
      <c r="M564" s="88">
        <f t="shared" si="479"/>
        <v>25415698</v>
      </c>
      <c r="N564" s="89">
        <f t="shared" si="480"/>
        <v>12707275</v>
      </c>
      <c r="O564" s="90">
        <f t="shared" si="480"/>
        <v>12707350</v>
      </c>
      <c r="P564" s="88">
        <f t="shared" si="481"/>
        <v>25414625</v>
      </c>
      <c r="Q564" s="86">
        <f t="shared" si="487"/>
        <v>-1073</v>
      </c>
      <c r="R564" s="84">
        <f t="shared" si="488"/>
        <v>-4.2218002432984527E-5</v>
      </c>
      <c r="S564" s="85">
        <f t="shared" si="482"/>
        <v>2.1825810007028632E-2</v>
      </c>
      <c r="T564" s="85">
        <f t="shared" si="483"/>
        <v>1</v>
      </c>
      <c r="U564" s="122"/>
      <c r="V564" s="123"/>
    </row>
    <row r="565" spans="1:22" ht="13.5" hidden="1" customHeight="1" outlineLevel="1">
      <c r="A565" s="1104" t="s">
        <v>1667</v>
      </c>
      <c r="B565" s="86">
        <f>INDEX(Data!2227:2227,1,$U$1-2)</f>
        <v>18020650</v>
      </c>
      <c r="C565" s="87">
        <f>INDEX(Data!2227:2227,1,$U$1-1)</f>
        <v>18020650</v>
      </c>
      <c r="D565" s="88">
        <f t="shared" ref="D565" si="489">B565+C565</f>
        <v>36041300</v>
      </c>
      <c r="E565" s="89">
        <f>INDEX(Data!2227:2227,1,$U$1)</f>
        <v>18019713</v>
      </c>
      <c r="F565" s="90">
        <f>INDEX(Data!2227:2227,1,$U$1+1)</f>
        <v>18020350</v>
      </c>
      <c r="G565" s="88">
        <f t="shared" ref="G565" si="490">E565+F565</f>
        <v>36040063</v>
      </c>
      <c r="H565" s="86">
        <f t="shared" ref="H565" si="491">G565-D565</f>
        <v>-1237</v>
      </c>
      <c r="I565" s="447">
        <f t="shared" ref="I565" si="492">IFERROR(H565/D565,"")</f>
        <v>-3.4321736452347726E-5</v>
      </c>
      <c r="J565" s="453">
        <f t="shared" ref="J565" si="493">IFERROR(G565/G$456,"")</f>
        <v>3.0950823302698442E-2</v>
      </c>
      <c r="K565" s="91">
        <f t="shared" ref="K565" si="494">B565</f>
        <v>18020650</v>
      </c>
      <c r="L565" s="87">
        <f t="shared" ref="L565" si="495">C565</f>
        <v>18020650</v>
      </c>
      <c r="M565" s="88">
        <f t="shared" ref="M565" si="496">K565+L565</f>
        <v>36041300</v>
      </c>
      <c r="N565" s="89">
        <f t="shared" ref="N565" si="497">E565</f>
        <v>18019713</v>
      </c>
      <c r="O565" s="90">
        <f t="shared" ref="O565" si="498">F565</f>
        <v>18020350</v>
      </c>
      <c r="P565" s="88">
        <f t="shared" ref="P565" si="499">N565+O565</f>
        <v>36040063</v>
      </c>
      <c r="Q565" s="86">
        <f t="shared" ref="Q565" si="500">P565-M565</f>
        <v>-1237</v>
      </c>
      <c r="R565" s="84">
        <f t="shared" ref="R565" si="501">IFERROR(Q565/M565,"")</f>
        <v>-3.4321736452347726E-5</v>
      </c>
      <c r="S565" s="85">
        <f t="shared" ref="S565" si="502">IFERROR(P565/P$456,"")</f>
        <v>3.0950823302698442E-2</v>
      </c>
      <c r="T565" s="85">
        <f t="shared" ref="T565" si="503">IFERROR(P565/G565,"")</f>
        <v>1</v>
      </c>
      <c r="U565" s="122"/>
      <c r="V565" s="123"/>
    </row>
    <row r="566" spans="1:22" hidden="1" outlineLevel="1">
      <c r="A566" s="79" t="s">
        <v>1356</v>
      </c>
      <c r="B566" s="86">
        <f>INDEX(Data!2228:2228,1,$U$1-2)</f>
        <v>0</v>
      </c>
      <c r="C566" s="87">
        <f>INDEX(Data!2228:2228,1,$U$1-1)</f>
        <v>0</v>
      </c>
      <c r="D566" s="88">
        <f t="shared" si="476"/>
        <v>0</v>
      </c>
      <c r="E566" s="89">
        <f>INDEX(Data!2228:2228,1,$U$1)</f>
        <v>0</v>
      </c>
      <c r="F566" s="90">
        <f>INDEX(Data!2228:2228,1,$U$1+1)</f>
        <v>0</v>
      </c>
      <c r="G566" s="88">
        <f t="shared" si="477"/>
        <v>0</v>
      </c>
      <c r="H566" s="86">
        <f t="shared" si="484"/>
        <v>0</v>
      </c>
      <c r="I566" s="447" t="str">
        <f t="shared" si="485"/>
        <v/>
      </c>
      <c r="J566" s="453">
        <f t="shared" si="486"/>
        <v>0</v>
      </c>
      <c r="K566" s="91">
        <f t="shared" si="478"/>
        <v>0</v>
      </c>
      <c r="L566" s="87">
        <f t="shared" si="478"/>
        <v>0</v>
      </c>
      <c r="M566" s="88">
        <f t="shared" si="479"/>
        <v>0</v>
      </c>
      <c r="N566" s="89">
        <f t="shared" si="480"/>
        <v>0</v>
      </c>
      <c r="O566" s="90">
        <f t="shared" si="480"/>
        <v>0</v>
      </c>
      <c r="P566" s="88">
        <f t="shared" si="481"/>
        <v>0</v>
      </c>
      <c r="Q566" s="86">
        <f t="shared" si="487"/>
        <v>0</v>
      </c>
      <c r="R566" s="84" t="str">
        <f t="shared" si="488"/>
        <v/>
      </c>
      <c r="S566" s="85">
        <f t="shared" si="482"/>
        <v>0</v>
      </c>
      <c r="T566" s="85" t="str">
        <f t="shared" si="483"/>
        <v/>
      </c>
      <c r="U566" s="122"/>
      <c r="V566" s="123"/>
    </row>
    <row r="567" spans="1:22" hidden="1" outlineLevel="1">
      <c r="A567" s="79" t="s">
        <v>1357</v>
      </c>
      <c r="B567" s="86">
        <f>INDEX(Data!2229:2229,1,$U$1-2)</f>
        <v>0</v>
      </c>
      <c r="C567" s="87">
        <f>INDEX(Data!2229:2229,1,$U$1-1)</f>
        <v>0</v>
      </c>
      <c r="D567" s="88">
        <f t="shared" si="476"/>
        <v>0</v>
      </c>
      <c r="E567" s="89">
        <f>INDEX(Data!2229:2229,1,$U$1)</f>
        <v>0</v>
      </c>
      <c r="F567" s="90">
        <f>INDEX(Data!2229:2229,1,$U$1+1)</f>
        <v>0</v>
      </c>
      <c r="G567" s="88">
        <f t="shared" si="477"/>
        <v>0</v>
      </c>
      <c r="H567" s="86">
        <f t="shared" si="484"/>
        <v>0</v>
      </c>
      <c r="I567" s="447" t="str">
        <f t="shared" si="485"/>
        <v/>
      </c>
      <c r="J567" s="453">
        <f t="shared" si="486"/>
        <v>0</v>
      </c>
      <c r="K567" s="91">
        <f t="shared" si="478"/>
        <v>0</v>
      </c>
      <c r="L567" s="87">
        <f t="shared" si="478"/>
        <v>0</v>
      </c>
      <c r="M567" s="88">
        <f t="shared" si="479"/>
        <v>0</v>
      </c>
      <c r="N567" s="89">
        <f t="shared" si="480"/>
        <v>0</v>
      </c>
      <c r="O567" s="90">
        <f t="shared" si="480"/>
        <v>0</v>
      </c>
      <c r="P567" s="88">
        <f t="shared" si="481"/>
        <v>0</v>
      </c>
      <c r="Q567" s="86">
        <f t="shared" si="487"/>
        <v>0</v>
      </c>
      <c r="R567" s="84" t="str">
        <f t="shared" si="488"/>
        <v/>
      </c>
      <c r="S567" s="85">
        <f t="shared" si="482"/>
        <v>0</v>
      </c>
      <c r="T567" s="85" t="str">
        <f t="shared" si="483"/>
        <v/>
      </c>
      <c r="U567" s="122"/>
      <c r="V567" s="121"/>
    </row>
    <row r="568" spans="1:22" ht="25.5" hidden="1" outlineLevel="1">
      <c r="A568" s="79" t="s">
        <v>1358</v>
      </c>
      <c r="B568" s="86">
        <f>INDEX(Data!2230:2230,1,$U$1-2)</f>
        <v>12186357</v>
      </c>
      <c r="C568" s="87">
        <f>INDEX(Data!2230:2230,1,$U$1-1)</f>
        <v>12186357</v>
      </c>
      <c r="D568" s="88">
        <f t="shared" si="476"/>
        <v>24372714</v>
      </c>
      <c r="E568" s="89">
        <f>INDEX(Data!2230:2230,1,$U$1)</f>
        <v>12185988</v>
      </c>
      <c r="F568" s="90">
        <f>INDEX(Data!2230:2230,1,$U$1+1)</f>
        <v>12186050</v>
      </c>
      <c r="G568" s="88">
        <f t="shared" si="477"/>
        <v>24372038</v>
      </c>
      <c r="H568" s="86">
        <f t="shared" si="484"/>
        <v>-676</v>
      </c>
      <c r="I568" s="447">
        <f t="shared" si="485"/>
        <v>-2.7735934537286246E-5</v>
      </c>
      <c r="J568" s="453">
        <f t="shared" si="486"/>
        <v>2.0930447365329299E-2</v>
      </c>
      <c r="K568" s="91">
        <f t="shared" si="478"/>
        <v>12186357</v>
      </c>
      <c r="L568" s="87">
        <f t="shared" si="478"/>
        <v>12186357</v>
      </c>
      <c r="M568" s="88">
        <f t="shared" si="479"/>
        <v>24372714</v>
      </c>
      <c r="N568" s="89">
        <f t="shared" si="480"/>
        <v>12185988</v>
      </c>
      <c r="O568" s="90">
        <f t="shared" si="480"/>
        <v>12186050</v>
      </c>
      <c r="P568" s="88">
        <f t="shared" si="481"/>
        <v>24372038</v>
      </c>
      <c r="Q568" s="86">
        <f t="shared" si="487"/>
        <v>-676</v>
      </c>
      <c r="R568" s="84">
        <f t="shared" si="488"/>
        <v>-2.7735934537286246E-5</v>
      </c>
      <c r="S568" s="85">
        <f t="shared" si="482"/>
        <v>2.0930447365329299E-2</v>
      </c>
      <c r="T568" s="85">
        <f t="shared" si="483"/>
        <v>1</v>
      </c>
      <c r="U568" s="122"/>
      <c r="V568" s="121"/>
    </row>
    <row r="569" spans="1:22" hidden="1" outlineLevel="1">
      <c r="A569" s="79" t="s">
        <v>757</v>
      </c>
      <c r="B569" s="86">
        <f>INDEX(Data!2231:2231,1,$U$1-2)</f>
        <v>16641174</v>
      </c>
      <c r="C569" s="87">
        <f>INDEX(Data!2231:2231,1,$U$1-1)</f>
        <v>16641174</v>
      </c>
      <c r="D569" s="88">
        <f t="shared" si="476"/>
        <v>33282348</v>
      </c>
      <c r="E569" s="89">
        <f>INDEX(Data!2231:2231,1,$U$1)</f>
        <v>16640763</v>
      </c>
      <c r="F569" s="90">
        <f>INDEX(Data!2231:2231,1,$U$1+1)</f>
        <v>16641000</v>
      </c>
      <c r="G569" s="88">
        <f t="shared" si="477"/>
        <v>33281763</v>
      </c>
      <c r="H569" s="86">
        <f t="shared" si="484"/>
        <v>-585</v>
      </c>
      <c r="I569" s="447">
        <f t="shared" si="485"/>
        <v>-1.7576884900067747E-5</v>
      </c>
      <c r="J569" s="453">
        <f t="shared" si="486"/>
        <v>2.8582024560148155E-2</v>
      </c>
      <c r="K569" s="91">
        <f t="shared" si="478"/>
        <v>16641174</v>
      </c>
      <c r="L569" s="87">
        <f t="shared" si="478"/>
        <v>16641174</v>
      </c>
      <c r="M569" s="88">
        <f t="shared" si="479"/>
        <v>33282348</v>
      </c>
      <c r="N569" s="89">
        <f t="shared" si="480"/>
        <v>16640763</v>
      </c>
      <c r="O569" s="90">
        <f t="shared" si="480"/>
        <v>16641000</v>
      </c>
      <c r="P569" s="88">
        <f t="shared" si="481"/>
        <v>33281763</v>
      </c>
      <c r="Q569" s="86">
        <f t="shared" si="487"/>
        <v>-585</v>
      </c>
      <c r="R569" s="84">
        <f t="shared" si="488"/>
        <v>-1.7576884900067747E-5</v>
      </c>
      <c r="S569" s="85">
        <f t="shared" si="482"/>
        <v>2.8582024560148155E-2</v>
      </c>
      <c r="T569" s="85">
        <f t="shared" si="483"/>
        <v>1</v>
      </c>
      <c r="U569" s="122"/>
      <c r="V569" s="121"/>
    </row>
    <row r="570" spans="1:22" hidden="1" outlineLevel="1">
      <c r="A570" s="79" t="s">
        <v>1359</v>
      </c>
      <c r="B570" s="86">
        <f>INDEX(Data!2232:2232,1,$U$1-2)</f>
        <v>9869955</v>
      </c>
      <c r="C570" s="87">
        <f>INDEX(Data!2232:2232,1,$U$1-1)</f>
        <v>9869955</v>
      </c>
      <c r="D570" s="88">
        <f t="shared" si="476"/>
        <v>19739910</v>
      </c>
      <c r="E570" s="89">
        <f>INDEX(Data!2232:2232,1,$U$1)</f>
        <v>9869850</v>
      </c>
      <c r="F570" s="90">
        <f>INDEX(Data!2232:2232,1,$U$1+1)</f>
        <v>9869900</v>
      </c>
      <c r="G570" s="88">
        <f t="shared" si="477"/>
        <v>19739750</v>
      </c>
      <c r="H570" s="86">
        <f t="shared" si="484"/>
        <v>-160</v>
      </c>
      <c r="I570" s="447">
        <f t="shared" si="485"/>
        <v>-8.1054067622395436E-6</v>
      </c>
      <c r="J570" s="453">
        <f t="shared" si="486"/>
        <v>1.6952287633055514E-2</v>
      </c>
      <c r="K570" s="91">
        <f t="shared" si="478"/>
        <v>9869955</v>
      </c>
      <c r="L570" s="87">
        <f t="shared" si="478"/>
        <v>9869955</v>
      </c>
      <c r="M570" s="88">
        <f t="shared" si="479"/>
        <v>19739910</v>
      </c>
      <c r="N570" s="89">
        <f t="shared" si="480"/>
        <v>9869850</v>
      </c>
      <c r="O570" s="90">
        <f t="shared" si="480"/>
        <v>9869900</v>
      </c>
      <c r="P570" s="88">
        <f t="shared" si="481"/>
        <v>19739750</v>
      </c>
      <c r="Q570" s="86">
        <f t="shared" si="487"/>
        <v>-160</v>
      </c>
      <c r="R570" s="84">
        <f t="shared" si="488"/>
        <v>-8.1054067622395436E-6</v>
      </c>
      <c r="S570" s="85">
        <f t="shared" si="482"/>
        <v>1.6952287633055514E-2</v>
      </c>
      <c r="T570" s="85">
        <f t="shared" si="483"/>
        <v>1</v>
      </c>
      <c r="U570" s="122"/>
      <c r="V570" s="121"/>
    </row>
    <row r="571" spans="1:22" hidden="1" outlineLevel="1">
      <c r="A571" s="79" t="s">
        <v>41</v>
      </c>
      <c r="B571" s="86">
        <f>INDEX(Data!2234:2234,1,$U$1-2)</f>
        <v>8380795</v>
      </c>
      <c r="C571" s="87">
        <f>INDEX(Data!2234:2234,1,$U$1-1)</f>
        <v>8380110</v>
      </c>
      <c r="D571" s="88">
        <f t="shared" si="476"/>
        <v>16760905</v>
      </c>
      <c r="E571" s="89">
        <f>INDEX(Data!2234:2234,1,$U$1)</f>
        <v>8288225</v>
      </c>
      <c r="F571" s="90">
        <f>INDEX(Data!2234:2234,1,$U$1+1)</f>
        <v>8267586</v>
      </c>
      <c r="G571" s="88">
        <f t="shared" si="477"/>
        <v>16555811</v>
      </c>
      <c r="H571" s="86">
        <f t="shared" si="484"/>
        <v>-205094</v>
      </c>
      <c r="I571" s="447">
        <f t="shared" si="485"/>
        <v>-1.2236451432664287E-2</v>
      </c>
      <c r="J571" s="453">
        <f t="shared" si="486"/>
        <v>1.4217954638255521E-2</v>
      </c>
      <c r="K571" s="91">
        <f t="shared" si="478"/>
        <v>8380795</v>
      </c>
      <c r="L571" s="87">
        <f t="shared" si="478"/>
        <v>8380110</v>
      </c>
      <c r="M571" s="88">
        <f t="shared" si="479"/>
        <v>16760905</v>
      </c>
      <c r="N571" s="89">
        <f t="shared" si="480"/>
        <v>8288225</v>
      </c>
      <c r="O571" s="90">
        <f t="shared" si="480"/>
        <v>8267586</v>
      </c>
      <c r="P571" s="88">
        <f t="shared" si="481"/>
        <v>16555811</v>
      </c>
      <c r="Q571" s="86">
        <f t="shared" si="487"/>
        <v>-205094</v>
      </c>
      <c r="R571" s="84">
        <f t="shared" si="488"/>
        <v>-1.2236451432664287E-2</v>
      </c>
      <c r="S571" s="85">
        <f t="shared" si="482"/>
        <v>1.4217954638255521E-2</v>
      </c>
      <c r="T571" s="85">
        <f t="shared" si="483"/>
        <v>1</v>
      </c>
      <c r="U571" s="122"/>
      <c r="V571" s="121"/>
    </row>
    <row r="572" spans="1:22" hidden="1" outlineLevel="1">
      <c r="A572" s="79" t="s">
        <v>876</v>
      </c>
      <c r="B572" s="86">
        <f>INDEX(Data!2235:2235,1,$U$1-2)</f>
        <v>8415045</v>
      </c>
      <c r="C572" s="87">
        <f>INDEX(Data!2235:2235,1,$U$1-1)</f>
        <v>8425174</v>
      </c>
      <c r="D572" s="88">
        <f t="shared" si="476"/>
        <v>16840219</v>
      </c>
      <c r="E572" s="89">
        <f>INDEX(Data!2235:2235,1,$U$1)</f>
        <v>8277736</v>
      </c>
      <c r="F572" s="90">
        <f>INDEX(Data!2235:2235,1,$U$1+1)</f>
        <v>8264143</v>
      </c>
      <c r="G572" s="88">
        <f t="shared" si="477"/>
        <v>16541879</v>
      </c>
      <c r="H572" s="86">
        <f t="shared" si="484"/>
        <v>-298340</v>
      </c>
      <c r="I572" s="447">
        <f t="shared" si="485"/>
        <v>-1.7715921627860065E-2</v>
      </c>
      <c r="J572" s="453">
        <f t="shared" si="486"/>
        <v>1.4205989984635098E-2</v>
      </c>
      <c r="K572" s="91">
        <f t="shared" si="478"/>
        <v>8415045</v>
      </c>
      <c r="L572" s="87">
        <f t="shared" si="478"/>
        <v>8425174</v>
      </c>
      <c r="M572" s="88">
        <f t="shared" si="479"/>
        <v>16840219</v>
      </c>
      <c r="N572" s="89">
        <f t="shared" si="480"/>
        <v>8277736</v>
      </c>
      <c r="O572" s="90">
        <f t="shared" si="480"/>
        <v>8264143</v>
      </c>
      <c r="P572" s="88">
        <f t="shared" si="481"/>
        <v>16541879</v>
      </c>
      <c r="Q572" s="86">
        <f t="shared" si="487"/>
        <v>-298340</v>
      </c>
      <c r="R572" s="84">
        <f t="shared" si="488"/>
        <v>-1.7715921627860065E-2</v>
      </c>
      <c r="S572" s="85">
        <f t="shared" si="482"/>
        <v>1.4205989984635098E-2</v>
      </c>
      <c r="T572" s="85">
        <f t="shared" si="483"/>
        <v>1</v>
      </c>
      <c r="U572" s="122"/>
      <c r="V572" s="121"/>
    </row>
    <row r="573" spans="1:22" hidden="1" outlineLevel="1">
      <c r="A573" s="79" t="s">
        <v>750</v>
      </c>
      <c r="B573" s="86">
        <f>INDEX(Data!2236:2236,1,$U$1-2)</f>
        <v>6666427</v>
      </c>
      <c r="C573" s="87">
        <f>INDEX(Data!2236:2236,1,$U$1-1)</f>
        <v>6669381</v>
      </c>
      <c r="D573" s="88">
        <f t="shared" si="476"/>
        <v>13335808</v>
      </c>
      <c r="E573" s="89">
        <f>INDEX(Data!2236:2236,1,$U$1)</f>
        <v>6674016</v>
      </c>
      <c r="F573" s="90">
        <f>INDEX(Data!2236:2236,1,$U$1+1)</f>
        <v>6665734</v>
      </c>
      <c r="G573" s="88">
        <f t="shared" si="477"/>
        <v>13339750</v>
      </c>
      <c r="H573" s="86">
        <f t="shared" si="484"/>
        <v>3942</v>
      </c>
      <c r="I573" s="447">
        <f t="shared" si="485"/>
        <v>2.955951375424721E-4</v>
      </c>
      <c r="J573" s="453">
        <f t="shared" si="486"/>
        <v>1.1456035611041289E-2</v>
      </c>
      <c r="K573" s="91">
        <f t="shared" si="478"/>
        <v>6666427</v>
      </c>
      <c r="L573" s="87">
        <f t="shared" si="478"/>
        <v>6669381</v>
      </c>
      <c r="M573" s="88">
        <f t="shared" si="479"/>
        <v>13335808</v>
      </c>
      <c r="N573" s="89">
        <f t="shared" si="480"/>
        <v>6674016</v>
      </c>
      <c r="O573" s="90">
        <f t="shared" si="480"/>
        <v>6665734</v>
      </c>
      <c r="P573" s="88">
        <f t="shared" si="481"/>
        <v>13339750</v>
      </c>
      <c r="Q573" s="86">
        <f t="shared" si="487"/>
        <v>3942</v>
      </c>
      <c r="R573" s="84">
        <f t="shared" si="488"/>
        <v>2.955951375424721E-4</v>
      </c>
      <c r="S573" s="85">
        <f t="shared" si="482"/>
        <v>1.1456035611041289E-2</v>
      </c>
      <c r="T573" s="85">
        <f t="shared" si="483"/>
        <v>1</v>
      </c>
      <c r="U573" s="122"/>
      <c r="V573" s="121"/>
    </row>
    <row r="574" spans="1:22" hidden="1" outlineLevel="1">
      <c r="A574" s="79" t="s">
        <v>1209</v>
      </c>
      <c r="B574" s="86">
        <f>INDEX(Data!2237:2237,1,$U$1-2)</f>
        <v>10793406</v>
      </c>
      <c r="C574" s="87">
        <f>INDEX(Data!2237:2237,1,$U$1-1)</f>
        <v>10792006</v>
      </c>
      <c r="D574" s="88">
        <f t="shared" si="476"/>
        <v>21585412</v>
      </c>
      <c r="E574" s="89">
        <f>INDEX(Data!2237:2237,1,$U$1)</f>
        <v>10736876</v>
      </c>
      <c r="F574" s="90">
        <f>INDEX(Data!2237:2237,1,$U$1+1)</f>
        <v>10730764</v>
      </c>
      <c r="G574" s="88">
        <f t="shared" si="477"/>
        <v>21467640</v>
      </c>
      <c r="H574" s="86">
        <f t="shared" si="484"/>
        <v>-117772</v>
      </c>
      <c r="I574" s="447">
        <f t="shared" si="485"/>
        <v>-5.4560922904784027E-3</v>
      </c>
      <c r="J574" s="453">
        <f t="shared" si="486"/>
        <v>1.8436181212167724E-2</v>
      </c>
      <c r="K574" s="91">
        <f t="shared" si="478"/>
        <v>10793406</v>
      </c>
      <c r="L574" s="87">
        <f t="shared" si="478"/>
        <v>10792006</v>
      </c>
      <c r="M574" s="88">
        <f t="shared" si="479"/>
        <v>21585412</v>
      </c>
      <c r="N574" s="89">
        <f t="shared" si="480"/>
        <v>10736876</v>
      </c>
      <c r="O574" s="90">
        <f t="shared" si="480"/>
        <v>10730764</v>
      </c>
      <c r="P574" s="88">
        <f t="shared" si="481"/>
        <v>21467640</v>
      </c>
      <c r="Q574" s="86">
        <f t="shared" si="487"/>
        <v>-117772</v>
      </c>
      <c r="R574" s="84">
        <f t="shared" si="488"/>
        <v>-5.4560922904784027E-3</v>
      </c>
      <c r="S574" s="85">
        <f t="shared" si="482"/>
        <v>1.8436181212167724E-2</v>
      </c>
      <c r="T574" s="85">
        <f t="shared" si="483"/>
        <v>1</v>
      </c>
      <c r="U574" s="122"/>
      <c r="V574" s="121"/>
    </row>
    <row r="575" spans="1:22" hidden="1" outlineLevel="1">
      <c r="A575" s="79" t="s">
        <v>1210</v>
      </c>
      <c r="B575" s="86">
        <f>INDEX(Data!2238:2238,1,$U$1-2)</f>
        <v>4537384</v>
      </c>
      <c r="C575" s="87">
        <f>INDEX(Data!2238:2238,1,$U$1-1)</f>
        <v>4536134</v>
      </c>
      <c r="D575" s="88">
        <f t="shared" si="476"/>
        <v>9073518</v>
      </c>
      <c r="E575" s="89">
        <f>INDEX(Data!2238:2238,1,$U$1)</f>
        <v>4542990</v>
      </c>
      <c r="F575" s="90">
        <f>INDEX(Data!2238:2238,1,$U$1+1)</f>
        <v>4539061</v>
      </c>
      <c r="G575" s="88">
        <f t="shared" si="477"/>
        <v>9082051</v>
      </c>
      <c r="H575" s="86">
        <f t="shared" si="484"/>
        <v>8533</v>
      </c>
      <c r="I575" s="447">
        <f t="shared" si="485"/>
        <v>9.4042905959959523E-4</v>
      </c>
      <c r="J575" s="453">
        <f t="shared" si="486"/>
        <v>7.7995689332478607E-3</v>
      </c>
      <c r="K575" s="91">
        <f t="shared" si="478"/>
        <v>4537384</v>
      </c>
      <c r="L575" s="87">
        <f t="shared" si="478"/>
        <v>4536134</v>
      </c>
      <c r="M575" s="88">
        <f t="shared" si="479"/>
        <v>9073518</v>
      </c>
      <c r="N575" s="89">
        <f t="shared" si="480"/>
        <v>4542990</v>
      </c>
      <c r="O575" s="90">
        <f t="shared" si="480"/>
        <v>4539061</v>
      </c>
      <c r="P575" s="88">
        <f t="shared" si="481"/>
        <v>9082051</v>
      </c>
      <c r="Q575" s="86">
        <f t="shared" si="487"/>
        <v>8533</v>
      </c>
      <c r="R575" s="84">
        <f t="shared" si="488"/>
        <v>9.4042905959959523E-4</v>
      </c>
      <c r="S575" s="85">
        <f t="shared" si="482"/>
        <v>7.7995689332478607E-3</v>
      </c>
      <c r="T575" s="85">
        <f t="shared" si="483"/>
        <v>1</v>
      </c>
      <c r="U575" s="122"/>
      <c r="V575" s="121"/>
    </row>
    <row r="576" spans="1:22" hidden="1" outlineLevel="1">
      <c r="A576" s="79" t="s">
        <v>1211</v>
      </c>
      <c r="B576" s="86">
        <f>INDEX(Data!2239:2239,1,$U$1-2)</f>
        <v>10010556</v>
      </c>
      <c r="C576" s="87">
        <f>INDEX(Data!2239:2239,1,$U$1-1)</f>
        <v>10012250</v>
      </c>
      <c r="D576" s="88">
        <f t="shared" si="476"/>
        <v>20022806</v>
      </c>
      <c r="E576" s="89">
        <f>INDEX(Data!2239:2239,1,$U$1)</f>
        <v>9896794</v>
      </c>
      <c r="F576" s="90">
        <f>INDEX(Data!2239:2239,1,$U$1+1)</f>
        <v>9870135</v>
      </c>
      <c r="G576" s="88">
        <f t="shared" si="477"/>
        <v>19766929</v>
      </c>
      <c r="H576" s="86">
        <f t="shared" si="484"/>
        <v>-255877</v>
      </c>
      <c r="I576" s="447">
        <f t="shared" si="485"/>
        <v>-1.2779277789536591E-2</v>
      </c>
      <c r="J576" s="453">
        <f t="shared" si="486"/>
        <v>1.6975628669572126E-2</v>
      </c>
      <c r="K576" s="91">
        <f t="shared" si="478"/>
        <v>10010556</v>
      </c>
      <c r="L576" s="87">
        <f t="shared" si="478"/>
        <v>10012250</v>
      </c>
      <c r="M576" s="88">
        <f t="shared" si="479"/>
        <v>20022806</v>
      </c>
      <c r="N576" s="89">
        <f t="shared" si="480"/>
        <v>9896794</v>
      </c>
      <c r="O576" s="90">
        <f t="shared" si="480"/>
        <v>9870135</v>
      </c>
      <c r="P576" s="88">
        <f t="shared" si="481"/>
        <v>19766929</v>
      </c>
      <c r="Q576" s="86">
        <f t="shared" si="487"/>
        <v>-255877</v>
      </c>
      <c r="R576" s="84">
        <f t="shared" si="488"/>
        <v>-1.2779277789536591E-2</v>
      </c>
      <c r="S576" s="85">
        <f t="shared" si="482"/>
        <v>1.6975628669572126E-2</v>
      </c>
      <c r="T576" s="85">
        <f t="shared" si="483"/>
        <v>1</v>
      </c>
      <c r="U576" s="122"/>
      <c r="V576" s="121"/>
    </row>
    <row r="577" spans="1:22" hidden="1" outlineLevel="1">
      <c r="A577" s="79" t="s">
        <v>1212</v>
      </c>
      <c r="B577" s="86">
        <f>INDEX(Data!2240:2240,1,$U$1-2)</f>
        <v>6616361</v>
      </c>
      <c r="C577" s="87">
        <f>INDEX(Data!2240:2240,1,$U$1-1)</f>
        <v>6619959</v>
      </c>
      <c r="D577" s="88">
        <f t="shared" si="476"/>
        <v>13236320</v>
      </c>
      <c r="E577" s="89">
        <f>INDEX(Data!2240:2240,1,$U$1)</f>
        <v>6597321</v>
      </c>
      <c r="F577" s="90">
        <f>INDEX(Data!2240:2240,1,$U$1+1)</f>
        <v>6596333</v>
      </c>
      <c r="G577" s="88">
        <f t="shared" si="477"/>
        <v>13193654</v>
      </c>
      <c r="H577" s="86">
        <f t="shared" si="484"/>
        <v>-42666</v>
      </c>
      <c r="I577" s="447">
        <f t="shared" si="485"/>
        <v>-3.2234034837477486E-3</v>
      </c>
      <c r="J577" s="453">
        <f t="shared" si="486"/>
        <v>1.1330569918008758E-2</v>
      </c>
      <c r="K577" s="91">
        <f t="shared" si="478"/>
        <v>6616361</v>
      </c>
      <c r="L577" s="87">
        <f t="shared" si="478"/>
        <v>6619959</v>
      </c>
      <c r="M577" s="88">
        <f t="shared" si="479"/>
        <v>13236320</v>
      </c>
      <c r="N577" s="89">
        <f t="shared" si="480"/>
        <v>6597321</v>
      </c>
      <c r="O577" s="90">
        <f t="shared" si="480"/>
        <v>6596333</v>
      </c>
      <c r="P577" s="88">
        <f t="shared" si="481"/>
        <v>13193654</v>
      </c>
      <c r="Q577" s="86">
        <f t="shared" si="487"/>
        <v>-42666</v>
      </c>
      <c r="R577" s="84">
        <f t="shared" si="488"/>
        <v>-3.2234034837477486E-3</v>
      </c>
      <c r="S577" s="85">
        <f t="shared" si="482"/>
        <v>1.1330569918008758E-2</v>
      </c>
      <c r="T577" s="85">
        <f t="shared" si="483"/>
        <v>1</v>
      </c>
      <c r="U577" s="122"/>
      <c r="V577" s="121"/>
    </row>
    <row r="578" spans="1:22" hidden="1" outlineLevel="1">
      <c r="A578" s="79" t="s">
        <v>1213</v>
      </c>
      <c r="B578" s="86">
        <f>INDEX(Data!2241:2241,1,$U$1-2)</f>
        <v>7689971</v>
      </c>
      <c r="C578" s="87">
        <f>INDEX(Data!2241:2241,1,$U$1-1)</f>
        <v>7690721</v>
      </c>
      <c r="D578" s="88">
        <f t="shared" si="476"/>
        <v>15380692</v>
      </c>
      <c r="E578" s="89">
        <f>INDEX(Data!2241:2241,1,$U$1)</f>
        <v>7687249</v>
      </c>
      <c r="F578" s="90">
        <f>INDEX(Data!2241:2241,1,$U$1+1)</f>
        <v>7690642</v>
      </c>
      <c r="G578" s="88">
        <f t="shared" si="477"/>
        <v>15377891</v>
      </c>
      <c r="H578" s="86">
        <f t="shared" si="484"/>
        <v>-2801</v>
      </c>
      <c r="I578" s="447">
        <f t="shared" si="485"/>
        <v>-1.8211144205995412E-4</v>
      </c>
      <c r="J578" s="453">
        <f t="shared" si="486"/>
        <v>1.3206369453603803E-2</v>
      </c>
      <c r="K578" s="91">
        <f t="shared" si="478"/>
        <v>7689971</v>
      </c>
      <c r="L578" s="87">
        <f t="shared" si="478"/>
        <v>7690721</v>
      </c>
      <c r="M578" s="88">
        <f t="shared" si="479"/>
        <v>15380692</v>
      </c>
      <c r="N578" s="89">
        <f t="shared" si="480"/>
        <v>7687249</v>
      </c>
      <c r="O578" s="90">
        <f t="shared" si="480"/>
        <v>7690642</v>
      </c>
      <c r="P578" s="88">
        <f t="shared" si="481"/>
        <v>15377891</v>
      </c>
      <c r="Q578" s="86">
        <f t="shared" si="487"/>
        <v>-2801</v>
      </c>
      <c r="R578" s="84">
        <f t="shared" si="488"/>
        <v>-1.8211144205995412E-4</v>
      </c>
      <c r="S578" s="85">
        <f t="shared" si="482"/>
        <v>1.3206369453603803E-2</v>
      </c>
      <c r="T578" s="85">
        <f t="shared" si="483"/>
        <v>1</v>
      </c>
      <c r="U578" s="122"/>
      <c r="V578" s="121"/>
    </row>
    <row r="579" spans="1:22" hidden="1" outlineLevel="1">
      <c r="A579" s="79" t="s">
        <v>861</v>
      </c>
      <c r="B579" s="86">
        <f>INDEX(Data!2242:2242,1,$U$1-2)</f>
        <v>8660091</v>
      </c>
      <c r="C579" s="87">
        <f>INDEX(Data!2242:2242,1,$U$1-1)</f>
        <v>8656767</v>
      </c>
      <c r="D579" s="88">
        <f t="shared" si="476"/>
        <v>17316858</v>
      </c>
      <c r="E579" s="89">
        <f>INDEX(Data!2242:2242,1,$U$1)</f>
        <v>8591243</v>
      </c>
      <c r="F579" s="90">
        <f>INDEX(Data!2242:2242,1,$U$1+1)</f>
        <v>8575587</v>
      </c>
      <c r="G579" s="88">
        <f t="shared" si="477"/>
        <v>17166830</v>
      </c>
      <c r="H579" s="86">
        <f t="shared" si="484"/>
        <v>-150028</v>
      </c>
      <c r="I579" s="447">
        <f t="shared" si="485"/>
        <v>-8.6636963818725078E-3</v>
      </c>
      <c r="J579" s="453">
        <f t="shared" si="486"/>
        <v>1.4742691265480381E-2</v>
      </c>
      <c r="K579" s="91">
        <f t="shared" si="478"/>
        <v>8660091</v>
      </c>
      <c r="L579" s="87">
        <f t="shared" si="478"/>
        <v>8656767</v>
      </c>
      <c r="M579" s="88">
        <f t="shared" si="479"/>
        <v>17316858</v>
      </c>
      <c r="N579" s="89">
        <f t="shared" si="480"/>
        <v>8591243</v>
      </c>
      <c r="O579" s="90">
        <f t="shared" si="480"/>
        <v>8575587</v>
      </c>
      <c r="P579" s="88">
        <f t="shared" si="481"/>
        <v>17166830</v>
      </c>
      <c r="Q579" s="86">
        <f t="shared" si="487"/>
        <v>-150028</v>
      </c>
      <c r="R579" s="84">
        <f t="shared" si="488"/>
        <v>-8.6636963818725078E-3</v>
      </c>
      <c r="S579" s="85">
        <f t="shared" si="482"/>
        <v>1.4742691265480381E-2</v>
      </c>
      <c r="T579" s="85">
        <f t="shared" si="483"/>
        <v>1</v>
      </c>
      <c r="U579" s="122"/>
      <c r="V579" s="121"/>
    </row>
    <row r="580" spans="1:22" hidden="1" outlineLevel="1">
      <c r="A580" s="79" t="s">
        <v>871</v>
      </c>
      <c r="B580" s="86">
        <f>INDEX(Data!2243:2243,1,$U$1-2)</f>
        <v>6279927</v>
      </c>
      <c r="C580" s="87">
        <f>INDEX(Data!2243:2243,1,$U$1-1)</f>
        <v>6281012</v>
      </c>
      <c r="D580" s="88">
        <f t="shared" si="476"/>
        <v>12560939</v>
      </c>
      <c r="E580" s="89">
        <f>INDEX(Data!2243:2243,1,$U$1)</f>
        <v>6228296</v>
      </c>
      <c r="F580" s="90">
        <f>INDEX(Data!2243:2243,1,$U$1+1)</f>
        <v>6221124</v>
      </c>
      <c r="G580" s="88">
        <f t="shared" si="477"/>
        <v>12449420</v>
      </c>
      <c r="H580" s="86">
        <f t="shared" si="484"/>
        <v>-111519</v>
      </c>
      <c r="I580" s="447">
        <f t="shared" si="485"/>
        <v>-8.8782375266689851E-3</v>
      </c>
      <c r="J580" s="453">
        <f t="shared" si="486"/>
        <v>1.069142966373505E-2</v>
      </c>
      <c r="K580" s="91">
        <f t="shared" si="478"/>
        <v>6279927</v>
      </c>
      <c r="L580" s="87">
        <f t="shared" si="478"/>
        <v>6281012</v>
      </c>
      <c r="M580" s="88">
        <f t="shared" si="479"/>
        <v>12560939</v>
      </c>
      <c r="N580" s="89">
        <f t="shared" si="480"/>
        <v>6228296</v>
      </c>
      <c r="O580" s="90">
        <f t="shared" si="480"/>
        <v>6221124</v>
      </c>
      <c r="P580" s="88">
        <f t="shared" si="481"/>
        <v>12449420</v>
      </c>
      <c r="Q580" s="86">
        <f t="shared" si="487"/>
        <v>-111519</v>
      </c>
      <c r="R580" s="84">
        <f t="shared" si="488"/>
        <v>-8.8782375266689851E-3</v>
      </c>
      <c r="S580" s="85">
        <f t="shared" si="482"/>
        <v>1.069142966373505E-2</v>
      </c>
      <c r="T580" s="85">
        <f t="shared" si="483"/>
        <v>1</v>
      </c>
      <c r="U580" s="122"/>
      <c r="V580" s="121"/>
    </row>
    <row r="581" spans="1:22" hidden="1" outlineLevel="1">
      <c r="A581" s="79" t="s">
        <v>1361</v>
      </c>
      <c r="B581" s="86">
        <f>INDEX(Data!2244:2244,1,$U$1-2)</f>
        <v>5357913</v>
      </c>
      <c r="C581" s="87">
        <f>INDEX(Data!2244:2244,1,$U$1-1)</f>
        <v>5357323</v>
      </c>
      <c r="D581" s="88">
        <f t="shared" si="476"/>
        <v>10715236</v>
      </c>
      <c r="E581" s="89">
        <f>INDEX(Data!2244:2244,1,$U$1)</f>
        <v>5291817</v>
      </c>
      <c r="F581" s="90">
        <f>INDEX(Data!2244:2244,1,$U$1+1)</f>
        <v>5277064</v>
      </c>
      <c r="G581" s="88">
        <f t="shared" si="477"/>
        <v>10568881</v>
      </c>
      <c r="H581" s="86">
        <f t="shared" si="484"/>
        <v>-146355</v>
      </c>
      <c r="I581" s="447">
        <f t="shared" si="485"/>
        <v>-1.3658588574250721E-2</v>
      </c>
      <c r="J581" s="453">
        <f t="shared" si="486"/>
        <v>9.0764427447933924E-3</v>
      </c>
      <c r="K581" s="91">
        <f t="shared" si="478"/>
        <v>5357913</v>
      </c>
      <c r="L581" s="87">
        <f t="shared" si="478"/>
        <v>5357323</v>
      </c>
      <c r="M581" s="88">
        <f t="shared" si="479"/>
        <v>10715236</v>
      </c>
      <c r="N581" s="89">
        <f t="shared" si="480"/>
        <v>5291817</v>
      </c>
      <c r="O581" s="90">
        <f t="shared" si="480"/>
        <v>5277064</v>
      </c>
      <c r="P581" s="88">
        <f t="shared" si="481"/>
        <v>10568881</v>
      </c>
      <c r="Q581" s="86">
        <f t="shared" si="487"/>
        <v>-146355</v>
      </c>
      <c r="R581" s="84">
        <f t="shared" si="488"/>
        <v>-1.3658588574250721E-2</v>
      </c>
      <c r="S581" s="85">
        <f t="shared" si="482"/>
        <v>9.0764427447933924E-3</v>
      </c>
      <c r="T581" s="85">
        <f t="shared" si="483"/>
        <v>1</v>
      </c>
      <c r="U581" s="122"/>
      <c r="V581" s="121"/>
    </row>
    <row r="582" spans="1:22" hidden="1" outlineLevel="1">
      <c r="A582" s="79" t="s">
        <v>1425</v>
      </c>
      <c r="B582" s="86">
        <f>INDEX(Data!2245:2245,1,$U$1-2)</f>
        <v>7750614</v>
      </c>
      <c r="C582" s="87">
        <f>INDEX(Data!2245:2245,1,$U$1-1)</f>
        <v>7751141</v>
      </c>
      <c r="D582" s="88">
        <f t="shared" si="476"/>
        <v>15501755</v>
      </c>
      <c r="E582" s="89">
        <f>INDEX(Data!2245:2245,1,$U$1)</f>
        <v>7521587</v>
      </c>
      <c r="F582" s="90">
        <f>INDEX(Data!2245:2245,1,$U$1+1)</f>
        <v>7521590</v>
      </c>
      <c r="G582" s="88">
        <f t="shared" si="477"/>
        <v>15043177</v>
      </c>
      <c r="H582" s="86">
        <f t="shared" si="484"/>
        <v>-458578</v>
      </c>
      <c r="I582" s="447">
        <f t="shared" si="485"/>
        <v>-2.9582327936417522E-2</v>
      </c>
      <c r="J582" s="453">
        <f t="shared" si="486"/>
        <v>1.2918920625588729E-2</v>
      </c>
      <c r="K582" s="91">
        <f t="shared" si="478"/>
        <v>7750614</v>
      </c>
      <c r="L582" s="87">
        <f t="shared" si="478"/>
        <v>7751141</v>
      </c>
      <c r="M582" s="88">
        <f t="shared" si="479"/>
        <v>15501755</v>
      </c>
      <c r="N582" s="89">
        <f t="shared" si="480"/>
        <v>7521587</v>
      </c>
      <c r="O582" s="90">
        <f t="shared" si="480"/>
        <v>7521590</v>
      </c>
      <c r="P582" s="88">
        <f t="shared" si="481"/>
        <v>15043177</v>
      </c>
      <c r="Q582" s="86">
        <f t="shared" si="487"/>
        <v>-458578</v>
      </c>
      <c r="R582" s="84">
        <f t="shared" si="488"/>
        <v>-2.9582327936417522E-2</v>
      </c>
      <c r="S582" s="85">
        <f t="shared" si="482"/>
        <v>1.2918920625588729E-2</v>
      </c>
      <c r="T582" s="85">
        <f t="shared" si="483"/>
        <v>1</v>
      </c>
      <c r="U582" s="122"/>
      <c r="V582" s="121"/>
    </row>
    <row r="583" spans="1:22" hidden="1" outlineLevel="1">
      <c r="A583" s="79" t="s">
        <v>726</v>
      </c>
      <c r="B583" s="86">
        <f>INDEX(Data!2247:2247,1,$U$1-2)</f>
        <v>17498496</v>
      </c>
      <c r="C583" s="87">
        <f>INDEX(Data!2247:2247,1,$U$1-1)</f>
        <v>16838425</v>
      </c>
      <c r="D583" s="88">
        <f t="shared" si="476"/>
        <v>34336921</v>
      </c>
      <c r="E583" s="89">
        <f>INDEX(Data!2247:2247,1,$U$1)</f>
        <v>15452905</v>
      </c>
      <c r="F583" s="90">
        <f>INDEX(Data!2247:2247,1,$U$1+1)</f>
        <v>15474299</v>
      </c>
      <c r="G583" s="88">
        <f t="shared" si="477"/>
        <v>30927204</v>
      </c>
      <c r="H583" s="86">
        <f t="shared" si="484"/>
        <v>-3409717</v>
      </c>
      <c r="I583" s="447">
        <f t="shared" si="485"/>
        <v>-9.9301769078246713E-2</v>
      </c>
      <c r="J583" s="453">
        <f t="shared" si="486"/>
        <v>2.6559954300038501E-2</v>
      </c>
      <c r="K583" s="91">
        <f t="shared" si="478"/>
        <v>17498496</v>
      </c>
      <c r="L583" s="87">
        <f t="shared" si="478"/>
        <v>16838425</v>
      </c>
      <c r="M583" s="88">
        <f t="shared" si="479"/>
        <v>34336921</v>
      </c>
      <c r="N583" s="89">
        <f t="shared" si="480"/>
        <v>15452905</v>
      </c>
      <c r="O583" s="90">
        <f t="shared" si="480"/>
        <v>15474299</v>
      </c>
      <c r="P583" s="88">
        <f t="shared" si="481"/>
        <v>30927204</v>
      </c>
      <c r="Q583" s="86">
        <f t="shared" si="487"/>
        <v>-3409717</v>
      </c>
      <c r="R583" s="84">
        <f t="shared" si="488"/>
        <v>-9.9301769078246713E-2</v>
      </c>
      <c r="S583" s="85">
        <f t="shared" si="482"/>
        <v>2.6559954300038501E-2</v>
      </c>
      <c r="T583" s="85">
        <f t="shared" si="483"/>
        <v>1</v>
      </c>
      <c r="U583" s="122"/>
      <c r="V583" s="121"/>
    </row>
    <row r="584" spans="1:22" hidden="1" outlineLevel="1">
      <c r="A584" s="79" t="s">
        <v>1363</v>
      </c>
      <c r="B584" s="86">
        <f>INDEX(Data!2248:2248,1,$U$1-2)</f>
        <v>8446152</v>
      </c>
      <c r="C584" s="87">
        <f>INDEX(Data!2248:2248,1,$U$1-1)</f>
        <v>8409324</v>
      </c>
      <c r="D584" s="88">
        <f t="shared" si="476"/>
        <v>16855476</v>
      </c>
      <c r="E584" s="89">
        <f>INDEX(Data!2248:2248,1,$U$1)</f>
        <v>8194828</v>
      </c>
      <c r="F584" s="90">
        <f>INDEX(Data!2248:2248,1,$U$1+1)</f>
        <v>8206389</v>
      </c>
      <c r="G584" s="88">
        <f t="shared" si="477"/>
        <v>16401217</v>
      </c>
      <c r="H584" s="86">
        <f t="shared" si="484"/>
        <v>-454259</v>
      </c>
      <c r="I584" s="447">
        <f t="shared" si="485"/>
        <v>-2.6950232672159482E-2</v>
      </c>
      <c r="J584" s="453">
        <f t="shared" si="486"/>
        <v>1.4085190953085011E-2</v>
      </c>
      <c r="K584" s="91">
        <f t="shared" si="478"/>
        <v>8446152</v>
      </c>
      <c r="L584" s="87">
        <f t="shared" si="478"/>
        <v>8409324</v>
      </c>
      <c r="M584" s="88">
        <f t="shared" si="479"/>
        <v>16855476</v>
      </c>
      <c r="N584" s="89">
        <f t="shared" si="480"/>
        <v>8194828</v>
      </c>
      <c r="O584" s="90">
        <f t="shared" si="480"/>
        <v>8206389</v>
      </c>
      <c r="P584" s="88">
        <f t="shared" si="481"/>
        <v>16401217</v>
      </c>
      <c r="Q584" s="86">
        <f t="shared" si="487"/>
        <v>-454259</v>
      </c>
      <c r="R584" s="84">
        <f t="shared" si="488"/>
        <v>-2.6950232672159482E-2</v>
      </c>
      <c r="S584" s="85">
        <f t="shared" si="482"/>
        <v>1.4085190953085011E-2</v>
      </c>
      <c r="T584" s="85">
        <f t="shared" si="483"/>
        <v>1</v>
      </c>
      <c r="U584" s="122"/>
      <c r="V584" s="121"/>
    </row>
    <row r="585" spans="1:22" hidden="1" outlineLevel="1">
      <c r="A585" s="79" t="s">
        <v>1364</v>
      </c>
      <c r="B585" s="86">
        <f>INDEX(Data!2249:2249,1,$U$1-2)</f>
        <v>8548992</v>
      </c>
      <c r="C585" s="87">
        <f>INDEX(Data!2249:2249,1,$U$1-1)</f>
        <v>8526516</v>
      </c>
      <c r="D585" s="88">
        <f t="shared" si="476"/>
        <v>17075508</v>
      </c>
      <c r="E585" s="89">
        <f>INDEX(Data!2249:2249,1,$U$1)</f>
        <v>7501551</v>
      </c>
      <c r="F585" s="90">
        <f>INDEX(Data!2249:2249,1,$U$1+1)</f>
        <v>7506445</v>
      </c>
      <c r="G585" s="88">
        <f t="shared" si="477"/>
        <v>15007996</v>
      </c>
      <c r="H585" s="86">
        <f t="shared" si="484"/>
        <v>-2067512</v>
      </c>
      <c r="I585" s="447">
        <f t="shared" si="485"/>
        <v>-0.1210805558464205</v>
      </c>
      <c r="J585" s="453">
        <f t="shared" si="486"/>
        <v>1.2888707556465841E-2</v>
      </c>
      <c r="K585" s="91">
        <f t="shared" si="478"/>
        <v>8548992</v>
      </c>
      <c r="L585" s="87">
        <f t="shared" si="478"/>
        <v>8526516</v>
      </c>
      <c r="M585" s="88">
        <f t="shared" si="479"/>
        <v>17075508</v>
      </c>
      <c r="N585" s="89">
        <f t="shared" si="480"/>
        <v>7501551</v>
      </c>
      <c r="O585" s="90">
        <f t="shared" si="480"/>
        <v>7506445</v>
      </c>
      <c r="P585" s="88">
        <f t="shared" si="481"/>
        <v>15007996</v>
      </c>
      <c r="Q585" s="86">
        <f t="shared" si="487"/>
        <v>-2067512</v>
      </c>
      <c r="R585" s="84">
        <f t="shared" si="488"/>
        <v>-0.1210805558464205</v>
      </c>
      <c r="S585" s="85">
        <f t="shared" si="482"/>
        <v>1.2888707556465841E-2</v>
      </c>
      <c r="T585" s="85">
        <f t="shared" si="483"/>
        <v>1</v>
      </c>
      <c r="U585" s="122"/>
      <c r="V585" s="121"/>
    </row>
    <row r="586" spans="1:22" hidden="1" outlineLevel="1">
      <c r="A586" s="79" t="s">
        <v>1365</v>
      </c>
      <c r="B586" s="86">
        <f>INDEX(Data!2250:2250,1,$U$1-2)</f>
        <v>6127937</v>
      </c>
      <c r="C586" s="87">
        <f>INDEX(Data!2250:2250,1,$U$1-1)</f>
        <v>6126980</v>
      </c>
      <c r="D586" s="88">
        <f t="shared" si="476"/>
        <v>12254917</v>
      </c>
      <c r="E586" s="89">
        <f>INDEX(Data!2250:2250,1,$U$1)</f>
        <v>4120693</v>
      </c>
      <c r="F586" s="90">
        <f>INDEX(Data!2250:2250,1,$U$1+1)</f>
        <v>4124774</v>
      </c>
      <c r="G586" s="88">
        <f t="shared" si="477"/>
        <v>8245467</v>
      </c>
      <c r="H586" s="86">
        <f t="shared" si="484"/>
        <v>-4009450</v>
      </c>
      <c r="I586" s="447">
        <f t="shared" si="485"/>
        <v>-0.32717071849609425</v>
      </c>
      <c r="J586" s="453">
        <f t="shared" si="486"/>
        <v>7.0811194798752431E-3</v>
      </c>
      <c r="K586" s="91">
        <f t="shared" si="478"/>
        <v>6127937</v>
      </c>
      <c r="L586" s="87">
        <f t="shared" si="478"/>
        <v>6126980</v>
      </c>
      <c r="M586" s="88">
        <f t="shared" si="479"/>
        <v>12254917</v>
      </c>
      <c r="N586" s="89">
        <f t="shared" si="480"/>
        <v>4120693</v>
      </c>
      <c r="O586" s="90">
        <f t="shared" si="480"/>
        <v>4124774</v>
      </c>
      <c r="P586" s="88">
        <f t="shared" si="481"/>
        <v>8245467</v>
      </c>
      <c r="Q586" s="86">
        <f t="shared" si="487"/>
        <v>-4009450</v>
      </c>
      <c r="R586" s="84">
        <f t="shared" si="488"/>
        <v>-0.32717071849609425</v>
      </c>
      <c r="S586" s="85">
        <f t="shared" si="482"/>
        <v>7.0811194798752431E-3</v>
      </c>
      <c r="T586" s="85">
        <f t="shared" si="483"/>
        <v>1</v>
      </c>
      <c r="U586" s="122"/>
      <c r="V586" s="121"/>
    </row>
    <row r="587" spans="1:22" hidden="1" outlineLevel="1">
      <c r="A587" s="79" t="s">
        <v>730</v>
      </c>
      <c r="B587" s="86">
        <f>INDEX(Data!2251:2251,1,$U$1-2)</f>
        <v>7129840</v>
      </c>
      <c r="C587" s="87">
        <f>INDEX(Data!2251:2251,1,$U$1-1)</f>
        <v>7129597</v>
      </c>
      <c r="D587" s="88">
        <f t="shared" si="476"/>
        <v>14259437</v>
      </c>
      <c r="E587" s="89">
        <f>INDEX(Data!2251:2251,1,$U$1)</f>
        <v>5196125</v>
      </c>
      <c r="F587" s="90">
        <f>INDEX(Data!2251:2251,1,$U$1+1)</f>
        <v>5107275</v>
      </c>
      <c r="G587" s="88">
        <f t="shared" si="477"/>
        <v>10303400</v>
      </c>
      <c r="H587" s="86">
        <f t="shared" si="484"/>
        <v>-3956037</v>
      </c>
      <c r="I587" s="447">
        <f t="shared" si="485"/>
        <v>-0.27743290285584205</v>
      </c>
      <c r="J587" s="453">
        <f t="shared" si="486"/>
        <v>8.8484504818158363E-3</v>
      </c>
      <c r="K587" s="91">
        <f t="shared" si="478"/>
        <v>7129840</v>
      </c>
      <c r="L587" s="87">
        <f t="shared" si="478"/>
        <v>7129597</v>
      </c>
      <c r="M587" s="88">
        <f t="shared" si="479"/>
        <v>14259437</v>
      </c>
      <c r="N587" s="89">
        <f t="shared" si="480"/>
        <v>5196125</v>
      </c>
      <c r="O587" s="90">
        <f t="shared" si="480"/>
        <v>5107275</v>
      </c>
      <c r="P587" s="88">
        <f t="shared" si="481"/>
        <v>10303400</v>
      </c>
      <c r="Q587" s="86">
        <f t="shared" si="487"/>
        <v>-3956037</v>
      </c>
      <c r="R587" s="84">
        <f t="shared" si="488"/>
        <v>-0.27743290285584205</v>
      </c>
      <c r="S587" s="85">
        <f t="shared" si="482"/>
        <v>8.8484504818158363E-3</v>
      </c>
      <c r="T587" s="85">
        <f t="shared" si="483"/>
        <v>1</v>
      </c>
      <c r="U587" s="122"/>
      <c r="V587" s="121"/>
    </row>
    <row r="588" spans="1:22" hidden="1" outlineLevel="1">
      <c r="A588" s="79" t="s">
        <v>731</v>
      </c>
      <c r="B588" s="86">
        <f>INDEX(Data!2253:2253,1,$U$1-2)</f>
        <v>11528185</v>
      </c>
      <c r="C588" s="87">
        <f>INDEX(Data!2253:2253,1,$U$1-1)</f>
        <v>11524988</v>
      </c>
      <c r="D588" s="88">
        <f t="shared" si="476"/>
        <v>23053173</v>
      </c>
      <c r="E588" s="89">
        <f>INDEX(Data!2253:2253,1,$U$1)</f>
        <v>10012951</v>
      </c>
      <c r="F588" s="90">
        <f>INDEX(Data!2253:2253,1,$U$1+1)</f>
        <v>10014938</v>
      </c>
      <c r="G588" s="88">
        <f t="shared" si="477"/>
        <v>20027889</v>
      </c>
      <c r="H588" s="86">
        <f t="shared" si="484"/>
        <v>-3025284</v>
      </c>
      <c r="I588" s="447">
        <f t="shared" si="485"/>
        <v>-0.13123069869817922</v>
      </c>
      <c r="J588" s="453">
        <f t="shared" si="486"/>
        <v>1.7199738345769756E-2</v>
      </c>
      <c r="K588" s="91">
        <f t="shared" si="478"/>
        <v>11528185</v>
      </c>
      <c r="L588" s="87">
        <f t="shared" si="478"/>
        <v>11524988</v>
      </c>
      <c r="M588" s="88">
        <f t="shared" si="479"/>
        <v>23053173</v>
      </c>
      <c r="N588" s="89">
        <f t="shared" si="480"/>
        <v>10012951</v>
      </c>
      <c r="O588" s="90">
        <f t="shared" si="480"/>
        <v>10014938</v>
      </c>
      <c r="P588" s="88">
        <f t="shared" si="481"/>
        <v>20027889</v>
      </c>
      <c r="Q588" s="86">
        <f t="shared" si="487"/>
        <v>-3025284</v>
      </c>
      <c r="R588" s="84">
        <f t="shared" si="488"/>
        <v>-0.13123069869817922</v>
      </c>
      <c r="S588" s="85">
        <f t="shared" si="482"/>
        <v>1.7199738345769756E-2</v>
      </c>
      <c r="T588" s="85">
        <f t="shared" si="483"/>
        <v>1</v>
      </c>
      <c r="U588" s="122"/>
      <c r="V588" s="121"/>
    </row>
    <row r="589" spans="1:22" hidden="1" outlineLevel="1">
      <c r="A589" s="79" t="s">
        <v>1689</v>
      </c>
      <c r="B589" s="86">
        <f>INDEX(Data!2254:2254,1,$U$1-2)</f>
        <v>7933333</v>
      </c>
      <c r="C589" s="87">
        <f>INDEX(Data!2254:2254,1,$U$1-1)</f>
        <v>7928208</v>
      </c>
      <c r="D589" s="88">
        <f t="shared" si="476"/>
        <v>15861541</v>
      </c>
      <c r="E589" s="89">
        <f>INDEX(Data!2254:2254,1,$U$1)</f>
        <v>7827584</v>
      </c>
      <c r="F589" s="90">
        <f>INDEX(Data!2254:2254,1,$U$1+1)</f>
        <v>7818969</v>
      </c>
      <c r="G589" s="88">
        <f t="shared" si="477"/>
        <v>15646553</v>
      </c>
      <c r="H589" s="86">
        <f t="shared" si="484"/>
        <v>-214988</v>
      </c>
      <c r="I589" s="447">
        <f t="shared" si="485"/>
        <v>-1.3554042447704168E-2</v>
      </c>
      <c r="J589" s="453">
        <f t="shared" si="486"/>
        <v>1.3437093525594176E-2</v>
      </c>
      <c r="K589" s="91">
        <f t="shared" si="478"/>
        <v>7933333</v>
      </c>
      <c r="L589" s="87">
        <f t="shared" si="478"/>
        <v>7928208</v>
      </c>
      <c r="M589" s="88">
        <f t="shared" si="479"/>
        <v>15861541</v>
      </c>
      <c r="N589" s="89">
        <f t="shared" si="480"/>
        <v>7827584</v>
      </c>
      <c r="O589" s="90">
        <f t="shared" si="480"/>
        <v>7818969</v>
      </c>
      <c r="P589" s="88">
        <f t="shared" si="481"/>
        <v>15646553</v>
      </c>
      <c r="Q589" s="86">
        <f t="shared" si="487"/>
        <v>-214988</v>
      </c>
      <c r="R589" s="84">
        <f t="shared" si="488"/>
        <v>-1.3554042447704168E-2</v>
      </c>
      <c r="S589" s="85">
        <f t="shared" si="482"/>
        <v>1.3437093525594176E-2</v>
      </c>
      <c r="T589" s="85">
        <f t="shared" si="483"/>
        <v>1</v>
      </c>
      <c r="U589" s="122"/>
      <c r="V589" s="121"/>
    </row>
    <row r="590" spans="1:22" hidden="1" outlineLevel="1">
      <c r="A590" s="79" t="s">
        <v>1426</v>
      </c>
      <c r="B590" s="86">
        <f>INDEX(Data!2255:2255,1,$U$1-2)</f>
        <v>7445116</v>
      </c>
      <c r="C590" s="87">
        <f>INDEX(Data!2255:2255,1,$U$1-1)</f>
        <v>7440416</v>
      </c>
      <c r="D590" s="88">
        <f t="shared" si="476"/>
        <v>14885532</v>
      </c>
      <c r="E590" s="89">
        <f>INDEX(Data!2255:2255,1,$U$1)</f>
        <v>6440456</v>
      </c>
      <c r="F590" s="90">
        <f>INDEX(Data!2255:2255,1,$U$1+1)</f>
        <v>5388000</v>
      </c>
      <c r="G590" s="88">
        <f t="shared" si="477"/>
        <v>11828456</v>
      </c>
      <c r="H590" s="86">
        <f t="shared" si="484"/>
        <v>-3057076</v>
      </c>
      <c r="I590" s="447">
        <f t="shared" si="485"/>
        <v>-0.20537230379135929</v>
      </c>
      <c r="J590" s="453">
        <f t="shared" si="486"/>
        <v>1.0158152376141606E-2</v>
      </c>
      <c r="K590" s="91">
        <f t="shared" si="478"/>
        <v>7445116</v>
      </c>
      <c r="L590" s="87">
        <f t="shared" si="478"/>
        <v>7440416</v>
      </c>
      <c r="M590" s="88">
        <f t="shared" si="479"/>
        <v>14885532</v>
      </c>
      <c r="N590" s="89">
        <f t="shared" si="480"/>
        <v>6440456</v>
      </c>
      <c r="O590" s="90">
        <f t="shared" si="480"/>
        <v>5388000</v>
      </c>
      <c r="P590" s="88">
        <f t="shared" si="481"/>
        <v>11828456</v>
      </c>
      <c r="Q590" s="86">
        <f t="shared" si="487"/>
        <v>-3057076</v>
      </c>
      <c r="R590" s="84">
        <f t="shared" si="488"/>
        <v>-0.20537230379135929</v>
      </c>
      <c r="S590" s="85">
        <f t="shared" si="482"/>
        <v>1.0158152376141606E-2</v>
      </c>
      <c r="T590" s="85">
        <f t="shared" si="483"/>
        <v>1</v>
      </c>
      <c r="U590" s="122"/>
      <c r="V590" s="121"/>
    </row>
    <row r="591" spans="1:22" hidden="1" outlineLevel="1">
      <c r="A591" s="79" t="s">
        <v>733</v>
      </c>
      <c r="B591" s="86">
        <f>INDEX(Data!2256:2256,1,$U$1-2)</f>
        <v>13025538</v>
      </c>
      <c r="C591" s="87">
        <f>INDEX(Data!2256:2256,1,$U$1-1)</f>
        <v>13017638</v>
      </c>
      <c r="D591" s="88">
        <f t="shared" si="476"/>
        <v>26043176</v>
      </c>
      <c r="E591" s="89">
        <f>INDEX(Data!2256:2256,1,$U$1)</f>
        <v>13268988</v>
      </c>
      <c r="F591" s="90">
        <f>INDEX(Data!2256:2256,1,$U$1+1)</f>
        <v>13271019</v>
      </c>
      <c r="G591" s="88">
        <f t="shared" si="477"/>
        <v>26540007</v>
      </c>
      <c r="H591" s="86">
        <f t="shared" si="484"/>
        <v>496831</v>
      </c>
      <c r="I591" s="447">
        <f t="shared" si="485"/>
        <v>1.9077204715738202E-2</v>
      </c>
      <c r="J591" s="453">
        <f t="shared" si="486"/>
        <v>2.2792276115315886E-2</v>
      </c>
      <c r="K591" s="91">
        <f t="shared" si="478"/>
        <v>13025538</v>
      </c>
      <c r="L591" s="87">
        <f t="shared" si="478"/>
        <v>13017638</v>
      </c>
      <c r="M591" s="88">
        <f t="shared" si="479"/>
        <v>26043176</v>
      </c>
      <c r="N591" s="89">
        <f t="shared" si="480"/>
        <v>13268988</v>
      </c>
      <c r="O591" s="90">
        <f t="shared" si="480"/>
        <v>13271019</v>
      </c>
      <c r="P591" s="88">
        <f t="shared" si="481"/>
        <v>26540007</v>
      </c>
      <c r="Q591" s="86">
        <f t="shared" si="487"/>
        <v>496831</v>
      </c>
      <c r="R591" s="84">
        <f t="shared" si="488"/>
        <v>1.9077204715738202E-2</v>
      </c>
      <c r="S591" s="85">
        <f t="shared" si="482"/>
        <v>2.2792276115315886E-2</v>
      </c>
      <c r="T591" s="85">
        <f t="shared" si="483"/>
        <v>1</v>
      </c>
      <c r="U591" s="122"/>
      <c r="V591" s="121"/>
    </row>
    <row r="592" spans="1:22" hidden="1" outlineLevel="1">
      <c r="A592" s="79" t="s">
        <v>735</v>
      </c>
      <c r="B592" s="86">
        <f>INDEX(Data!2258:2258,1,$U$1-2)</f>
        <v>14513383</v>
      </c>
      <c r="C592" s="87">
        <f>INDEX(Data!2258:2258,1,$U$1-1)</f>
        <v>14484496</v>
      </c>
      <c r="D592" s="88">
        <f t="shared" si="476"/>
        <v>28997879</v>
      </c>
      <c r="E592" s="89">
        <f>INDEX(Data!2258:2258,1,$U$1)</f>
        <v>13502981</v>
      </c>
      <c r="F592" s="90">
        <f>INDEX(Data!2258:2258,1,$U$1+1)</f>
        <v>13493859</v>
      </c>
      <c r="G592" s="88">
        <f t="shared" si="477"/>
        <v>26996840</v>
      </c>
      <c r="H592" s="86">
        <f t="shared" si="484"/>
        <v>-2001039</v>
      </c>
      <c r="I592" s="447">
        <f t="shared" si="485"/>
        <v>-6.900639181231151E-2</v>
      </c>
      <c r="J592" s="453">
        <f t="shared" si="486"/>
        <v>2.3184599443436638E-2</v>
      </c>
      <c r="K592" s="91">
        <f t="shared" si="478"/>
        <v>14513383</v>
      </c>
      <c r="L592" s="87">
        <f t="shared" si="478"/>
        <v>14484496</v>
      </c>
      <c r="M592" s="88">
        <f t="shared" si="479"/>
        <v>28997879</v>
      </c>
      <c r="N592" s="89">
        <f t="shared" si="480"/>
        <v>13502981</v>
      </c>
      <c r="O592" s="90">
        <f t="shared" si="480"/>
        <v>13493859</v>
      </c>
      <c r="P592" s="88">
        <f t="shared" si="481"/>
        <v>26996840</v>
      </c>
      <c r="Q592" s="86">
        <f t="shared" si="487"/>
        <v>-2001039</v>
      </c>
      <c r="R592" s="84">
        <f t="shared" si="488"/>
        <v>-6.900639181231151E-2</v>
      </c>
      <c r="S592" s="85">
        <f t="shared" si="482"/>
        <v>2.3184599443436638E-2</v>
      </c>
      <c r="T592" s="85">
        <f t="shared" si="483"/>
        <v>1</v>
      </c>
      <c r="U592" s="122"/>
      <c r="V592" s="121"/>
    </row>
    <row r="593" spans="1:22" hidden="1" outlineLevel="1">
      <c r="A593" s="79" t="s">
        <v>855</v>
      </c>
      <c r="B593" s="86">
        <f>INDEX(Data!2259:2259,1,$U$1-2)</f>
        <v>4381690</v>
      </c>
      <c r="C593" s="87">
        <f>INDEX(Data!2259:2259,1,$U$1-1)</f>
        <v>2877024</v>
      </c>
      <c r="D593" s="88">
        <f t="shared" si="476"/>
        <v>7258714</v>
      </c>
      <c r="E593" s="89">
        <f>INDEX(Data!2259:2259,1,$U$1)</f>
        <v>2879547</v>
      </c>
      <c r="F593" s="90">
        <f>INDEX(Data!2259:2259,1,$U$1+1)</f>
        <v>2860043</v>
      </c>
      <c r="G593" s="88">
        <f t="shared" si="477"/>
        <v>5739590</v>
      </c>
      <c r="H593" s="86">
        <f t="shared" si="484"/>
        <v>-1519124</v>
      </c>
      <c r="I593" s="447">
        <f t="shared" si="485"/>
        <v>-0.20928280133367977</v>
      </c>
      <c r="J593" s="453">
        <f t="shared" si="486"/>
        <v>4.9290989285988469E-3</v>
      </c>
      <c r="K593" s="91">
        <f t="shared" si="478"/>
        <v>4381690</v>
      </c>
      <c r="L593" s="87">
        <f t="shared" si="478"/>
        <v>2877024</v>
      </c>
      <c r="M593" s="88">
        <f t="shared" si="479"/>
        <v>7258714</v>
      </c>
      <c r="N593" s="89">
        <f t="shared" si="480"/>
        <v>2879547</v>
      </c>
      <c r="O593" s="90">
        <f t="shared" si="480"/>
        <v>2860043</v>
      </c>
      <c r="P593" s="88">
        <f t="shared" si="481"/>
        <v>5739590</v>
      </c>
      <c r="Q593" s="86">
        <f t="shared" si="487"/>
        <v>-1519124</v>
      </c>
      <c r="R593" s="84">
        <f t="shared" si="488"/>
        <v>-0.20928280133367977</v>
      </c>
      <c r="S593" s="85">
        <f t="shared" si="482"/>
        <v>4.9290989285988469E-3</v>
      </c>
      <c r="T593" s="85">
        <f t="shared" si="483"/>
        <v>1</v>
      </c>
      <c r="U593" s="122"/>
      <c r="V593" s="121"/>
    </row>
    <row r="594" spans="1:22" hidden="1" outlineLevel="1">
      <c r="A594" s="79" t="s">
        <v>737</v>
      </c>
      <c r="B594" s="86">
        <f>INDEX(Data!2260:2260,1,$U$1-2)</f>
        <v>7115986</v>
      </c>
      <c r="C594" s="87">
        <f>INDEX(Data!2260:2260,1,$U$1-1)</f>
        <v>7114986</v>
      </c>
      <c r="D594" s="88">
        <f t="shared" si="476"/>
        <v>14230972</v>
      </c>
      <c r="E594" s="89">
        <f>INDEX(Data!2260:2260,1,$U$1)</f>
        <v>6249050</v>
      </c>
      <c r="F594" s="90">
        <f>INDEX(Data!2260:2260,1,$U$1+1)</f>
        <v>6239775</v>
      </c>
      <c r="G594" s="88">
        <f t="shared" si="477"/>
        <v>12488825</v>
      </c>
      <c r="H594" s="86">
        <f t="shared" si="484"/>
        <v>-1742147</v>
      </c>
      <c r="I594" s="447">
        <f t="shared" si="485"/>
        <v>-0.12241939622957589</v>
      </c>
      <c r="J594" s="453">
        <f t="shared" si="486"/>
        <v>1.0725270259192468E-2</v>
      </c>
      <c r="K594" s="91">
        <f t="shared" si="478"/>
        <v>7115986</v>
      </c>
      <c r="L594" s="87">
        <f t="shared" si="478"/>
        <v>7114986</v>
      </c>
      <c r="M594" s="88">
        <f t="shared" si="479"/>
        <v>14230972</v>
      </c>
      <c r="N594" s="89">
        <f t="shared" si="480"/>
        <v>6249050</v>
      </c>
      <c r="O594" s="90">
        <f t="shared" si="480"/>
        <v>6239775</v>
      </c>
      <c r="P594" s="88">
        <f t="shared" si="481"/>
        <v>12488825</v>
      </c>
      <c r="Q594" s="86">
        <f t="shared" si="487"/>
        <v>-1742147</v>
      </c>
      <c r="R594" s="84">
        <f t="shared" si="488"/>
        <v>-0.12241939622957589</v>
      </c>
      <c r="S594" s="85">
        <f t="shared" si="482"/>
        <v>1.0725270259192468E-2</v>
      </c>
      <c r="T594" s="85">
        <f t="shared" si="483"/>
        <v>1</v>
      </c>
      <c r="U594" s="122"/>
      <c r="V594" s="121"/>
    </row>
    <row r="595" spans="1:22" hidden="1" outlineLevel="1">
      <c r="A595" s="79" t="s">
        <v>738</v>
      </c>
      <c r="B595" s="86">
        <f>INDEX(Data!2262:2262,1,$U$1-2)</f>
        <v>7007244</v>
      </c>
      <c r="C595" s="87">
        <f>INDEX(Data!2262:2262,1,$U$1-1)</f>
        <v>6470138</v>
      </c>
      <c r="D595" s="88">
        <f t="shared" si="476"/>
        <v>13477382</v>
      </c>
      <c r="E595" s="89">
        <f>INDEX(Data!2262:2262,1,$U$1)</f>
        <v>6461238</v>
      </c>
      <c r="F595" s="90">
        <f>INDEX(Data!2262:2262,1,$U$1+1)</f>
        <v>6405348</v>
      </c>
      <c r="G595" s="88">
        <f t="shared" si="477"/>
        <v>12866586</v>
      </c>
      <c r="H595" s="86">
        <f t="shared" si="484"/>
        <v>-610796</v>
      </c>
      <c r="I595" s="447">
        <f t="shared" si="485"/>
        <v>-4.5320077742101547E-2</v>
      </c>
      <c r="J595" s="453">
        <f t="shared" si="486"/>
        <v>1.1049687393581236E-2</v>
      </c>
      <c r="K595" s="91">
        <f t="shared" si="478"/>
        <v>7007244</v>
      </c>
      <c r="L595" s="87">
        <f t="shared" si="478"/>
        <v>6470138</v>
      </c>
      <c r="M595" s="88">
        <f t="shared" si="479"/>
        <v>13477382</v>
      </c>
      <c r="N595" s="89">
        <f t="shared" si="480"/>
        <v>6461238</v>
      </c>
      <c r="O595" s="90">
        <f t="shared" si="480"/>
        <v>6405348</v>
      </c>
      <c r="P595" s="88">
        <f t="shared" si="481"/>
        <v>12866586</v>
      </c>
      <c r="Q595" s="86">
        <f t="shared" si="487"/>
        <v>-610796</v>
      </c>
      <c r="R595" s="84">
        <f t="shared" si="488"/>
        <v>-4.5320077742101547E-2</v>
      </c>
      <c r="S595" s="85">
        <f t="shared" si="482"/>
        <v>1.1049687393581236E-2</v>
      </c>
      <c r="T595" s="85">
        <f t="shared" si="483"/>
        <v>1</v>
      </c>
      <c r="U595" s="122"/>
      <c r="V595" s="121"/>
    </row>
    <row r="596" spans="1:22" hidden="1" outlineLevel="1">
      <c r="A596" s="79" t="s">
        <v>1367</v>
      </c>
      <c r="B596" s="86">
        <f>INDEX(Data!2266:2266,1,$U$1-2)</f>
        <v>6148800</v>
      </c>
      <c r="C596" s="87">
        <f>INDEX(Data!2266:2266,1,$U$1-1)</f>
        <v>5646300</v>
      </c>
      <c r="D596" s="88">
        <f t="shared" si="476"/>
        <v>11795100</v>
      </c>
      <c r="E596" s="89">
        <f>INDEX(Data!2266:2266,1,$U$1)</f>
        <v>5646170</v>
      </c>
      <c r="F596" s="90">
        <f>INDEX(Data!2266:2266,1,$U$1+1)</f>
        <v>5519969</v>
      </c>
      <c r="G596" s="88">
        <f t="shared" si="477"/>
        <v>11166139</v>
      </c>
      <c r="H596" s="86">
        <f t="shared" si="484"/>
        <v>-628961</v>
      </c>
      <c r="I596" s="447">
        <f t="shared" si="485"/>
        <v>-5.3323922645844464E-2</v>
      </c>
      <c r="J596" s="453">
        <f t="shared" si="486"/>
        <v>9.5893615713815439E-3</v>
      </c>
      <c r="K596" s="91">
        <f t="shared" si="478"/>
        <v>6148800</v>
      </c>
      <c r="L596" s="87">
        <f t="shared" si="478"/>
        <v>5646300</v>
      </c>
      <c r="M596" s="88">
        <f t="shared" si="479"/>
        <v>11795100</v>
      </c>
      <c r="N596" s="89">
        <f t="shared" si="480"/>
        <v>5646170</v>
      </c>
      <c r="O596" s="90">
        <f t="shared" si="480"/>
        <v>5519969</v>
      </c>
      <c r="P596" s="88">
        <f t="shared" si="481"/>
        <v>11166139</v>
      </c>
      <c r="Q596" s="86">
        <f t="shared" si="487"/>
        <v>-628961</v>
      </c>
      <c r="R596" s="84">
        <f t="shared" si="488"/>
        <v>-5.3323922645844464E-2</v>
      </c>
      <c r="S596" s="85">
        <f t="shared" si="482"/>
        <v>9.5893615713815439E-3</v>
      </c>
      <c r="T596" s="85">
        <f t="shared" si="483"/>
        <v>1</v>
      </c>
      <c r="U596" s="122"/>
      <c r="V596" s="121"/>
    </row>
    <row r="597" spans="1:22" hidden="1" outlineLevel="1">
      <c r="A597" s="79" t="s">
        <v>1094</v>
      </c>
      <c r="B597" s="86">
        <f>INDEX(Data!2267:2267,1,$U$1-2)</f>
        <v>18740277</v>
      </c>
      <c r="C597" s="87">
        <f>INDEX(Data!2267:2267,1,$U$1-1)</f>
        <v>17387991</v>
      </c>
      <c r="D597" s="88">
        <f t="shared" si="476"/>
        <v>36128268</v>
      </c>
      <c r="E597" s="89">
        <f>INDEX(Data!2267:2267,1,$U$1)</f>
        <v>17369676</v>
      </c>
      <c r="F597" s="90">
        <f>INDEX(Data!2267:2267,1,$U$1+1)</f>
        <v>16777480</v>
      </c>
      <c r="G597" s="88">
        <f t="shared" si="477"/>
        <v>34147156</v>
      </c>
      <c r="H597" s="86">
        <f t="shared" si="484"/>
        <v>-1981112</v>
      </c>
      <c r="I597" s="447">
        <f t="shared" si="485"/>
        <v>-5.4835509966876909E-2</v>
      </c>
      <c r="J597" s="453">
        <f t="shared" si="486"/>
        <v>2.9325214876724241E-2</v>
      </c>
      <c r="K597" s="91">
        <f t="shared" si="478"/>
        <v>18740277</v>
      </c>
      <c r="L597" s="87">
        <f t="shared" si="478"/>
        <v>17387991</v>
      </c>
      <c r="M597" s="88">
        <f t="shared" si="479"/>
        <v>36128268</v>
      </c>
      <c r="N597" s="89">
        <f t="shared" si="480"/>
        <v>17369676</v>
      </c>
      <c r="O597" s="90">
        <f t="shared" si="480"/>
        <v>16777480</v>
      </c>
      <c r="P597" s="88">
        <f t="shared" si="481"/>
        <v>34147156</v>
      </c>
      <c r="Q597" s="86">
        <f t="shared" si="487"/>
        <v>-1981112</v>
      </c>
      <c r="R597" s="84">
        <f t="shared" si="488"/>
        <v>-5.4835509966876909E-2</v>
      </c>
      <c r="S597" s="85">
        <f t="shared" si="482"/>
        <v>2.9325214876724241E-2</v>
      </c>
      <c r="T597" s="85">
        <f t="shared" si="483"/>
        <v>1</v>
      </c>
      <c r="U597" s="122"/>
      <c r="V597" s="121"/>
    </row>
    <row r="598" spans="1:22" hidden="1" outlineLevel="1">
      <c r="A598" s="79" t="s">
        <v>859</v>
      </c>
      <c r="B598" s="86">
        <f>INDEX(Data!2268:2268,1,$U$1-2)</f>
        <v>2724800</v>
      </c>
      <c r="C598" s="87">
        <f>INDEX(Data!2268:2268,1,$U$1-1)</f>
        <v>1530933</v>
      </c>
      <c r="D598" s="88">
        <f t="shared" si="476"/>
        <v>4255733</v>
      </c>
      <c r="E598" s="89">
        <f>INDEX(Data!2268:2268,1,$U$1)</f>
        <v>1531018</v>
      </c>
      <c r="F598" s="90">
        <f>INDEX(Data!2268:2268,1,$U$1+1)</f>
        <v>1493487</v>
      </c>
      <c r="G598" s="88">
        <f t="shared" si="477"/>
        <v>3024505</v>
      </c>
      <c r="H598" s="86">
        <f t="shared" si="484"/>
        <v>-1231228</v>
      </c>
      <c r="I598" s="447">
        <f t="shared" si="485"/>
        <v>-0.28931044311285509</v>
      </c>
      <c r="J598" s="453">
        <f t="shared" si="486"/>
        <v>2.5974127690378329E-3</v>
      </c>
      <c r="K598" s="91">
        <f t="shared" si="478"/>
        <v>2724800</v>
      </c>
      <c r="L598" s="87">
        <f t="shared" si="478"/>
        <v>1530933</v>
      </c>
      <c r="M598" s="88">
        <f t="shared" si="479"/>
        <v>4255733</v>
      </c>
      <c r="N598" s="89">
        <f t="shared" si="480"/>
        <v>1531018</v>
      </c>
      <c r="O598" s="90">
        <f t="shared" si="480"/>
        <v>1493487</v>
      </c>
      <c r="P598" s="88">
        <f t="shared" si="481"/>
        <v>3024505</v>
      </c>
      <c r="Q598" s="86">
        <f t="shared" si="487"/>
        <v>-1231228</v>
      </c>
      <c r="R598" s="84">
        <f t="shared" si="488"/>
        <v>-0.28931044311285509</v>
      </c>
      <c r="S598" s="85">
        <f t="shared" si="482"/>
        <v>2.5974127690378329E-3</v>
      </c>
      <c r="T598" s="85">
        <f t="shared" si="483"/>
        <v>1</v>
      </c>
      <c r="U598" s="122"/>
      <c r="V598" s="121"/>
    </row>
    <row r="599" spans="1:22" ht="25.5" hidden="1" outlineLevel="1">
      <c r="A599" s="79" t="s">
        <v>1427</v>
      </c>
      <c r="B599" s="86">
        <f>INDEX(Data!2269:2269,1,$U$1-2)</f>
        <v>0</v>
      </c>
      <c r="C599" s="87">
        <f>INDEX(Data!2269:2269,1,$U$1-1)</f>
        <v>0</v>
      </c>
      <c r="D599" s="88">
        <f t="shared" si="476"/>
        <v>0</v>
      </c>
      <c r="E599" s="89">
        <f>INDEX(Data!2269:2269,1,$U$1)</f>
        <v>0</v>
      </c>
      <c r="F599" s="90">
        <f>INDEX(Data!2269:2269,1,$U$1+1)</f>
        <v>0</v>
      </c>
      <c r="G599" s="88">
        <f t="shared" si="477"/>
        <v>0</v>
      </c>
      <c r="H599" s="86">
        <f t="shared" si="484"/>
        <v>0</v>
      </c>
      <c r="I599" s="447" t="str">
        <f t="shared" si="485"/>
        <v/>
      </c>
      <c r="J599" s="453">
        <f t="shared" si="486"/>
        <v>0</v>
      </c>
      <c r="K599" s="91">
        <f t="shared" si="478"/>
        <v>0</v>
      </c>
      <c r="L599" s="87">
        <f t="shared" si="478"/>
        <v>0</v>
      </c>
      <c r="M599" s="88">
        <f t="shared" si="479"/>
        <v>0</v>
      </c>
      <c r="N599" s="89">
        <f t="shared" si="480"/>
        <v>0</v>
      </c>
      <c r="O599" s="90">
        <f t="shared" si="480"/>
        <v>0</v>
      </c>
      <c r="P599" s="88">
        <f t="shared" si="481"/>
        <v>0</v>
      </c>
      <c r="Q599" s="86">
        <f t="shared" si="487"/>
        <v>0</v>
      </c>
      <c r="R599" s="84" t="str">
        <f t="shared" si="488"/>
        <v/>
      </c>
      <c r="S599" s="85">
        <f t="shared" si="482"/>
        <v>0</v>
      </c>
      <c r="T599" s="85" t="str">
        <f t="shared" si="483"/>
        <v/>
      </c>
      <c r="U599" s="122"/>
      <c r="V599" s="121"/>
    </row>
    <row r="600" spans="1:22" collapsed="1">
      <c r="A600" s="113" t="s">
        <v>784</v>
      </c>
      <c r="B600" s="105">
        <f>SUM(B561:B599)</f>
        <v>350164178</v>
      </c>
      <c r="C600" s="106">
        <f>SUM(C561:C599)</f>
        <v>344315857</v>
      </c>
      <c r="D600" s="107">
        <f>SUM(D561:D599)</f>
        <v>694480035</v>
      </c>
      <c r="E600" s="114">
        <f>SUM(E561:E599)</f>
        <v>332674488</v>
      </c>
      <c r="F600" s="115">
        <f>SUM(F561:F599)</f>
        <v>330605232</v>
      </c>
      <c r="G600" s="107">
        <f t="shared" ref="G600:H600" si="504">SUM(G561:G599)</f>
        <v>663279720</v>
      </c>
      <c r="H600" s="105">
        <f t="shared" si="504"/>
        <v>-31200315</v>
      </c>
      <c r="I600" s="449">
        <f t="shared" si="485"/>
        <v>-4.4926151116784802E-2</v>
      </c>
      <c r="J600" s="454">
        <f t="shared" si="486"/>
        <v>0.56961757847047323</v>
      </c>
      <c r="K600" s="405">
        <f t="shared" ref="K600:Q600" si="505">SUM(K561:K599)</f>
        <v>350164178</v>
      </c>
      <c r="L600" s="106">
        <f t="shared" si="505"/>
        <v>344315857</v>
      </c>
      <c r="M600" s="107">
        <f t="shared" si="505"/>
        <v>694480035</v>
      </c>
      <c r="N600" s="114">
        <f t="shared" si="505"/>
        <v>332674488</v>
      </c>
      <c r="O600" s="115">
        <f t="shared" si="505"/>
        <v>330605232</v>
      </c>
      <c r="P600" s="107">
        <f t="shared" si="505"/>
        <v>663279720</v>
      </c>
      <c r="Q600" s="105">
        <f t="shared" si="505"/>
        <v>-31200315</v>
      </c>
      <c r="R600" s="108">
        <f t="shared" si="488"/>
        <v>-4.4926151116784802E-2</v>
      </c>
      <c r="S600" s="109">
        <f t="shared" si="482"/>
        <v>0.56961757847047323</v>
      </c>
      <c r="T600" s="109">
        <f t="shared" si="483"/>
        <v>1</v>
      </c>
      <c r="U600" s="122"/>
      <c r="V600" s="121"/>
    </row>
    <row r="601" spans="1:22" ht="12.75" hidden="1" customHeight="1" outlineLevel="1">
      <c r="A601" s="79" t="s">
        <v>1428</v>
      </c>
      <c r="B601" s="86">
        <f>INDEX(Data!2222:2222,1,$U$1-2)</f>
        <v>0</v>
      </c>
      <c r="C601" s="87">
        <f>INDEX(Data!2222:2222,1,$U$1-1)</f>
        <v>0</v>
      </c>
      <c r="D601" s="88">
        <f t="shared" ref="D601:D606" si="506">B601+C601</f>
        <v>0</v>
      </c>
      <c r="E601" s="89">
        <f>INDEX(Data!2222:2222,1,$U$1)</f>
        <v>0</v>
      </c>
      <c r="F601" s="90">
        <f>INDEX(Data!2222:2222,1,$U$1+1)</f>
        <v>0</v>
      </c>
      <c r="G601" s="88">
        <f t="shared" ref="G601:G606" si="507">E601+F601</f>
        <v>0</v>
      </c>
      <c r="H601" s="86">
        <f t="shared" ref="H601:H606" si="508">G601-D601</f>
        <v>0</v>
      </c>
      <c r="I601" s="447" t="str">
        <f t="shared" si="485"/>
        <v/>
      </c>
      <c r="J601" s="453">
        <f t="shared" si="486"/>
        <v>0</v>
      </c>
      <c r="K601" s="91">
        <f t="shared" ref="K601:L606" si="509">B601</f>
        <v>0</v>
      </c>
      <c r="L601" s="87">
        <f t="shared" si="509"/>
        <v>0</v>
      </c>
      <c r="M601" s="88">
        <f t="shared" ref="M601:M606" si="510">K601+L601</f>
        <v>0</v>
      </c>
      <c r="N601" s="89">
        <f t="shared" ref="N601:O606" si="511">E601</f>
        <v>0</v>
      </c>
      <c r="O601" s="90">
        <f t="shared" si="511"/>
        <v>0</v>
      </c>
      <c r="P601" s="88">
        <f t="shared" ref="P601:P606" si="512">N601+O601</f>
        <v>0</v>
      </c>
      <c r="Q601" s="86">
        <f t="shared" ref="Q601:Q606" si="513">P601-M601</f>
        <v>0</v>
      </c>
      <c r="R601" s="84" t="str">
        <f t="shared" si="488"/>
        <v/>
      </c>
      <c r="S601" s="85">
        <f t="shared" si="482"/>
        <v>0</v>
      </c>
      <c r="T601" s="85" t="str">
        <f t="shared" si="483"/>
        <v/>
      </c>
      <c r="U601" s="122"/>
      <c r="V601" s="123"/>
    </row>
    <row r="602" spans="1:22" hidden="1" outlineLevel="1">
      <c r="A602" s="79" t="s">
        <v>40</v>
      </c>
      <c r="B602" s="86">
        <f>INDEX(Data!2233:2233,1,$U$1-2)</f>
        <v>0</v>
      </c>
      <c r="C602" s="87">
        <f>INDEX(Data!2233:2233,1,$U$1-1)</f>
        <v>0</v>
      </c>
      <c r="D602" s="88">
        <f t="shared" si="506"/>
        <v>0</v>
      </c>
      <c r="E602" s="89">
        <f>INDEX(Data!2233:2233,1,$U$1)</f>
        <v>0</v>
      </c>
      <c r="F602" s="90">
        <f>INDEX(Data!2233:2233,1,$U$1+1)</f>
        <v>0</v>
      </c>
      <c r="G602" s="88">
        <f t="shared" si="507"/>
        <v>0</v>
      </c>
      <c r="H602" s="86">
        <f t="shared" si="508"/>
        <v>0</v>
      </c>
      <c r="I602" s="447" t="str">
        <f t="shared" si="485"/>
        <v/>
      </c>
      <c r="J602" s="453">
        <f t="shared" si="486"/>
        <v>0</v>
      </c>
      <c r="K602" s="91">
        <f t="shared" si="509"/>
        <v>0</v>
      </c>
      <c r="L602" s="87">
        <f t="shared" si="509"/>
        <v>0</v>
      </c>
      <c r="M602" s="88">
        <f t="shared" si="510"/>
        <v>0</v>
      </c>
      <c r="N602" s="89">
        <f t="shared" si="511"/>
        <v>0</v>
      </c>
      <c r="O602" s="90">
        <f t="shared" si="511"/>
        <v>0</v>
      </c>
      <c r="P602" s="88">
        <f t="shared" si="512"/>
        <v>0</v>
      </c>
      <c r="Q602" s="86">
        <f t="shared" si="513"/>
        <v>0</v>
      </c>
      <c r="R602" s="84" t="str">
        <f t="shared" si="488"/>
        <v/>
      </c>
      <c r="S602" s="85">
        <f t="shared" si="482"/>
        <v>0</v>
      </c>
      <c r="T602" s="85" t="str">
        <f t="shared" si="483"/>
        <v/>
      </c>
      <c r="U602" s="122"/>
      <c r="V602" s="121"/>
    </row>
    <row r="603" spans="1:22" hidden="1" outlineLevel="1">
      <c r="A603" s="79" t="s">
        <v>45</v>
      </c>
      <c r="B603" s="86">
        <f>INDEX(Data!2246:2246,1,$U$1-2)</f>
        <v>5358923</v>
      </c>
      <c r="C603" s="87">
        <f>INDEX(Data!2246:2246,1,$U$1-1)</f>
        <v>5345260</v>
      </c>
      <c r="D603" s="88">
        <f t="shared" si="506"/>
        <v>10704183</v>
      </c>
      <c r="E603" s="89">
        <f>INDEX(Data!2246:2246,1,$U$1)</f>
        <v>4717375</v>
      </c>
      <c r="F603" s="90">
        <f>INDEX(Data!2246:2246,1,$U$1+1)</f>
        <v>4711750</v>
      </c>
      <c r="G603" s="88">
        <f t="shared" si="507"/>
        <v>9429125</v>
      </c>
      <c r="H603" s="86">
        <f t="shared" si="508"/>
        <v>-1275058</v>
      </c>
      <c r="I603" s="447">
        <f t="shared" si="485"/>
        <v>-0.11911773182502579</v>
      </c>
      <c r="J603" s="453">
        <f t="shared" si="486"/>
        <v>8.0976323979804494E-3</v>
      </c>
      <c r="K603" s="91">
        <f t="shared" si="509"/>
        <v>5358923</v>
      </c>
      <c r="L603" s="87">
        <f t="shared" si="509"/>
        <v>5345260</v>
      </c>
      <c r="M603" s="88">
        <f t="shared" si="510"/>
        <v>10704183</v>
      </c>
      <c r="N603" s="89">
        <f t="shared" si="511"/>
        <v>4717375</v>
      </c>
      <c r="O603" s="90">
        <f t="shared" si="511"/>
        <v>4711750</v>
      </c>
      <c r="P603" s="88">
        <f t="shared" si="512"/>
        <v>9429125</v>
      </c>
      <c r="Q603" s="86">
        <f t="shared" si="513"/>
        <v>-1275058</v>
      </c>
      <c r="R603" s="84">
        <f t="shared" si="488"/>
        <v>-0.11911773182502579</v>
      </c>
      <c r="S603" s="85">
        <f t="shared" si="482"/>
        <v>8.0976323979804494E-3</v>
      </c>
      <c r="T603" s="85">
        <f t="shared" si="483"/>
        <v>1</v>
      </c>
      <c r="U603" s="122"/>
      <c r="V603" s="121"/>
    </row>
    <row r="604" spans="1:22" hidden="1" outlineLevel="1">
      <c r="A604" s="79" t="s">
        <v>51</v>
      </c>
      <c r="B604" s="86">
        <f>INDEX(Data!2252:2252,1,$U$1-2)</f>
        <v>4367750</v>
      </c>
      <c r="C604" s="87">
        <f>INDEX(Data!2252:2252,1,$U$1-1)</f>
        <v>4366250</v>
      </c>
      <c r="D604" s="88">
        <f t="shared" si="506"/>
        <v>8734000</v>
      </c>
      <c r="E604" s="89">
        <f>INDEX(Data!2252:2252,1,$U$1)</f>
        <v>4357197</v>
      </c>
      <c r="F604" s="90">
        <f>INDEX(Data!2252:2252,1,$U$1+1)</f>
        <v>4361844</v>
      </c>
      <c r="G604" s="88">
        <f t="shared" si="507"/>
        <v>8719041</v>
      </c>
      <c r="H604" s="86">
        <f t="shared" si="508"/>
        <v>-14959</v>
      </c>
      <c r="I604" s="447">
        <f t="shared" si="485"/>
        <v>-1.7127318525303411E-3</v>
      </c>
      <c r="J604" s="453">
        <f t="shared" si="486"/>
        <v>7.487819800980457E-3</v>
      </c>
      <c r="K604" s="91">
        <f t="shared" si="509"/>
        <v>4367750</v>
      </c>
      <c r="L604" s="87">
        <f t="shared" si="509"/>
        <v>4366250</v>
      </c>
      <c r="M604" s="88">
        <f t="shared" si="510"/>
        <v>8734000</v>
      </c>
      <c r="N604" s="89">
        <f t="shared" si="511"/>
        <v>4357197</v>
      </c>
      <c r="O604" s="90">
        <f t="shared" si="511"/>
        <v>4361844</v>
      </c>
      <c r="P604" s="88">
        <f t="shared" si="512"/>
        <v>8719041</v>
      </c>
      <c r="Q604" s="86">
        <f t="shared" si="513"/>
        <v>-14959</v>
      </c>
      <c r="R604" s="84">
        <f t="shared" si="488"/>
        <v>-1.7127318525303411E-3</v>
      </c>
      <c r="S604" s="85">
        <f t="shared" si="482"/>
        <v>7.487819800980457E-3</v>
      </c>
      <c r="T604" s="85">
        <f t="shared" si="483"/>
        <v>1</v>
      </c>
      <c r="U604" s="122"/>
      <c r="V604" s="121"/>
    </row>
    <row r="605" spans="1:22" hidden="1" outlineLevel="1">
      <c r="A605" s="79" t="s">
        <v>56</v>
      </c>
      <c r="B605" s="86">
        <f>INDEX(Data!2257:2257,1,$U$1-2)</f>
        <v>0</v>
      </c>
      <c r="C605" s="87">
        <f>INDEX(Data!2257:2257,1,$U$1-1)</f>
        <v>0</v>
      </c>
      <c r="D605" s="88">
        <f t="shared" si="506"/>
        <v>0</v>
      </c>
      <c r="E605" s="89">
        <f>INDEX(Data!2257:2257,1,$U$1)</f>
        <v>0</v>
      </c>
      <c r="F605" s="90">
        <f>INDEX(Data!2257:2257,1,$U$1+1)</f>
        <v>0</v>
      </c>
      <c r="G605" s="88">
        <f t="shared" si="507"/>
        <v>0</v>
      </c>
      <c r="H605" s="86">
        <f t="shared" si="508"/>
        <v>0</v>
      </c>
      <c r="I605" s="447" t="str">
        <f t="shared" si="485"/>
        <v/>
      </c>
      <c r="J605" s="453">
        <f t="shared" si="486"/>
        <v>0</v>
      </c>
      <c r="K605" s="91">
        <f t="shared" si="509"/>
        <v>0</v>
      </c>
      <c r="L605" s="87">
        <f t="shared" si="509"/>
        <v>0</v>
      </c>
      <c r="M605" s="88">
        <f t="shared" si="510"/>
        <v>0</v>
      </c>
      <c r="N605" s="89">
        <f t="shared" si="511"/>
        <v>0</v>
      </c>
      <c r="O605" s="90">
        <f t="shared" si="511"/>
        <v>0</v>
      </c>
      <c r="P605" s="88">
        <f t="shared" si="512"/>
        <v>0</v>
      </c>
      <c r="Q605" s="86">
        <f t="shared" si="513"/>
        <v>0</v>
      </c>
      <c r="R605" s="84" t="str">
        <f t="shared" si="488"/>
        <v/>
      </c>
      <c r="S605" s="85">
        <f t="shared" si="482"/>
        <v>0</v>
      </c>
      <c r="T605" s="85" t="str">
        <f t="shared" si="483"/>
        <v/>
      </c>
      <c r="U605" s="122"/>
      <c r="V605" s="121"/>
    </row>
    <row r="606" spans="1:22" hidden="1" outlineLevel="1">
      <c r="A606" s="79" t="s">
        <v>60</v>
      </c>
      <c r="B606" s="86">
        <f>INDEX(Data!2261:2261,1,$U$1-2)</f>
        <v>0</v>
      </c>
      <c r="C606" s="87">
        <f>INDEX(Data!2261:2261,1,$U$1-1)</f>
        <v>0</v>
      </c>
      <c r="D606" s="88">
        <f t="shared" si="506"/>
        <v>0</v>
      </c>
      <c r="E606" s="89">
        <f>INDEX(Data!2261:2261,1,$U$1)</f>
        <v>0</v>
      </c>
      <c r="F606" s="90">
        <f>INDEX(Data!2261:2261,1,$U$1+1)</f>
        <v>0</v>
      </c>
      <c r="G606" s="88">
        <f t="shared" si="507"/>
        <v>0</v>
      </c>
      <c r="H606" s="86">
        <f t="shared" si="508"/>
        <v>0</v>
      </c>
      <c r="I606" s="447" t="str">
        <f t="shared" si="485"/>
        <v/>
      </c>
      <c r="J606" s="453">
        <f t="shared" si="486"/>
        <v>0</v>
      </c>
      <c r="K606" s="91">
        <f t="shared" si="509"/>
        <v>0</v>
      </c>
      <c r="L606" s="87">
        <f t="shared" si="509"/>
        <v>0</v>
      </c>
      <c r="M606" s="88">
        <f t="shared" si="510"/>
        <v>0</v>
      </c>
      <c r="N606" s="89">
        <f t="shared" si="511"/>
        <v>0</v>
      </c>
      <c r="O606" s="90">
        <f t="shared" si="511"/>
        <v>0</v>
      </c>
      <c r="P606" s="88">
        <f t="shared" si="512"/>
        <v>0</v>
      </c>
      <c r="Q606" s="86">
        <f t="shared" si="513"/>
        <v>0</v>
      </c>
      <c r="R606" s="84" t="str">
        <f t="shared" si="488"/>
        <v/>
      </c>
      <c r="S606" s="85">
        <f t="shared" si="482"/>
        <v>0</v>
      </c>
      <c r="T606" s="85" t="str">
        <f t="shared" si="483"/>
        <v/>
      </c>
      <c r="U606" s="122"/>
      <c r="V606" s="121"/>
    </row>
    <row r="607" spans="1:22" collapsed="1">
      <c r="A607" s="113" t="s">
        <v>1830</v>
      </c>
      <c r="B607" s="105">
        <f>SUM(B601:B606)</f>
        <v>9726673</v>
      </c>
      <c r="C607" s="106">
        <f>SUM(C601:C606)</f>
        <v>9711510</v>
      </c>
      <c r="D607" s="107">
        <f>SUM(D601:D606)</f>
        <v>19438183</v>
      </c>
      <c r="E607" s="114">
        <f>SUM(E601:E606)</f>
        <v>9074572</v>
      </c>
      <c r="F607" s="115">
        <f>SUM(F601:F606)</f>
        <v>9073594</v>
      </c>
      <c r="G607" s="107">
        <f t="shared" ref="G607:H607" si="514">SUM(G601:G606)</f>
        <v>18148166</v>
      </c>
      <c r="H607" s="105">
        <f t="shared" si="514"/>
        <v>-1290017</v>
      </c>
      <c r="I607" s="449">
        <f t="shared" si="485"/>
        <v>-6.6365102129144482E-2</v>
      </c>
      <c r="J607" s="454">
        <f t="shared" si="486"/>
        <v>1.5585452198960905E-2</v>
      </c>
      <c r="K607" s="405">
        <f t="shared" ref="K607:Q607" si="515">SUM(K601:K606)</f>
        <v>9726673</v>
      </c>
      <c r="L607" s="106">
        <f t="shared" si="515"/>
        <v>9711510</v>
      </c>
      <c r="M607" s="107">
        <f t="shared" si="515"/>
        <v>19438183</v>
      </c>
      <c r="N607" s="114">
        <f t="shared" si="515"/>
        <v>9074572</v>
      </c>
      <c r="O607" s="115">
        <f t="shared" si="515"/>
        <v>9073594</v>
      </c>
      <c r="P607" s="107">
        <f t="shared" si="515"/>
        <v>18148166</v>
      </c>
      <c r="Q607" s="105">
        <f t="shared" si="515"/>
        <v>-1290017</v>
      </c>
      <c r="R607" s="108">
        <f t="shared" si="488"/>
        <v>-6.6365102129144482E-2</v>
      </c>
      <c r="S607" s="109">
        <f t="shared" si="482"/>
        <v>1.5585452198960905E-2</v>
      </c>
      <c r="T607" s="109">
        <f t="shared" si="483"/>
        <v>1</v>
      </c>
      <c r="U607" s="122"/>
      <c r="V607" s="121"/>
    </row>
    <row r="608" spans="1:22" ht="25.5" hidden="1" outlineLevel="1">
      <c r="A608" s="79" t="s">
        <v>1433</v>
      </c>
      <c r="B608" s="86">
        <f>INDEX(Data!2270:2270,1,$U$1-2)</f>
        <v>18520131</v>
      </c>
      <c r="C608" s="87">
        <f>INDEX(Data!2270:2270,1,$U$1-1)</f>
        <v>18520131</v>
      </c>
      <c r="D608" s="88">
        <f t="shared" ref="D608:D616" si="516">B608+C608</f>
        <v>37040262</v>
      </c>
      <c r="E608" s="89">
        <f>INDEX(Data!2270:2270,1,$U$1)</f>
        <v>18515700</v>
      </c>
      <c r="F608" s="90">
        <f>INDEX(Data!2270:2270,1,$U$1+1)</f>
        <v>18516400</v>
      </c>
      <c r="G608" s="88">
        <f t="shared" ref="G608:G616" si="517">E608+F608</f>
        <v>37032100</v>
      </c>
      <c r="H608" s="86">
        <f t="shared" ref="H608:H616" si="518">G608-D608</f>
        <v>-8162</v>
      </c>
      <c r="I608" s="447">
        <f t="shared" si="485"/>
        <v>-2.2035481282502807E-4</v>
      </c>
      <c r="J608" s="453">
        <f t="shared" si="486"/>
        <v>3.1802774141317651E-2</v>
      </c>
      <c r="K608" s="91">
        <f t="shared" ref="K608:L616" si="519">B608</f>
        <v>18520131</v>
      </c>
      <c r="L608" s="87">
        <f t="shared" si="519"/>
        <v>18520131</v>
      </c>
      <c r="M608" s="88">
        <f t="shared" ref="M608:M616" si="520">K608+L608</f>
        <v>37040262</v>
      </c>
      <c r="N608" s="89">
        <f t="shared" ref="N608:O616" si="521">E608</f>
        <v>18515700</v>
      </c>
      <c r="O608" s="90">
        <f t="shared" si="521"/>
        <v>18516400</v>
      </c>
      <c r="P608" s="88">
        <f t="shared" ref="P608:P616" si="522">N608+O608</f>
        <v>37032100</v>
      </c>
      <c r="Q608" s="86">
        <f t="shared" ref="Q608:Q616" si="523">P608-M608</f>
        <v>-8162</v>
      </c>
      <c r="R608" s="84">
        <f t="shared" si="488"/>
        <v>-2.2035481282502807E-4</v>
      </c>
      <c r="S608" s="85">
        <f t="shared" si="482"/>
        <v>3.1802774141317651E-2</v>
      </c>
      <c r="T608" s="85">
        <f t="shared" si="483"/>
        <v>1</v>
      </c>
      <c r="U608" s="122"/>
      <c r="V608" s="121"/>
    </row>
    <row r="609" spans="1:22" ht="25.5" hidden="1" outlineLevel="1">
      <c r="A609" s="79" t="s">
        <v>1434</v>
      </c>
      <c r="B609" s="86">
        <f>INDEX(Data!2271:2271,1,$U$1-2)</f>
        <v>22428442</v>
      </c>
      <c r="C609" s="87">
        <f>INDEX(Data!2271:2271,1,$U$1-1)</f>
        <v>22428442</v>
      </c>
      <c r="D609" s="88">
        <f t="shared" si="516"/>
        <v>44856884</v>
      </c>
      <c r="E609" s="89">
        <f>INDEX(Data!2271:2271,1,$U$1)</f>
        <v>22424400</v>
      </c>
      <c r="F609" s="90">
        <f>INDEX(Data!2271:2271,1,$U$1+1)</f>
        <v>22423900</v>
      </c>
      <c r="G609" s="88">
        <f t="shared" si="517"/>
        <v>44848300</v>
      </c>
      <c r="H609" s="86">
        <f t="shared" si="518"/>
        <v>-8584</v>
      </c>
      <c r="I609" s="447">
        <f t="shared" si="485"/>
        <v>-1.9136416163013017E-4</v>
      </c>
      <c r="J609" s="453">
        <f t="shared" si="486"/>
        <v>3.8515243681078205E-2</v>
      </c>
      <c r="K609" s="91">
        <f t="shared" si="519"/>
        <v>22428442</v>
      </c>
      <c r="L609" s="87">
        <f t="shared" si="519"/>
        <v>22428442</v>
      </c>
      <c r="M609" s="88">
        <f t="shared" si="520"/>
        <v>44856884</v>
      </c>
      <c r="N609" s="89">
        <f t="shared" si="521"/>
        <v>22424400</v>
      </c>
      <c r="O609" s="90">
        <f t="shared" si="521"/>
        <v>22423900</v>
      </c>
      <c r="P609" s="88">
        <f t="shared" si="522"/>
        <v>44848300</v>
      </c>
      <c r="Q609" s="86">
        <f t="shared" si="523"/>
        <v>-8584</v>
      </c>
      <c r="R609" s="84">
        <f t="shared" si="488"/>
        <v>-1.9136416163013017E-4</v>
      </c>
      <c r="S609" s="85">
        <f t="shared" si="482"/>
        <v>3.8515243681078205E-2</v>
      </c>
      <c r="T609" s="85">
        <f t="shared" si="483"/>
        <v>1</v>
      </c>
      <c r="U609" s="122"/>
      <c r="V609" s="121"/>
    </row>
    <row r="610" spans="1:22" ht="25.5" hidden="1" outlineLevel="1">
      <c r="A610" s="79" t="s">
        <v>1435</v>
      </c>
      <c r="B610" s="86">
        <f>INDEX(Data!2272:2272,1,$U$1-2)</f>
        <v>18749811</v>
      </c>
      <c r="C610" s="87">
        <f>INDEX(Data!2272:2272,1,$U$1-1)</f>
        <v>18749811</v>
      </c>
      <c r="D610" s="88">
        <f t="shared" si="516"/>
        <v>37499622</v>
      </c>
      <c r="E610" s="89">
        <f>INDEX(Data!2272:2272,1,$U$1)</f>
        <v>18749650</v>
      </c>
      <c r="F610" s="90">
        <f>INDEX(Data!2272:2272,1,$U$1+1)</f>
        <v>18749350</v>
      </c>
      <c r="G610" s="88">
        <f t="shared" si="517"/>
        <v>37499000</v>
      </c>
      <c r="H610" s="86">
        <f t="shared" si="518"/>
        <v>-622</v>
      </c>
      <c r="I610" s="447">
        <f t="shared" si="485"/>
        <v>-1.6586833861951995E-5</v>
      </c>
      <c r="J610" s="453">
        <f t="shared" si="486"/>
        <v>3.2203742902111157E-2</v>
      </c>
      <c r="K610" s="91">
        <f t="shared" si="519"/>
        <v>18749811</v>
      </c>
      <c r="L610" s="87">
        <f t="shared" si="519"/>
        <v>18749811</v>
      </c>
      <c r="M610" s="88">
        <f t="shared" si="520"/>
        <v>37499622</v>
      </c>
      <c r="N610" s="89">
        <f t="shared" si="521"/>
        <v>18749650</v>
      </c>
      <c r="O610" s="90">
        <f t="shared" si="521"/>
        <v>18749350</v>
      </c>
      <c r="P610" s="88">
        <f t="shared" si="522"/>
        <v>37499000</v>
      </c>
      <c r="Q610" s="86">
        <f t="shared" si="523"/>
        <v>-622</v>
      </c>
      <c r="R610" s="84">
        <f t="shared" si="488"/>
        <v>-1.6586833861951995E-5</v>
      </c>
      <c r="S610" s="85">
        <f t="shared" si="482"/>
        <v>3.2203742902111157E-2</v>
      </c>
      <c r="T610" s="85">
        <f t="shared" si="483"/>
        <v>1</v>
      </c>
      <c r="U610" s="122"/>
      <c r="V610" s="121"/>
    </row>
    <row r="611" spans="1:22" ht="25.5" hidden="1" outlineLevel="1">
      <c r="A611" s="79" t="s">
        <v>1436</v>
      </c>
      <c r="B611" s="86">
        <f>INDEX(Data!2273:2273,1,$U$1-2)</f>
        <v>15896576</v>
      </c>
      <c r="C611" s="87">
        <f>INDEX(Data!2273:2273,1,$U$1-1)</f>
        <v>15896576</v>
      </c>
      <c r="D611" s="88">
        <f t="shared" si="516"/>
        <v>31793152</v>
      </c>
      <c r="E611" s="89">
        <f>INDEX(Data!2273:2273,1,$U$1)</f>
        <v>15895613</v>
      </c>
      <c r="F611" s="90">
        <f>INDEX(Data!2273:2273,1,$U$1+1)</f>
        <v>15895850</v>
      </c>
      <c r="G611" s="88">
        <f t="shared" si="517"/>
        <v>31791463</v>
      </c>
      <c r="H611" s="86">
        <f t="shared" si="518"/>
        <v>-1689</v>
      </c>
      <c r="I611" s="447">
        <f t="shared" si="485"/>
        <v>-5.3124647722880704E-5</v>
      </c>
      <c r="J611" s="453">
        <f t="shared" si="486"/>
        <v>2.7302170749459436E-2</v>
      </c>
      <c r="K611" s="91">
        <f t="shared" si="519"/>
        <v>15896576</v>
      </c>
      <c r="L611" s="87">
        <f t="shared" si="519"/>
        <v>15896576</v>
      </c>
      <c r="M611" s="88">
        <f t="shared" si="520"/>
        <v>31793152</v>
      </c>
      <c r="N611" s="89">
        <f t="shared" si="521"/>
        <v>15895613</v>
      </c>
      <c r="O611" s="90">
        <f t="shared" si="521"/>
        <v>15895850</v>
      </c>
      <c r="P611" s="88">
        <f t="shared" si="522"/>
        <v>31791463</v>
      </c>
      <c r="Q611" s="86">
        <f t="shared" si="523"/>
        <v>-1689</v>
      </c>
      <c r="R611" s="84">
        <f t="shared" si="488"/>
        <v>-5.3124647722880704E-5</v>
      </c>
      <c r="S611" s="85">
        <f t="shared" si="482"/>
        <v>2.7302170749459436E-2</v>
      </c>
      <c r="T611" s="85">
        <f t="shared" si="483"/>
        <v>1</v>
      </c>
      <c r="U611" s="122"/>
      <c r="V611" s="121"/>
    </row>
    <row r="612" spans="1:22" ht="25.5" hidden="1" outlineLevel="1">
      <c r="A612" s="79" t="s">
        <v>1668</v>
      </c>
      <c r="B612" s="86">
        <f>INDEX(Data!2274:2274,1,$U$1-2)</f>
        <v>0</v>
      </c>
      <c r="C612" s="87">
        <f>INDEX(Data!2274:2274,1,$U$1-1)</f>
        <v>0</v>
      </c>
      <c r="D612" s="88">
        <f t="shared" ref="D612" si="524">B612+C612</f>
        <v>0</v>
      </c>
      <c r="E612" s="89">
        <f>INDEX(Data!2274:2274,1,$U$1)</f>
        <v>0</v>
      </c>
      <c r="F612" s="90">
        <f>INDEX(Data!2274:2274,1,$U$1+1)</f>
        <v>0</v>
      </c>
      <c r="G612" s="88">
        <f t="shared" ref="G612" si="525">E612+F612</f>
        <v>0</v>
      </c>
      <c r="H612" s="86">
        <f t="shared" ref="H612" si="526">G612-D612</f>
        <v>0</v>
      </c>
      <c r="I612" s="447" t="str">
        <f t="shared" ref="I612" si="527">IFERROR(H612/D612,"")</f>
        <v/>
      </c>
      <c r="J612" s="453">
        <f t="shared" ref="J612" si="528">IFERROR(G612/G$456,"")</f>
        <v>0</v>
      </c>
      <c r="K612" s="91">
        <f t="shared" ref="K612" si="529">B612</f>
        <v>0</v>
      </c>
      <c r="L612" s="87">
        <f t="shared" ref="L612" si="530">C612</f>
        <v>0</v>
      </c>
      <c r="M612" s="88">
        <f t="shared" ref="M612" si="531">K612+L612</f>
        <v>0</v>
      </c>
      <c r="N612" s="89">
        <f t="shared" ref="N612" si="532">E612</f>
        <v>0</v>
      </c>
      <c r="O612" s="90">
        <f t="shared" ref="O612" si="533">F612</f>
        <v>0</v>
      </c>
      <c r="P612" s="88">
        <f t="shared" ref="P612" si="534">N612+O612</f>
        <v>0</v>
      </c>
      <c r="Q612" s="86">
        <f t="shared" ref="Q612" si="535">P612-M612</f>
        <v>0</v>
      </c>
      <c r="R612" s="84" t="str">
        <f t="shared" ref="R612" si="536">IFERROR(Q612/M612,"")</f>
        <v/>
      </c>
      <c r="S612" s="85">
        <f t="shared" ref="S612" si="537">IFERROR(P612/P$456,"")</f>
        <v>0</v>
      </c>
      <c r="T612" s="85" t="str">
        <f t="shared" ref="T612" si="538">IFERROR(P612/G612,"")</f>
        <v/>
      </c>
      <c r="U612" s="122"/>
      <c r="V612" s="121"/>
    </row>
    <row r="613" spans="1:22" ht="25.5" hidden="1" outlineLevel="1">
      <c r="A613" s="79" t="s">
        <v>1437</v>
      </c>
      <c r="B613" s="86">
        <f>INDEX(Data!2275:2275,1,$U$1-2)</f>
        <v>11327949</v>
      </c>
      <c r="C613" s="87">
        <f>INDEX(Data!2275:2275,1,$U$1-1)</f>
        <v>11327949</v>
      </c>
      <c r="D613" s="88">
        <f t="shared" si="516"/>
        <v>22655898</v>
      </c>
      <c r="E613" s="89">
        <f>INDEX(Data!2275:2275,1,$U$1)</f>
        <v>11327000</v>
      </c>
      <c r="F613" s="90">
        <f>INDEX(Data!2275:2275,1,$U$1+1)</f>
        <v>11327350</v>
      </c>
      <c r="G613" s="88">
        <f t="shared" si="517"/>
        <v>22654350</v>
      </c>
      <c r="H613" s="86">
        <f t="shared" si="518"/>
        <v>-1548</v>
      </c>
      <c r="I613" s="447">
        <f t="shared" si="485"/>
        <v>-6.8326578800804983E-5</v>
      </c>
      <c r="J613" s="453">
        <f t="shared" si="486"/>
        <v>1.9455315155455927E-2</v>
      </c>
      <c r="K613" s="91">
        <f t="shared" si="519"/>
        <v>11327949</v>
      </c>
      <c r="L613" s="87">
        <f t="shared" si="519"/>
        <v>11327949</v>
      </c>
      <c r="M613" s="88">
        <f t="shared" si="520"/>
        <v>22655898</v>
      </c>
      <c r="N613" s="89">
        <f t="shared" si="521"/>
        <v>11327000</v>
      </c>
      <c r="O613" s="90">
        <f t="shared" si="521"/>
        <v>11327350</v>
      </c>
      <c r="P613" s="88">
        <f t="shared" si="522"/>
        <v>22654350</v>
      </c>
      <c r="Q613" s="86">
        <f t="shared" si="523"/>
        <v>-1548</v>
      </c>
      <c r="R613" s="84">
        <f t="shared" si="488"/>
        <v>-6.8326578800804983E-5</v>
      </c>
      <c r="S613" s="85">
        <f t="shared" si="482"/>
        <v>1.9455315155455927E-2</v>
      </c>
      <c r="T613" s="85">
        <f t="shared" si="483"/>
        <v>1</v>
      </c>
      <c r="U613" s="122"/>
      <c r="V613" s="121"/>
    </row>
    <row r="614" spans="1:22" ht="15" hidden="1" customHeight="1" outlineLevel="1">
      <c r="A614" s="79" t="s">
        <v>1438</v>
      </c>
      <c r="B614" s="86">
        <f>INDEX(Data!2276:2276,1,$U$1-2)</f>
        <v>3721766</v>
      </c>
      <c r="C614" s="87">
        <f>INDEX(Data!2276:2276,1,$U$1-1)</f>
        <v>3721766</v>
      </c>
      <c r="D614" s="88">
        <f t="shared" si="516"/>
        <v>7443532</v>
      </c>
      <c r="E614" s="89">
        <f>INDEX(Data!2276:2276,1,$U$1)</f>
        <v>3721550</v>
      </c>
      <c r="F614" s="90">
        <f>INDEX(Data!2276:2276,1,$U$1+1)</f>
        <v>3721350</v>
      </c>
      <c r="G614" s="88">
        <f t="shared" si="517"/>
        <v>7442900</v>
      </c>
      <c r="H614" s="86">
        <f t="shared" si="518"/>
        <v>-632</v>
      </c>
      <c r="I614" s="447">
        <f t="shared" si="485"/>
        <v>-8.4905929067007437E-5</v>
      </c>
      <c r="J614" s="453">
        <f t="shared" si="486"/>
        <v>6.3918834647890103E-3</v>
      </c>
      <c r="K614" s="91">
        <f t="shared" si="519"/>
        <v>3721766</v>
      </c>
      <c r="L614" s="87">
        <f t="shared" si="519"/>
        <v>3721766</v>
      </c>
      <c r="M614" s="88">
        <f t="shared" si="520"/>
        <v>7443532</v>
      </c>
      <c r="N614" s="89">
        <f t="shared" si="521"/>
        <v>3721550</v>
      </c>
      <c r="O614" s="90">
        <f t="shared" si="521"/>
        <v>3721350</v>
      </c>
      <c r="P614" s="88">
        <f t="shared" si="522"/>
        <v>7442900</v>
      </c>
      <c r="Q614" s="86">
        <f t="shared" si="523"/>
        <v>-632</v>
      </c>
      <c r="R614" s="84">
        <f t="shared" si="488"/>
        <v>-8.4905929067007437E-5</v>
      </c>
      <c r="S614" s="85">
        <f t="shared" si="482"/>
        <v>6.3918834647890103E-3</v>
      </c>
      <c r="T614" s="85">
        <f t="shared" si="483"/>
        <v>1</v>
      </c>
      <c r="U614" s="122"/>
      <c r="V614" s="121"/>
    </row>
    <row r="615" spans="1:22" ht="25.5" hidden="1" outlineLevel="1">
      <c r="A615" s="79" t="s">
        <v>1439</v>
      </c>
      <c r="B615" s="86">
        <f>INDEX(Data!2277:2277,1,$U$1-2)</f>
        <v>18731961</v>
      </c>
      <c r="C615" s="87">
        <f>INDEX(Data!2277:2277,1,$U$1-1)</f>
        <v>18732157</v>
      </c>
      <c r="D615" s="88">
        <f t="shared" si="516"/>
        <v>37464118</v>
      </c>
      <c r="E615" s="89">
        <f>INDEX(Data!2277:2277,1,$U$1)</f>
        <v>18546547</v>
      </c>
      <c r="F615" s="90">
        <f>INDEX(Data!2277:2277,1,$U$1+1)</f>
        <v>18550938</v>
      </c>
      <c r="G615" s="88">
        <f t="shared" si="517"/>
        <v>37097485</v>
      </c>
      <c r="H615" s="86">
        <f t="shared" si="518"/>
        <v>-366633</v>
      </c>
      <c r="I615" s="447">
        <f t="shared" si="485"/>
        <v>-9.7862440001923977E-3</v>
      </c>
      <c r="J615" s="453">
        <f t="shared" si="486"/>
        <v>3.1858926084826933E-2</v>
      </c>
      <c r="K615" s="91">
        <f t="shared" si="519"/>
        <v>18731961</v>
      </c>
      <c r="L615" s="87">
        <f t="shared" si="519"/>
        <v>18732157</v>
      </c>
      <c r="M615" s="88">
        <f t="shared" si="520"/>
        <v>37464118</v>
      </c>
      <c r="N615" s="89">
        <f t="shared" si="521"/>
        <v>18546547</v>
      </c>
      <c r="O615" s="90">
        <f t="shared" si="521"/>
        <v>18550938</v>
      </c>
      <c r="P615" s="88">
        <f t="shared" si="522"/>
        <v>37097485</v>
      </c>
      <c r="Q615" s="86">
        <f t="shared" si="523"/>
        <v>-366633</v>
      </c>
      <c r="R615" s="84">
        <f t="shared" si="488"/>
        <v>-9.7862440001923977E-3</v>
      </c>
      <c r="S615" s="85">
        <f t="shared" si="482"/>
        <v>3.1858926084826933E-2</v>
      </c>
      <c r="T615" s="85">
        <f t="shared" si="483"/>
        <v>1</v>
      </c>
      <c r="U615" s="122"/>
      <c r="V615" s="121"/>
    </row>
    <row r="616" spans="1:22" ht="25.5" hidden="1" outlineLevel="1">
      <c r="A616" s="79" t="s">
        <v>1440</v>
      </c>
      <c r="B616" s="86">
        <f>INDEX(Data!2278:2278,1,$U$1-2)</f>
        <v>12384903</v>
      </c>
      <c r="C616" s="87">
        <f>INDEX(Data!2278:2278,1,$U$1-1)</f>
        <v>12380640</v>
      </c>
      <c r="D616" s="88">
        <f t="shared" si="516"/>
        <v>24765543</v>
      </c>
      <c r="E616" s="89">
        <f>INDEX(Data!2278:2278,1,$U$1)</f>
        <v>10985046</v>
      </c>
      <c r="F616" s="90">
        <f>INDEX(Data!2278:2278,1,$U$1+1)</f>
        <v>10975682</v>
      </c>
      <c r="G616" s="88">
        <f t="shared" si="517"/>
        <v>21960728</v>
      </c>
      <c r="H616" s="86">
        <f t="shared" si="518"/>
        <v>-2804815</v>
      </c>
      <c r="I616" s="447">
        <f t="shared" si="485"/>
        <v>-0.11325473461252192</v>
      </c>
      <c r="J616" s="453">
        <f t="shared" si="486"/>
        <v>1.885963994920381E-2</v>
      </c>
      <c r="K616" s="91">
        <f t="shared" si="519"/>
        <v>12384903</v>
      </c>
      <c r="L616" s="87">
        <f t="shared" si="519"/>
        <v>12380640</v>
      </c>
      <c r="M616" s="88">
        <f t="shared" si="520"/>
        <v>24765543</v>
      </c>
      <c r="N616" s="89">
        <f t="shared" si="521"/>
        <v>10985046</v>
      </c>
      <c r="O616" s="90">
        <f t="shared" si="521"/>
        <v>10975682</v>
      </c>
      <c r="P616" s="88">
        <f t="shared" si="522"/>
        <v>21960728</v>
      </c>
      <c r="Q616" s="86">
        <f t="shared" si="523"/>
        <v>-2804815</v>
      </c>
      <c r="R616" s="84">
        <f t="shared" si="488"/>
        <v>-0.11325473461252192</v>
      </c>
      <c r="S616" s="85">
        <f t="shared" si="482"/>
        <v>1.885963994920381E-2</v>
      </c>
      <c r="T616" s="85">
        <f t="shared" si="483"/>
        <v>1</v>
      </c>
      <c r="U616" s="122"/>
      <c r="V616" s="121"/>
    </row>
    <row r="617" spans="1:22" ht="25.5" hidden="1" outlineLevel="1">
      <c r="A617" s="1104" t="s">
        <v>942</v>
      </c>
      <c r="B617" s="86">
        <f>INDEX(Data!2279:2279,1,$U$1-2)</f>
        <v>13629622</v>
      </c>
      <c r="C617" s="87">
        <f>INDEX(Data!2279:2279,1,$U$1-1)</f>
        <v>13583178</v>
      </c>
      <c r="D617" s="88">
        <f t="shared" ref="D617:D618" si="539">B617+C617</f>
        <v>27212800</v>
      </c>
      <c r="E617" s="89">
        <f>INDEX(Data!2279:2279,1,$U$1)</f>
        <v>21872890</v>
      </c>
      <c r="F617" s="90">
        <f>INDEX(Data!2279:2279,1,$U$1+1)</f>
        <v>21856212</v>
      </c>
      <c r="G617" s="88">
        <f t="shared" ref="G617:G618" si="540">E617+F617</f>
        <v>43729102</v>
      </c>
      <c r="H617" s="86">
        <f t="shared" ref="H617:H618" si="541">G617-D617</f>
        <v>16516302</v>
      </c>
      <c r="I617" s="447">
        <f t="shared" ref="I617:I618" si="542">IFERROR(H617/D617,"")</f>
        <v>0.60693137053151458</v>
      </c>
      <c r="J617" s="453">
        <f t="shared" ref="J617:J618" si="543">IFERROR(G617/G$456,"")</f>
        <v>3.7554088326307224E-2</v>
      </c>
      <c r="K617" s="91">
        <f t="shared" ref="K617:K618" si="544">B617</f>
        <v>13629622</v>
      </c>
      <c r="L617" s="87">
        <f t="shared" ref="L617:L618" si="545">C617</f>
        <v>13583178</v>
      </c>
      <c r="M617" s="88">
        <f t="shared" ref="M617:M618" si="546">K617+L617</f>
        <v>27212800</v>
      </c>
      <c r="N617" s="89">
        <f t="shared" ref="N617:N618" si="547">E617</f>
        <v>21872890</v>
      </c>
      <c r="O617" s="90">
        <f t="shared" ref="O617:O618" si="548">F617</f>
        <v>21856212</v>
      </c>
      <c r="P617" s="88">
        <f t="shared" ref="P617:P618" si="549">N617+O617</f>
        <v>43729102</v>
      </c>
      <c r="Q617" s="86">
        <f t="shared" ref="Q617:Q618" si="550">P617-M617</f>
        <v>16516302</v>
      </c>
      <c r="R617" s="84">
        <f t="shared" ref="R617:R618" si="551">IFERROR(Q617/M617,"")</f>
        <v>0.60693137053151458</v>
      </c>
      <c r="S617" s="85">
        <f t="shared" ref="S617:S618" si="552">IFERROR(P617/P$456,"")</f>
        <v>3.7554088326307224E-2</v>
      </c>
      <c r="T617" s="85">
        <f t="shared" ref="T617:T618" si="553">IFERROR(P617/G617,"")</f>
        <v>1</v>
      </c>
      <c r="U617" s="122"/>
      <c r="V617" s="121"/>
    </row>
    <row r="618" spans="1:22" ht="25.5" hidden="1" outlineLevel="1">
      <c r="A618" s="1104" t="s">
        <v>1556</v>
      </c>
      <c r="B618" s="86">
        <f>INDEX(Data!2280:2280,1,$U$1-2)</f>
        <v>11007289</v>
      </c>
      <c r="C618" s="87">
        <f>INDEX(Data!2280:2280,1,$U$1-1)</f>
        <v>10932108</v>
      </c>
      <c r="D618" s="88">
        <f t="shared" si="539"/>
        <v>21939397</v>
      </c>
      <c r="E618" s="89">
        <f>INDEX(Data!2280:2280,1,$U$1)</f>
        <v>14061732</v>
      </c>
      <c r="F618" s="90">
        <f>INDEX(Data!2280:2280,1,$U$1+1)</f>
        <v>14046124</v>
      </c>
      <c r="G618" s="88">
        <f t="shared" si="540"/>
        <v>28107856</v>
      </c>
      <c r="H618" s="86">
        <f t="shared" si="541"/>
        <v>6168459</v>
      </c>
      <c r="I618" s="447">
        <f t="shared" si="542"/>
        <v>0.28115900359522189</v>
      </c>
      <c r="J618" s="453">
        <f t="shared" si="543"/>
        <v>2.4138728183513224E-2</v>
      </c>
      <c r="K618" s="91">
        <f t="shared" si="544"/>
        <v>11007289</v>
      </c>
      <c r="L618" s="87">
        <f t="shared" si="545"/>
        <v>10932108</v>
      </c>
      <c r="M618" s="88">
        <f t="shared" si="546"/>
        <v>21939397</v>
      </c>
      <c r="N618" s="89">
        <f t="shared" si="547"/>
        <v>14061732</v>
      </c>
      <c r="O618" s="90">
        <f t="shared" si="548"/>
        <v>14046124</v>
      </c>
      <c r="P618" s="88">
        <f t="shared" si="549"/>
        <v>28107856</v>
      </c>
      <c r="Q618" s="86">
        <f t="shared" si="550"/>
        <v>6168459</v>
      </c>
      <c r="R618" s="84">
        <f t="shared" si="551"/>
        <v>0.28115900359522189</v>
      </c>
      <c r="S618" s="85">
        <f t="shared" si="552"/>
        <v>2.4138728183513224E-2</v>
      </c>
      <c r="T618" s="85">
        <f t="shared" si="553"/>
        <v>1</v>
      </c>
      <c r="U618" s="122"/>
      <c r="V618" s="121"/>
    </row>
    <row r="619" spans="1:22" collapsed="1">
      <c r="A619" s="113" t="s">
        <v>786</v>
      </c>
      <c r="B619" s="105">
        <f>SUM(B608:B618)</f>
        <v>146398450</v>
      </c>
      <c r="C619" s="106">
        <f>SUM(C608:C618)</f>
        <v>146272758</v>
      </c>
      <c r="D619" s="107">
        <f>SUM(D608:D618)</f>
        <v>292671208</v>
      </c>
      <c r="E619" s="114">
        <f>SUM(E608:E618)</f>
        <v>156100128</v>
      </c>
      <c r="F619" s="115">
        <f>SUM(F608:F618)</f>
        <v>156063156</v>
      </c>
      <c r="G619" s="107">
        <f t="shared" ref="G619:H619" si="554">SUM(G608:G618)</f>
        <v>312163284</v>
      </c>
      <c r="H619" s="105">
        <f t="shared" si="554"/>
        <v>19492076</v>
      </c>
      <c r="I619" s="449">
        <f t="shared" si="485"/>
        <v>6.6600592976675727E-2</v>
      </c>
      <c r="J619" s="454">
        <f t="shared" si="486"/>
        <v>0.2680825126380626</v>
      </c>
      <c r="K619" s="405">
        <f t="shared" ref="K619:Q619" si="555">SUM(K608:K618)</f>
        <v>146398450</v>
      </c>
      <c r="L619" s="106">
        <f t="shared" si="555"/>
        <v>146272758</v>
      </c>
      <c r="M619" s="107">
        <f t="shared" si="555"/>
        <v>292671208</v>
      </c>
      <c r="N619" s="114">
        <f t="shared" si="555"/>
        <v>156100128</v>
      </c>
      <c r="O619" s="115">
        <f t="shared" si="555"/>
        <v>156063156</v>
      </c>
      <c r="P619" s="107">
        <f t="shared" si="555"/>
        <v>312163284</v>
      </c>
      <c r="Q619" s="105">
        <f t="shared" si="555"/>
        <v>19492076</v>
      </c>
      <c r="R619" s="108">
        <f t="shared" si="488"/>
        <v>6.6600592976675727E-2</v>
      </c>
      <c r="S619" s="109">
        <f t="shared" si="482"/>
        <v>0.2680825126380626</v>
      </c>
      <c r="T619" s="109">
        <f t="shared" si="483"/>
        <v>1</v>
      </c>
      <c r="U619" s="122"/>
      <c r="V619" s="121"/>
    </row>
    <row r="620" spans="1:22" ht="25.5" hidden="1" outlineLevel="1">
      <c r="A620" s="79" t="s">
        <v>1441</v>
      </c>
      <c r="B620" s="86">
        <f>INDEX(Data!2281:2281,1,$U$1-2)</f>
        <v>0</v>
      </c>
      <c r="C620" s="87">
        <f>INDEX(Data!2281:2281,1,$U$1-1)</f>
        <v>0</v>
      </c>
      <c r="D620" s="88">
        <f>B620+C620</f>
        <v>0</v>
      </c>
      <c r="E620" s="89">
        <f>INDEX(Data!2281:2281,1,$U$1)</f>
        <v>0</v>
      </c>
      <c r="F620" s="90">
        <f>INDEX(Data!2281:2281,1,$U$1+1)</f>
        <v>0</v>
      </c>
      <c r="G620" s="88">
        <f t="shared" ref="G620:G624" si="556">E620+F620</f>
        <v>0</v>
      </c>
      <c r="H620" s="86">
        <f t="shared" ref="H620:H624" si="557">G620-D620</f>
        <v>0</v>
      </c>
      <c r="I620" s="447" t="str">
        <f t="shared" si="485"/>
        <v/>
      </c>
      <c r="J620" s="453">
        <f t="shared" si="486"/>
        <v>0</v>
      </c>
      <c r="K620" s="91">
        <f t="shared" ref="K620:L624" si="558">B620</f>
        <v>0</v>
      </c>
      <c r="L620" s="87">
        <f t="shared" si="558"/>
        <v>0</v>
      </c>
      <c r="M620" s="88">
        <f t="shared" ref="M620:M624" si="559">K620+L620</f>
        <v>0</v>
      </c>
      <c r="N620" s="89">
        <f t="shared" ref="N620:O624" si="560">E620</f>
        <v>0</v>
      </c>
      <c r="O620" s="90">
        <f t="shared" si="560"/>
        <v>0</v>
      </c>
      <c r="P620" s="88">
        <f t="shared" ref="P620:P624" si="561">N620+O620</f>
        <v>0</v>
      </c>
      <c r="Q620" s="86">
        <f t="shared" ref="Q620:Q624" si="562">P620-M620</f>
        <v>0</v>
      </c>
      <c r="R620" s="84" t="str">
        <f t="shared" si="488"/>
        <v/>
      </c>
      <c r="S620" s="85">
        <f t="shared" si="482"/>
        <v>0</v>
      </c>
      <c r="T620" s="85" t="str">
        <f t="shared" si="483"/>
        <v/>
      </c>
      <c r="U620" s="122"/>
      <c r="V620" s="121"/>
    </row>
    <row r="621" spans="1:22" ht="16.5" hidden="1" customHeight="1" outlineLevel="1">
      <c r="A621" s="79" t="s">
        <v>1442</v>
      </c>
      <c r="B621" s="86">
        <f>INDEX(Data!2282:2282,1,$U$1-2)</f>
        <v>483400</v>
      </c>
      <c r="C621" s="87">
        <f>INDEX(Data!2282:2282,1,$U$1-1)</f>
        <v>485497</v>
      </c>
      <c r="D621" s="88">
        <f>B621+C621</f>
        <v>968897</v>
      </c>
      <c r="E621" s="89">
        <f>INDEX(Data!2282:2282,1,$U$1)</f>
        <v>485825</v>
      </c>
      <c r="F621" s="90">
        <f>INDEX(Data!2282:2282,1,$U$1+1)</f>
        <v>486472</v>
      </c>
      <c r="G621" s="88">
        <f t="shared" si="556"/>
        <v>972297</v>
      </c>
      <c r="H621" s="86">
        <f t="shared" si="557"/>
        <v>3400</v>
      </c>
      <c r="I621" s="447">
        <f t="shared" si="485"/>
        <v>3.5091449349105219E-3</v>
      </c>
      <c r="J621" s="453">
        <f t="shared" si="486"/>
        <v>8.349983362888069E-4</v>
      </c>
      <c r="K621" s="91">
        <f t="shared" si="558"/>
        <v>483400</v>
      </c>
      <c r="L621" s="87">
        <f t="shared" si="558"/>
        <v>485497</v>
      </c>
      <c r="M621" s="88">
        <f t="shared" si="559"/>
        <v>968897</v>
      </c>
      <c r="N621" s="89">
        <f t="shared" si="560"/>
        <v>485825</v>
      </c>
      <c r="O621" s="90">
        <f t="shared" si="560"/>
        <v>486472</v>
      </c>
      <c r="P621" s="88">
        <f t="shared" si="561"/>
        <v>972297</v>
      </c>
      <c r="Q621" s="86">
        <f t="shared" si="562"/>
        <v>3400</v>
      </c>
      <c r="R621" s="84">
        <f t="shared" si="488"/>
        <v>3.5091449349105219E-3</v>
      </c>
      <c r="S621" s="85">
        <f t="shared" si="482"/>
        <v>8.349983362888069E-4</v>
      </c>
      <c r="T621" s="85">
        <f t="shared" si="483"/>
        <v>1</v>
      </c>
      <c r="U621" s="122"/>
      <c r="V621" s="121"/>
    </row>
    <row r="622" spans="1:22" ht="25.5" hidden="1" outlineLevel="1">
      <c r="A622" s="79" t="s">
        <v>1443</v>
      </c>
      <c r="B622" s="86">
        <f>INDEX(Data!2283:2283,1,$U$1-2)</f>
        <v>940757</v>
      </c>
      <c r="C622" s="87">
        <f>INDEX(Data!2283:2283,1,$U$1-1)</f>
        <v>941679</v>
      </c>
      <c r="D622" s="88">
        <f>B622+C622</f>
        <v>1882436</v>
      </c>
      <c r="E622" s="89">
        <f>INDEX(Data!2283:2283,1,$U$1)</f>
        <v>943234</v>
      </c>
      <c r="F622" s="90">
        <f>INDEX(Data!2283:2283,1,$U$1+1)</f>
        <v>943104</v>
      </c>
      <c r="G622" s="88">
        <f t="shared" si="556"/>
        <v>1886338</v>
      </c>
      <c r="H622" s="86">
        <f t="shared" si="557"/>
        <v>3902</v>
      </c>
      <c r="I622" s="447">
        <f t="shared" si="485"/>
        <v>2.0728460356686761E-3</v>
      </c>
      <c r="J622" s="453">
        <f t="shared" si="486"/>
        <v>1.6199670385472294E-3</v>
      </c>
      <c r="K622" s="91">
        <f t="shared" si="558"/>
        <v>940757</v>
      </c>
      <c r="L622" s="87">
        <f t="shared" si="558"/>
        <v>941679</v>
      </c>
      <c r="M622" s="88">
        <f t="shared" si="559"/>
        <v>1882436</v>
      </c>
      <c r="N622" s="89">
        <f t="shared" si="560"/>
        <v>943234</v>
      </c>
      <c r="O622" s="90">
        <f t="shared" si="560"/>
        <v>943104</v>
      </c>
      <c r="P622" s="88">
        <f t="shared" si="561"/>
        <v>1886338</v>
      </c>
      <c r="Q622" s="86">
        <f t="shared" si="562"/>
        <v>3902</v>
      </c>
      <c r="R622" s="84">
        <f t="shared" si="488"/>
        <v>2.0728460356686761E-3</v>
      </c>
      <c r="S622" s="85">
        <f t="shared" si="482"/>
        <v>1.6199670385472294E-3</v>
      </c>
      <c r="T622" s="85">
        <f t="shared" si="483"/>
        <v>1</v>
      </c>
      <c r="U622" s="122"/>
      <c r="V622" s="121"/>
    </row>
    <row r="623" spans="1:22" hidden="1" outlineLevel="1">
      <c r="A623" s="79" t="s">
        <v>1444</v>
      </c>
      <c r="B623" s="86">
        <f>INDEX(Data!2284:2284,1,$U$1-2)</f>
        <v>126657</v>
      </c>
      <c r="C623" s="87">
        <f>INDEX(Data!2284:2284,1,$U$1-1)</f>
        <v>126615</v>
      </c>
      <c r="D623" s="88">
        <f>B623+C623</f>
        <v>253272</v>
      </c>
      <c r="E623" s="89">
        <f>INDEX(Data!2284:2284,1,$U$1)</f>
        <v>126328</v>
      </c>
      <c r="F623" s="90">
        <f>INDEX(Data!2284:2284,1,$U$1+1)</f>
        <v>126615</v>
      </c>
      <c r="G623" s="88">
        <f t="shared" si="556"/>
        <v>252943</v>
      </c>
      <c r="H623" s="86">
        <f t="shared" si="557"/>
        <v>-329</v>
      </c>
      <c r="I623" s="447">
        <f t="shared" si="485"/>
        <v>-1.2989987049496193E-3</v>
      </c>
      <c r="J623" s="453">
        <f t="shared" si="486"/>
        <v>2.1722476175067872E-4</v>
      </c>
      <c r="K623" s="91">
        <f t="shared" si="558"/>
        <v>126657</v>
      </c>
      <c r="L623" s="87">
        <f t="shared" si="558"/>
        <v>126615</v>
      </c>
      <c r="M623" s="88">
        <f t="shared" si="559"/>
        <v>253272</v>
      </c>
      <c r="N623" s="89">
        <f t="shared" si="560"/>
        <v>126328</v>
      </c>
      <c r="O623" s="90">
        <f t="shared" si="560"/>
        <v>126615</v>
      </c>
      <c r="P623" s="88">
        <f t="shared" si="561"/>
        <v>252943</v>
      </c>
      <c r="Q623" s="86">
        <f t="shared" si="562"/>
        <v>-329</v>
      </c>
      <c r="R623" s="84">
        <f t="shared" si="488"/>
        <v>-1.2989987049496193E-3</v>
      </c>
      <c r="S623" s="85">
        <f t="shared" si="482"/>
        <v>2.1722476175067872E-4</v>
      </c>
      <c r="T623" s="85">
        <f t="shared" si="483"/>
        <v>1</v>
      </c>
      <c r="U623" s="122"/>
      <c r="V623" s="121"/>
    </row>
    <row r="624" spans="1:22" hidden="1" outlineLevel="1">
      <c r="A624" s="79" t="s">
        <v>1445</v>
      </c>
      <c r="B624" s="86">
        <f>INDEX(Data!2285:2285,1,$U$1-2)</f>
        <v>523000</v>
      </c>
      <c r="C624" s="87">
        <f>INDEX(Data!2285:2285,1,$U$1-1)</f>
        <v>503697</v>
      </c>
      <c r="D624" s="88">
        <f>B624+C624</f>
        <v>1026697</v>
      </c>
      <c r="E624" s="89">
        <f>INDEX(Data!2285:2285,1,$U$1)</f>
        <v>510325</v>
      </c>
      <c r="F624" s="90">
        <f>INDEX(Data!2285:2285,1,$U$1+1)</f>
        <v>511472</v>
      </c>
      <c r="G624" s="88">
        <f t="shared" si="556"/>
        <v>1021797</v>
      </c>
      <c r="H624" s="86">
        <f t="shared" si="557"/>
        <v>-4900</v>
      </c>
      <c r="I624" s="447">
        <f t="shared" si="485"/>
        <v>-4.7725862644967306E-3</v>
      </c>
      <c r="J624" s="453">
        <f t="shared" si="486"/>
        <v>8.7750841052157316E-4</v>
      </c>
      <c r="K624" s="91">
        <f t="shared" si="558"/>
        <v>523000</v>
      </c>
      <c r="L624" s="87">
        <f t="shared" si="558"/>
        <v>503697</v>
      </c>
      <c r="M624" s="88">
        <f t="shared" si="559"/>
        <v>1026697</v>
      </c>
      <c r="N624" s="89">
        <f t="shared" si="560"/>
        <v>510325</v>
      </c>
      <c r="O624" s="90">
        <f t="shared" si="560"/>
        <v>511472</v>
      </c>
      <c r="P624" s="88">
        <f t="shared" si="561"/>
        <v>1021797</v>
      </c>
      <c r="Q624" s="86">
        <f t="shared" si="562"/>
        <v>-4900</v>
      </c>
      <c r="R624" s="84">
        <f t="shared" si="488"/>
        <v>-4.7725862644967306E-3</v>
      </c>
      <c r="S624" s="85">
        <f t="shared" si="482"/>
        <v>8.7750841052157316E-4</v>
      </c>
      <c r="T624" s="85">
        <f t="shared" si="483"/>
        <v>1</v>
      </c>
      <c r="U624" s="122"/>
      <c r="V624" s="121"/>
    </row>
    <row r="625" spans="1:22" collapsed="1">
      <c r="A625" s="113" t="s">
        <v>788</v>
      </c>
      <c r="B625" s="105">
        <f>SUM(B620:B624)</f>
        <v>2073814</v>
      </c>
      <c r="C625" s="106">
        <f>SUM(C620:C624)</f>
        <v>2057488</v>
      </c>
      <c r="D625" s="107">
        <f>SUM(D620:D624)</f>
        <v>4131302</v>
      </c>
      <c r="E625" s="114">
        <f>SUM(E620:E624)</f>
        <v>2065712</v>
      </c>
      <c r="F625" s="115">
        <f>SUM(F620:F624)</f>
        <v>2067663</v>
      </c>
      <c r="G625" s="107">
        <f t="shared" ref="G625:H625" si="563">SUM(G620:G624)</f>
        <v>4133375</v>
      </c>
      <c r="H625" s="105">
        <f t="shared" si="563"/>
        <v>2073</v>
      </c>
      <c r="I625" s="449">
        <f t="shared" si="485"/>
        <v>5.0177885809364695E-4</v>
      </c>
      <c r="J625" s="454">
        <f t="shared" si="486"/>
        <v>3.5496985471082879E-3</v>
      </c>
      <c r="K625" s="405">
        <f t="shared" ref="K625:Q625" si="564">SUM(K620:K624)</f>
        <v>2073814</v>
      </c>
      <c r="L625" s="106">
        <f t="shared" si="564"/>
        <v>2057488</v>
      </c>
      <c r="M625" s="107">
        <f t="shared" si="564"/>
        <v>4131302</v>
      </c>
      <c r="N625" s="114">
        <f t="shared" si="564"/>
        <v>2065712</v>
      </c>
      <c r="O625" s="115">
        <f t="shared" si="564"/>
        <v>2067663</v>
      </c>
      <c r="P625" s="107">
        <f t="shared" si="564"/>
        <v>4133375</v>
      </c>
      <c r="Q625" s="105">
        <f t="shared" si="564"/>
        <v>2073</v>
      </c>
      <c r="R625" s="108">
        <f t="shared" si="488"/>
        <v>5.0177885809364695E-4</v>
      </c>
      <c r="S625" s="109">
        <f t="shared" si="482"/>
        <v>3.5496985471082879E-3</v>
      </c>
      <c r="T625" s="109">
        <f t="shared" si="483"/>
        <v>1</v>
      </c>
      <c r="U625" s="122"/>
      <c r="V625" s="121"/>
    </row>
    <row r="626" spans="1:22" hidden="1" outlineLevel="1">
      <c r="A626" s="79" t="s">
        <v>1446</v>
      </c>
      <c r="B626" s="86">
        <f>INDEX(Data!2263:2263,1,$U$1-2)</f>
        <v>1476081</v>
      </c>
      <c r="C626" s="87">
        <f>INDEX(Data!2263:2263,1,$U$1-1)</f>
        <v>1332052</v>
      </c>
      <c r="D626" s="88">
        <f>B626+C626</f>
        <v>2808133</v>
      </c>
      <c r="E626" s="89">
        <f>INDEX(Data!2263:2263,1,$U$1)</f>
        <v>1333692</v>
      </c>
      <c r="F626" s="90">
        <f>INDEX(Data!2263:2263,1,$U$1+1)</f>
        <v>1319086</v>
      </c>
      <c r="G626" s="88">
        <f t="shared" ref="G626:G628" si="565">E626+F626</f>
        <v>2652778</v>
      </c>
      <c r="H626" s="86">
        <f t="shared" ref="H626:H628" si="566">G626-D626</f>
        <v>-155355</v>
      </c>
      <c r="I626" s="447">
        <f t="shared" si="485"/>
        <v>-5.5323234333986317E-2</v>
      </c>
      <c r="J626" s="453">
        <f t="shared" si="486"/>
        <v>2.2781775697585703E-3</v>
      </c>
      <c r="K626" s="91">
        <f t="shared" ref="K626:L628" si="567">B626</f>
        <v>1476081</v>
      </c>
      <c r="L626" s="87">
        <f t="shared" si="567"/>
        <v>1332052</v>
      </c>
      <c r="M626" s="88">
        <f t="shared" ref="M626:M628" si="568">K626+L626</f>
        <v>2808133</v>
      </c>
      <c r="N626" s="89">
        <f t="shared" ref="N626:O628" si="569">E626</f>
        <v>1333692</v>
      </c>
      <c r="O626" s="90">
        <f t="shared" si="569"/>
        <v>1319086</v>
      </c>
      <c r="P626" s="88">
        <f t="shared" ref="P626:P628" si="570">N626+O626</f>
        <v>2652778</v>
      </c>
      <c r="Q626" s="86">
        <f t="shared" ref="Q626:Q628" si="571">P626-M626</f>
        <v>-155355</v>
      </c>
      <c r="R626" s="84">
        <f t="shared" si="488"/>
        <v>-5.5323234333986317E-2</v>
      </c>
      <c r="S626" s="85">
        <f t="shared" si="482"/>
        <v>2.2781775697585703E-3</v>
      </c>
      <c r="T626" s="85">
        <f t="shared" si="483"/>
        <v>1</v>
      </c>
      <c r="U626" s="122"/>
      <c r="V626" s="121"/>
    </row>
    <row r="627" spans="1:22" hidden="1" outlineLevel="1">
      <c r="A627" s="79" t="s">
        <v>1447</v>
      </c>
      <c r="B627" s="86">
        <f>INDEX(Data!2264:2264,1,$U$1-2)</f>
        <v>1158403</v>
      </c>
      <c r="C627" s="87">
        <f>INDEX(Data!2264:2264,1,$U$1-1)</f>
        <v>919559</v>
      </c>
      <c r="D627" s="88">
        <f>B627+C627</f>
        <v>2077962</v>
      </c>
      <c r="E627" s="89">
        <f>INDEX(Data!2264:2264,1,$U$1)</f>
        <v>918315</v>
      </c>
      <c r="F627" s="90">
        <f>INDEX(Data!2264:2264,1,$U$1+1)</f>
        <v>912337</v>
      </c>
      <c r="G627" s="88">
        <f t="shared" si="565"/>
        <v>1830652</v>
      </c>
      <c r="H627" s="86">
        <f t="shared" si="566"/>
        <v>-247310</v>
      </c>
      <c r="I627" s="447">
        <f t="shared" si="485"/>
        <v>-0.11901565091180685</v>
      </c>
      <c r="J627" s="453">
        <f t="shared" si="486"/>
        <v>1.5721444932194348E-3</v>
      </c>
      <c r="K627" s="91">
        <f t="shared" si="567"/>
        <v>1158403</v>
      </c>
      <c r="L627" s="87">
        <f t="shared" si="567"/>
        <v>919559</v>
      </c>
      <c r="M627" s="88">
        <f t="shared" si="568"/>
        <v>2077962</v>
      </c>
      <c r="N627" s="89">
        <f t="shared" si="569"/>
        <v>918315</v>
      </c>
      <c r="O627" s="90">
        <f t="shared" si="569"/>
        <v>912337</v>
      </c>
      <c r="P627" s="88">
        <f t="shared" si="570"/>
        <v>1830652</v>
      </c>
      <c r="Q627" s="86">
        <f t="shared" si="571"/>
        <v>-247310</v>
      </c>
      <c r="R627" s="84">
        <f t="shared" si="488"/>
        <v>-0.11901565091180685</v>
      </c>
      <c r="S627" s="85">
        <f t="shared" si="482"/>
        <v>1.5721444932194348E-3</v>
      </c>
      <c r="T627" s="85">
        <f t="shared" si="483"/>
        <v>1</v>
      </c>
      <c r="U627" s="122"/>
      <c r="V627" s="121"/>
    </row>
    <row r="628" spans="1:22" hidden="1" outlineLevel="1">
      <c r="A628" s="79" t="s">
        <v>1448</v>
      </c>
      <c r="B628" s="86">
        <f>INDEX(Data!2265:2265,1,$U$1-2)</f>
        <v>1466211</v>
      </c>
      <c r="C628" s="87">
        <f>INDEX(Data!2265:2265,1,$U$1-1)</f>
        <v>1268180</v>
      </c>
      <c r="D628" s="88">
        <f>B628+C628</f>
        <v>2734391</v>
      </c>
      <c r="E628" s="89">
        <f>INDEX(Data!2265:2265,1,$U$1)</f>
        <v>1272753</v>
      </c>
      <c r="F628" s="90">
        <f>INDEX(Data!2265:2265,1,$U$1+1)</f>
        <v>1252493</v>
      </c>
      <c r="G628" s="88">
        <f t="shared" si="565"/>
        <v>2525246</v>
      </c>
      <c r="H628" s="86">
        <f t="shared" si="566"/>
        <v>-209145</v>
      </c>
      <c r="I628" s="447">
        <f t="shared" si="485"/>
        <v>-7.6486866728276967E-2</v>
      </c>
      <c r="J628" s="453">
        <f t="shared" si="486"/>
        <v>2.1686544427473955E-3</v>
      </c>
      <c r="K628" s="91">
        <f t="shared" si="567"/>
        <v>1466211</v>
      </c>
      <c r="L628" s="87">
        <f t="shared" si="567"/>
        <v>1268180</v>
      </c>
      <c r="M628" s="88">
        <f t="shared" si="568"/>
        <v>2734391</v>
      </c>
      <c r="N628" s="89">
        <f t="shared" si="569"/>
        <v>1272753</v>
      </c>
      <c r="O628" s="90">
        <f t="shared" si="569"/>
        <v>1252493</v>
      </c>
      <c r="P628" s="88">
        <f t="shared" si="570"/>
        <v>2525246</v>
      </c>
      <c r="Q628" s="86">
        <f t="shared" si="571"/>
        <v>-209145</v>
      </c>
      <c r="R628" s="84">
        <f t="shared" si="488"/>
        <v>-7.6486866728276967E-2</v>
      </c>
      <c r="S628" s="85">
        <f t="shared" ref="S628:S630" si="572">IFERROR(P628/P$456,"")</f>
        <v>2.1686544427473955E-3</v>
      </c>
      <c r="T628" s="85">
        <f t="shared" ref="T628:T630" si="573">IFERROR(P628/G628,"")</f>
        <v>1</v>
      </c>
      <c r="U628" s="122"/>
      <c r="V628" s="121"/>
    </row>
    <row r="629" spans="1:22" collapsed="1">
      <c r="A629" s="113" t="s">
        <v>789</v>
      </c>
      <c r="B629" s="105">
        <f>SUM(B626:B628)</f>
        <v>4100695</v>
      </c>
      <c r="C629" s="106">
        <f t="shared" ref="C629:H629" si="574">SUM(C626:C628)</f>
        <v>3519791</v>
      </c>
      <c r="D629" s="107">
        <f t="shared" si="574"/>
        <v>7620486</v>
      </c>
      <c r="E629" s="114">
        <f t="shared" si="574"/>
        <v>3524760</v>
      </c>
      <c r="F629" s="115">
        <f t="shared" si="574"/>
        <v>3483916</v>
      </c>
      <c r="G629" s="107">
        <f t="shared" si="574"/>
        <v>7008676</v>
      </c>
      <c r="H629" s="105">
        <f t="shared" si="574"/>
        <v>-611810</v>
      </c>
      <c r="I629" s="449">
        <f t="shared" ref="I629:I630" si="575">IFERROR(H629/D629,"")</f>
        <v>-8.0284905713362636E-2</v>
      </c>
      <c r="J629" s="454">
        <f t="shared" ref="J629:J630" si="576">IFERROR(G629/G$456,"")</f>
        <v>6.0189765057254005E-3</v>
      </c>
      <c r="K629" s="405">
        <f t="shared" ref="K629:Q629" si="577">SUM(K626:K628)</f>
        <v>4100695</v>
      </c>
      <c r="L629" s="106">
        <f t="shared" si="577"/>
        <v>3519791</v>
      </c>
      <c r="M629" s="107">
        <f t="shared" si="577"/>
        <v>7620486</v>
      </c>
      <c r="N629" s="114">
        <f t="shared" si="577"/>
        <v>3524760</v>
      </c>
      <c r="O629" s="115">
        <f t="shared" si="577"/>
        <v>3483916</v>
      </c>
      <c r="P629" s="107">
        <f t="shared" si="577"/>
        <v>7008676</v>
      </c>
      <c r="Q629" s="105">
        <f t="shared" si="577"/>
        <v>-611810</v>
      </c>
      <c r="R629" s="108">
        <f t="shared" ref="R629:R630" si="578">IFERROR(Q629/M629,"")</f>
        <v>-8.0284905713362636E-2</v>
      </c>
      <c r="S629" s="109">
        <f t="shared" si="572"/>
        <v>6.0189765057254005E-3</v>
      </c>
      <c r="T629" s="109">
        <f t="shared" si="573"/>
        <v>1</v>
      </c>
      <c r="U629" s="122"/>
    </row>
    <row r="630" spans="1:22" ht="13.5" thickBot="1">
      <c r="A630" s="95" t="s">
        <v>280</v>
      </c>
      <c r="B630" s="96">
        <f>B600+B607+B619+B625+B629</f>
        <v>512463810</v>
      </c>
      <c r="C630" s="97">
        <f t="shared" ref="C630:H630" si="579">C600+C607+C619+C625+C629</f>
        <v>505877404</v>
      </c>
      <c r="D630" s="98">
        <f t="shared" si="579"/>
        <v>1018341214</v>
      </c>
      <c r="E630" s="96">
        <f t="shared" si="579"/>
        <v>503439660</v>
      </c>
      <c r="F630" s="97">
        <f t="shared" si="579"/>
        <v>501293561</v>
      </c>
      <c r="G630" s="98">
        <f t="shared" si="579"/>
        <v>1004733221</v>
      </c>
      <c r="H630" s="96">
        <f t="shared" si="579"/>
        <v>-13607993</v>
      </c>
      <c r="I630" s="451">
        <f t="shared" si="575"/>
        <v>-1.3362901169980537E-2</v>
      </c>
      <c r="J630" s="455">
        <f t="shared" si="576"/>
        <v>0.86285421836033038</v>
      </c>
      <c r="K630" s="100">
        <f t="shared" ref="K630:Q630" si="580">K600+K607+K619+K625+K629</f>
        <v>512463810</v>
      </c>
      <c r="L630" s="97">
        <f t="shared" si="580"/>
        <v>505877404</v>
      </c>
      <c r="M630" s="98">
        <f t="shared" si="580"/>
        <v>1018341214</v>
      </c>
      <c r="N630" s="96">
        <f t="shared" si="580"/>
        <v>503439660</v>
      </c>
      <c r="O630" s="97">
        <f t="shared" si="580"/>
        <v>501293561</v>
      </c>
      <c r="P630" s="98">
        <f t="shared" si="580"/>
        <v>1004733221</v>
      </c>
      <c r="Q630" s="96">
        <f t="shared" si="580"/>
        <v>-13607993</v>
      </c>
      <c r="R630" s="99">
        <f t="shared" si="578"/>
        <v>-1.3362901169980537E-2</v>
      </c>
      <c r="S630" s="101">
        <f t="shared" si="572"/>
        <v>0.86285421836033038</v>
      </c>
      <c r="T630" s="101">
        <f t="shared" si="573"/>
        <v>1</v>
      </c>
      <c r="U630" s="122"/>
    </row>
    <row r="631" spans="1:22">
      <c r="T631" s="1180"/>
    </row>
    <row r="632" spans="1:22">
      <c r="T632" s="410"/>
    </row>
    <row r="633" spans="1:22">
      <c r="T633" s="410"/>
    </row>
    <row r="634" spans="1:22">
      <c r="T634" s="410"/>
    </row>
    <row r="635" spans="1:22">
      <c r="T635" s="410"/>
    </row>
    <row r="636" spans="1:22">
      <c r="T636" s="410"/>
    </row>
    <row r="637" spans="1:22">
      <c r="T637" s="410"/>
    </row>
    <row r="638" spans="1:22">
      <c r="T638" s="410"/>
    </row>
    <row r="639" spans="1:22">
      <c r="T639" s="410"/>
    </row>
    <row r="640" spans="1:22">
      <c r="T640" s="410"/>
    </row>
    <row r="641" spans="1:20">
      <c r="T641" s="410"/>
    </row>
    <row r="642" spans="1:20">
      <c r="T642" s="410"/>
    </row>
    <row r="643" spans="1:20">
      <c r="T643" s="410"/>
    </row>
    <row r="644" spans="1:20">
      <c r="T644" s="410"/>
    </row>
    <row r="645" spans="1:20">
      <c r="T645" s="410"/>
    </row>
    <row r="646" spans="1:20">
      <c r="T646" s="410"/>
    </row>
    <row r="647" spans="1:20">
      <c r="T647" s="410"/>
    </row>
    <row r="648" spans="1:20">
      <c r="T648" s="410"/>
    </row>
    <row r="649" spans="1:20">
      <c r="J649" s="411"/>
      <c r="T649" s="411"/>
    </row>
    <row r="650" spans="1:20" ht="13.5" thickBot="1">
      <c r="T650" s="1179"/>
    </row>
    <row r="651" spans="1:20" ht="13.5" customHeight="1" thickBot="1">
      <c r="A651" s="536" t="s">
        <v>811</v>
      </c>
      <c r="B651" s="537"/>
      <c r="C651" s="537"/>
      <c r="D651" s="537"/>
      <c r="E651" s="537"/>
      <c r="F651" s="537"/>
      <c r="G651" s="537"/>
      <c r="H651" s="537"/>
      <c r="I651" s="537"/>
      <c r="J651" s="537"/>
      <c r="K651" s="537"/>
      <c r="L651" s="537"/>
      <c r="M651" s="537"/>
      <c r="N651" s="537"/>
      <c r="O651" s="537"/>
      <c r="P651" s="537"/>
      <c r="Q651" s="537"/>
      <c r="R651" s="537"/>
      <c r="S651" s="537"/>
      <c r="T651" s="538"/>
    </row>
    <row r="652" spans="1:20" ht="13.5" thickBot="1">
      <c r="A652" s="535" t="s">
        <v>1318</v>
      </c>
      <c r="B652" s="1292" t="s">
        <v>2</v>
      </c>
      <c r="C652" s="1293"/>
      <c r="D652" s="1293"/>
      <c r="E652" s="1293"/>
      <c r="F652" s="1293"/>
      <c r="G652" s="1293"/>
      <c r="H652" s="1293"/>
      <c r="I652" s="1293"/>
      <c r="J652" s="1294"/>
      <c r="K652" s="1295" t="s">
        <v>764</v>
      </c>
      <c r="L652" s="1295"/>
      <c r="M652" s="1295"/>
      <c r="N652" s="1295"/>
      <c r="O652" s="1295"/>
      <c r="P652" s="1295"/>
      <c r="Q652" s="1295"/>
      <c r="R652" s="1295"/>
      <c r="S652" s="1295"/>
      <c r="T652" s="1296"/>
    </row>
    <row r="653" spans="1:20" ht="25.5">
      <c r="A653" s="73" t="s">
        <v>772</v>
      </c>
      <c r="B653" s="74">
        <f>E653-2</f>
        <v>2018</v>
      </c>
      <c r="C653" s="75">
        <f>B653+1</f>
        <v>2019</v>
      </c>
      <c r="D653" s="76" t="str">
        <f>B653&amp;"-"&amp;C653</f>
        <v>2018-2019</v>
      </c>
      <c r="E653" s="74" t="str">
        <f>$T$1</f>
        <v>2020</v>
      </c>
      <c r="F653" s="75">
        <f>E653+1</f>
        <v>2021</v>
      </c>
      <c r="G653" s="76" t="str">
        <f>E653&amp;"-"&amp;F653</f>
        <v>2020-2021</v>
      </c>
      <c r="H653" s="74" t="s">
        <v>767</v>
      </c>
      <c r="I653" s="75" t="s">
        <v>768</v>
      </c>
      <c r="J653" s="76" t="s">
        <v>769</v>
      </c>
      <c r="K653" s="77">
        <f>N653-2</f>
        <v>2018</v>
      </c>
      <c r="L653" s="75">
        <f>K653+1</f>
        <v>2019</v>
      </c>
      <c r="M653" s="76" t="str">
        <f>K653&amp;"-"&amp;L653</f>
        <v>2018-2019</v>
      </c>
      <c r="N653" s="74" t="str">
        <f>$T$1</f>
        <v>2020</v>
      </c>
      <c r="O653" s="75">
        <f>N653+1</f>
        <v>2021</v>
      </c>
      <c r="P653" s="76" t="str">
        <f>N653&amp;"-"&amp;O653</f>
        <v>2020-2021</v>
      </c>
      <c r="Q653" s="74" t="s">
        <v>767</v>
      </c>
      <c r="R653" s="75" t="s">
        <v>768</v>
      </c>
      <c r="S653" s="78" t="s">
        <v>769</v>
      </c>
      <c r="T653" s="78" t="s">
        <v>770</v>
      </c>
    </row>
    <row r="654" spans="1:20" ht="25.5" hidden="1" outlineLevel="1">
      <c r="A654" s="79" t="s">
        <v>812</v>
      </c>
      <c r="B654" s="86">
        <f>(INDEX(Data!2297:2297,1,$U$1-2)+INDEX(Data!2310:2310,1,$U$1-2))</f>
        <v>1224000</v>
      </c>
      <c r="C654" s="87">
        <f>(INDEX(Data!2297:2297,1,$U$1-1)+INDEX(Data!2310:2310,1,$U$1-1))</f>
        <v>1224000</v>
      </c>
      <c r="D654" s="82">
        <f t="shared" ref="D654" si="581">B654+C654</f>
        <v>2448000</v>
      </c>
      <c r="E654" s="89">
        <f>(INDEX(Data!2297:2297,1,$U$1)+INDEX(Data!2310:2310,1,$U$1))</f>
        <v>1256000</v>
      </c>
      <c r="F654" s="90">
        <f>(INDEX(Data!2297:2297,1,$U$1+1)+INDEX(Data!2310:2310,1,$U$1+1))</f>
        <v>1256000</v>
      </c>
      <c r="G654" s="88">
        <f t="shared" ref="G654" si="582">E654+F654</f>
        <v>2512000</v>
      </c>
      <c r="H654" s="86">
        <f t="shared" ref="H654" si="583">G654-D654</f>
        <v>64000</v>
      </c>
      <c r="I654" s="447">
        <f t="shared" ref="I654:I672" si="584">IFERROR(H654/D654,"")</f>
        <v>2.6143790849673203E-2</v>
      </c>
      <c r="J654" s="453">
        <f t="shared" ref="J654:J672" si="585">IFERROR(G654/G$672,"")</f>
        <v>1.1218132732517773E-2</v>
      </c>
      <c r="K654" s="91"/>
      <c r="L654" s="87"/>
      <c r="M654" s="475"/>
      <c r="N654" s="131"/>
      <c r="O654" s="131"/>
      <c r="P654" s="469"/>
      <c r="Q654" s="469"/>
      <c r="R654" s="476"/>
      <c r="S654" s="476"/>
      <c r="T654" s="477"/>
    </row>
    <row r="655" spans="1:20" collapsed="1">
      <c r="A655" s="104" t="s">
        <v>784</v>
      </c>
      <c r="B655" s="105">
        <f t="shared" ref="B655:H655" si="586">SUM(B654:B654)</f>
        <v>1224000</v>
      </c>
      <c r="C655" s="106">
        <f t="shared" si="586"/>
        <v>1224000</v>
      </c>
      <c r="D655" s="124">
        <f t="shared" si="586"/>
        <v>2448000</v>
      </c>
      <c r="E655" s="105">
        <f t="shared" si="586"/>
        <v>1256000</v>
      </c>
      <c r="F655" s="106">
        <f t="shared" si="586"/>
        <v>1256000</v>
      </c>
      <c r="G655" s="107">
        <f t="shared" si="586"/>
        <v>2512000</v>
      </c>
      <c r="H655" s="105">
        <f t="shared" si="586"/>
        <v>64000</v>
      </c>
      <c r="I655" s="449">
        <f t="shared" si="584"/>
        <v>2.6143790849673203E-2</v>
      </c>
      <c r="J655" s="454">
        <f t="shared" si="585"/>
        <v>1.1218132732517773E-2</v>
      </c>
      <c r="K655" s="405"/>
      <c r="L655" s="106"/>
      <c r="M655" s="478"/>
      <c r="N655" s="468"/>
      <c r="O655" s="468"/>
      <c r="P655" s="468"/>
      <c r="Q655" s="468"/>
      <c r="R655" s="479"/>
      <c r="S655" s="479"/>
      <c r="T655" s="480"/>
    </row>
    <row r="656" spans="1:20" ht="25.5" hidden="1" outlineLevel="1">
      <c r="A656" s="79" t="s">
        <v>1433</v>
      </c>
      <c r="B656" s="86">
        <f>(INDEX(Data!2298:2298,1,$U$1-2)+INDEX(Data!2311:2311,1,$U$1-2))</f>
        <v>5744972</v>
      </c>
      <c r="C656" s="87">
        <f>(INDEX(Data!2298:2298,1,$U$1-1)+INDEX(Data!2311:2311,1,$U$1-1))</f>
        <v>5744972</v>
      </c>
      <c r="D656" s="82">
        <f t="shared" ref="D656:D667" si="587">B656+C656</f>
        <v>11489944</v>
      </c>
      <c r="E656" s="89">
        <f>(INDEX(Data!2298:2298,1,$U$1)+INDEX(Data!2311:2311,1,$U$1))</f>
        <v>6026364</v>
      </c>
      <c r="F656" s="90">
        <f>(INDEX(Data!2298:2298,1,$U$1+1)+INDEX(Data!2311:2311,1,$U$1+1))</f>
        <v>6026364</v>
      </c>
      <c r="G656" s="88">
        <f t="shared" ref="G656:G667" si="588">E656+F656</f>
        <v>12052728</v>
      </c>
      <c r="H656" s="86">
        <f t="shared" ref="H656:H667" si="589">G656-D656</f>
        <v>562784</v>
      </c>
      <c r="I656" s="447">
        <f t="shared" si="584"/>
        <v>4.8980569444028621E-2</v>
      </c>
      <c r="J656" s="453">
        <f t="shared" si="585"/>
        <v>5.3825279654830201E-2</v>
      </c>
      <c r="K656" s="91"/>
      <c r="L656" s="87"/>
      <c r="M656" s="475"/>
      <c r="N656" s="131"/>
      <c r="O656" s="131"/>
      <c r="P656" s="469"/>
      <c r="Q656" s="469"/>
      <c r="R656" s="476"/>
      <c r="S656" s="476"/>
      <c r="T656" s="477"/>
    </row>
    <row r="657" spans="1:20" ht="25.5" hidden="1" outlineLevel="1">
      <c r="A657" s="79" t="s">
        <v>1434</v>
      </c>
      <c r="B657" s="86">
        <f>(INDEX(Data!2299:2299,1,$U$1-2)+INDEX(Data!2312:2312,1,$U$1-2))</f>
        <v>3481442</v>
      </c>
      <c r="C657" s="87">
        <f>(INDEX(Data!2299:2299,1,$U$1-1)+INDEX(Data!2312:2312,1,$U$1-1))</f>
        <v>3481442</v>
      </c>
      <c r="D657" s="82">
        <f t="shared" si="587"/>
        <v>6962884</v>
      </c>
      <c r="E657" s="89">
        <f>(INDEX(Data!2299:2299,1,$U$1)+INDEX(Data!2312:2312,1,$U$1))</f>
        <v>3481442</v>
      </c>
      <c r="F657" s="90">
        <f>(INDEX(Data!2299:2299,1,$U$1+1)+INDEX(Data!2312:2312,1,$U$1+1))</f>
        <v>3481442</v>
      </c>
      <c r="G657" s="88">
        <f t="shared" si="588"/>
        <v>6962884</v>
      </c>
      <c r="H657" s="86">
        <f t="shared" si="589"/>
        <v>0</v>
      </c>
      <c r="I657" s="447">
        <f t="shared" si="584"/>
        <v>0</v>
      </c>
      <c r="J657" s="453">
        <f t="shared" si="585"/>
        <v>3.1094966924014443E-2</v>
      </c>
      <c r="K657" s="91"/>
      <c r="L657" s="87"/>
      <c r="M657" s="475"/>
      <c r="N657" s="131"/>
      <c r="O657" s="131"/>
      <c r="P657" s="469"/>
      <c r="Q657" s="469"/>
      <c r="R657" s="476"/>
      <c r="S657" s="476"/>
      <c r="T657" s="477"/>
    </row>
    <row r="658" spans="1:20" ht="25.5" hidden="1" outlineLevel="1">
      <c r="A658" s="79" t="s">
        <v>1435</v>
      </c>
      <c r="B658" s="86">
        <f>(INDEX(Data!2300:2300,1,$U$1-2)+INDEX(Data!2313:2313,1,$U$1-2))</f>
        <v>3581248</v>
      </c>
      <c r="C658" s="87">
        <f>(INDEX(Data!2300:2300,1,$U$1-1)+INDEX(Data!2313:2313,1,$U$1-1))</f>
        <v>3581248</v>
      </c>
      <c r="D658" s="82">
        <f t="shared" si="587"/>
        <v>7162496</v>
      </c>
      <c r="E658" s="89">
        <f>(INDEX(Data!2300:2300,1,$U$1)+INDEX(Data!2313:2313,1,$U$1))</f>
        <v>3638014</v>
      </c>
      <c r="F658" s="90">
        <f>(INDEX(Data!2300:2300,1,$U$1+1)+INDEX(Data!2313:2313,1,$U$1+1))</f>
        <v>3638014</v>
      </c>
      <c r="G658" s="88">
        <f t="shared" si="588"/>
        <v>7276028</v>
      </c>
      <c r="H658" s="86">
        <f t="shared" si="589"/>
        <v>113532</v>
      </c>
      <c r="I658" s="447">
        <f t="shared" si="584"/>
        <v>1.5850898904515968E-2</v>
      </c>
      <c r="J658" s="453">
        <f t="shared" si="585"/>
        <v>3.2493410776081137E-2</v>
      </c>
      <c r="K658" s="91"/>
      <c r="L658" s="87"/>
      <c r="M658" s="475"/>
      <c r="N658" s="131"/>
      <c r="O658" s="131"/>
      <c r="P658" s="469"/>
      <c r="Q658" s="469"/>
      <c r="R658" s="476"/>
      <c r="S658" s="476"/>
      <c r="T658" s="477"/>
    </row>
    <row r="659" spans="1:20" ht="25.5" hidden="1" outlineLevel="1">
      <c r="A659" s="79" t="s">
        <v>1436</v>
      </c>
      <c r="B659" s="86">
        <f>(INDEX(Data!2301:2301,1,$U$1-2)+INDEX(Data!2314:2314,1,$U$1-2))</f>
        <v>13936055</v>
      </c>
      <c r="C659" s="87">
        <f>(INDEX(Data!2301:2301,1,$U$1-1)+INDEX(Data!2314:2314,1,$U$1-1))</f>
        <v>13936055</v>
      </c>
      <c r="D659" s="82">
        <f t="shared" si="587"/>
        <v>27872110</v>
      </c>
      <c r="E659" s="89">
        <f>(INDEX(Data!2301:2301,1,$U$1)+INDEX(Data!2314:2314,1,$U$1))</f>
        <v>14505180</v>
      </c>
      <c r="F659" s="90">
        <f>(INDEX(Data!2301:2301,1,$U$1+1)+INDEX(Data!2314:2314,1,$U$1+1))</f>
        <v>14505180</v>
      </c>
      <c r="G659" s="88">
        <f t="shared" si="588"/>
        <v>29010360</v>
      </c>
      <c r="H659" s="86">
        <f t="shared" si="589"/>
        <v>1138250</v>
      </c>
      <c r="I659" s="447">
        <f t="shared" si="584"/>
        <v>4.083831471675449E-2</v>
      </c>
      <c r="J659" s="453">
        <f t="shared" si="585"/>
        <v>0.12955496381294757</v>
      </c>
      <c r="K659" s="91"/>
      <c r="L659" s="87"/>
      <c r="M659" s="475"/>
      <c r="N659" s="131"/>
      <c r="O659" s="131"/>
      <c r="P659" s="469"/>
      <c r="Q659" s="469"/>
      <c r="R659" s="476"/>
      <c r="S659" s="476"/>
      <c r="T659" s="477"/>
    </row>
    <row r="660" spans="1:20" ht="25.5" hidden="1" outlineLevel="1">
      <c r="A660" s="79" t="s">
        <v>1668</v>
      </c>
      <c r="B660" s="86">
        <f>(INDEX(Data!2302:2302,1,$U$1-2)+INDEX(Data!2315:2315,1,$U$1-2))</f>
        <v>1249500</v>
      </c>
      <c r="C660" s="87">
        <f>(INDEX(Data!2302:2302,1,$U$1-1)+INDEX(Data!2315:2315,1,$U$1-1))</f>
        <v>1249500</v>
      </c>
      <c r="D660" s="82">
        <f t="shared" ref="D660" si="590">B660+C660</f>
        <v>2499000</v>
      </c>
      <c r="E660" s="89">
        <f>(INDEX(Data!2302:2302,1,$U$1)+INDEX(Data!2315:2315,1,$U$1))</f>
        <v>1249500</v>
      </c>
      <c r="F660" s="90">
        <f>(INDEX(Data!2302:2302,1,$U$1+1)+INDEX(Data!2315:2315,1,$U$1+1))</f>
        <v>1249500</v>
      </c>
      <c r="G660" s="88">
        <f t="shared" ref="G660" si="591">E660+F660</f>
        <v>2499000</v>
      </c>
      <c r="H660" s="86">
        <f t="shared" ref="H660" si="592">G660-D660</f>
        <v>0</v>
      </c>
      <c r="I660" s="447">
        <f t="shared" ref="I660" si="593">IFERROR(H660/D660,"")</f>
        <v>0</v>
      </c>
      <c r="J660" s="453">
        <f t="shared" si="585"/>
        <v>1.1160077109300125E-2</v>
      </c>
      <c r="K660" s="91"/>
      <c r="L660" s="87"/>
      <c r="M660" s="475"/>
      <c r="N660" s="131"/>
      <c r="O660" s="131"/>
      <c r="P660" s="469"/>
      <c r="Q660" s="469"/>
      <c r="R660" s="476"/>
      <c r="S660" s="476"/>
      <c r="T660" s="477"/>
    </row>
    <row r="661" spans="1:20" ht="25.5" hidden="1" outlineLevel="1">
      <c r="A661" s="79" t="s">
        <v>1437</v>
      </c>
      <c r="B661" s="86">
        <f>(INDEX(Data!2303:2303,1,$U$1-2)+INDEX(Data!2316:2316,1,$U$1-2))</f>
        <v>8639678</v>
      </c>
      <c r="C661" s="87">
        <f>(INDEX(Data!2303:2303,1,$U$1-1)+INDEX(Data!2316:2316,1,$U$1-1))</f>
        <v>8639678</v>
      </c>
      <c r="D661" s="82">
        <f t="shared" si="587"/>
        <v>17279356</v>
      </c>
      <c r="E661" s="89">
        <f>(INDEX(Data!2303:2303,1,$U$1)+INDEX(Data!2316:2316,1,$U$1))</f>
        <v>8905058</v>
      </c>
      <c r="F661" s="90">
        <f>(INDEX(Data!2303:2303,1,$U$1+1)+INDEX(Data!2316:2316,1,$U$1+1))</f>
        <v>8905058</v>
      </c>
      <c r="G661" s="88">
        <f t="shared" si="588"/>
        <v>17810116</v>
      </c>
      <c r="H661" s="86">
        <f t="shared" si="589"/>
        <v>530760</v>
      </c>
      <c r="I661" s="447">
        <f t="shared" si="584"/>
        <v>3.0716422533339786E-2</v>
      </c>
      <c r="J661" s="453">
        <f t="shared" si="585"/>
        <v>7.9536721842969144E-2</v>
      </c>
      <c r="K661" s="91"/>
      <c r="L661" s="87"/>
      <c r="M661" s="475"/>
      <c r="N661" s="131"/>
      <c r="O661" s="131"/>
      <c r="P661" s="469"/>
      <c r="Q661" s="469"/>
      <c r="R661" s="476"/>
      <c r="S661" s="476"/>
      <c r="T661" s="477"/>
    </row>
    <row r="662" spans="1:20" ht="15.75" hidden="1" customHeight="1" outlineLevel="1">
      <c r="A662" s="79" t="s">
        <v>1438</v>
      </c>
      <c r="B662" s="86">
        <f>(INDEX(Data!2304:2304,1,$U$1-2)+INDEX(Data!2317:2317,1,$U$1-2))</f>
        <v>2896056</v>
      </c>
      <c r="C662" s="87">
        <f>(INDEX(Data!2304:2304,1,$U$1-1)+INDEX(Data!2317:2317,1,$U$1-1))</f>
        <v>2896056</v>
      </c>
      <c r="D662" s="82">
        <f t="shared" si="587"/>
        <v>5792112</v>
      </c>
      <c r="E662" s="89">
        <f>(INDEX(Data!2304:2304,1,$U$1)+INDEX(Data!2317:2317,1,$U$1))</f>
        <v>2989205</v>
      </c>
      <c r="F662" s="90">
        <f>(INDEX(Data!2304:2304,1,$U$1+1)+INDEX(Data!2317:2317,1,$U$1+1))</f>
        <v>2989205</v>
      </c>
      <c r="G662" s="88">
        <f t="shared" si="588"/>
        <v>5978410</v>
      </c>
      <c r="H662" s="86">
        <f t="shared" si="589"/>
        <v>186298</v>
      </c>
      <c r="I662" s="447">
        <f t="shared" si="584"/>
        <v>3.2164087987248867E-2</v>
      </c>
      <c r="J662" s="453">
        <f t="shared" si="585"/>
        <v>2.6698486030816711E-2</v>
      </c>
      <c r="K662" s="91"/>
      <c r="L662" s="87"/>
      <c r="M662" s="475"/>
      <c r="N662" s="131"/>
      <c r="O662" s="131"/>
      <c r="P662" s="469"/>
      <c r="Q662" s="469"/>
      <c r="R662" s="476"/>
      <c r="S662" s="476"/>
      <c r="T662" s="477"/>
    </row>
    <row r="663" spans="1:20" ht="25.5" hidden="1" outlineLevel="1">
      <c r="A663" s="79" t="s">
        <v>1439</v>
      </c>
      <c r="B663" s="86">
        <f>(INDEX(Data!2305:2305,1,$U$1-2)+INDEX(Data!2318:2318,1,$U$1-2))</f>
        <v>2689193</v>
      </c>
      <c r="C663" s="87">
        <f>(INDEX(Data!2305:2305,1,$U$1-1)+INDEX(Data!2318:2318,1,$U$1-1))</f>
        <v>2689193</v>
      </c>
      <c r="D663" s="82">
        <f t="shared" si="587"/>
        <v>5378386</v>
      </c>
      <c r="E663" s="89">
        <f>(INDEX(Data!2305:2305,1,$U$1)+INDEX(Data!2318:2318,1,$U$1))</f>
        <v>2689193</v>
      </c>
      <c r="F663" s="90">
        <f>(INDEX(Data!2305:2305,1,$U$1+1)+INDEX(Data!2318:2318,1,$U$1+1))</f>
        <v>2689193</v>
      </c>
      <c r="G663" s="88">
        <f t="shared" si="588"/>
        <v>5378386</v>
      </c>
      <c r="H663" s="86">
        <f t="shared" si="589"/>
        <v>0</v>
      </c>
      <c r="I663" s="447">
        <f t="shared" si="584"/>
        <v>0</v>
      </c>
      <c r="J663" s="453">
        <f t="shared" si="585"/>
        <v>2.4018888548851647E-2</v>
      </c>
      <c r="K663" s="91"/>
      <c r="L663" s="87"/>
      <c r="M663" s="475"/>
      <c r="N663" s="131"/>
      <c r="O663" s="131"/>
      <c r="P663" s="469"/>
      <c r="Q663" s="469"/>
      <c r="R663" s="476"/>
      <c r="S663" s="476"/>
      <c r="T663" s="477"/>
    </row>
    <row r="664" spans="1:20" ht="25.5" hidden="1" outlineLevel="1">
      <c r="A664" s="79" t="s">
        <v>1440</v>
      </c>
      <c r="B664" s="86">
        <f>(INDEX(Data!2306:2306,1,$U$1-2)+INDEX(Data!2319:2319,1,$U$1-2))</f>
        <v>2169613</v>
      </c>
      <c r="C664" s="87">
        <f>(INDEX(Data!2306:2306,1,$U$1-1)+INDEX(Data!2319:2319,1,$U$1-1))</f>
        <v>2169613</v>
      </c>
      <c r="D664" s="82">
        <f t="shared" si="587"/>
        <v>4339226</v>
      </c>
      <c r="E664" s="89">
        <f>(INDEX(Data!2306:2306,1,$U$1)+INDEX(Data!2319:2319,1,$U$1))</f>
        <v>2169613</v>
      </c>
      <c r="F664" s="90">
        <f>(INDEX(Data!2306:2306,1,$U$1+1)+INDEX(Data!2319:2319,1,$U$1+1))</f>
        <v>2169613</v>
      </c>
      <c r="G664" s="88">
        <f t="shared" si="588"/>
        <v>4339226</v>
      </c>
      <c r="H664" s="86">
        <f t="shared" si="589"/>
        <v>0</v>
      </c>
      <c r="I664" s="447">
        <f t="shared" si="584"/>
        <v>0</v>
      </c>
      <c r="J664" s="453">
        <f t="shared" si="585"/>
        <v>1.9378189977863124E-2</v>
      </c>
      <c r="K664" s="91"/>
      <c r="L664" s="87"/>
      <c r="M664" s="475"/>
      <c r="N664" s="131"/>
      <c r="O664" s="131"/>
      <c r="P664" s="469"/>
      <c r="Q664" s="469"/>
      <c r="R664" s="476"/>
      <c r="S664" s="476"/>
      <c r="T664" s="477"/>
    </row>
    <row r="665" spans="1:20" ht="25.5" hidden="1" outlineLevel="1">
      <c r="A665" s="79" t="s">
        <v>942</v>
      </c>
      <c r="B665" s="86">
        <f>(INDEX(Data!2307:2307,1,$U$1-2)+INDEX(Data!2321:2321,1,$U$1-2))</f>
        <v>2950000</v>
      </c>
      <c r="C665" s="87">
        <f>(INDEX(Data!2307:2307,1,$U$1-1)+INDEX(Data!2321:2321,1,$U$1-1))</f>
        <v>2950000</v>
      </c>
      <c r="D665" s="82">
        <f t="shared" si="587"/>
        <v>5900000</v>
      </c>
      <c r="E665" s="89">
        <f>(INDEX(Data!2307:2307,1,$U$1)+INDEX(Data!2321:2321,1,$U$1))</f>
        <v>2950000</v>
      </c>
      <c r="F665" s="90">
        <f>(INDEX(Data!2307:2307,1,$U$1+1)+INDEX(Data!2321:2321,1,$U$1+1))</f>
        <v>2950000</v>
      </c>
      <c r="G665" s="88">
        <f t="shared" si="588"/>
        <v>5900000</v>
      </c>
      <c r="H665" s="86">
        <f t="shared" si="589"/>
        <v>0</v>
      </c>
      <c r="I665" s="447">
        <f t="shared" si="584"/>
        <v>0</v>
      </c>
      <c r="J665" s="453">
        <f t="shared" si="585"/>
        <v>2.6348321306470884E-2</v>
      </c>
      <c r="K665" s="91"/>
      <c r="L665" s="87"/>
      <c r="M665" s="475"/>
      <c r="N665" s="131"/>
      <c r="O665" s="131"/>
      <c r="P665" s="469"/>
      <c r="Q665" s="469"/>
      <c r="R665" s="476"/>
      <c r="S665" s="476"/>
      <c r="T665" s="477"/>
    </row>
    <row r="666" spans="1:20" ht="25.5" hidden="1" outlineLevel="1">
      <c r="A666" s="79" t="s">
        <v>1556</v>
      </c>
      <c r="B666" s="86">
        <f>(INDEX(Data!2308:2308,1,$U$1-2)+INDEX(Data!2322:2322,1,$U$1-2))</f>
        <v>54803663</v>
      </c>
      <c r="C666" s="87">
        <f>(INDEX(Data!2308:2308,1,$U$1-1)+INDEX(Data!2322:2322,1,$U$1-1))</f>
        <v>54803663</v>
      </c>
      <c r="D666" s="82">
        <f t="shared" ref="D666" si="594">B666+C666</f>
        <v>109607326</v>
      </c>
      <c r="E666" s="89">
        <f>(INDEX(Data!2308:2308,1,$U$1)+INDEX(Data!2322:2322,1,$U$1))</f>
        <v>55812469</v>
      </c>
      <c r="F666" s="90">
        <f>(INDEX(Data!2308:2308,1,$U$1+1)+INDEX(Data!2322:2322,1,$U$1+1))</f>
        <v>55812469</v>
      </c>
      <c r="G666" s="88">
        <f t="shared" ref="G666" si="595">E666+F666</f>
        <v>111624938</v>
      </c>
      <c r="H666" s="86">
        <f t="shared" ref="H666" si="596">G666-D666</f>
        <v>2017612</v>
      </c>
      <c r="I666" s="447">
        <f t="shared" ref="I666" si="597">IFERROR(H666/D666,"")</f>
        <v>1.840763819016988E-2</v>
      </c>
      <c r="J666" s="453">
        <f t="shared" si="585"/>
        <v>0.49849656478625276</v>
      </c>
      <c r="K666" s="91"/>
      <c r="L666" s="87"/>
      <c r="M666" s="475"/>
      <c r="N666" s="131"/>
      <c r="O666" s="131"/>
      <c r="P666" s="469"/>
      <c r="Q666" s="469"/>
      <c r="R666" s="476"/>
      <c r="S666" s="476"/>
      <c r="T666" s="477"/>
    </row>
    <row r="667" spans="1:20" hidden="1" outlineLevel="1">
      <c r="A667" s="79" t="s">
        <v>221</v>
      </c>
      <c r="B667" s="86">
        <f>(INDEX(Data!1100:1100,1,$U$1-2)+INDEX(Data!1101:1101,1,$U$1-2)+INDEX(Data!1065:1065,1,$U$1-2)+INDEX(Data!1066:1066,1,$U$1-2))</f>
        <v>3339193</v>
      </c>
      <c r="C667" s="87">
        <f>(INDEX(Data!1100:1100,1,$U$1-1)+INDEX(Data!1101:1101,1,$U$1-1)+INDEX(Data!1065:1065,1,$U$1-1)+INDEX(Data!1066:1066,1,$U$1-1))</f>
        <v>3339193</v>
      </c>
      <c r="D667" s="82">
        <f t="shared" si="587"/>
        <v>6678386</v>
      </c>
      <c r="E667" s="89">
        <f>(INDEX(Data!1100:1100,1,$U$1)+INDEX(Data!1101:1101,1,$U$1)+INDEX(Data!1065:1065,1,$U$1)+INDEX(Data!1066:1066,1,$U$1))</f>
        <v>3339193</v>
      </c>
      <c r="F667" s="90">
        <f>(INDEX(Data!1100:1100,1,$U$1+1)+INDEX(Data!1101:1101,1,$U$1+1)+INDEX(Data!1065:1065,1,$U$1+1)+INDEX(Data!1066:1066,1,$U$1+1))</f>
        <v>3339193</v>
      </c>
      <c r="G667" s="88">
        <f t="shared" si="588"/>
        <v>6678386</v>
      </c>
      <c r="H667" s="86">
        <f t="shared" si="589"/>
        <v>0</v>
      </c>
      <c r="I667" s="447">
        <f t="shared" si="584"/>
        <v>0</v>
      </c>
      <c r="J667" s="453">
        <f t="shared" si="585"/>
        <v>2.9824450870616418E-2</v>
      </c>
      <c r="K667" s="91"/>
      <c r="L667" s="87"/>
      <c r="M667" s="475"/>
      <c r="N667" s="131"/>
      <c r="O667" s="131"/>
      <c r="P667" s="469"/>
      <c r="Q667" s="469"/>
      <c r="R667" s="476"/>
      <c r="S667" s="476"/>
      <c r="T667" s="477"/>
    </row>
    <row r="668" spans="1:20" ht="25.5" collapsed="1">
      <c r="A668" s="104" t="s">
        <v>1292</v>
      </c>
      <c r="B668" s="105">
        <f>SUM(B656:B667)</f>
        <v>105480613</v>
      </c>
      <c r="C668" s="106">
        <f t="shared" ref="C668:H668" si="598">SUM(C656:C667)</f>
        <v>105480613</v>
      </c>
      <c r="D668" s="124">
        <f t="shared" si="598"/>
        <v>210961226</v>
      </c>
      <c r="E668" s="105">
        <f t="shared" si="598"/>
        <v>107755231</v>
      </c>
      <c r="F668" s="106">
        <f t="shared" si="598"/>
        <v>107755231</v>
      </c>
      <c r="G668" s="107">
        <f t="shared" si="598"/>
        <v>215510462</v>
      </c>
      <c r="H668" s="105">
        <f t="shared" si="598"/>
        <v>4549236</v>
      </c>
      <c r="I668" s="449">
        <f t="shared" si="584"/>
        <v>2.1564322914960687E-2</v>
      </c>
      <c r="J668" s="454">
        <f t="shared" si="585"/>
        <v>0.96243032164101416</v>
      </c>
      <c r="K668" s="405"/>
      <c r="L668" s="106"/>
      <c r="M668" s="478"/>
      <c r="N668" s="468"/>
      <c r="O668" s="468"/>
      <c r="P668" s="468"/>
      <c r="Q668" s="468"/>
      <c r="R668" s="479"/>
      <c r="S668" s="479"/>
      <c r="T668" s="480"/>
    </row>
    <row r="669" spans="1:20" ht="25.5" hidden="1" outlineLevel="1">
      <c r="A669" s="79" t="s">
        <v>813</v>
      </c>
      <c r="B669" s="86">
        <f>INDEX(Data!1098:1098,1,$U$1-2)</f>
        <v>3972340</v>
      </c>
      <c r="C669" s="87">
        <f>INDEX(Data!1098:1098,1,$U$1-1)</f>
        <v>3972340</v>
      </c>
      <c r="D669" s="82">
        <f>B669+C669</f>
        <v>7944680</v>
      </c>
      <c r="E669" s="89">
        <f>INDEX(Data!1098:1098,1,$U$1)</f>
        <v>1066551</v>
      </c>
      <c r="F669" s="90">
        <f>INDEX(Data!1098:1098,1,$U$1+1)</f>
        <v>1066551</v>
      </c>
      <c r="G669" s="88">
        <f t="shared" ref="G669:G670" si="599">E669+F669</f>
        <v>2133102</v>
      </c>
      <c r="H669" s="86">
        <f t="shared" ref="H669:H670" si="600">G669-D669</f>
        <v>-5811578</v>
      </c>
      <c r="I669" s="447">
        <f t="shared" si="584"/>
        <v>-0.73150561130215441</v>
      </c>
      <c r="J669" s="453">
        <f t="shared" si="585"/>
        <v>9.5260435382162126E-3</v>
      </c>
      <c r="K669" s="91"/>
      <c r="L669" s="87"/>
      <c r="M669" s="475"/>
      <c r="N669" s="131"/>
      <c r="O669" s="131"/>
      <c r="P669" s="469"/>
      <c r="Q669" s="469"/>
      <c r="R669" s="484" t="s">
        <v>1276</v>
      </c>
      <c r="S669" s="476"/>
      <c r="T669" s="477"/>
    </row>
    <row r="670" spans="1:20" ht="38.25" hidden="1" outlineLevel="1">
      <c r="A670" s="79" t="s">
        <v>814</v>
      </c>
      <c r="B670" s="86">
        <f>INDEX(Data!1099:1099,1,$U$1-2)</f>
        <v>5420324</v>
      </c>
      <c r="C670" s="87">
        <f>INDEX(Data!1099:1099,1,$U$1-1)</f>
        <v>5420324</v>
      </c>
      <c r="D670" s="82">
        <f>B670+C670</f>
        <v>10840648</v>
      </c>
      <c r="E670" s="89">
        <f>INDEX(Data!1099:1099,1,$U$1)</f>
        <v>1883810</v>
      </c>
      <c r="F670" s="90">
        <f>INDEX(Data!1099:1099,1,$U$1+1)</f>
        <v>1883810</v>
      </c>
      <c r="G670" s="88">
        <f t="shared" si="599"/>
        <v>3767620</v>
      </c>
      <c r="H670" s="86">
        <f t="shared" si="600"/>
        <v>-7073028</v>
      </c>
      <c r="I670" s="447">
        <f t="shared" si="584"/>
        <v>-0.65245435512711047</v>
      </c>
      <c r="J670" s="453">
        <f t="shared" si="585"/>
        <v>1.6825502088251836E-2</v>
      </c>
      <c r="K670" s="91"/>
      <c r="L670" s="87"/>
      <c r="M670" s="475"/>
      <c r="N670" s="131"/>
      <c r="O670" s="131"/>
      <c r="P670" s="469"/>
      <c r="Q670" s="469"/>
      <c r="R670" s="476"/>
      <c r="S670" s="476"/>
      <c r="T670" s="477"/>
    </row>
    <row r="671" spans="1:20" ht="25.5" collapsed="1">
      <c r="A671" s="104" t="s">
        <v>815</v>
      </c>
      <c r="B671" s="105">
        <f>SUM(B669:B670)</f>
        <v>9392664</v>
      </c>
      <c r="C671" s="106">
        <f t="shared" ref="C671:H671" si="601">SUM(C669:C670)</f>
        <v>9392664</v>
      </c>
      <c r="D671" s="124">
        <f t="shared" si="601"/>
        <v>18785328</v>
      </c>
      <c r="E671" s="105">
        <f t="shared" si="601"/>
        <v>2950361</v>
      </c>
      <c r="F671" s="106">
        <f t="shared" si="601"/>
        <v>2950361</v>
      </c>
      <c r="G671" s="107">
        <f t="shared" si="601"/>
        <v>5900722</v>
      </c>
      <c r="H671" s="105">
        <f t="shared" si="601"/>
        <v>-12884606</v>
      </c>
      <c r="I671" s="449">
        <f t="shared" si="584"/>
        <v>-0.68588666644521723</v>
      </c>
      <c r="J671" s="454">
        <f t="shared" si="585"/>
        <v>2.6351545626468048E-2</v>
      </c>
      <c r="K671" s="405"/>
      <c r="L671" s="106"/>
      <c r="M671" s="478"/>
      <c r="N671" s="468"/>
      <c r="O671" s="468"/>
      <c r="P671" s="468"/>
      <c r="Q671" s="468"/>
      <c r="R671" s="479"/>
      <c r="S671" s="479"/>
      <c r="T671" s="480"/>
    </row>
    <row r="672" spans="1:20" ht="13.5" thickBot="1">
      <c r="A672" s="95" t="s">
        <v>280</v>
      </c>
      <c r="B672" s="96">
        <f>B655+B668+B671</f>
        <v>116097277</v>
      </c>
      <c r="C672" s="97">
        <f t="shared" ref="C672:H672" si="602">C655+C668+C671</f>
        <v>116097277</v>
      </c>
      <c r="D672" s="98">
        <f t="shared" si="602"/>
        <v>232194554</v>
      </c>
      <c r="E672" s="116">
        <f t="shared" si="602"/>
        <v>111961592</v>
      </c>
      <c r="F672" s="117">
        <f t="shared" si="602"/>
        <v>111961592</v>
      </c>
      <c r="G672" s="98">
        <f t="shared" si="602"/>
        <v>223923184</v>
      </c>
      <c r="H672" s="96">
        <f t="shared" si="602"/>
        <v>-8271370</v>
      </c>
      <c r="I672" s="451">
        <f t="shared" si="584"/>
        <v>-3.5622583981879265E-2</v>
      </c>
      <c r="J672" s="455">
        <f t="shared" si="585"/>
        <v>1</v>
      </c>
      <c r="K672" s="100"/>
      <c r="L672" s="97"/>
      <c r="M672" s="481"/>
      <c r="N672" s="473"/>
      <c r="O672" s="473"/>
      <c r="P672" s="472"/>
      <c r="Q672" s="472"/>
      <c r="R672" s="482"/>
      <c r="S672" s="482"/>
      <c r="T672" s="483"/>
    </row>
    <row r="673" spans="1:1">
      <c r="A673" s="125"/>
    </row>
    <row r="674" spans="1:1">
      <c r="A674" s="125"/>
    </row>
    <row r="675" spans="1:1">
      <c r="A675" s="125"/>
    </row>
    <row r="676" spans="1:1">
      <c r="A676" s="125"/>
    </row>
    <row r="677" spans="1:1">
      <c r="A677" s="125"/>
    </row>
    <row r="678" spans="1:1">
      <c r="A678" s="125"/>
    </row>
    <row r="679" spans="1:1">
      <c r="A679" s="125"/>
    </row>
  </sheetData>
  <mergeCells count="22">
    <mergeCell ref="B3:J3"/>
    <mergeCell ref="K3:T3"/>
    <mergeCell ref="B26:J26"/>
    <mergeCell ref="K26:T26"/>
    <mergeCell ref="B61:J61"/>
    <mergeCell ref="K61:T61"/>
    <mergeCell ref="B559:J559"/>
    <mergeCell ref="K559:T559"/>
    <mergeCell ref="B652:J652"/>
    <mergeCell ref="K652:T652"/>
    <mergeCell ref="B343:J343"/>
    <mergeCell ref="K343:T343"/>
    <mergeCell ref="B380:J380"/>
    <mergeCell ref="K478:T478"/>
    <mergeCell ref="K380:T380"/>
    <mergeCell ref="B478:J478"/>
    <mergeCell ref="B98:J98"/>
    <mergeCell ref="K98:T98"/>
    <mergeCell ref="B276:J276"/>
    <mergeCell ref="K276:T276"/>
    <mergeCell ref="B307:J307"/>
    <mergeCell ref="K307:T307"/>
  </mergeCells>
  <hyperlinks>
    <hyperlink ref="A26" location="Start!A44" display="Return" xr:uid="{00000000-0004-0000-0100-000000000000}"/>
    <hyperlink ref="A61" location="Start!A47" display="Return" xr:uid="{00000000-0004-0000-0100-000001000000}"/>
    <hyperlink ref="A98" location="Start!A50" display="Return" xr:uid="{00000000-0004-0000-0100-000002000000}"/>
    <hyperlink ref="A276" location="Start!A54" display="Return" xr:uid="{00000000-0004-0000-0100-000003000000}"/>
    <hyperlink ref="A307" location="Start!A58" display="Return" xr:uid="{00000000-0004-0000-0100-000004000000}"/>
    <hyperlink ref="A343" location="Start!A62" display="Return" xr:uid="{00000000-0004-0000-0100-000005000000}"/>
    <hyperlink ref="A380" location="Start!A65" display="Return" xr:uid="{00000000-0004-0000-0100-000006000000}"/>
    <hyperlink ref="A478" location="Start!A70" display="Return" xr:uid="{00000000-0004-0000-0100-000007000000}"/>
    <hyperlink ref="A559" location="Start!A75" display="Return" xr:uid="{00000000-0004-0000-0100-000008000000}"/>
    <hyperlink ref="A652" location="Start!A81" display="Return" xr:uid="{00000000-0004-0000-0100-000009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6" tint="0.39997558519241921"/>
  </sheetPr>
  <dimension ref="A1:V679"/>
  <sheetViews>
    <sheetView showGridLines="0" workbookViewId="0">
      <pane xSplit="3" ySplit="3" topLeftCell="D4" activePane="bottomRight" state="frozen"/>
      <selection activeCell="F8" sqref="F8"/>
      <selection pane="topRight" activeCell="F8" sqref="F8"/>
      <selection pane="bottomLeft" activeCell="F8" sqref="F8"/>
      <selection pane="bottomRight" activeCell="F4" sqref="F4"/>
    </sheetView>
  </sheetViews>
  <sheetFormatPr defaultRowHeight="12.75" outlineLevelRow="1" outlineLevelCol="1"/>
  <cols>
    <col min="1" max="1" width="37.28515625" style="67" customWidth="1"/>
    <col min="2" max="2" width="11.7109375" style="67" hidden="1" customWidth="1" outlineLevel="1"/>
    <col min="3" max="3" width="12.28515625" style="67" hidden="1" customWidth="1" outlineLevel="1"/>
    <col min="4" max="4" width="11.28515625" style="67" customWidth="1" collapsed="1"/>
    <col min="5" max="6" width="10.5703125" style="67" hidden="1" customWidth="1" outlineLevel="1"/>
    <col min="7" max="7" width="11.28515625" style="67" customWidth="1" collapsed="1"/>
    <col min="8" max="9" width="10.5703125" style="67" customWidth="1"/>
    <col min="10" max="10" width="10.5703125" style="410" customWidth="1"/>
    <col min="11" max="11" width="12.5703125" style="67" hidden="1" customWidth="1" outlineLevel="1"/>
    <col min="12" max="12" width="9.85546875" style="67" hidden="1" customWidth="1" outlineLevel="1"/>
    <col min="13" max="13" width="11.85546875" style="67" customWidth="1" collapsed="1"/>
    <col min="14" max="14" width="11.5703125" style="67" hidden="1" customWidth="1" outlineLevel="1"/>
    <col min="15" max="15" width="9.85546875" style="67" hidden="1" customWidth="1" outlineLevel="1"/>
    <col min="16" max="16" width="10.42578125" style="67" customWidth="1" collapsed="1"/>
    <col min="17" max="17" width="9.85546875" style="67" customWidth="1"/>
    <col min="18" max="18" width="11" style="67" customWidth="1"/>
    <col min="19" max="20" width="9.85546875" style="67" customWidth="1"/>
    <col min="21" max="21" width="9.5703125" style="67" bestFit="1" customWidth="1"/>
    <col min="22" max="22" width="16.140625" style="67" customWidth="1"/>
  </cols>
  <sheetData>
    <row r="1" spans="1:22" ht="15.75" customHeight="1" thickBot="1">
      <c r="A1" s="66" t="s">
        <v>160</v>
      </c>
      <c r="B1" s="218"/>
      <c r="D1" s="355"/>
      <c r="F1" s="68"/>
      <c r="P1" s="69"/>
      <c r="Q1" s="70"/>
      <c r="R1" s="1163" t="str">
        <f>Start!F8</f>
        <v>2020-2021</v>
      </c>
      <c r="S1" s="1162" t="s">
        <v>763</v>
      </c>
      <c r="T1" s="71" t="str">
        <f>LEFT(R1,4)</f>
        <v>2020</v>
      </c>
      <c r="U1" s="71">
        <f>MATCH(VALUE(LEFT(R1,4)),Data!1:1,0)</f>
        <v>42</v>
      </c>
      <c r="V1" s="71" t="e">
        <f>MATCH(VALUE(LEFT(R1,4)),Footnotes!1:1,0)</f>
        <v>#N/A</v>
      </c>
    </row>
    <row r="2" spans="1:22" ht="26.25" thickBot="1">
      <c r="A2" s="72" t="s">
        <v>1320</v>
      </c>
      <c r="B2" s="1292" t="s">
        <v>2</v>
      </c>
      <c r="C2" s="1293"/>
      <c r="D2" s="1293"/>
      <c r="E2" s="1293"/>
      <c r="F2" s="1293"/>
      <c r="G2" s="1293"/>
      <c r="H2" s="1293"/>
      <c r="I2" s="1293"/>
      <c r="J2" s="1294"/>
      <c r="K2" s="1295" t="s">
        <v>764</v>
      </c>
      <c r="L2" s="1295"/>
      <c r="M2" s="1295"/>
      <c r="N2" s="1295"/>
      <c r="O2" s="1295"/>
      <c r="P2" s="1295"/>
      <c r="Q2" s="1295"/>
      <c r="R2" s="1295"/>
      <c r="S2" s="1295"/>
      <c r="T2" s="1296"/>
    </row>
    <row r="3" spans="1:22" s="1044" customFormat="1" ht="26.25" thickBot="1">
      <c r="A3" s="73" t="s">
        <v>766</v>
      </c>
      <c r="B3" s="74">
        <f>E3-2</f>
        <v>2018</v>
      </c>
      <c r="C3" s="75">
        <f>B3+1</f>
        <v>2019</v>
      </c>
      <c r="D3" s="76" t="str">
        <f>B3&amp;"-"&amp;C3</f>
        <v>2018-2019</v>
      </c>
      <c r="E3" s="74" t="str">
        <f>$T$1</f>
        <v>2020</v>
      </c>
      <c r="F3" s="75">
        <f>E3+1</f>
        <v>2021</v>
      </c>
      <c r="G3" s="76" t="str">
        <f>E3&amp;"-"&amp;F3</f>
        <v>2020-2021</v>
      </c>
      <c r="H3" s="74" t="s">
        <v>767</v>
      </c>
      <c r="I3" s="75" t="s">
        <v>768</v>
      </c>
      <c r="J3" s="75" t="s">
        <v>769</v>
      </c>
      <c r="K3" s="77">
        <f>N3-2</f>
        <v>2018</v>
      </c>
      <c r="L3" s="75">
        <f>K3+1</f>
        <v>2019</v>
      </c>
      <c r="M3" s="76" t="str">
        <f>K3&amp;"-"&amp;L3</f>
        <v>2018-2019</v>
      </c>
      <c r="N3" s="74" t="str">
        <f>$T$1</f>
        <v>2020</v>
      </c>
      <c r="O3" s="75">
        <f>N3+1</f>
        <v>2021</v>
      </c>
      <c r="P3" s="76" t="str">
        <f>N3&amp;"-"&amp;O3</f>
        <v>2020-2021</v>
      </c>
      <c r="Q3" s="74" t="s">
        <v>767</v>
      </c>
      <c r="R3" s="75" t="s">
        <v>768</v>
      </c>
      <c r="S3" s="78" t="s">
        <v>769</v>
      </c>
      <c r="T3" s="78" t="s">
        <v>770</v>
      </c>
      <c r="U3" s="67"/>
      <c r="V3" s="67"/>
    </row>
    <row r="4" spans="1:22" s="173" customFormat="1">
      <c r="A4" s="1175"/>
      <c r="B4" s="422"/>
      <c r="C4" s="423"/>
      <c r="D4" s="424"/>
      <c r="E4" s="422"/>
      <c r="F4" s="422"/>
      <c r="G4" s="424"/>
      <c r="H4" s="422"/>
      <c r="I4" s="422"/>
      <c r="J4" s="425"/>
      <c r="K4" s="422"/>
      <c r="L4" s="422"/>
      <c r="M4" s="424"/>
      <c r="N4" s="422"/>
      <c r="O4" s="422"/>
      <c r="P4" s="424"/>
      <c r="Q4" s="422"/>
      <c r="R4" s="422"/>
      <c r="S4" s="422"/>
      <c r="T4" s="1178"/>
      <c r="U4" s="129"/>
      <c r="V4" s="129"/>
    </row>
    <row r="5" spans="1:22">
      <c r="T5" s="410"/>
    </row>
    <row r="6" spans="1:22">
      <c r="T6" s="410"/>
    </row>
    <row r="7" spans="1:22">
      <c r="T7" s="410"/>
    </row>
    <row r="8" spans="1:22">
      <c r="T8" s="410"/>
    </row>
    <row r="9" spans="1:22">
      <c r="T9" s="410"/>
    </row>
    <row r="10" spans="1:22">
      <c r="T10" s="410"/>
    </row>
    <row r="11" spans="1:22">
      <c r="T11" s="410"/>
    </row>
    <row r="12" spans="1:22">
      <c r="T12" s="410"/>
    </row>
    <row r="13" spans="1:22">
      <c r="T13" s="410"/>
    </row>
    <row r="14" spans="1:22">
      <c r="T14" s="410"/>
    </row>
    <row r="15" spans="1:22">
      <c r="T15" s="410"/>
    </row>
    <row r="16" spans="1:22">
      <c r="T16" s="410"/>
    </row>
    <row r="17" spans="1:20">
      <c r="T17" s="410"/>
    </row>
    <row r="18" spans="1:20">
      <c r="T18" s="410"/>
    </row>
    <row r="19" spans="1:20">
      <c r="T19" s="410"/>
    </row>
    <row r="20" spans="1:20">
      <c r="T20" s="410"/>
    </row>
    <row r="21" spans="1:20">
      <c r="T21" s="410"/>
    </row>
    <row r="22" spans="1:20">
      <c r="T22" s="410"/>
    </row>
    <row r="23" spans="1:20">
      <c r="J23" s="411" t="str">
        <f>"Higher Education is "&amp;TEXT(G74/G39*100,"#.00")&amp;" percent of Total State Appropriations "</f>
        <v xml:space="preserve">Higher Education is 9.68 percent of Total State Appropriations </v>
      </c>
      <c r="T23" s="411" t="str">
        <f>"Higher Education is "&amp;TEXT(P74/P39*100,"#.00")&amp;" percent of Total State Appropriations "</f>
        <v xml:space="preserve">Higher Education is 12.56 percent of Total State Appropriations </v>
      </c>
    </row>
    <row r="24" spans="1:20" ht="13.5" thickBot="1">
      <c r="T24" s="1179"/>
    </row>
    <row r="25" spans="1:20" ht="13.5" customHeight="1" thickBot="1">
      <c r="A25" s="536" t="s">
        <v>765</v>
      </c>
      <c r="B25" s="537"/>
      <c r="C25" s="537"/>
      <c r="D25" s="537"/>
      <c r="E25" s="537"/>
      <c r="F25" s="537"/>
      <c r="G25" s="537"/>
      <c r="H25" s="537"/>
      <c r="I25" s="537"/>
      <c r="J25" s="537"/>
      <c r="K25" s="537"/>
      <c r="L25" s="537"/>
      <c r="M25" s="537"/>
      <c r="N25" s="537"/>
      <c r="O25" s="537"/>
      <c r="P25" s="537"/>
      <c r="Q25" s="537"/>
      <c r="R25" s="537"/>
      <c r="S25" s="537"/>
      <c r="T25" s="538"/>
    </row>
    <row r="26" spans="1:20" ht="13.5" thickBot="1">
      <c r="A26" s="535" t="s">
        <v>1318</v>
      </c>
      <c r="B26" s="1292" t="s">
        <v>2</v>
      </c>
      <c r="C26" s="1293"/>
      <c r="D26" s="1293"/>
      <c r="E26" s="1293"/>
      <c r="F26" s="1293"/>
      <c r="G26" s="1293"/>
      <c r="H26" s="1293"/>
      <c r="I26" s="1293"/>
      <c r="J26" s="1294"/>
      <c r="K26" s="1295" t="s">
        <v>764</v>
      </c>
      <c r="L26" s="1295"/>
      <c r="M26" s="1295"/>
      <c r="N26" s="1295"/>
      <c r="O26" s="1295"/>
      <c r="P26" s="1295"/>
      <c r="Q26" s="1295"/>
      <c r="R26" s="1295"/>
      <c r="S26" s="1295"/>
      <c r="T26" s="1296"/>
    </row>
    <row r="27" spans="1:20" ht="25.5">
      <c r="A27" s="73" t="s">
        <v>766</v>
      </c>
      <c r="B27" s="74">
        <f>E27-2</f>
        <v>2018</v>
      </c>
      <c r="C27" s="75">
        <f>B27+1</f>
        <v>2019</v>
      </c>
      <c r="D27" s="76" t="str">
        <f>B27&amp;"-"&amp;C27</f>
        <v>2018-2019</v>
      </c>
      <c r="E27" s="74" t="str">
        <f>$T$1</f>
        <v>2020</v>
      </c>
      <c r="F27" s="75">
        <f>E27+1</f>
        <v>2021</v>
      </c>
      <c r="G27" s="76" t="str">
        <f>E27&amp;"-"&amp;F27</f>
        <v>2020-2021</v>
      </c>
      <c r="H27" s="74" t="s">
        <v>767</v>
      </c>
      <c r="I27" s="75" t="s">
        <v>768</v>
      </c>
      <c r="J27" s="75" t="s">
        <v>769</v>
      </c>
      <c r="K27" s="77">
        <f>N27-2</f>
        <v>2018</v>
      </c>
      <c r="L27" s="75">
        <f>K27+1</f>
        <v>2019</v>
      </c>
      <c r="M27" s="76" t="str">
        <f>K27&amp;"-"&amp;L27</f>
        <v>2018-2019</v>
      </c>
      <c r="N27" s="74" t="str">
        <f>$T$1</f>
        <v>2020</v>
      </c>
      <c r="O27" s="75">
        <f>N27+1</f>
        <v>2021</v>
      </c>
      <c r="P27" s="76" t="str">
        <f>N27&amp;"-"&amp;O27</f>
        <v>2020-2021</v>
      </c>
      <c r="Q27" s="74" t="s">
        <v>767</v>
      </c>
      <c r="R27" s="75" t="s">
        <v>768</v>
      </c>
      <c r="S27" s="78" t="s">
        <v>769</v>
      </c>
      <c r="T27" s="78" t="s">
        <v>770</v>
      </c>
    </row>
    <row r="28" spans="1:20">
      <c r="A28" s="79" t="s">
        <v>3</v>
      </c>
      <c r="B28" s="80">
        <f>(INDEX(Data!4:4,1,$U$1-2)-INDEX(Data!1236:1236,1,$U$1-2))/1000000</f>
        <v>3354.2754490000002</v>
      </c>
      <c r="C28" s="81">
        <f>(INDEX(Data!4:4,1,$U$1-1)-INDEX(Data!1236:1236,1,$U$1-1))/1000000</f>
        <v>2888.815212</v>
      </c>
      <c r="D28" s="82">
        <f>B28+C28</f>
        <v>6243.0906610000002</v>
      </c>
      <c r="E28" s="80">
        <f>(INDEX(Data!4:4,1,$U$1)-INDEX(Data!1236:1236,1,$U$1))/1000000</f>
        <v>4348.3168260000002</v>
      </c>
      <c r="F28" s="81">
        <f>(INDEX(Data!4:4,1,$U$1+1)-INDEX(Data!1236:1236,1,$U$1+1))/1000000</f>
        <v>3104.3725979999999</v>
      </c>
      <c r="G28" s="82">
        <f>E28+F28</f>
        <v>7452.6894240000001</v>
      </c>
      <c r="H28" s="83">
        <f>G28-D28</f>
        <v>1209.598763</v>
      </c>
      <c r="I28" s="443">
        <f>IFERROR(H28/D28,"")</f>
        <v>0.19374999157969139</v>
      </c>
      <c r="J28" s="444">
        <f t="shared" ref="J28:J39" si="0">IFERROR(G28/G$39,"")</f>
        <v>3.0013186546421239E-2</v>
      </c>
      <c r="K28" s="402">
        <f>(INDEX(Data!17:17,1,$U$1-2)-INDEX(Data!1393:1393,1,$U$1-2))/1000000</f>
        <v>1633.2757529999999</v>
      </c>
      <c r="L28" s="81">
        <f>(INDEX(Data!17:17,1,$U$1-1)-INDEX(Data!1393:1393,1,$U$1-1))/1000000</f>
        <v>1640.4810689999999</v>
      </c>
      <c r="M28" s="82">
        <f>K28+L28</f>
        <v>3273.7568219999998</v>
      </c>
      <c r="N28" s="80">
        <f>(INDEX(Data!17:17,1,$U$1)-INDEX(Data!1393:1393,1,$U$1))/1000000</f>
        <v>2265.2178950000002</v>
      </c>
      <c r="O28" s="81">
        <f>(INDEX(Data!17:17,1,$U$1+1)-INDEX(Data!1393:1393,1,$U$1+1))/1000000</f>
        <v>1763.4168500000001</v>
      </c>
      <c r="P28" s="82">
        <f>N28+O28</f>
        <v>4028.6347450000003</v>
      </c>
      <c r="Q28" s="83">
        <f>P28-M28</f>
        <v>754.87792300000046</v>
      </c>
      <c r="R28" s="443">
        <f>IFERROR(Q28/M28,"")</f>
        <v>0.23058460479628151</v>
      </c>
      <c r="S28" s="444">
        <f t="shared" ref="S28:S39" si="1">IFERROR(P28/P$39,"")</f>
        <v>3.405047952347532E-2</v>
      </c>
      <c r="T28" s="444">
        <f>IFERROR(P28/G28,"")</f>
        <v>0.54056120090373438</v>
      </c>
    </row>
    <row r="29" spans="1:20">
      <c r="A29" s="79" t="s">
        <v>4</v>
      </c>
      <c r="B29" s="86">
        <f>(INDEX(Data!5:5,1,$U$1-2)-INDEX(Data!1237:1237,1,$U$1-2))/1000000</f>
        <v>39650.748870000003</v>
      </c>
      <c r="C29" s="87">
        <f>(INDEX(Data!5:5,1,$U$1-1)-INDEX(Data!1237:1237,1,$U$1-1))/1000000</f>
        <v>39220.908359000001</v>
      </c>
      <c r="D29" s="88">
        <f>B29+C29</f>
        <v>78871.657229000004</v>
      </c>
      <c r="E29" s="89">
        <f>(INDEX(Data!5:5,1,$U$1)-INDEX(Data!1237:1237,1,$U$1))/1000000</f>
        <v>41794.425151000003</v>
      </c>
      <c r="F29" s="90">
        <f>(INDEX(Data!5:5,1,$U$1+1)-INDEX(Data!1237:1237,1,$U$1+1))/1000000</f>
        <v>42509.403919999997</v>
      </c>
      <c r="G29" s="88">
        <f>E29+F29</f>
        <v>84303.829071</v>
      </c>
      <c r="H29" s="86">
        <f>G29-D29</f>
        <v>5432.1718419999961</v>
      </c>
      <c r="I29" s="443">
        <f>IFERROR(H29/D29,"")</f>
        <v>6.8873560323804914E-2</v>
      </c>
      <c r="J29" s="444">
        <f t="shared" si="0"/>
        <v>0.33950516444941459</v>
      </c>
      <c r="K29" s="508">
        <f>(INDEX(Data!18:18,1,$U$1-2)-INDEX(Data!1394:1394,1,$U$1-2))/1000000</f>
        <v>16754.256216000002</v>
      </c>
      <c r="L29" s="87">
        <f>(INDEX(Data!18:18,1,$U$1-1)-INDEX(Data!1394:1394,1,$U$1-1))/1000000</f>
        <v>16134.147188000001</v>
      </c>
      <c r="M29" s="88">
        <f>K29+L29</f>
        <v>32888.403404000004</v>
      </c>
      <c r="N29" s="1098">
        <f>(INDEX(Data!18:18,1,$U$1)-INDEX(Data!1394:1394,1,$U$1))/1000000</f>
        <v>16781.828351</v>
      </c>
      <c r="O29" s="87">
        <f>(INDEX(Data!18:18,1,$U$1+1)-INDEX(Data!1394:1394,1,$U$1+1))/1000000</f>
        <v>16861.428630999999</v>
      </c>
      <c r="P29" s="88">
        <f>N29+O29</f>
        <v>33643.256981999999</v>
      </c>
      <c r="Q29" s="86">
        <f t="shared" ref="Q29:Q37" si="2">P29-M29</f>
        <v>754.85357799999474</v>
      </c>
      <c r="R29" s="443">
        <f t="shared" ref="R29:R39" si="3">IFERROR(Q29/M29,"")</f>
        <v>2.2951967863182644E-2</v>
      </c>
      <c r="S29" s="444">
        <f t="shared" si="1"/>
        <v>0.28435663828556118</v>
      </c>
      <c r="T29" s="444">
        <f>IFERROR(P29/G29,"")</f>
        <v>0.39907151730517387</v>
      </c>
    </row>
    <row r="30" spans="1:20">
      <c r="A30" s="421" t="s">
        <v>5</v>
      </c>
      <c r="B30" s="86">
        <f>B75</f>
        <v>41170.746188000005</v>
      </c>
      <c r="C30" s="87">
        <f>C75</f>
        <v>39831.529689999996</v>
      </c>
      <c r="D30" s="88">
        <f t="shared" ref="D30:D37" si="4">B30+C30</f>
        <v>81002.275878</v>
      </c>
      <c r="E30" s="86">
        <f>E75</f>
        <v>47927.983109000001</v>
      </c>
      <c r="F30" s="87">
        <f>F75</f>
        <v>47973.937749000004</v>
      </c>
      <c r="G30" s="88">
        <f t="shared" ref="G30:G31" si="5">E30+F30</f>
        <v>95901.920857999998</v>
      </c>
      <c r="H30" s="86">
        <f t="shared" ref="H30:H37" si="6">G30-D30</f>
        <v>14899.644979999997</v>
      </c>
      <c r="I30" s="443">
        <f t="shared" ref="I30:I38" si="7">IFERROR(H30/D30,"")</f>
        <v>0.18394106608116551</v>
      </c>
      <c r="J30" s="444">
        <f t="shared" si="0"/>
        <v>0.38621255725512704</v>
      </c>
      <c r="K30" s="91">
        <f>K75</f>
        <v>29201.013244000002</v>
      </c>
      <c r="L30" s="87">
        <f>L75</f>
        <v>27256.467513000003</v>
      </c>
      <c r="M30" s="88">
        <f t="shared" ref="M30:M37" si="8">K30+L30</f>
        <v>56457.480757000005</v>
      </c>
      <c r="N30" s="86">
        <f>N75</f>
        <v>33344.230597231261</v>
      </c>
      <c r="O30" s="87">
        <f>O75</f>
        <v>32370.707365999999</v>
      </c>
      <c r="P30" s="88">
        <f t="shared" ref="P30:P37" si="9">N30+O30</f>
        <v>65714.937963231263</v>
      </c>
      <c r="Q30" s="86">
        <f t="shared" si="2"/>
        <v>9257.4572062312582</v>
      </c>
      <c r="R30" s="443">
        <f t="shared" si="3"/>
        <v>0.16397219787536219</v>
      </c>
      <c r="S30" s="444">
        <f t="shared" si="1"/>
        <v>0.55543013728921631</v>
      </c>
      <c r="T30" s="444">
        <f t="shared" ref="T30:T38" si="10">IFERROR(P30/G30,"")</f>
        <v>0.6852306749990339</v>
      </c>
    </row>
    <row r="31" spans="1:20">
      <c r="A31" s="92" t="s">
        <v>7</v>
      </c>
      <c r="B31" s="86">
        <f>(INDEX(Data!8:8,1,$U$1-2)-INDEX(Data!1239:1239,1,$U$1-2))/1000000</f>
        <v>6233.9989999999998</v>
      </c>
      <c r="C31" s="87">
        <f>(INDEX(Data!8:8,1,$U$1-1)-INDEX(Data!1239:1239,1,$U$1-1))/1000000</f>
        <v>6071.6550589999997</v>
      </c>
      <c r="D31" s="88">
        <f t="shared" si="4"/>
        <v>12305.654059</v>
      </c>
      <c r="E31" s="93">
        <f>(INDEX(Data!8:8,1,$U$1)-INDEX(Data!1239:1239,1,$U$1))/1000000</f>
        <v>6321.2968879999999</v>
      </c>
      <c r="F31" s="94">
        <f>(INDEX(Data!8:8,1,$U$1+1)-INDEX(Data!1239:1239,1,$U$1+1))/1000000</f>
        <v>6227.5985499999997</v>
      </c>
      <c r="G31" s="88">
        <f t="shared" si="5"/>
        <v>12548.895438</v>
      </c>
      <c r="H31" s="86">
        <f t="shared" si="6"/>
        <v>243.24137899999914</v>
      </c>
      <c r="I31" s="443">
        <f t="shared" si="7"/>
        <v>1.9766635550923797E-2</v>
      </c>
      <c r="J31" s="444">
        <f t="shared" si="0"/>
        <v>5.0536432998181037E-2</v>
      </c>
      <c r="K31" s="91">
        <f>(INDEX(Data!21:21,1,$U$1-2)-INDEX(Data!1396:1396,1,$U$1-2))/1000000</f>
        <v>5701.5164020000002</v>
      </c>
      <c r="L31" s="87">
        <f>(INDEX(Data!21:21,1,$U$1-1)-INDEX(Data!1396:1396,1,$U$1-1))/1000000</f>
        <v>5709.8416980000002</v>
      </c>
      <c r="M31" s="88">
        <f t="shared" si="8"/>
        <v>11411.358100000001</v>
      </c>
      <c r="N31" s="93">
        <f>(INDEX(Data!21:21,1,$U$1)-INDEX(Data!1396:1396,1,$U$1))/1000000</f>
        <v>6070.1655250000003</v>
      </c>
      <c r="O31" s="94">
        <f>(INDEX(Data!21:21,1,$U$1+1)-INDEX(Data!1396:1396,1,$U$1+1))/1000000</f>
        <v>6002.089309</v>
      </c>
      <c r="P31" s="88">
        <f t="shared" si="9"/>
        <v>12072.254833999999</v>
      </c>
      <c r="Q31" s="86">
        <f t="shared" si="2"/>
        <v>660.8967339999981</v>
      </c>
      <c r="R31" s="443">
        <f t="shared" si="3"/>
        <v>5.7915694889988427E-2</v>
      </c>
      <c r="S31" s="444">
        <f t="shared" si="1"/>
        <v>0.10203607227919415</v>
      </c>
      <c r="T31" s="444">
        <f t="shared" si="10"/>
        <v>0.96201732603838119</v>
      </c>
    </row>
    <row r="32" spans="1:20">
      <c r="A32" s="92" t="s">
        <v>6</v>
      </c>
      <c r="B32" s="86">
        <f>(INDEX(Data!7:7,1,$U$1-2)-INDEX(Data!1238:1238,1,$U$1-2))/1000000</f>
        <v>420.85744399999999</v>
      </c>
      <c r="C32" s="87">
        <f>(INDEX(Data!7:7,1,$U$1-1)-INDEX(Data!1238:1238,1,$U$1-1))/1000000</f>
        <v>409.73665599999998</v>
      </c>
      <c r="D32" s="88">
        <f t="shared" si="4"/>
        <v>830.59410000000003</v>
      </c>
      <c r="E32" s="93">
        <f>(INDEX(Data!7:7,1,$U$1)-INDEX(Data!1238:1238,1,$U$1))/1000000</f>
        <v>485.53604200000001</v>
      </c>
      <c r="F32" s="94">
        <f>(INDEX(Data!7:7,1,$U$1+1)-INDEX(Data!1238:1238,1,$U$1+1))/1000000</f>
        <v>448.21905600000002</v>
      </c>
      <c r="G32" s="88">
        <f>E32+F32</f>
        <v>933.75509800000009</v>
      </c>
      <c r="H32" s="86">
        <f>G32-D32</f>
        <v>103.16099800000006</v>
      </c>
      <c r="I32" s="443">
        <f>IFERROR(H32/D32,"")</f>
        <v>0.12420145772766754</v>
      </c>
      <c r="J32" s="444">
        <f t="shared" si="0"/>
        <v>3.760382910187651E-3</v>
      </c>
      <c r="K32" s="91">
        <f>(INDEX(Data!20:20,1,$U$1-2)-INDEX(Data!1395:1395,1,$U$1-2))/1000000</f>
        <v>245.98693900000001</v>
      </c>
      <c r="L32" s="87">
        <f>(INDEX(Data!20:20,1,$U$1-1)-INDEX(Data!1395:1395,1,$U$1-1))/1000000</f>
        <v>245.44341900000001</v>
      </c>
      <c r="M32" s="88">
        <f t="shared" si="8"/>
        <v>491.43035800000001</v>
      </c>
      <c r="N32" s="93">
        <f>(INDEX(Data!20:20,1,$U$1)-INDEX(Data!1395:1395,1,$U$1))/1000000</f>
        <v>279.12532399999998</v>
      </c>
      <c r="O32" s="94">
        <f>(INDEX(Data!20:20,1,$U$1+1)-INDEX(Data!1395:1395,1,$U$1+1))/1000000</f>
        <v>266.57301699999999</v>
      </c>
      <c r="P32" s="88">
        <f t="shared" si="9"/>
        <v>545.69834100000003</v>
      </c>
      <c r="Q32" s="86">
        <f>P32-M32</f>
        <v>54.267983000000015</v>
      </c>
      <c r="R32" s="443">
        <f>IFERROR(Q32/M32,"")</f>
        <v>0.11042863371497293</v>
      </c>
      <c r="S32" s="444">
        <f t="shared" si="1"/>
        <v>4.6123045057079133E-3</v>
      </c>
      <c r="T32" s="444">
        <f>IFERROR(P32/G32,"")</f>
        <v>0.58441270325465999</v>
      </c>
    </row>
    <row r="33" spans="1:20">
      <c r="A33" s="92" t="s">
        <v>8</v>
      </c>
      <c r="B33" s="86">
        <f>(INDEX(Data!9:9,1,$U$1-2)-INDEX(Data!1240:1240,1,$U$1-2))/1000000</f>
        <v>2291.9732650000001</v>
      </c>
      <c r="C33" s="87">
        <f>(INDEX(Data!9:9,1,$U$1-1)-INDEX(Data!1240:1240,1,$U$1-1))/1000000</f>
        <v>2162.868555</v>
      </c>
      <c r="D33" s="88">
        <f t="shared" si="4"/>
        <v>4454.8418199999996</v>
      </c>
      <c r="E33" s="93">
        <f>(INDEX(Data!9:9,1,$U$1)-INDEX(Data!1240:1240,1,$U$1))/1000000</f>
        <v>4578.9754359999997</v>
      </c>
      <c r="F33" s="94">
        <f>(INDEX(Data!9:9,1,$U$1+1)-INDEX(Data!1240:1240,1,$U$1+1))/1000000</f>
        <v>4433.3996049999996</v>
      </c>
      <c r="G33" s="88">
        <f t="shared" ref="G33:G37" si="11">E33+F33</f>
        <v>9012.3750409999993</v>
      </c>
      <c r="H33" s="86">
        <f t="shared" ref="H33:H36" si="12">G33-D33</f>
        <v>4557.5332209999997</v>
      </c>
      <c r="I33" s="443">
        <f t="shared" ref="I33:I36" si="13">IFERROR(H33/D33,"")</f>
        <v>1.0230516380040628</v>
      </c>
      <c r="J33" s="444">
        <f t="shared" si="0"/>
        <v>3.629429296500411E-2</v>
      </c>
      <c r="K33" s="91">
        <f>(INDEX(Data!22:22,1,$U$1-2)-INDEX(Data!1397:1397,1,$U$1-2))/1000000</f>
        <v>452.12407000000002</v>
      </c>
      <c r="L33" s="87">
        <f>(INDEX(Data!22:22,1,$U$1-1)-INDEX(Data!1397:1397,1,$U$1-1))/1000000</f>
        <v>438.21683200000001</v>
      </c>
      <c r="M33" s="88">
        <f t="shared" si="8"/>
        <v>890.34090200000003</v>
      </c>
      <c r="N33" s="93">
        <f>(INDEX(Data!22:22,1,$U$1)-INDEX(Data!1397:1397,1,$U$1))/1000000</f>
        <v>525.32331799999997</v>
      </c>
      <c r="O33" s="94">
        <f>(INDEX(Data!22:22,1,$U$1+1)-INDEX(Data!1397:1397,1,$U$1+1))/1000000</f>
        <v>486.40563400000002</v>
      </c>
      <c r="P33" s="88">
        <f t="shared" si="9"/>
        <v>1011.7289519999999</v>
      </c>
      <c r="Q33" s="86">
        <f t="shared" ref="Q33:Q36" si="14">P33-M33</f>
        <v>121.38804999999991</v>
      </c>
      <c r="R33" s="443">
        <f t="shared" ref="R33:R36" si="15">IFERROR(Q33/M33,"")</f>
        <v>0.13633884473612548</v>
      </c>
      <c r="S33" s="444">
        <f t="shared" si="1"/>
        <v>8.5512482873110751E-3</v>
      </c>
      <c r="T33" s="444">
        <f t="shared" si="10"/>
        <v>0.11225997002980249</v>
      </c>
    </row>
    <row r="34" spans="1:20">
      <c r="A34" s="92" t="s">
        <v>9</v>
      </c>
      <c r="B34" s="86">
        <f>(INDEX(Data!10:10,1,$U$1-2)-INDEX(Data!1241:1241,1,$U$1-2))/1000000</f>
        <v>15068.789158</v>
      </c>
      <c r="C34" s="87">
        <f>(INDEX(Data!10:10,1,$U$1-1)-INDEX(Data!1241:1241,1,$U$1-1))/1000000</f>
        <v>16772.841821999999</v>
      </c>
      <c r="D34" s="88">
        <f t="shared" si="4"/>
        <v>31841.630979999998</v>
      </c>
      <c r="E34" s="93">
        <f>(INDEX(Data!10:10,1,$U$1)-INDEX(Data!1241:1241,1,$U$1))/1000000</f>
        <v>19098.789850000001</v>
      </c>
      <c r="F34" s="94">
        <f>(INDEX(Data!10:10,1,$U$1+1)-INDEX(Data!1241:1241,1,$U$1+1))/1000000</f>
        <v>17962.318337000001</v>
      </c>
      <c r="G34" s="88">
        <f t="shared" si="11"/>
        <v>37061.108187000005</v>
      </c>
      <c r="H34" s="86">
        <f t="shared" si="12"/>
        <v>5219.4772070000072</v>
      </c>
      <c r="I34" s="443">
        <f t="shared" si="13"/>
        <v>0.16391990756624261</v>
      </c>
      <c r="J34" s="444">
        <f t="shared" si="0"/>
        <v>0.14925108109986504</v>
      </c>
      <c r="K34" s="91">
        <f>(INDEX(Data!23:23,1,$U$1-2)-INDEX(Data!1398:1398,1,$U$1-2))/1000000</f>
        <v>256.80068899999998</v>
      </c>
      <c r="L34" s="87">
        <f>(INDEX(Data!23:23,1,$U$1-1)-INDEX(Data!1398:1398,1,$U$1-1))/1000000</f>
        <v>256.80517900000001</v>
      </c>
      <c r="M34" s="88">
        <f t="shared" si="8"/>
        <v>513.60586799999999</v>
      </c>
      <c r="N34" s="93">
        <f>(INDEX(Data!23:23,1,$U$1)-INDEX(Data!1398:1398,1,$U$1))/1000000</f>
        <v>278.414309</v>
      </c>
      <c r="O34" s="94">
        <f>(INDEX(Data!23:23,1,$U$1+1)-INDEX(Data!1398:1398,1,$U$1+1))/1000000</f>
        <v>247.457256</v>
      </c>
      <c r="P34" s="88">
        <f t="shared" si="9"/>
        <v>525.87156500000003</v>
      </c>
      <c r="Q34" s="86">
        <f t="shared" si="14"/>
        <v>12.265697000000046</v>
      </c>
      <c r="R34" s="443">
        <f t="shared" si="15"/>
        <v>2.3881535948495132E-2</v>
      </c>
      <c r="S34" s="444">
        <f t="shared" si="1"/>
        <v>4.4447263376840131E-3</v>
      </c>
      <c r="T34" s="444">
        <f t="shared" si="10"/>
        <v>1.418931032354993E-2</v>
      </c>
    </row>
    <row r="35" spans="1:20">
      <c r="A35" s="92" t="s">
        <v>10</v>
      </c>
      <c r="B35" s="86">
        <f>(INDEX(Data!11:11,1,$U$1-2)-INDEX(Data!1242:1242,1,$U$1-2))/1000000</f>
        <v>330.23996799999998</v>
      </c>
      <c r="C35" s="87">
        <f>(INDEX(Data!11:11,1,$U$1-1)-INDEX(Data!1242:1242,1,$U$1-1))/1000000</f>
        <v>345.012787</v>
      </c>
      <c r="D35" s="88">
        <f t="shared" si="4"/>
        <v>675.25275499999998</v>
      </c>
      <c r="E35" s="93">
        <f>(INDEX(Data!11:11,1,$U$1)-INDEX(Data!1242:1242,1,$U$1))/1000000</f>
        <v>344.48010199999999</v>
      </c>
      <c r="F35" s="94">
        <f>(INDEX(Data!11:11,1,$U$1+1)-INDEX(Data!1242:1242,1,$U$1+1))/1000000</f>
        <v>362.55359600000003</v>
      </c>
      <c r="G35" s="88">
        <f t="shared" si="11"/>
        <v>707.03369799999996</v>
      </c>
      <c r="H35" s="86">
        <f t="shared" si="12"/>
        <v>31.780942999999979</v>
      </c>
      <c r="I35" s="443">
        <f t="shared" si="13"/>
        <v>4.7065254846683266E-2</v>
      </c>
      <c r="J35" s="444">
        <f t="shared" si="0"/>
        <v>2.8473391369756959E-3</v>
      </c>
      <c r="K35" s="91">
        <f>(INDEX(Data!24:24,1,$U$1-2)-INDEX(Data!1399:1399,1,$U$1-2))/1000000</f>
        <v>173.926131</v>
      </c>
      <c r="L35" s="87">
        <f>(INDEX(Data!24:24,1,$U$1-1)-INDEX(Data!1399:1399,1,$U$1-1))/1000000</f>
        <v>173.303639</v>
      </c>
      <c r="M35" s="88">
        <f t="shared" si="8"/>
        <v>347.22977000000003</v>
      </c>
      <c r="N35" s="93">
        <f>(INDEX(Data!24:24,1,$U$1)-INDEX(Data!1399:1399,1,$U$1))/1000000</f>
        <v>189.23020099999999</v>
      </c>
      <c r="O35" s="94">
        <f>(INDEX(Data!24:24,1,$U$1+1)-INDEX(Data!1399:1399,1,$U$1+1))/1000000</f>
        <v>189.959981</v>
      </c>
      <c r="P35" s="88">
        <f t="shared" si="9"/>
        <v>379.19018199999999</v>
      </c>
      <c r="Q35" s="86">
        <f t="shared" si="14"/>
        <v>31.960411999999963</v>
      </c>
      <c r="R35" s="443">
        <f t="shared" si="15"/>
        <v>9.204398574465536E-2</v>
      </c>
      <c r="S35" s="444">
        <f t="shared" si="1"/>
        <v>3.2049585889409983E-3</v>
      </c>
      <c r="T35" s="444">
        <f t="shared" si="10"/>
        <v>0.53631132868577924</v>
      </c>
    </row>
    <row r="36" spans="1:20">
      <c r="A36" s="92" t="s">
        <v>11</v>
      </c>
      <c r="B36" s="86">
        <f>(INDEX(Data!12:12,1,$U$1-2)-INDEX(Data!1243:1243,1,$U$1-2))/1000000</f>
        <v>0</v>
      </c>
      <c r="C36" s="87">
        <f>(INDEX(Data!12:12,1,$U$1-1)-INDEX(Data!1243:1243,1,$U$1-1))/1000000</f>
        <v>0</v>
      </c>
      <c r="D36" s="88">
        <f t="shared" si="4"/>
        <v>0</v>
      </c>
      <c r="E36" s="93">
        <f>(INDEX(Data!12:12,1,$U$1)-INDEX(Data!1243:1243,1,$U$1))/1000000</f>
        <v>0</v>
      </c>
      <c r="F36" s="94">
        <f>(INDEX(Data!12:12,1,$U$1+1)-INDEX(Data!1243:1243,1,$U$1+1))/1000000</f>
        <v>0</v>
      </c>
      <c r="G36" s="88">
        <f t="shared" si="11"/>
        <v>0</v>
      </c>
      <c r="H36" s="86">
        <f t="shared" si="12"/>
        <v>0</v>
      </c>
      <c r="I36" s="443" t="str">
        <f t="shared" si="13"/>
        <v/>
      </c>
      <c r="J36" s="444">
        <f t="shared" si="0"/>
        <v>0</v>
      </c>
      <c r="K36" s="91">
        <f>(INDEX(Data!25:25,1,$U$1-2)-INDEX(Data!1400:1400,1,$U$1-2))/1000000</f>
        <v>0</v>
      </c>
      <c r="L36" s="87">
        <f>(INDEX(Data!25:25,1,$U$1-1)-INDEX(Data!1400:1400,1,$U$1-1))/1000000</f>
        <v>0</v>
      </c>
      <c r="M36" s="88">
        <f t="shared" si="8"/>
        <v>0</v>
      </c>
      <c r="N36" s="93">
        <f>(INDEX(Data!25:25,1,$U$1)-INDEX(Data!1400:1400,1,$U$1))/1000000</f>
        <v>0</v>
      </c>
      <c r="O36" s="94">
        <f>(INDEX(Data!25:25,1,$U$1+1)-INDEX(Data!1400:1400,1,$U$1+1))/1000000</f>
        <v>0</v>
      </c>
      <c r="P36" s="88">
        <f t="shared" si="9"/>
        <v>0</v>
      </c>
      <c r="Q36" s="86">
        <f t="shared" si="14"/>
        <v>0</v>
      </c>
      <c r="R36" s="443" t="str">
        <f t="shared" si="15"/>
        <v/>
      </c>
      <c r="S36" s="444">
        <f t="shared" si="1"/>
        <v>0</v>
      </c>
      <c r="T36" s="444" t="str">
        <f t="shared" si="10"/>
        <v/>
      </c>
    </row>
    <row r="37" spans="1:20">
      <c r="A37" s="79" t="s">
        <v>12</v>
      </c>
      <c r="B37" s="86">
        <f>(INDEX(Data!13:13,1,$U$1-2)-INDEX(Data!1244:1244,1,$U$1-2))/1000000</f>
        <v>189.082075</v>
      </c>
      <c r="C37" s="87">
        <f>(INDEX(Data!13:13,1,$U$1-1)-INDEX(Data!1244:1244,1,$U$1-1))/1000000</f>
        <v>198.43492800000001</v>
      </c>
      <c r="D37" s="88">
        <f t="shared" si="4"/>
        <v>387.51700300000005</v>
      </c>
      <c r="E37" s="93">
        <f>(INDEX(Data!13:13,1,$U$1)-INDEX(Data!1244:1244,1,$U$1))/1000000</f>
        <v>193.16510299999999</v>
      </c>
      <c r="F37" s="94">
        <f>(INDEX(Data!13:13,1,$U$1+1)-INDEX(Data!1244:1244,1,$U$1+1))/1000000</f>
        <v>199.062152</v>
      </c>
      <c r="G37" s="88">
        <f t="shared" si="11"/>
        <v>392.22725500000001</v>
      </c>
      <c r="H37" s="86">
        <f t="shared" si="6"/>
        <v>4.7102519999999686</v>
      </c>
      <c r="I37" s="443">
        <f t="shared" si="7"/>
        <v>1.2154955688486185E-2</v>
      </c>
      <c r="J37" s="444">
        <f t="shared" si="0"/>
        <v>1.5795626388235406E-3</v>
      </c>
      <c r="K37" s="91">
        <f>(INDEX(Data!26:26,1,$U$1-2)-INDEX(Data!1401:1401,1,$U$1-2))/1000000</f>
        <v>188.98065</v>
      </c>
      <c r="L37" s="87">
        <f>(INDEX(Data!26:26,1,$U$1-1)-INDEX(Data!1401:1401,1,$U$1-1))/1000000</f>
        <v>198.33350300000001</v>
      </c>
      <c r="M37" s="88">
        <f t="shared" si="8"/>
        <v>387.31415300000003</v>
      </c>
      <c r="N37" s="93">
        <f>(INDEX(Data!26:26,1,$U$1)-INDEX(Data!1401:1401,1,$U$1))/1000000</f>
        <v>193.06367800000001</v>
      </c>
      <c r="O37" s="94">
        <f>(INDEX(Data!26:26,1,$U$1+1)-INDEX(Data!1401:1401,1,$U$1+1))/1000000</f>
        <v>198.96072699999999</v>
      </c>
      <c r="P37" s="88">
        <f t="shared" si="9"/>
        <v>392.024405</v>
      </c>
      <c r="Q37" s="86">
        <f t="shared" si="2"/>
        <v>4.7102519999999686</v>
      </c>
      <c r="R37" s="443">
        <f t="shared" si="3"/>
        <v>1.2161321664896578E-2</v>
      </c>
      <c r="S37" s="444">
        <f t="shared" si="1"/>
        <v>3.3134349029090484E-3</v>
      </c>
      <c r="T37" s="444">
        <f t="shared" si="10"/>
        <v>0.99948282533298194</v>
      </c>
    </row>
    <row r="38" spans="1:20">
      <c r="A38" s="92" t="s">
        <v>715</v>
      </c>
      <c r="B38" s="86">
        <f t="shared" ref="B38:H38" si="16">SUM(B32:B37)</f>
        <v>18300.941910000001</v>
      </c>
      <c r="C38" s="87">
        <f t="shared" si="16"/>
        <v>19888.894747999995</v>
      </c>
      <c r="D38" s="88">
        <f t="shared" si="16"/>
        <v>38189.836658</v>
      </c>
      <c r="E38" s="93">
        <f t="shared" si="16"/>
        <v>24700.946533000002</v>
      </c>
      <c r="F38" s="94">
        <f t="shared" si="16"/>
        <v>23405.552746000001</v>
      </c>
      <c r="G38" s="88">
        <f t="shared" si="16"/>
        <v>48106.499279000003</v>
      </c>
      <c r="H38" s="86">
        <f t="shared" si="16"/>
        <v>9916.6626210000086</v>
      </c>
      <c r="I38" s="443">
        <f t="shared" si="7"/>
        <v>0.25966758406971785</v>
      </c>
      <c r="J38" s="444">
        <f t="shared" si="0"/>
        <v>0.19373265875085605</v>
      </c>
      <c r="K38" s="91">
        <f t="shared" ref="K38:Q38" si="17">SUM(K32:K37)</f>
        <v>1317.8184789999998</v>
      </c>
      <c r="L38" s="87">
        <f t="shared" si="17"/>
        <v>1312.102572</v>
      </c>
      <c r="M38" s="88">
        <f t="shared" si="17"/>
        <v>2629.9210510000003</v>
      </c>
      <c r="N38" s="93">
        <f t="shared" si="17"/>
        <v>1465.1568300000001</v>
      </c>
      <c r="O38" s="94">
        <f t="shared" si="17"/>
        <v>1389.3566149999999</v>
      </c>
      <c r="P38" s="88">
        <f t="shared" si="17"/>
        <v>2854.513445</v>
      </c>
      <c r="Q38" s="86">
        <f t="shared" si="17"/>
        <v>224.5923939999999</v>
      </c>
      <c r="R38" s="443">
        <f t="shared" si="3"/>
        <v>8.5398911086932039E-2</v>
      </c>
      <c r="S38" s="444">
        <f t="shared" si="1"/>
        <v>2.4126672622553049E-2</v>
      </c>
      <c r="T38" s="444">
        <f t="shared" si="10"/>
        <v>5.9337376192037418E-2</v>
      </c>
    </row>
    <row r="39" spans="1:20" ht="13.5" thickBot="1">
      <c r="A39" s="95" t="s">
        <v>280</v>
      </c>
      <c r="B39" s="96">
        <f t="shared" ref="B39:C39" si="18">SUM(B28:B37)</f>
        <v>108710.71141699998</v>
      </c>
      <c r="C39" s="97">
        <f t="shared" si="18"/>
        <v>107901.80306799999</v>
      </c>
      <c r="D39" s="98">
        <f>SUM(D28:D37)</f>
        <v>216612.51448499996</v>
      </c>
      <c r="E39" s="96">
        <f t="shared" ref="E39:H39" si="19">SUM(E28:E37)</f>
        <v>125092.96850700001</v>
      </c>
      <c r="F39" s="97">
        <f t="shared" si="19"/>
        <v>123220.865563</v>
      </c>
      <c r="G39" s="98">
        <f t="shared" si="19"/>
        <v>248313.83407000001</v>
      </c>
      <c r="H39" s="96">
        <f t="shared" si="19"/>
        <v>31701.319585000001</v>
      </c>
      <c r="I39" s="445">
        <f>IFERROR(H39/D39,"")</f>
        <v>0.14635036050604205</v>
      </c>
      <c r="J39" s="446">
        <f t="shared" si="0"/>
        <v>1</v>
      </c>
      <c r="K39" s="100">
        <f t="shared" ref="K39:Q39" si="20">SUM(K28:K37)</f>
        <v>54607.880094000007</v>
      </c>
      <c r="L39" s="97">
        <f t="shared" si="20"/>
        <v>52053.040040000007</v>
      </c>
      <c r="M39" s="98">
        <f t="shared" si="20"/>
        <v>106660.92013400001</v>
      </c>
      <c r="N39" s="96">
        <f t="shared" si="20"/>
        <v>59926.599198231263</v>
      </c>
      <c r="O39" s="97">
        <f t="shared" si="20"/>
        <v>58386.998771000006</v>
      </c>
      <c r="P39" s="98">
        <f t="shared" si="20"/>
        <v>118313.59796923127</v>
      </c>
      <c r="Q39" s="96">
        <f t="shared" si="20"/>
        <v>11652.677835231252</v>
      </c>
      <c r="R39" s="445">
        <f t="shared" si="3"/>
        <v>0.10924974039781192</v>
      </c>
      <c r="S39" s="446">
        <f t="shared" si="1"/>
        <v>1</v>
      </c>
      <c r="T39" s="446">
        <f>IFERROR(P39/G39,"")</f>
        <v>0.47646800836669656</v>
      </c>
    </row>
    <row r="40" spans="1:20">
      <c r="T40" s="1180"/>
    </row>
    <row r="41" spans="1:20">
      <c r="T41" s="410"/>
    </row>
    <row r="42" spans="1:20">
      <c r="T42" s="410"/>
    </row>
    <row r="43" spans="1:20">
      <c r="T43" s="410"/>
    </row>
    <row r="44" spans="1:20">
      <c r="T44" s="410"/>
    </row>
    <row r="45" spans="1:20">
      <c r="T45" s="410"/>
    </row>
    <row r="46" spans="1:20">
      <c r="T46" s="410"/>
    </row>
    <row r="47" spans="1:20">
      <c r="T47" s="410"/>
    </row>
    <row r="48" spans="1:20">
      <c r="T48" s="410"/>
    </row>
    <row r="49" spans="1:20">
      <c r="T49" s="410"/>
    </row>
    <row r="50" spans="1:20">
      <c r="T50" s="410"/>
    </row>
    <row r="51" spans="1:20">
      <c r="T51" s="410"/>
    </row>
    <row r="52" spans="1:20">
      <c r="T52" s="410"/>
    </row>
    <row r="53" spans="1:20">
      <c r="T53" s="410"/>
    </row>
    <row r="54" spans="1:20">
      <c r="T54" s="410"/>
    </row>
    <row r="55" spans="1:20">
      <c r="T55" s="410"/>
    </row>
    <row r="56" spans="1:20">
      <c r="T56" s="410"/>
    </row>
    <row r="57" spans="1:20">
      <c r="T57" s="410"/>
    </row>
    <row r="58" spans="1:20">
      <c r="J58" s="411"/>
      <c r="T58" s="411"/>
    </row>
    <row r="59" spans="1:20" ht="13.5" thickBot="1">
      <c r="T59" s="1179"/>
    </row>
    <row r="60" spans="1:20" ht="13.5" customHeight="1" thickBot="1">
      <c r="A60" s="536" t="s">
        <v>771</v>
      </c>
      <c r="B60" s="537"/>
      <c r="C60" s="537"/>
      <c r="D60" s="537"/>
      <c r="E60" s="537"/>
      <c r="F60" s="537"/>
      <c r="G60" s="537"/>
      <c r="H60" s="537"/>
      <c r="I60" s="537"/>
      <c r="J60" s="537"/>
      <c r="K60" s="537"/>
      <c r="L60" s="537"/>
      <c r="M60" s="537"/>
      <c r="N60" s="537"/>
      <c r="O60" s="537"/>
      <c r="P60" s="537"/>
      <c r="Q60" s="537"/>
      <c r="R60" s="537"/>
      <c r="S60" s="537"/>
      <c r="T60" s="538"/>
    </row>
    <row r="61" spans="1:20" ht="13.5" thickBot="1">
      <c r="A61" s="535" t="s">
        <v>1318</v>
      </c>
      <c r="B61" s="1292" t="s">
        <v>2</v>
      </c>
      <c r="C61" s="1293"/>
      <c r="D61" s="1293"/>
      <c r="E61" s="1293"/>
      <c r="F61" s="1293"/>
      <c r="G61" s="1293"/>
      <c r="H61" s="1293"/>
      <c r="I61" s="1293"/>
      <c r="J61" s="1294"/>
      <c r="K61" s="1295" t="s">
        <v>764</v>
      </c>
      <c r="L61" s="1295"/>
      <c r="M61" s="1295"/>
      <c r="N61" s="1295"/>
      <c r="O61" s="1295"/>
      <c r="P61" s="1295"/>
      <c r="Q61" s="1295"/>
      <c r="R61" s="1295"/>
      <c r="S61" s="1295"/>
      <c r="T61" s="1296"/>
    </row>
    <row r="62" spans="1:20" ht="25.5">
      <c r="A62" s="73" t="s">
        <v>772</v>
      </c>
      <c r="B62" s="74">
        <f>E62-2</f>
        <v>2018</v>
      </c>
      <c r="C62" s="75">
        <f>B62+1</f>
        <v>2019</v>
      </c>
      <c r="D62" s="76" t="str">
        <f>B62&amp;"-"&amp;C62</f>
        <v>2018-2019</v>
      </c>
      <c r="E62" s="74" t="str">
        <f>$T$1</f>
        <v>2020</v>
      </c>
      <c r="F62" s="75">
        <f>E62+1</f>
        <v>2021</v>
      </c>
      <c r="G62" s="76" t="str">
        <f>E62&amp;"-"&amp;F62</f>
        <v>2020-2021</v>
      </c>
      <c r="H62" s="74" t="s">
        <v>767</v>
      </c>
      <c r="I62" s="75" t="s">
        <v>768</v>
      </c>
      <c r="J62" s="77" t="s">
        <v>769</v>
      </c>
      <c r="K62" s="77">
        <f>N62-2</f>
        <v>2018</v>
      </c>
      <c r="L62" s="75">
        <f>K62+1</f>
        <v>2019</v>
      </c>
      <c r="M62" s="76" t="str">
        <f>K62&amp;"-"&amp;L62</f>
        <v>2018-2019</v>
      </c>
      <c r="N62" s="74" t="str">
        <f>$T$1</f>
        <v>2020</v>
      </c>
      <c r="O62" s="75">
        <f>N62+1</f>
        <v>2021</v>
      </c>
      <c r="P62" s="76" t="str">
        <f>N62&amp;"-"&amp;O62</f>
        <v>2020-2021</v>
      </c>
      <c r="Q62" s="74" t="s">
        <v>767</v>
      </c>
      <c r="R62" s="75" t="s">
        <v>768</v>
      </c>
      <c r="S62" s="78" t="s">
        <v>769</v>
      </c>
      <c r="T62" s="78" t="s">
        <v>770</v>
      </c>
    </row>
    <row r="63" spans="1:20" hidden="1" outlineLevel="1">
      <c r="A63" s="79" t="s">
        <v>19</v>
      </c>
      <c r="B63" s="83">
        <f>(INDEX(Data!30:30,1,$U$1-2)-INDEX(Data!1245:1245,1,$U$1-2))/1000000</f>
        <v>28182.057586999999</v>
      </c>
      <c r="C63" s="81">
        <f>(INDEX(Data!30:30,1,$U$1-1)-INDEX(Data!1245:1245,1,$U$1-1))/1000000</f>
        <v>27176.504316999999</v>
      </c>
      <c r="D63" s="82">
        <f>B63+C63</f>
        <v>55358.561904000002</v>
      </c>
      <c r="E63" s="102">
        <f>(INDEX(Data!30:30,1,$U$1)-INDEX(Data!1245:1245,1,$U$1))/1000000</f>
        <v>32530.797778</v>
      </c>
      <c r="F63" s="103">
        <f>(INDEX(Data!30:30,1,$U$1+1)-INDEX(Data!1245:1245,1,$U$1+1))/1000000</f>
        <v>32081.980785</v>
      </c>
      <c r="G63" s="82">
        <f t="shared" ref="G63:G66" si="21">E63+F63</f>
        <v>64612.778563</v>
      </c>
      <c r="H63" s="83">
        <f>G63-D63</f>
        <v>9254.2166589999979</v>
      </c>
      <c r="I63" s="84">
        <f>IFERROR(H63/D63,"")</f>
        <v>0.16716866083060808</v>
      </c>
      <c r="J63" s="412">
        <f>IFERROR(G63/G$39,"")</f>
        <v>0.26020611700911345</v>
      </c>
      <c r="K63" s="403">
        <f>(INDEX(Data!131:131,1,$U$1-2)-INDEX(Data!1402:1402,1,$U$1-2))/1000000</f>
        <v>19121.701026999999</v>
      </c>
      <c r="L63" s="103">
        <f>(INDEX(Data!131:131,1,$U$1-1)-INDEX(Data!1402:1402,1,$U$1-1))/1000000</f>
        <v>17493.445466000001</v>
      </c>
      <c r="M63" s="82">
        <f>K63+L63</f>
        <v>36615.146493</v>
      </c>
      <c r="N63" s="102">
        <f>(INDEX(Data!131:131,1,$U$1)-INDEX(Data!1402:1402,1,$U$1))/1000000</f>
        <v>22742.391007999999</v>
      </c>
      <c r="O63" s="103">
        <f>(INDEX(Data!131:131,1,$U$1+1)-INDEX(Data!1402:1402,1,$U$1+1))/1000000</f>
        <v>21979.471648999999</v>
      </c>
      <c r="P63" s="82">
        <f>N63+O63</f>
        <v>44721.862656999998</v>
      </c>
      <c r="Q63" s="83">
        <f>P63-M63</f>
        <v>8106.7161639999977</v>
      </c>
      <c r="R63" s="84">
        <f>IFERROR(Q63/M63,"")</f>
        <v>0.22140335190383087</v>
      </c>
      <c r="S63" s="85">
        <f t="shared" ref="S63:S75" si="22">IFERROR(P63/P$75,"")</f>
        <v>0.68054332915938709</v>
      </c>
      <c r="T63" s="85">
        <f t="shared" ref="T63:T75" si="23">IFERROR(P63/G63,"")</f>
        <v>0.69215198063947092</v>
      </c>
    </row>
    <row r="64" spans="1:20" hidden="1" outlineLevel="1">
      <c r="A64" s="79" t="s">
        <v>773</v>
      </c>
      <c r="B64" s="86">
        <f>(INDEX(Data!31:31,1,$U$1-2)-INDEX(Data!1246:1246,1,$U$1-2))/1000000</f>
        <v>0</v>
      </c>
      <c r="C64" s="87">
        <f>(INDEX(Data!31:31,1,$U$1-1)-INDEX(Data!1246:1246,1,$U$1-1))/1000000</f>
        <v>0</v>
      </c>
      <c r="D64" s="88">
        <f t="shared" ref="D64:D66" si="24">B64+C64</f>
        <v>0</v>
      </c>
      <c r="E64" s="89">
        <f>(INDEX(Data!31:31,1,$U$1)-INDEX(Data!1246:1246,1,$U$1))/1000000</f>
        <v>0</v>
      </c>
      <c r="F64" s="90">
        <f>(INDEX(Data!31:31,1,$U$1+1)-INDEX(Data!1246:1246,1,$U$1+1))/1000000</f>
        <v>0</v>
      </c>
      <c r="G64" s="88">
        <f t="shared" si="21"/>
        <v>0</v>
      </c>
      <c r="H64" s="86">
        <f t="shared" ref="H64:H72" si="25">G64-D64</f>
        <v>0</v>
      </c>
      <c r="I64" s="84" t="str">
        <f t="shared" ref="I64:I75" si="26">IFERROR(H64/D64,"")</f>
        <v/>
      </c>
      <c r="J64" s="412">
        <f t="shared" ref="J64:J74" si="27">IFERROR(G64/G$75,"")</f>
        <v>0</v>
      </c>
      <c r="K64" s="404">
        <f>(INDEX(Data!132:132,1,$U$1-2)-INDEX(Data!1403:1403,1,$U$1-2))/1000000</f>
        <v>0</v>
      </c>
      <c r="L64" s="90">
        <f>(INDEX(Data!132:132,1,$U$1-1)-INDEX(Data!1403:1403,1,$U$1-1))/1000000</f>
        <v>0</v>
      </c>
      <c r="M64" s="88">
        <f t="shared" ref="M64:M66" si="28">K64+L64</f>
        <v>0</v>
      </c>
      <c r="N64" s="89">
        <f>(INDEX(Data!132:132,1,$U$1)-INDEX(Data!1403:1403,1,$U$1))/1000000</f>
        <v>0</v>
      </c>
      <c r="O64" s="90">
        <f>(INDEX(Data!132:132,1,$U$1+1)-INDEX(Data!1403:1403,1,$U$1+1))/1000000</f>
        <v>0</v>
      </c>
      <c r="P64" s="88">
        <f t="shared" ref="P64:P66" si="29">N64+O64</f>
        <v>0</v>
      </c>
      <c r="Q64" s="86">
        <f t="shared" ref="Q64:Q74" si="30">P64-M64</f>
        <v>0</v>
      </c>
      <c r="R64" s="84" t="str">
        <f t="shared" ref="R64:R75" si="31">IFERROR(Q64/M64,"")</f>
        <v/>
      </c>
      <c r="S64" s="85">
        <f t="shared" si="22"/>
        <v>0</v>
      </c>
      <c r="T64" s="85" t="str">
        <f t="shared" si="23"/>
        <v/>
      </c>
    </row>
    <row r="65" spans="1:20" ht="25.5" hidden="1" outlineLevel="1">
      <c r="A65" s="79" t="s">
        <v>774</v>
      </c>
      <c r="B65" s="86">
        <f>(INDEX(Data!32:32,1,$U$1-2)-INDEX(Data!1247:1247,1,$U$1-2))/1000000</f>
        <v>27.744990999999999</v>
      </c>
      <c r="C65" s="87">
        <f>(INDEX(Data!32:32,1,$U$1-1)-INDEX(Data!1247:1247,1,$U$1-1))/1000000</f>
        <v>25.843748999999999</v>
      </c>
      <c r="D65" s="88">
        <f t="shared" si="24"/>
        <v>53.588740000000001</v>
      </c>
      <c r="E65" s="89">
        <f>(INDEX(Data!32:32,1,$U$1)-INDEX(Data!1247:1247,1,$U$1))/1000000</f>
        <v>24.229502</v>
      </c>
      <c r="F65" s="90">
        <f>(INDEX(Data!32:32,1,$U$1+1)-INDEX(Data!1247:1247,1,$U$1+1))/1000000</f>
        <v>24.054504000000001</v>
      </c>
      <c r="G65" s="88">
        <f t="shared" si="21"/>
        <v>48.284006000000005</v>
      </c>
      <c r="H65" s="86">
        <f t="shared" si="25"/>
        <v>-5.3047339999999963</v>
      </c>
      <c r="I65" s="84">
        <f t="shared" si="26"/>
        <v>-9.8989713137498589E-2</v>
      </c>
      <c r="J65" s="412">
        <f t="shared" si="27"/>
        <v>5.0347277268296994E-4</v>
      </c>
      <c r="K65" s="404">
        <f>(INDEX(Data!133:133,1,$U$1-2)-INDEX(Data!1404:1404,1,$U$1-2))/1000000</f>
        <v>15.593249999999999</v>
      </c>
      <c r="L65" s="90">
        <f>(INDEX(Data!133:133,1,$U$1-1)-INDEX(Data!1404:1404,1,$U$1-1))/1000000</f>
        <v>15.692008</v>
      </c>
      <c r="M65" s="88">
        <f t="shared" si="28"/>
        <v>31.285257999999999</v>
      </c>
      <c r="N65" s="89">
        <f>(INDEX(Data!133:133,1,$U$1)-INDEX(Data!1404:1404,1,$U$1))/1000000</f>
        <v>16.597224000000001</v>
      </c>
      <c r="O65" s="90">
        <f>(INDEX(Data!133:133,1,$U$1+1)-INDEX(Data!1404:1404,1,$U$1+1))/1000000</f>
        <v>16.422225999999998</v>
      </c>
      <c r="P65" s="88">
        <f t="shared" si="29"/>
        <v>33.019449999999999</v>
      </c>
      <c r="Q65" s="86">
        <f t="shared" si="30"/>
        <v>1.7341920000000002</v>
      </c>
      <c r="R65" s="84">
        <f t="shared" si="31"/>
        <v>5.5431602961369224E-2</v>
      </c>
      <c r="S65" s="85">
        <f t="shared" si="22"/>
        <v>5.024649040751587E-4</v>
      </c>
      <c r="T65" s="85">
        <f t="shared" si="23"/>
        <v>0.68385895735328994</v>
      </c>
    </row>
    <row r="66" spans="1:20" hidden="1" outlineLevel="1">
      <c r="A66" s="79" t="s">
        <v>775</v>
      </c>
      <c r="B66" s="86">
        <f>(INDEX(Data!33:33,1,$U$1-2)-INDEX(Data!1248:1248,1,$U$1-2))/1000000</f>
        <v>45.307357000000003</v>
      </c>
      <c r="C66" s="87">
        <f>(INDEX(Data!33:33,1,$U$1-1)-INDEX(Data!1248:1248,1,$U$1-1))/1000000</f>
        <v>30.835564999999999</v>
      </c>
      <c r="D66" s="88">
        <f t="shared" si="24"/>
        <v>76.142921999999999</v>
      </c>
      <c r="E66" s="89">
        <f>(INDEX(Data!33:33,1,$U$1)-INDEX(Data!1248:1248,1,$U$1))/1000000</f>
        <v>35.108592000000002</v>
      </c>
      <c r="F66" s="90">
        <f>(INDEX(Data!33:33,1,$U$1+1)-INDEX(Data!1248:1248,1,$U$1+1))/1000000</f>
        <v>30.115019</v>
      </c>
      <c r="G66" s="88">
        <f t="shared" si="21"/>
        <v>65.223611000000005</v>
      </c>
      <c r="H66" s="86">
        <f t="shared" si="25"/>
        <v>-10.919310999999993</v>
      </c>
      <c r="I66" s="84">
        <f t="shared" si="26"/>
        <v>-0.1434054632156091</v>
      </c>
      <c r="J66" s="412">
        <f t="shared" si="27"/>
        <v>6.8010745161794269E-4</v>
      </c>
      <c r="K66" s="404">
        <f>(INDEX(Data!134:134,1,$U$1-2)-INDEX(Data!1405:1405,1,$U$1-2))/1000000</f>
        <v>18.569327000000001</v>
      </c>
      <c r="L66" s="90">
        <f>(INDEX(Data!134:134,1,$U$1-1)-INDEX(Data!1405:1405,1,$U$1-1))/1000000</f>
        <v>18.710035999999999</v>
      </c>
      <c r="M66" s="88">
        <f t="shared" si="28"/>
        <v>37.279363000000004</v>
      </c>
      <c r="N66" s="89">
        <f>(INDEX(Data!134:134,1,$U$1)-INDEX(Data!1405:1405,1,$U$1))/1000000</f>
        <v>24.347311000000001</v>
      </c>
      <c r="O66" s="90">
        <f>(INDEX(Data!134:134,1,$U$1+1)-INDEX(Data!1405:1405,1,$U$1+1))/1000000</f>
        <v>19.353738</v>
      </c>
      <c r="P66" s="88">
        <f t="shared" si="29"/>
        <v>43.701048999999998</v>
      </c>
      <c r="Q66" s="86">
        <f t="shared" si="30"/>
        <v>6.421685999999994</v>
      </c>
      <c r="R66" s="84">
        <f t="shared" si="31"/>
        <v>0.17225846911600912</v>
      </c>
      <c r="S66" s="85">
        <f t="shared" si="22"/>
        <v>6.6500936247480824E-4</v>
      </c>
      <c r="T66" s="85">
        <f t="shared" si="23"/>
        <v>0.67001885252872606</v>
      </c>
    </row>
    <row r="67" spans="1:20" collapsed="1">
      <c r="A67" s="104" t="s">
        <v>776</v>
      </c>
      <c r="B67" s="105">
        <f t="shared" ref="B67:G67" si="32">SUM(B63:B66)</f>
        <v>28255.109935</v>
      </c>
      <c r="C67" s="106">
        <f t="shared" si="32"/>
        <v>27233.183631</v>
      </c>
      <c r="D67" s="429">
        <f t="shared" si="32"/>
        <v>55488.293566</v>
      </c>
      <c r="E67" s="430">
        <f t="shared" si="32"/>
        <v>32590.135871999999</v>
      </c>
      <c r="F67" s="431">
        <f t="shared" si="32"/>
        <v>32136.150308</v>
      </c>
      <c r="G67" s="429">
        <f t="shared" si="32"/>
        <v>64726.286180000003</v>
      </c>
      <c r="H67" s="430">
        <f t="shared" si="25"/>
        <v>9237.9926140000025</v>
      </c>
      <c r="I67" s="450">
        <f t="shared" si="26"/>
        <v>0.16648543359892595</v>
      </c>
      <c r="J67" s="454">
        <f t="shared" si="27"/>
        <v>0.67492168666609798</v>
      </c>
      <c r="K67" s="405">
        <f t="shared" ref="K67:P67" si="33">SUM(K63:K66)</f>
        <v>19155.863604000002</v>
      </c>
      <c r="L67" s="106">
        <f t="shared" si="33"/>
        <v>17527.847510000003</v>
      </c>
      <c r="M67" s="429">
        <f t="shared" si="33"/>
        <v>36683.711114000005</v>
      </c>
      <c r="N67" s="429">
        <f t="shared" si="33"/>
        <v>22783.335543000001</v>
      </c>
      <c r="O67" s="429">
        <f t="shared" si="33"/>
        <v>22015.247613</v>
      </c>
      <c r="P67" s="429">
        <f t="shared" si="33"/>
        <v>44798.583156000001</v>
      </c>
      <c r="Q67" s="429">
        <f t="shared" si="30"/>
        <v>8114.8720419999954</v>
      </c>
      <c r="R67" s="450">
        <f t="shared" si="31"/>
        <v>0.22121186203821749</v>
      </c>
      <c r="S67" s="454">
        <f t="shared" si="22"/>
        <v>0.68171080342593715</v>
      </c>
      <c r="T67" s="454">
        <f t="shared" si="23"/>
        <v>0.6921234910870333</v>
      </c>
    </row>
    <row r="68" spans="1:20" ht="25.5" hidden="1">
      <c r="A68" s="104" t="s">
        <v>777</v>
      </c>
      <c r="B68" s="105">
        <f>(INDEX(Data!34:34,1,$U$1-2)-INDEX(Data!1249:1249,1,$U$1-2))/1000000</f>
        <v>0</v>
      </c>
      <c r="C68" s="106">
        <f>(INDEX(Data!34:34,1,$U$1-1)-INDEX(Data!1249:1249,1,$U$1-1))/1000000</f>
        <v>0</v>
      </c>
      <c r="D68" s="107">
        <f t="shared" ref="D68" si="34">B68+C68</f>
        <v>0</v>
      </c>
      <c r="E68" s="110">
        <f>(INDEX(Data!34:34,1,$U$1)-INDEX(Data!1249:1249,1,$U$1))/1000000</f>
        <v>0</v>
      </c>
      <c r="F68" s="111">
        <f>(INDEX(Data!34:34,1,$U$1+1)-INDEX(Data!1249:1249,1,$U$1+1))/1000000</f>
        <v>0</v>
      </c>
      <c r="G68" s="107">
        <f t="shared" ref="G68:G72" si="35">E68+F68</f>
        <v>0</v>
      </c>
      <c r="H68" s="105">
        <f t="shared" si="25"/>
        <v>0</v>
      </c>
      <c r="I68" s="449" t="str">
        <f t="shared" si="26"/>
        <v/>
      </c>
      <c r="J68" s="454">
        <f t="shared" si="27"/>
        <v>0</v>
      </c>
      <c r="K68" s="406">
        <f>(INDEX(Data!135:135,1,$U$1-2)-INDEX(Data!1406:1406,1,$U$1-2))/1000000</f>
        <v>0</v>
      </c>
      <c r="L68" s="111">
        <f>(INDEX(Data!135:135,1,$U$1-1)-INDEX(Data!1406:1406,1,$U$1-1))/1000000</f>
        <v>0</v>
      </c>
      <c r="M68" s="107">
        <f>K68+L68</f>
        <v>0</v>
      </c>
      <c r="N68" s="110">
        <f>(INDEX(Data!135:135,1,$U$1)-INDEX(Data!1406:1406,1,$U$1))/1000000</f>
        <v>0</v>
      </c>
      <c r="O68" s="111">
        <f>(INDEX(Data!135:135,1,$U$1+1)-INDEX(Data!1406:1406,1,$U$1+1))/1000000</f>
        <v>0</v>
      </c>
      <c r="P68" s="107">
        <f>N68+O68</f>
        <v>0</v>
      </c>
      <c r="Q68" s="105">
        <f t="shared" si="30"/>
        <v>0</v>
      </c>
      <c r="R68" s="449" t="str">
        <f t="shared" si="31"/>
        <v/>
      </c>
      <c r="S68" s="454">
        <f t="shared" si="22"/>
        <v>0</v>
      </c>
      <c r="T68" s="454" t="str">
        <f t="shared" si="23"/>
        <v/>
      </c>
    </row>
    <row r="69" spans="1:20" hidden="1" outlineLevel="1">
      <c r="A69" s="92" t="s">
        <v>778</v>
      </c>
      <c r="B69" s="86">
        <f>(INDEX(Data!35:35,1,$U$1-2)-INDEX(Data!1250:1250,1,$U$1-2))/1000000</f>
        <v>2868.558798</v>
      </c>
      <c r="C69" s="87">
        <f>(INDEX(Data!35:35,1,$U$1-1)-INDEX(Data!1250:1250,1,$U$1-1))/1000000</f>
        <v>2529.7894919999999</v>
      </c>
      <c r="D69" s="88">
        <f>B69+C69</f>
        <v>5398.3482899999999</v>
      </c>
      <c r="E69" s="93">
        <f>(INDEX(Data!35:35,1,$U$1)-INDEX(Data!1250:1250,1,$U$1))/1000000</f>
        <v>3080.0925609999999</v>
      </c>
      <c r="F69" s="94">
        <f>(INDEX(Data!35:35,1,$U$1+1)-INDEX(Data!1250:1250,1,$U$1+1))/1000000</f>
        <v>2947.6546899999998</v>
      </c>
      <c r="G69" s="88">
        <f t="shared" si="35"/>
        <v>6027.7472509999998</v>
      </c>
      <c r="H69" s="86">
        <f t="shared" si="25"/>
        <v>629.39896099999987</v>
      </c>
      <c r="I69" s="447">
        <f t="shared" si="26"/>
        <v>0.11659102510408788</v>
      </c>
      <c r="J69" s="453">
        <f t="shared" si="27"/>
        <v>6.2853248371585402E-2</v>
      </c>
      <c r="K69" s="407">
        <f>(INDEX(Data!136:136,1,$U$1-2)-INDEX(Data!1407:1407,1,$U$1-2))/1000000</f>
        <v>2698.626937</v>
      </c>
      <c r="L69" s="94">
        <f>(INDEX(Data!136:136,1,$U$1-1)-INDEX(Data!1407:1407,1,$U$1-1))/1000000</f>
        <v>2379.3347899999999</v>
      </c>
      <c r="M69" s="88">
        <f>K69+L69</f>
        <v>5077.9617269999999</v>
      </c>
      <c r="N69" s="93">
        <f>(INDEX(Data!136:136,1,$U$1)-INDEX(Data!1407:1407,1,$U$1))/1000000</f>
        <v>2653.0196769999998</v>
      </c>
      <c r="O69" s="94">
        <f>(INDEX(Data!136:136,1,$U$1+1)-INDEX(Data!1407:1407,1,$U$1+1))/1000000</f>
        <v>2520.392507</v>
      </c>
      <c r="P69" s="88">
        <f>N69+O69</f>
        <v>5173.4121839999998</v>
      </c>
      <c r="Q69" s="86">
        <f t="shared" si="30"/>
        <v>95.450456999999915</v>
      </c>
      <c r="R69" s="447">
        <f t="shared" si="31"/>
        <v>1.8797002051528049E-2</v>
      </c>
      <c r="S69" s="453">
        <f t="shared" si="22"/>
        <v>7.8725056194903817E-2</v>
      </c>
      <c r="T69" s="453">
        <f t="shared" si="23"/>
        <v>0.85826627570386826</v>
      </c>
    </row>
    <row r="70" spans="1:20" hidden="1" outlineLevel="1">
      <c r="A70" s="92" t="s">
        <v>25</v>
      </c>
      <c r="B70" s="86">
        <f>(INDEX(Data!36:36,1,$U$1-2)-INDEX(Data!1251:1251,1,$U$1-2))/1000000</f>
        <v>172.19172399999999</v>
      </c>
      <c r="C70" s="87">
        <f>(INDEX(Data!36:36,1,$U$1-1)-INDEX(Data!1251:1251,1,$U$1-1))/1000000</f>
        <v>172.41691</v>
      </c>
      <c r="D70" s="88">
        <f>B70+C70</f>
        <v>344.608634</v>
      </c>
      <c r="E70" s="93">
        <f>(INDEX(Data!36:36,1,$U$1)-INDEX(Data!1251:1251,1,$U$1))/1000000</f>
        <v>148.49497600000001</v>
      </c>
      <c r="F70" s="94">
        <f>(INDEX(Data!36:36,1,$U$1+1)-INDEX(Data!1251:1251,1,$U$1+1))/1000000</f>
        <v>148.31026700000001</v>
      </c>
      <c r="G70" s="88">
        <f t="shared" si="35"/>
        <v>296.80524300000002</v>
      </c>
      <c r="H70" s="86">
        <f t="shared" si="25"/>
        <v>-47.803390999999976</v>
      </c>
      <c r="I70" s="447">
        <f t="shared" si="26"/>
        <v>-0.13871791442114587</v>
      </c>
      <c r="J70" s="453">
        <f t="shared" si="27"/>
        <v>3.0948831925845725E-3</v>
      </c>
      <c r="K70" s="407">
        <f>(INDEX(Data!137:137,1,$U$1-2)-INDEX(Data!1408:1408,1,$U$1-2))/1000000</f>
        <v>123.514132</v>
      </c>
      <c r="L70" s="94">
        <f>(INDEX(Data!137:137,1,$U$1-1)-INDEX(Data!1408:1408,1,$U$1-1))/1000000</f>
        <v>122.27898999999999</v>
      </c>
      <c r="M70" s="88">
        <f>K70+L70</f>
        <v>245.79312199999998</v>
      </c>
      <c r="N70" s="93">
        <f>(INDEX(Data!137:137,1,$U$1)-INDEX(Data!1408:1408,1,$U$1))/1000000</f>
        <v>122.024371</v>
      </c>
      <c r="O70" s="94">
        <f>(INDEX(Data!137:137,1,$U$1+1)-INDEX(Data!1408:1408,1,$U$1+1))/1000000</f>
        <v>121.204367</v>
      </c>
      <c r="P70" s="88">
        <f>N70+O70</f>
        <v>243.22873800000002</v>
      </c>
      <c r="Q70" s="86">
        <f t="shared" si="30"/>
        <v>-2.5643839999999614</v>
      </c>
      <c r="R70" s="447">
        <f t="shared" si="31"/>
        <v>-1.043309910030746E-2</v>
      </c>
      <c r="S70" s="453">
        <f t="shared" si="22"/>
        <v>3.7012701455503322E-3</v>
      </c>
      <c r="T70" s="453">
        <f t="shared" si="23"/>
        <v>0.81948935787498878</v>
      </c>
    </row>
    <row r="71" spans="1:20" hidden="1" outlineLevel="1">
      <c r="A71" s="92" t="s">
        <v>779</v>
      </c>
      <c r="B71" s="86">
        <f>(INDEX(Data!123:123,1,$U$1-2)-INDEX(Data!1252:1252,1,$U$1-2))/1000000</f>
        <v>371.86529000000002</v>
      </c>
      <c r="C71" s="87">
        <f>(INDEX(Data!123:123,1,$U$1-1)-INDEX(Data!1252:1252,1,$U$1-1))/1000000</f>
        <v>382.44120299999997</v>
      </c>
      <c r="D71" s="88">
        <f>B71+C71</f>
        <v>754.30649300000005</v>
      </c>
      <c r="E71" s="93">
        <f>(INDEX(Data!123:123,1,$U$1)-INDEX(Data!1252:1252,1,$U$1))/1000000</f>
        <v>392.75720899999999</v>
      </c>
      <c r="F71" s="94">
        <f>(INDEX(Data!123:123,1,$U$1+1)-INDEX(Data!1252:1252,1,$U$1+1))/1000000</f>
        <v>400.47585900000001</v>
      </c>
      <c r="G71" s="88">
        <f t="shared" si="35"/>
        <v>793.233068</v>
      </c>
      <c r="H71" s="86">
        <f t="shared" si="25"/>
        <v>38.926574999999957</v>
      </c>
      <c r="I71" s="447">
        <f t="shared" si="26"/>
        <v>5.1605780092363537E-2</v>
      </c>
      <c r="J71" s="453">
        <f t="shared" si="27"/>
        <v>8.271294890688622E-3</v>
      </c>
      <c r="K71" s="407">
        <f>(INDEX(Data!222:222,1,$U$1-2)-INDEX(Data!1409:1409,1,$U$1-2))/1000000</f>
        <v>292.932523</v>
      </c>
      <c r="L71" s="94">
        <f>(INDEX(Data!222:222,1,$U$1-1)-INDEX(Data!1409:1409,1,$U$1-1))/1000000</f>
        <v>301.435946</v>
      </c>
      <c r="M71" s="88">
        <f>K71+L71</f>
        <v>594.368469</v>
      </c>
      <c r="N71" s="93">
        <f>(INDEX(Data!222:222,1,$U$1)-INDEX(Data!1409:1409,1,$U$1))/1000000</f>
        <v>307.00502699999998</v>
      </c>
      <c r="O71" s="94">
        <f>(INDEX(Data!222:222,1,$U$1+1)-INDEX(Data!1409:1409,1,$U$1+1))/1000000</f>
        <v>313.31535500000001</v>
      </c>
      <c r="P71" s="88">
        <f>N71+O71</f>
        <v>620.320382</v>
      </c>
      <c r="Q71" s="86">
        <f t="shared" si="30"/>
        <v>25.95191299999999</v>
      </c>
      <c r="R71" s="447">
        <f t="shared" si="31"/>
        <v>4.3663004270167623E-2</v>
      </c>
      <c r="S71" s="453">
        <f t="shared" si="22"/>
        <v>9.4395642943021704E-3</v>
      </c>
      <c r="T71" s="453">
        <f t="shared" si="23"/>
        <v>0.7820152828021032</v>
      </c>
    </row>
    <row r="72" spans="1:20" hidden="1" outlineLevel="1">
      <c r="A72" s="112" t="s">
        <v>780</v>
      </c>
      <c r="B72" s="86">
        <f>(INDEX(Data!126:126,1,$U$1-2))/1000000</f>
        <v>10.923734</v>
      </c>
      <c r="C72" s="87">
        <f>(INDEX(Data!126:126,1,$U$1-1))/1000000</f>
        <v>10.247534</v>
      </c>
      <c r="D72" s="88">
        <f>B72+C72</f>
        <v>21.171267999999998</v>
      </c>
      <c r="E72" s="93">
        <f>(INDEX(Data!126:126,1,$U$1))/1000000</f>
        <v>7.2282520000000003</v>
      </c>
      <c r="F72" s="94">
        <f>(INDEX(Data!126:126,1,$U$1+1))/1000000</f>
        <v>7.9333999999999998</v>
      </c>
      <c r="G72" s="88">
        <f t="shared" si="35"/>
        <v>15.161652</v>
      </c>
      <c r="H72" s="86">
        <f t="shared" si="25"/>
        <v>-6.0096159999999976</v>
      </c>
      <c r="I72" s="447">
        <f t="shared" si="26"/>
        <v>-0.28385715961840352</v>
      </c>
      <c r="J72" s="453">
        <f t="shared" si="27"/>
        <v>1.5809539438161563E-4</v>
      </c>
      <c r="K72" s="407">
        <f>(INDEX(Data!225:225,1,$U$1-2))/1000000</f>
        <v>10.767505999999999</v>
      </c>
      <c r="L72" s="94">
        <f>(INDEX(Data!225:225,1,$U$1-1))/1000000</f>
        <v>10.091305999999999</v>
      </c>
      <c r="M72" s="88">
        <f>K72+L72</f>
        <v>20.858812</v>
      </c>
      <c r="N72" s="93">
        <f>(INDEX(Data!225:225,1,$U$1))/1000000</f>
        <v>7.2282520000000003</v>
      </c>
      <c r="O72" s="94">
        <f>(INDEX(Data!225:225,1,$U$1+1))/1000000</f>
        <v>7.9333999999999998</v>
      </c>
      <c r="P72" s="88">
        <f>N72+O72</f>
        <v>15.161652</v>
      </c>
      <c r="Q72" s="86">
        <f t="shared" si="30"/>
        <v>-5.6971600000000002</v>
      </c>
      <c r="R72" s="447">
        <f t="shared" si="31"/>
        <v>-0.27312964899439146</v>
      </c>
      <c r="S72" s="453">
        <f t="shared" si="22"/>
        <v>2.3071850130153404E-4</v>
      </c>
      <c r="T72" s="453">
        <f t="shared" si="23"/>
        <v>1</v>
      </c>
    </row>
    <row r="73" spans="1:20" collapsed="1">
      <c r="A73" s="104" t="s">
        <v>781</v>
      </c>
      <c r="B73" s="105">
        <f>SUM(B69:B72)</f>
        <v>3423.539546</v>
      </c>
      <c r="C73" s="106">
        <f t="shared" ref="C73:H73" si="36">SUM(C69:C72)</f>
        <v>3094.8951389999997</v>
      </c>
      <c r="D73" s="107">
        <f t="shared" si="36"/>
        <v>6518.4346850000002</v>
      </c>
      <c r="E73" s="105">
        <f t="shared" si="36"/>
        <v>3628.5729979999996</v>
      </c>
      <c r="F73" s="106">
        <f t="shared" si="36"/>
        <v>3504.3742159999997</v>
      </c>
      <c r="G73" s="107">
        <f t="shared" si="36"/>
        <v>7132.9472139999989</v>
      </c>
      <c r="H73" s="105">
        <f t="shared" si="36"/>
        <v>614.51252899999986</v>
      </c>
      <c r="I73" s="449">
        <f t="shared" si="26"/>
        <v>9.4273020854852646E-2</v>
      </c>
      <c r="J73" s="454">
        <f t="shared" si="27"/>
        <v>7.4377521849240194E-2</v>
      </c>
      <c r="K73" s="405">
        <f t="shared" ref="K73:Q73" si="37">SUM(K69:K72)</f>
        <v>3125.8410979999999</v>
      </c>
      <c r="L73" s="106">
        <f t="shared" si="37"/>
        <v>2813.1410319999995</v>
      </c>
      <c r="M73" s="107">
        <f t="shared" si="37"/>
        <v>5938.9821300000003</v>
      </c>
      <c r="N73" s="105">
        <f t="shared" si="37"/>
        <v>3089.2773269999998</v>
      </c>
      <c r="O73" s="106">
        <f t="shared" si="37"/>
        <v>2962.8456289999999</v>
      </c>
      <c r="P73" s="107">
        <f t="shared" si="37"/>
        <v>6052.1229559999992</v>
      </c>
      <c r="Q73" s="105">
        <f t="shared" si="37"/>
        <v>113.14082599999995</v>
      </c>
      <c r="R73" s="449">
        <f t="shared" si="31"/>
        <v>1.9050541578241782E-2</v>
      </c>
      <c r="S73" s="454">
        <f t="shared" si="22"/>
        <v>9.2096609136057855E-2</v>
      </c>
      <c r="T73" s="454">
        <f t="shared" si="23"/>
        <v>0.84847437874226228</v>
      </c>
    </row>
    <row r="74" spans="1:20">
      <c r="A74" s="113" t="s">
        <v>782</v>
      </c>
      <c r="B74" s="105">
        <f>B254</f>
        <v>9492.0967070000006</v>
      </c>
      <c r="C74" s="106">
        <f>C254</f>
        <v>9503.4509199999993</v>
      </c>
      <c r="D74" s="107">
        <f>B74+C74</f>
        <v>18995.547627</v>
      </c>
      <c r="E74" s="114">
        <f t="shared" ref="E74:F74" si="38">E254</f>
        <v>11709.274239</v>
      </c>
      <c r="F74" s="115">
        <f t="shared" si="38"/>
        <v>12333.413225</v>
      </c>
      <c r="G74" s="107">
        <f>E74+F74</f>
        <v>24042.687464000002</v>
      </c>
      <c r="H74" s="105">
        <f t="shared" ref="H74" si="39">G74-D74</f>
        <v>5047.1398370000024</v>
      </c>
      <c r="I74" s="449">
        <f t="shared" si="26"/>
        <v>0.2657012019925169</v>
      </c>
      <c r="J74" s="454">
        <f t="shared" si="27"/>
        <v>0.25070079148466184</v>
      </c>
      <c r="K74" s="405">
        <f>K254</f>
        <v>6919.3085419999998</v>
      </c>
      <c r="L74" s="106">
        <f>L254</f>
        <v>6915.4789709999986</v>
      </c>
      <c r="M74" s="107">
        <f>K74+L74</f>
        <v>13834.787512999999</v>
      </c>
      <c r="N74" s="114">
        <f t="shared" ref="N74:O74" si="40">N254</f>
        <v>7471.6177272312625</v>
      </c>
      <c r="O74" s="115">
        <f t="shared" si="40"/>
        <v>7392.6141239999988</v>
      </c>
      <c r="P74" s="107">
        <f>N74+O74</f>
        <v>14864.231851231261</v>
      </c>
      <c r="Q74" s="105">
        <f t="shared" si="30"/>
        <v>1029.444338231262</v>
      </c>
      <c r="R74" s="449">
        <f t="shared" si="31"/>
        <v>7.4409840936402821E-2</v>
      </c>
      <c r="S74" s="454">
        <f t="shared" si="22"/>
        <v>0.22619258743800499</v>
      </c>
      <c r="T74" s="454">
        <f t="shared" si="23"/>
        <v>0.61824335875463265</v>
      </c>
    </row>
    <row r="75" spans="1:20" ht="13.5" thickBot="1">
      <c r="A75" s="95" t="s">
        <v>783</v>
      </c>
      <c r="B75" s="96">
        <f>B67+B73+B74+B68</f>
        <v>41170.746188000005</v>
      </c>
      <c r="C75" s="97">
        <f t="shared" ref="C75:H75" si="41">C67+C73+C74+C68</f>
        <v>39831.529689999996</v>
      </c>
      <c r="D75" s="98">
        <f t="shared" si="41"/>
        <v>81002.275878</v>
      </c>
      <c r="E75" s="116">
        <f t="shared" si="41"/>
        <v>47927.983109000001</v>
      </c>
      <c r="F75" s="117">
        <f t="shared" si="41"/>
        <v>47973.937749000004</v>
      </c>
      <c r="G75" s="98">
        <f t="shared" si="41"/>
        <v>95901.920857999998</v>
      </c>
      <c r="H75" s="96">
        <f t="shared" si="41"/>
        <v>14899.644980000005</v>
      </c>
      <c r="I75" s="451">
        <f t="shared" si="26"/>
        <v>0.18394106608116562</v>
      </c>
      <c r="J75" s="455">
        <f>IFERROR(G75/G$75,"")</f>
        <v>1</v>
      </c>
      <c r="K75" s="408">
        <f t="shared" ref="K75:Q75" si="42">K67+K73+K74+K68</f>
        <v>29201.013244000002</v>
      </c>
      <c r="L75" s="117">
        <f t="shared" si="42"/>
        <v>27256.467513000003</v>
      </c>
      <c r="M75" s="98">
        <f t="shared" si="42"/>
        <v>56457.480757000012</v>
      </c>
      <c r="N75" s="116">
        <f t="shared" si="42"/>
        <v>33344.230597231261</v>
      </c>
      <c r="O75" s="117">
        <f t="shared" si="42"/>
        <v>32370.707365999999</v>
      </c>
      <c r="P75" s="98">
        <f t="shared" si="42"/>
        <v>65714.937963231263</v>
      </c>
      <c r="Q75" s="96">
        <f t="shared" si="42"/>
        <v>9257.4572062312582</v>
      </c>
      <c r="R75" s="451">
        <f t="shared" si="31"/>
        <v>0.16397219787536219</v>
      </c>
      <c r="S75" s="455">
        <f t="shared" si="22"/>
        <v>1</v>
      </c>
      <c r="T75" s="455">
        <f t="shared" si="23"/>
        <v>0.6852306749990339</v>
      </c>
    </row>
    <row r="76" spans="1:20">
      <c r="A76" s="626"/>
      <c r="B76" s="627"/>
      <c r="C76" s="627"/>
      <c r="D76" s="627"/>
      <c r="E76" s="628"/>
      <c r="F76" s="628"/>
      <c r="G76" s="627"/>
      <c r="H76" s="627"/>
      <c r="I76" s="629"/>
      <c r="J76" s="629"/>
      <c r="K76" s="628"/>
      <c r="L76" s="628"/>
      <c r="M76" s="627"/>
      <c r="N76" s="628"/>
      <c r="O76" s="628"/>
      <c r="P76" s="627"/>
      <c r="Q76" s="627"/>
      <c r="R76" s="629"/>
      <c r="S76" s="629"/>
      <c r="T76" s="629"/>
    </row>
    <row r="77" spans="1:20">
      <c r="E77" s="118"/>
      <c r="F77" s="118"/>
      <c r="T77" s="410"/>
    </row>
    <row r="78" spans="1:20">
      <c r="T78" s="410"/>
    </row>
    <row r="79" spans="1:20">
      <c r="T79" s="410"/>
    </row>
    <row r="80" spans="1:20">
      <c r="T80" s="410"/>
    </row>
    <row r="81" spans="10:20">
      <c r="T81" s="410"/>
    </row>
    <row r="82" spans="10:20">
      <c r="T82" s="410"/>
    </row>
    <row r="83" spans="10:20">
      <c r="T83" s="410"/>
    </row>
    <row r="84" spans="10:20">
      <c r="T84" s="410"/>
    </row>
    <row r="85" spans="10:20">
      <c r="T85" s="410"/>
    </row>
    <row r="86" spans="10:20">
      <c r="T86" s="410"/>
    </row>
    <row r="87" spans="10:20">
      <c r="T87" s="410"/>
    </row>
    <row r="88" spans="10:20">
      <c r="T88" s="410"/>
    </row>
    <row r="89" spans="10:20">
      <c r="T89" s="410"/>
    </row>
    <row r="90" spans="10:20">
      <c r="T90" s="410"/>
    </row>
    <row r="91" spans="10:20">
      <c r="T91" s="410"/>
    </row>
    <row r="92" spans="10:20">
      <c r="T92" s="410"/>
    </row>
    <row r="93" spans="10:20">
      <c r="T93" s="410"/>
    </row>
    <row r="94" spans="10:20">
      <c r="T94" s="410"/>
    </row>
    <row r="95" spans="10:20">
      <c r="J95" s="411"/>
      <c r="T95" s="411"/>
    </row>
    <row r="96" spans="10:20" ht="13.5" thickBot="1">
      <c r="T96" s="1179"/>
    </row>
    <row r="97" spans="1:20" ht="13.5" customHeight="1" thickBot="1">
      <c r="A97" s="536" t="s">
        <v>1325</v>
      </c>
      <c r="B97" s="537"/>
      <c r="C97" s="537"/>
      <c r="D97" s="537"/>
      <c r="E97" s="537"/>
      <c r="F97" s="537"/>
      <c r="G97" s="537"/>
      <c r="H97" s="537"/>
      <c r="I97" s="537"/>
      <c r="J97" s="537"/>
      <c r="K97" s="537"/>
      <c r="L97" s="537"/>
      <c r="M97" s="537"/>
      <c r="N97" s="537"/>
      <c r="O97" s="537"/>
      <c r="P97" s="537"/>
      <c r="Q97" s="537"/>
      <c r="R97" s="537"/>
      <c r="S97" s="537"/>
      <c r="T97" s="538"/>
    </row>
    <row r="98" spans="1:20" ht="13.5" thickBot="1">
      <c r="A98" s="535" t="s">
        <v>1318</v>
      </c>
      <c r="B98" s="1292" t="s">
        <v>2</v>
      </c>
      <c r="C98" s="1293"/>
      <c r="D98" s="1293"/>
      <c r="E98" s="1293"/>
      <c r="F98" s="1293"/>
      <c r="G98" s="1293"/>
      <c r="H98" s="1293"/>
      <c r="I98" s="1293"/>
      <c r="J98" s="1294"/>
      <c r="K98" s="1295" t="s">
        <v>764</v>
      </c>
      <c r="L98" s="1295"/>
      <c r="M98" s="1295"/>
      <c r="N98" s="1295"/>
      <c r="O98" s="1295"/>
      <c r="P98" s="1295"/>
      <c r="Q98" s="1295"/>
      <c r="R98" s="1295"/>
      <c r="S98" s="1295"/>
      <c r="T98" s="1296"/>
    </row>
    <row r="99" spans="1:20" ht="25.5">
      <c r="A99" s="73" t="s">
        <v>766</v>
      </c>
      <c r="B99" s="74">
        <f>E99-2</f>
        <v>2018</v>
      </c>
      <c r="C99" s="75">
        <f>B99+1</f>
        <v>2019</v>
      </c>
      <c r="D99" s="76" t="str">
        <f>B99&amp;"-"&amp;C99</f>
        <v>2018-2019</v>
      </c>
      <c r="E99" s="74" t="str">
        <f>$T$1</f>
        <v>2020</v>
      </c>
      <c r="F99" s="75">
        <f>E99+1</f>
        <v>2021</v>
      </c>
      <c r="G99" s="76" t="str">
        <f>E99&amp;"-"&amp;F99</f>
        <v>2020-2021</v>
      </c>
      <c r="H99" s="74" t="s">
        <v>767</v>
      </c>
      <c r="I99" s="75" t="s">
        <v>768</v>
      </c>
      <c r="J99" s="77" t="s">
        <v>769</v>
      </c>
      <c r="K99" s="77">
        <f>N99-2</f>
        <v>2018</v>
      </c>
      <c r="L99" s="75">
        <f>K99+1</f>
        <v>2019</v>
      </c>
      <c r="M99" s="76" t="str">
        <f>K99&amp;"-"&amp;L99</f>
        <v>2018-2019</v>
      </c>
      <c r="N99" s="74" t="str">
        <f>$T$1</f>
        <v>2020</v>
      </c>
      <c r="O99" s="75">
        <f>N99+1</f>
        <v>2021</v>
      </c>
      <c r="P99" s="76" t="str">
        <f>N99&amp;"-"&amp;O99</f>
        <v>2020-2021</v>
      </c>
      <c r="Q99" s="74" t="s">
        <v>767</v>
      </c>
      <c r="R99" s="75" t="s">
        <v>768</v>
      </c>
      <c r="S99" s="78" t="s">
        <v>769</v>
      </c>
      <c r="T99" s="78" t="s">
        <v>770</v>
      </c>
    </row>
    <row r="100" spans="1:20" hidden="1" outlineLevel="1">
      <c r="A100" s="50" t="s">
        <v>754</v>
      </c>
      <c r="B100" s="83">
        <f>(INDEX(Data!44:44,1,$U$1-2)+INDEX(Data!425:425,1,$U$1-2)-INDEX(Data!1265:1265,1,$U$1-2))/1000000</f>
        <v>195.40721099999999</v>
      </c>
      <c r="C100" s="81">
        <f>(INDEX(Data!44:44,1,$U$1-1)+INDEX(Data!425:425,1,$U$1-1)-INDEX(Data!1265:1265,1,$U$1-1))/1000000</f>
        <v>196.40831600000001</v>
      </c>
      <c r="D100" s="82">
        <f>B100+C100</f>
        <v>391.81552699999997</v>
      </c>
      <c r="E100" s="102">
        <f>(INDEX(Data!44:44,1,$U$1)+INDEX(Data!425:425,1,$U$1)-INDEX(Data!1265:1265,1,$U$1))/1000000</f>
        <v>209.01399000000001</v>
      </c>
      <c r="F100" s="103">
        <f>(INDEX(Data!44:44,1,$U$1+1)+INDEX(Data!425:425,1,$U$1+1)-INDEX(Data!1265:1265,1,$U$1+1))/1000000</f>
        <v>209.033142</v>
      </c>
      <c r="G100" s="82">
        <f t="shared" ref="G100:G138" si="43">E100+F100</f>
        <v>418.04713200000003</v>
      </c>
      <c r="H100" s="83">
        <f>G100-D100</f>
        <v>26.231605000000059</v>
      </c>
      <c r="I100" s="84">
        <f>IFERROR(H100/D100,"")</f>
        <v>6.6948865454227041E-2</v>
      </c>
      <c r="J100" s="412">
        <f t="shared" ref="J100:J131" si="44">IFERROR(G100/G$254,"")</f>
        <v>1.7387703958883855E-2</v>
      </c>
      <c r="K100" s="409">
        <f>(INDEX(Data!143:143,1,$U$1-2)+INDEX(Data!425:425,1,$U$1-2)-INDEX(Data!1422:1422,1,$U$1-2))/1000000</f>
        <v>118.75055500000001</v>
      </c>
      <c r="L100" s="81">
        <f>(INDEX(Data!143:143,1,$U$1-1)+INDEX(Data!425:425,1,$U$1-1)-INDEX(Data!1422:1422,1,$U$1-1))/1000000</f>
        <v>119.673317</v>
      </c>
      <c r="M100" s="82">
        <f>K100+L100</f>
        <v>238.42387200000002</v>
      </c>
      <c r="N100" s="102">
        <f>(INDEX(Data!143:143,1,$U$1)+INDEX(Data!425:425,1,$U$1)-INDEX(Data!1422:1422,1,$U$1))/1000000</f>
        <v>137.374528</v>
      </c>
      <c r="O100" s="103">
        <f>(INDEX(Data!143:143,1,$U$1+1)+INDEX(Data!425:425,1,$U$1+1)-INDEX(Data!1422:1422,1,$U$1+1))/1000000</f>
        <v>137.27680799999999</v>
      </c>
      <c r="P100" s="82">
        <f t="shared" ref="P100:P138" si="45">N100+O100</f>
        <v>274.65133600000001</v>
      </c>
      <c r="Q100" s="83">
        <f>P100-M100</f>
        <v>36.227463999999998</v>
      </c>
      <c r="R100" s="84">
        <f>IFERROR(Q100/M100,"")</f>
        <v>0.15194562396839187</v>
      </c>
      <c r="S100" s="85">
        <f t="shared" ref="S100:S131" si="46">IFERROR(P100/P$254,"")</f>
        <v>1.8477331270720834E-2</v>
      </c>
      <c r="T100" s="85">
        <f t="shared" ref="T100:T166" si="47">IFERROR(P100/G100,"")</f>
        <v>0.65698653327921885</v>
      </c>
    </row>
    <row r="101" spans="1:20" hidden="1" outlineLevel="1">
      <c r="A101" s="678" t="s">
        <v>749</v>
      </c>
      <c r="B101" s="86">
        <f>(INDEX(Data!45:45,1,$U$1-2)+INDEX(Data!426:426,1,$U$1-2)-INDEX(Data!1266:1266,1,$U$1-2))/1000000</f>
        <v>443.30257</v>
      </c>
      <c r="C101" s="87">
        <f>(INDEX(Data!45:45,1,$U$1-1)+INDEX(Data!426:426,1,$U$1-1)-INDEX(Data!1266:1266,1,$U$1-1))/1000000</f>
        <v>438.98857500000003</v>
      </c>
      <c r="D101" s="88">
        <f t="shared" ref="D101:D138" si="48">B101+C101</f>
        <v>882.29114500000003</v>
      </c>
      <c r="E101" s="89">
        <f>(INDEX(Data!45:45,1,$U$1)+INDEX(Data!426:426,1,$U$1)-INDEX(Data!1266:1266,1,$U$1))/1000000</f>
        <v>454.29967099999999</v>
      </c>
      <c r="F101" s="90">
        <f>(INDEX(Data!45:45,1,$U$1+1)+INDEX(Data!426:426,1,$U$1+1)-INDEX(Data!1266:1266,1,$U$1+1))/1000000</f>
        <v>445.117819</v>
      </c>
      <c r="G101" s="88">
        <f t="shared" si="43"/>
        <v>899.41749000000004</v>
      </c>
      <c r="H101" s="86">
        <f t="shared" ref="H101:H166" si="49">G101-D101</f>
        <v>17.126345000000015</v>
      </c>
      <c r="I101" s="84">
        <f t="shared" ref="I101:I169" si="50">IFERROR(H101/D101,"")</f>
        <v>1.9411217144200188E-2</v>
      </c>
      <c r="J101" s="412">
        <f t="shared" si="44"/>
        <v>3.7409191104227885E-2</v>
      </c>
      <c r="K101" s="91">
        <f>(INDEX(Data!144:144,1,$U$1-2)+INDEX(Data!426:426,1,$U$1-2)-INDEX(Data!1423:1423,1,$U$1-2))/1000000</f>
        <v>324.84100000000001</v>
      </c>
      <c r="L101" s="87">
        <f>(INDEX(Data!144:144,1,$U$1-1)+INDEX(Data!426:426,1,$U$1-1)-INDEX(Data!1423:1423,1,$U$1-1))/1000000</f>
        <v>319.21714600000001</v>
      </c>
      <c r="M101" s="88">
        <f>K101+L101</f>
        <v>644.05814600000008</v>
      </c>
      <c r="N101" s="89">
        <f>(INDEX(Data!144:144,1,$U$1)+INDEX(Data!426:426,1,$U$1)-INDEX(Data!1423:1423,1,$U$1))/1000000</f>
        <v>332.6017282312622</v>
      </c>
      <c r="O101" s="90">
        <f>(INDEX(Data!144:144,1,$U$1+1)+INDEX(Data!426:426,1,$U$1+1)-INDEX(Data!1423:1423,1,$U$1+1))/1000000</f>
        <v>323.05674800000003</v>
      </c>
      <c r="P101" s="88">
        <f t="shared" si="45"/>
        <v>655.65847623126228</v>
      </c>
      <c r="Q101" s="86">
        <f t="shared" ref="Q101:Q166" si="51">P101-M101</f>
        <v>11.600330231262205</v>
      </c>
      <c r="R101" s="84">
        <f t="shared" ref="R101:R169" si="52">IFERROR(Q101/M101,"")</f>
        <v>1.801130892188452E-2</v>
      </c>
      <c r="S101" s="85">
        <f t="shared" si="46"/>
        <v>4.4109812252218841E-2</v>
      </c>
      <c r="T101" s="85">
        <f t="shared" si="47"/>
        <v>0.72898123899198608</v>
      </c>
    </row>
    <row r="102" spans="1:20" hidden="1" outlineLevel="1">
      <c r="A102" s="50" t="s">
        <v>755</v>
      </c>
      <c r="B102" s="86">
        <f>(INDEX(Data!46:46,1,$U$1-2)+INDEX(Data!427:427,1,$U$1-2)-INDEX(Data!1267:1267,1,$U$1-2))/1000000</f>
        <v>173.30713600000001</v>
      </c>
      <c r="C102" s="87">
        <f>(INDEX(Data!46:46,1,$U$1-1)+INDEX(Data!427:427,1,$U$1-1)-INDEX(Data!1267:1267,1,$U$1-1))/1000000</f>
        <v>174.17601199999999</v>
      </c>
      <c r="D102" s="88">
        <f t="shared" si="48"/>
        <v>347.48314800000003</v>
      </c>
      <c r="E102" s="89">
        <f>(INDEX(Data!46:46,1,$U$1)+INDEX(Data!427:427,1,$U$1)-INDEX(Data!1267:1267,1,$U$1))/1000000</f>
        <v>181.74652699999999</v>
      </c>
      <c r="F102" s="90">
        <f>(INDEX(Data!46:46,1,$U$1+1)+INDEX(Data!427:427,1,$U$1+1)-INDEX(Data!1267:1267,1,$U$1+1))/1000000</f>
        <v>181.77148399999999</v>
      </c>
      <c r="G102" s="88">
        <f t="shared" si="43"/>
        <v>363.518011</v>
      </c>
      <c r="H102" s="86">
        <f t="shared" si="49"/>
        <v>16.034862999999973</v>
      </c>
      <c r="I102" s="84">
        <f t="shared" si="50"/>
        <v>4.6145728482924794E-2</v>
      </c>
      <c r="J102" s="412">
        <f t="shared" si="44"/>
        <v>1.5119691238523518E-2</v>
      </c>
      <c r="K102" s="91">
        <f>(INDEX(Data!145:145,1,$U$1-2)+INDEX(Data!427:427,1,$U$1-2)-INDEX(Data!1424:1424,1,$U$1-2))/1000000</f>
        <v>98.661207000000005</v>
      </c>
      <c r="L102" s="87">
        <f>(INDEX(Data!145:145,1,$U$1-1)+INDEX(Data!427:427,1,$U$1-1)-INDEX(Data!1424:1424,1,$U$1-1))/1000000</f>
        <v>98.389178999999999</v>
      </c>
      <c r="M102" s="88">
        <f t="shared" ref="M102:M138" si="53">K102+L102</f>
        <v>197.050386</v>
      </c>
      <c r="N102" s="89">
        <f>(INDEX(Data!145:145,1,$U$1)+INDEX(Data!427:427,1,$U$1)-INDEX(Data!1424:1424,1,$U$1))/1000000</f>
        <v>107.875072</v>
      </c>
      <c r="O102" s="90">
        <f>(INDEX(Data!145:145,1,$U$1+1)+INDEX(Data!427:427,1,$U$1+1)-INDEX(Data!1424:1424,1,$U$1+1))/1000000</f>
        <v>107.613671</v>
      </c>
      <c r="P102" s="88">
        <f t="shared" si="45"/>
        <v>215.488743</v>
      </c>
      <c r="Q102" s="86">
        <f t="shared" si="51"/>
        <v>18.438356999999996</v>
      </c>
      <c r="R102" s="84">
        <f t="shared" si="52"/>
        <v>9.3571788283632162E-2</v>
      </c>
      <c r="S102" s="85">
        <f t="shared" si="46"/>
        <v>1.4497132792109284E-2</v>
      </c>
      <c r="T102" s="85">
        <f t="shared" si="47"/>
        <v>0.59278697747936349</v>
      </c>
    </row>
    <row r="103" spans="1:20" hidden="1" outlineLevel="1">
      <c r="A103" s="50" t="s">
        <v>756</v>
      </c>
      <c r="B103" s="86">
        <f>(INDEX(Data!47:47,1,$U$1-2)+INDEX(Data!428:428,1,$U$1-2)-INDEX(Data!1268:1268,1,$U$1-2))/1000000</f>
        <v>127.317708</v>
      </c>
      <c r="C103" s="87">
        <f>(INDEX(Data!47:47,1,$U$1-1)+INDEX(Data!428:428,1,$U$1-1)-INDEX(Data!1268:1268,1,$U$1-1))/1000000</f>
        <v>128.18694099999999</v>
      </c>
      <c r="D103" s="88">
        <f t="shared" si="48"/>
        <v>255.50464899999997</v>
      </c>
      <c r="E103" s="89">
        <f>(INDEX(Data!47:47,1,$U$1)+INDEX(Data!428:428,1,$U$1)-INDEX(Data!1268:1268,1,$U$1))/1000000</f>
        <v>137.54253800000001</v>
      </c>
      <c r="F103" s="90">
        <f>(INDEX(Data!47:47,1,$U$1+1)+INDEX(Data!428:428,1,$U$1+1)-INDEX(Data!1268:1268,1,$U$1+1))/1000000</f>
        <v>137.559223</v>
      </c>
      <c r="G103" s="88">
        <f t="shared" si="43"/>
        <v>275.10176100000001</v>
      </c>
      <c r="H103" s="86">
        <f t="shared" si="49"/>
        <v>19.597112000000038</v>
      </c>
      <c r="I103" s="84">
        <f t="shared" si="50"/>
        <v>7.6699629837263902E-2</v>
      </c>
      <c r="J103" s="412">
        <f t="shared" si="44"/>
        <v>1.144222173215536E-2</v>
      </c>
      <c r="K103" s="91">
        <f>(INDEX(Data!146:146,1,$U$1-2)+INDEX(Data!428:428,1,$U$1-2)-INDEX(Data!1425:1425,1,$U$1-2))/1000000</f>
        <v>95.816158000000001</v>
      </c>
      <c r="L103" s="87">
        <f>(INDEX(Data!146:146,1,$U$1-1)+INDEX(Data!428:428,1,$U$1-1)-INDEX(Data!1425:1425,1,$U$1-1))/1000000</f>
        <v>96.497136999999995</v>
      </c>
      <c r="M103" s="88">
        <f t="shared" si="53"/>
        <v>192.31329499999998</v>
      </c>
      <c r="N103" s="89">
        <f>(INDEX(Data!146:146,1,$U$1)+INDEX(Data!428:428,1,$U$1)-INDEX(Data!1425:1425,1,$U$1))/1000000</f>
        <v>102.319586</v>
      </c>
      <c r="O103" s="90">
        <f>(INDEX(Data!146:146,1,$U$1+1)+INDEX(Data!428:428,1,$U$1+1)-INDEX(Data!1425:1425,1,$U$1+1))/1000000</f>
        <v>102.26517800000001</v>
      </c>
      <c r="P103" s="88">
        <f t="shared" si="45"/>
        <v>204.58476400000001</v>
      </c>
      <c r="Q103" s="86">
        <f t="shared" si="51"/>
        <v>12.271469000000025</v>
      </c>
      <c r="R103" s="84">
        <f t="shared" si="52"/>
        <v>6.3809779765876429E-2</v>
      </c>
      <c r="S103" s="85">
        <f t="shared" si="46"/>
        <v>1.3763561147833782E-2</v>
      </c>
      <c r="T103" s="85">
        <f t="shared" si="47"/>
        <v>0.74366940893555389</v>
      </c>
    </row>
    <row r="104" spans="1:20" hidden="1" outlineLevel="1">
      <c r="A104" s="50" t="s">
        <v>1667</v>
      </c>
      <c r="B104" s="86">
        <f>(INDEX(Data!48:48,1,$U$1-2)+INDEX(Data!429:429,1,$U$1-2)-INDEX(Data!1269:1269,1,$U$1-2))/1000000</f>
        <v>143.941395</v>
      </c>
      <c r="C104" s="87">
        <f>(INDEX(Data!48:48,1,$U$1-1)+INDEX(Data!429:429,1,$U$1-1)-INDEX(Data!1269:1269,1,$U$1-1))/1000000</f>
        <v>144.93999099999999</v>
      </c>
      <c r="D104" s="88">
        <f t="shared" ref="D104" si="54">B104+C104</f>
        <v>288.88138600000002</v>
      </c>
      <c r="E104" s="89">
        <f>(INDEX(Data!48:48,1,$U$1)+INDEX(Data!429:429,1,$U$1)-INDEX(Data!1269:1269,1,$U$1))/1000000</f>
        <v>144.845471</v>
      </c>
      <c r="F104" s="90">
        <f>(INDEX(Data!48:48,1,$U$1+1)+INDEX(Data!429:429,1,$U$1+1)-INDEX(Data!1269:1269,1,$U$1+1))/1000000</f>
        <v>144.853253</v>
      </c>
      <c r="G104" s="88">
        <f t="shared" ref="G104" si="55">E104+F104</f>
        <v>289.69872399999997</v>
      </c>
      <c r="H104" s="86">
        <f t="shared" ref="H104" si="56">G104-D104</f>
        <v>0.81733799999994972</v>
      </c>
      <c r="I104" s="84">
        <f t="shared" ref="I104" si="57">IFERROR(H104/D104,"")</f>
        <v>2.829320404880464E-3</v>
      </c>
      <c r="J104" s="412">
        <f t="shared" si="44"/>
        <v>1.2049348660950509E-2</v>
      </c>
      <c r="K104" s="91">
        <f>(INDEX(Data!147:147,1,$U$1-2)+INDEX(Data!429:429,1,$U$1-2)-INDEX(Data!1426:1426,1,$U$1-2))/1000000</f>
        <v>108.078175</v>
      </c>
      <c r="L104" s="87">
        <f>(INDEX(Data!147:147,1,$U$1-1)+INDEX(Data!429:429,1,$U$1-1)-INDEX(Data!1426:1426,1,$U$1-1))/1000000</f>
        <v>108.998414</v>
      </c>
      <c r="M104" s="88">
        <f t="shared" ref="M104" si="58">K104+L104</f>
        <v>217.07658900000001</v>
      </c>
      <c r="N104" s="89">
        <f>(INDEX(Data!147:147,1,$U$1)+INDEX(Data!429:429,1,$U$1)-INDEX(Data!1426:1426,1,$U$1))/1000000</f>
        <v>108.873093</v>
      </c>
      <c r="O104" s="90">
        <f>(INDEX(Data!147:147,1,$U$1+1)+INDEX(Data!429:429,1,$U$1+1)-INDEX(Data!1426:1426,1,$U$1+1))/1000000</f>
        <v>108.864851</v>
      </c>
      <c r="P104" s="88">
        <f t="shared" ref="P104" si="59">N104+O104</f>
        <v>217.737944</v>
      </c>
      <c r="Q104" s="86">
        <f t="shared" ref="Q104" si="60">P104-M104</f>
        <v>0.66135499999998615</v>
      </c>
      <c r="R104" s="84">
        <f t="shared" ref="R104" si="61">IFERROR(Q104/M104,"")</f>
        <v>3.0466435972972936E-3</v>
      </c>
      <c r="S104" s="85">
        <f t="shared" si="46"/>
        <v>1.464844912130215E-2</v>
      </c>
      <c r="T104" s="85">
        <f t="shared" ref="T104" si="62">IFERROR(P104/G104,"")</f>
        <v>0.75160132220672127</v>
      </c>
    </row>
    <row r="105" spans="1:20" hidden="1" outlineLevel="1">
      <c r="A105" s="50" t="s">
        <v>1356</v>
      </c>
      <c r="B105" s="86">
        <f>(INDEX(Data!49:49,1,$U$1-2)+INDEX(Data!430:430,1,$U$1-2)-INDEX(Data!1270:1270,1,$U$1-2))/1000000</f>
        <v>0</v>
      </c>
      <c r="C105" s="87">
        <f>(INDEX(Data!49:49,1,$U$1-1)+INDEX(Data!430:430,1,$U$1-1)-INDEX(Data!1270:1270,1,$U$1-1))/1000000</f>
        <v>0</v>
      </c>
      <c r="D105" s="88">
        <f t="shared" si="48"/>
        <v>0</v>
      </c>
      <c r="E105" s="89">
        <f>(INDEX(Data!49:49,1,$U$1)+INDEX(Data!430:430,1,$U$1)-INDEX(Data!1270:1270,1,$U$1))/1000000</f>
        <v>0</v>
      </c>
      <c r="F105" s="90">
        <f>(INDEX(Data!49:49,1,$U$1+1)+INDEX(Data!430:430,1,$U$1+1)-INDEX(Data!1270:1270,1,$U$1+1))/1000000</f>
        <v>0</v>
      </c>
      <c r="G105" s="88">
        <f t="shared" si="43"/>
        <v>0</v>
      </c>
      <c r="H105" s="86">
        <f t="shared" si="49"/>
        <v>0</v>
      </c>
      <c r="I105" s="84" t="str">
        <f t="shared" si="50"/>
        <v/>
      </c>
      <c r="J105" s="412">
        <f t="shared" si="44"/>
        <v>0</v>
      </c>
      <c r="K105" s="91">
        <f>(INDEX(Data!148:148,1,$U$1-2)+INDEX(Data!430:430,1,$U$1-2)-INDEX(Data!1427:1427,1,$U$1-2))/1000000</f>
        <v>0</v>
      </c>
      <c r="L105" s="87">
        <f>(INDEX(Data!148:148,1,$U$1-1)+INDEX(Data!430:430,1,$U$1-1)-INDEX(Data!1427:1427,1,$U$1-1))/1000000</f>
        <v>0</v>
      </c>
      <c r="M105" s="88">
        <f t="shared" si="53"/>
        <v>0</v>
      </c>
      <c r="N105" s="89">
        <f>(INDEX(Data!148:148,1,$U$1)+INDEX(Data!430:430,1,$U$1)-INDEX(Data!1427:1427,1,$U$1))/1000000</f>
        <v>0</v>
      </c>
      <c r="O105" s="90">
        <f>(INDEX(Data!148:148,1,$U$1+1)+INDEX(Data!430:430,1,$U$1+1)-INDEX(Data!1427:1427,1,$U$1+1))/1000000</f>
        <v>0</v>
      </c>
      <c r="P105" s="88">
        <f t="shared" si="45"/>
        <v>0</v>
      </c>
      <c r="Q105" s="86">
        <f t="shared" si="51"/>
        <v>0</v>
      </c>
      <c r="R105" s="84" t="str">
        <f t="shared" si="52"/>
        <v/>
      </c>
      <c r="S105" s="85">
        <f t="shared" si="46"/>
        <v>0</v>
      </c>
      <c r="T105" s="85" t="str">
        <f t="shared" si="47"/>
        <v/>
      </c>
    </row>
    <row r="106" spans="1:20" hidden="1" outlineLevel="1">
      <c r="A106" s="50" t="s">
        <v>1357</v>
      </c>
      <c r="B106" s="86">
        <f>(INDEX(Data!50:50,1,$U$1-2)+INDEX(Data!431:431,1,$U$1-2)-INDEX(Data!1271:1271,1,$U$1-2))/1000000</f>
        <v>0</v>
      </c>
      <c r="C106" s="87">
        <f>(INDEX(Data!50:50,1,$U$1-1)+INDEX(Data!431:431,1,$U$1-1)-INDEX(Data!1271:1271,1,$U$1-1))/1000000</f>
        <v>0</v>
      </c>
      <c r="D106" s="88">
        <f t="shared" si="48"/>
        <v>0</v>
      </c>
      <c r="E106" s="89">
        <f>(INDEX(Data!50:50,1,$U$1)+INDEX(Data!431:431,1,$U$1)-INDEX(Data!1271:1271,1,$U$1))/1000000</f>
        <v>0</v>
      </c>
      <c r="F106" s="90">
        <f>(INDEX(Data!50:50,1,$U$1+1)+INDEX(Data!431:431,1,$U$1+1)-INDEX(Data!1271:1271,1,$U$1+1))/1000000</f>
        <v>0</v>
      </c>
      <c r="G106" s="88">
        <f t="shared" si="43"/>
        <v>0</v>
      </c>
      <c r="H106" s="86">
        <f t="shared" si="49"/>
        <v>0</v>
      </c>
      <c r="I106" s="84" t="str">
        <f t="shared" si="50"/>
        <v/>
      </c>
      <c r="J106" s="412">
        <f t="shared" si="44"/>
        <v>0</v>
      </c>
      <c r="K106" s="91">
        <f>(INDEX(Data!149:149,1,$U$1-2)+INDEX(Data!431:431,1,$U$1-2)-INDEX(Data!1428:1428,1,$U$1-2))/1000000</f>
        <v>0</v>
      </c>
      <c r="L106" s="87">
        <f>(INDEX(Data!149:149,1,$U$1-1)+INDEX(Data!431:431,1,$U$1-1)-INDEX(Data!1428:1428,1,$U$1-1))/1000000</f>
        <v>0</v>
      </c>
      <c r="M106" s="88">
        <f t="shared" si="53"/>
        <v>0</v>
      </c>
      <c r="N106" s="89">
        <f>(INDEX(Data!149:149,1,$U$1)+INDEX(Data!431:431,1,$U$1)-INDEX(Data!1428:1428,1,$U$1))/1000000</f>
        <v>0</v>
      </c>
      <c r="O106" s="90">
        <f>(INDEX(Data!149:149,1,$U$1+1)+INDEX(Data!431:431,1,$U$1+1)-INDEX(Data!1428:1428,1,$U$1+1))/1000000</f>
        <v>0</v>
      </c>
      <c r="P106" s="88">
        <f t="shared" si="45"/>
        <v>0</v>
      </c>
      <c r="Q106" s="86">
        <f t="shared" si="51"/>
        <v>0</v>
      </c>
      <c r="R106" s="84" t="str">
        <f t="shared" si="52"/>
        <v/>
      </c>
      <c r="S106" s="85">
        <f t="shared" si="46"/>
        <v>0</v>
      </c>
      <c r="T106" s="85" t="str">
        <f t="shared" si="47"/>
        <v/>
      </c>
    </row>
    <row r="107" spans="1:20" hidden="1" outlineLevel="1">
      <c r="A107" s="50" t="s">
        <v>1358</v>
      </c>
      <c r="B107" s="86">
        <f>(INDEX(Data!51:51,1,$U$1-2)+INDEX(Data!432:432,1,$U$1-2)-INDEX(Data!1272:1272,1,$U$1-2))/1000000</f>
        <v>42.368943999999999</v>
      </c>
      <c r="C107" s="87">
        <f>(INDEX(Data!51:51,1,$U$1-1)+INDEX(Data!432:432,1,$U$1-1)-INDEX(Data!1272:1272,1,$U$1-1))/1000000</f>
        <v>42.521706999999999</v>
      </c>
      <c r="D107" s="88">
        <f t="shared" si="48"/>
        <v>84.890650999999991</v>
      </c>
      <c r="E107" s="89">
        <f>(INDEX(Data!51:51,1,$U$1)+INDEX(Data!432:432,1,$U$1)-INDEX(Data!1272:1272,1,$U$1))/1000000</f>
        <v>41.869568000000001</v>
      </c>
      <c r="F107" s="90">
        <f>(INDEX(Data!51:51,1,$U$1+1)+INDEX(Data!432:432,1,$U$1+1)-INDEX(Data!1272:1272,1,$U$1+1))/1000000</f>
        <v>41.871065000000002</v>
      </c>
      <c r="G107" s="88">
        <f t="shared" si="43"/>
        <v>83.740633000000003</v>
      </c>
      <c r="H107" s="86">
        <f t="shared" si="49"/>
        <v>-1.1500179999999887</v>
      </c>
      <c r="I107" s="84">
        <f t="shared" si="50"/>
        <v>-1.3547051253028897E-2</v>
      </c>
      <c r="J107" s="412">
        <f t="shared" si="44"/>
        <v>3.482998026962998E-3</v>
      </c>
      <c r="K107" s="91">
        <f>(INDEX(Data!150:150,1,$U$1-2)+INDEX(Data!432:432,1,$U$1-2)-INDEX(Data!1429:1429,1,$U$1-2))/1000000</f>
        <v>33.996481000000003</v>
      </c>
      <c r="L107" s="87">
        <f>(INDEX(Data!150:150,1,$U$1-1)+INDEX(Data!432:432,1,$U$1-1)-INDEX(Data!1429:1429,1,$U$1-1))/1000000</f>
        <v>34.104624999999999</v>
      </c>
      <c r="M107" s="88">
        <f t="shared" si="53"/>
        <v>68.101106000000001</v>
      </c>
      <c r="N107" s="89">
        <f>(INDEX(Data!150:150,1,$U$1)+INDEX(Data!432:432,1,$U$1)-INDEX(Data!1429:1429,1,$U$1))/1000000</f>
        <v>33.739691999999998</v>
      </c>
      <c r="O107" s="90">
        <f>(INDEX(Data!150:150,1,$U$1+1)+INDEX(Data!432:432,1,$U$1+1)-INDEX(Data!1429:1429,1,$U$1+1))/1000000</f>
        <v>33.730049999999999</v>
      </c>
      <c r="P107" s="88">
        <f t="shared" si="45"/>
        <v>67.469741999999997</v>
      </c>
      <c r="Q107" s="86">
        <f t="shared" si="51"/>
        <v>-0.63136400000000492</v>
      </c>
      <c r="R107" s="84">
        <f t="shared" si="52"/>
        <v>-9.2709801218207079E-3</v>
      </c>
      <c r="S107" s="85">
        <f t="shared" si="46"/>
        <v>4.5390668468624044E-3</v>
      </c>
      <c r="T107" s="85">
        <f t="shared" si="47"/>
        <v>0.80569897292273862</v>
      </c>
    </row>
    <row r="108" spans="1:20" hidden="1" outlineLevel="1">
      <c r="A108" s="50" t="s">
        <v>757</v>
      </c>
      <c r="B108" s="86">
        <f>(INDEX(Data!52:52,1,$U$1-2)+INDEX(Data!433:433,1,$U$1-2)-INDEX(Data!1273:1273,1,$U$1-2))/1000000</f>
        <v>156.025868</v>
      </c>
      <c r="C108" s="87">
        <f>(INDEX(Data!52:52,1,$U$1-1)+INDEX(Data!433:433,1,$U$1-1)-INDEX(Data!1273:1273,1,$U$1-1))/1000000</f>
        <v>156.996745</v>
      </c>
      <c r="D108" s="88">
        <f t="shared" si="48"/>
        <v>313.02261299999998</v>
      </c>
      <c r="E108" s="89">
        <f>(INDEX(Data!52:52,1,$U$1)+INDEX(Data!433:433,1,$U$1)-INDEX(Data!1273:1273,1,$U$1))/1000000</f>
        <v>170.52093500000001</v>
      </c>
      <c r="F108" s="90">
        <f>(INDEX(Data!52:52,1,$U$1+1)+INDEX(Data!433:433,1,$U$1+1)-INDEX(Data!1273:1273,1,$U$1+1))/1000000</f>
        <v>170.53234599999999</v>
      </c>
      <c r="G108" s="88">
        <f t="shared" si="43"/>
        <v>341.05328099999997</v>
      </c>
      <c r="H108" s="86">
        <f t="shared" si="49"/>
        <v>28.030667999999991</v>
      </c>
      <c r="I108" s="84">
        <f t="shared" si="50"/>
        <v>8.9548380327398244E-2</v>
      </c>
      <c r="J108" s="412">
        <f t="shared" si="44"/>
        <v>1.418532273110781E-2</v>
      </c>
      <c r="K108" s="91">
        <f>(INDEX(Data!151:151,1,$U$1-2)+INDEX(Data!433:433,1,$U$1-2)-INDEX(Data!1430:1430,1,$U$1-2))/1000000</f>
        <v>113.74079399999999</v>
      </c>
      <c r="L108" s="87">
        <f>(INDEX(Data!151:151,1,$U$1-1)+INDEX(Data!433:433,1,$U$1-1)-INDEX(Data!1430:1430,1,$U$1-1))/1000000</f>
        <v>114.43764</v>
      </c>
      <c r="M108" s="88">
        <f t="shared" si="53"/>
        <v>228.17843399999998</v>
      </c>
      <c r="N108" s="89">
        <f>(INDEX(Data!151:151,1,$U$1)+INDEX(Data!433:433,1,$U$1)-INDEX(Data!1430:1430,1,$U$1))/1000000</f>
        <v>127.500894</v>
      </c>
      <c r="O108" s="90">
        <f>(INDEX(Data!151:151,1,$U$1+1)+INDEX(Data!433:433,1,$U$1+1)-INDEX(Data!1430:1430,1,$U$1+1))/1000000</f>
        <v>127.46518</v>
      </c>
      <c r="P108" s="88">
        <f t="shared" si="45"/>
        <v>254.96607399999999</v>
      </c>
      <c r="Q108" s="86">
        <f t="shared" si="51"/>
        <v>26.78764000000001</v>
      </c>
      <c r="R108" s="84">
        <f t="shared" si="52"/>
        <v>0.11739777300776817</v>
      </c>
      <c r="S108" s="85">
        <f t="shared" si="46"/>
        <v>1.715299361257475E-2</v>
      </c>
      <c r="T108" s="85">
        <f t="shared" si="47"/>
        <v>0.74758428727738879</v>
      </c>
    </row>
    <row r="109" spans="1:20" hidden="1" outlineLevel="1">
      <c r="A109" s="50" t="s">
        <v>1359</v>
      </c>
      <c r="B109" s="86">
        <f>(INDEX(Data!53:53,1,$U$1-2)+INDEX(Data!434:434,1,$U$1-2)-INDEX(Data!1274:1274,1,$U$1-2))/1000000</f>
        <v>51.952739000000001</v>
      </c>
      <c r="C109" s="87">
        <f>(INDEX(Data!53:53,1,$U$1-1)+INDEX(Data!434:434,1,$U$1-1)-INDEX(Data!1274:1274,1,$U$1-1))/1000000</f>
        <v>52.259219000000002</v>
      </c>
      <c r="D109" s="88">
        <f t="shared" si="48"/>
        <v>104.21195800000001</v>
      </c>
      <c r="E109" s="89">
        <f>(INDEX(Data!53:53,1,$U$1)+INDEX(Data!434:434,1,$U$1)-INDEX(Data!1274:1274,1,$U$1))/1000000</f>
        <v>50.323194999999998</v>
      </c>
      <c r="F109" s="90">
        <f>(INDEX(Data!53:53,1,$U$1+1)+INDEX(Data!434:434,1,$U$1+1)-INDEX(Data!1274:1274,1,$U$1+1))/1000000</f>
        <v>50.326962999999999</v>
      </c>
      <c r="G109" s="88">
        <f t="shared" si="43"/>
        <v>100.650158</v>
      </c>
      <c r="H109" s="86">
        <f t="shared" si="49"/>
        <v>-3.5618000000000052</v>
      </c>
      <c r="I109" s="84">
        <f t="shared" si="50"/>
        <v>-3.4178419332645156E-2</v>
      </c>
      <c r="J109" s="412">
        <f t="shared" si="44"/>
        <v>4.1863106256614276E-3</v>
      </c>
      <c r="K109" s="91">
        <f>(INDEX(Data!152:152,1,$U$1-2)+INDEX(Data!434:434,1,$U$1-2)-INDEX(Data!1431:1431,1,$U$1-2))/1000000</f>
        <v>40.371116999999998</v>
      </c>
      <c r="L109" s="87">
        <f>(INDEX(Data!152:152,1,$U$1-1)+INDEX(Data!434:434,1,$U$1-1)-INDEX(Data!1431:1431,1,$U$1-1))/1000000</f>
        <v>40.595140999999998</v>
      </c>
      <c r="M109" s="88">
        <f t="shared" si="53"/>
        <v>80.966257999999996</v>
      </c>
      <c r="N109" s="89">
        <f>(INDEX(Data!152:152,1,$U$1)+INDEX(Data!434:434,1,$U$1)-INDEX(Data!1431:1431,1,$U$1))/1000000</f>
        <v>39.413451999999999</v>
      </c>
      <c r="O109" s="90">
        <f>(INDEX(Data!152:152,1,$U$1+1)+INDEX(Data!434:434,1,$U$1+1)-INDEX(Data!1431:1431,1,$U$1+1))/1000000</f>
        <v>39.398867000000003</v>
      </c>
      <c r="P109" s="88">
        <f t="shared" si="45"/>
        <v>78.812319000000002</v>
      </c>
      <c r="Q109" s="86">
        <f t="shared" si="51"/>
        <v>-2.1539389999999941</v>
      </c>
      <c r="R109" s="84">
        <f t="shared" si="52"/>
        <v>-2.6602921429319287E-2</v>
      </c>
      <c r="S109" s="85">
        <f t="shared" si="46"/>
        <v>5.3021454313141436E-3</v>
      </c>
      <c r="T109" s="85">
        <f t="shared" si="47"/>
        <v>0.78303224322807319</v>
      </c>
    </row>
    <row r="110" spans="1:20" hidden="1" outlineLevel="1">
      <c r="A110" s="50" t="s">
        <v>751</v>
      </c>
      <c r="B110" s="86">
        <f>(INDEX(Data!55:55,1,$U$1-2)+INDEX(Data!443:443,1,$U$1-2)-INDEX(Data!1276:1276,1,$U$1-2))/1000000</f>
        <v>455.55527699999999</v>
      </c>
      <c r="C110" s="87">
        <f>(INDEX(Data!55:55,1,$U$1-1)+INDEX(Data!443:443,1,$U$1-1)-INDEX(Data!1276:1276,1,$U$1-1))/1000000</f>
        <v>458.02820400000002</v>
      </c>
      <c r="D110" s="88">
        <f t="shared" si="48"/>
        <v>913.58348100000001</v>
      </c>
      <c r="E110" s="89">
        <f>(INDEX(Data!55:55,1,$U$1)+INDEX(Data!443:443,1,$U$1)-INDEX(Data!1276:1276,1,$U$1))/1000000</f>
        <v>512.78780800000004</v>
      </c>
      <c r="F110" s="90">
        <f>(INDEX(Data!55:55,1,$U$1+1)+INDEX(Data!443:443,1,$U$1+1)-INDEX(Data!1276:1276,1,$U$1+1))/1000000</f>
        <v>512.81185600000003</v>
      </c>
      <c r="G110" s="88">
        <f t="shared" si="43"/>
        <v>1025.5996640000001</v>
      </c>
      <c r="H110" s="86">
        <f t="shared" si="49"/>
        <v>112.01618300000007</v>
      </c>
      <c r="I110" s="84">
        <f t="shared" si="50"/>
        <v>0.12261187437122681</v>
      </c>
      <c r="J110" s="412">
        <f t="shared" si="44"/>
        <v>4.2657446907117529E-2</v>
      </c>
      <c r="K110" s="91">
        <f>(INDEX(Data!154:154,1,$U$1-2)+INDEX(Data!443:443,1,$U$1-2)-INDEX(Data!1433:1433,1,$U$1-2))/1000000</f>
        <v>331.12218300000001</v>
      </c>
      <c r="L110" s="87">
        <f>(INDEX(Data!154:154,1,$U$1-1)+INDEX(Data!443:443,1,$U$1-1)-INDEX(Data!1433:1433,1,$U$1-1))/1000000</f>
        <v>332.55377099999998</v>
      </c>
      <c r="M110" s="88">
        <f t="shared" si="53"/>
        <v>663.67595400000005</v>
      </c>
      <c r="N110" s="89">
        <f>(INDEX(Data!154:154,1,$U$1)+INDEX(Data!443:443,1,$U$1)-INDEX(Data!1433:1433,1,$U$1))/1000000</f>
        <v>381.15291400000001</v>
      </c>
      <c r="O110" s="90">
        <f>(INDEX(Data!154:154,1,$U$1+1)+INDEX(Data!443:443,1,$U$1+1)-INDEX(Data!1433:1433,1,$U$1+1))/1000000</f>
        <v>380.87777899999998</v>
      </c>
      <c r="P110" s="88">
        <f t="shared" si="45"/>
        <v>762.03069299999993</v>
      </c>
      <c r="Q110" s="86">
        <f t="shared" si="51"/>
        <v>98.354738999999881</v>
      </c>
      <c r="R110" s="84">
        <f t="shared" si="52"/>
        <v>0.14819693015426</v>
      </c>
      <c r="S110" s="85">
        <f t="shared" si="46"/>
        <v>5.1266066126173751E-2</v>
      </c>
      <c r="T110" s="85">
        <f t="shared" si="47"/>
        <v>0.74300988948061886</v>
      </c>
    </row>
    <row r="111" spans="1:20" hidden="1" outlineLevel="1">
      <c r="A111" s="50" t="s">
        <v>876</v>
      </c>
      <c r="B111" s="86">
        <f>(INDEX(Data!56:56,1,$U$1-2)+INDEX(Data!445:445,1,$U$1-2)-INDEX(Data!1277:1277,1,$U$1-2))/1000000</f>
        <v>28.224772000000002</v>
      </c>
      <c r="C111" s="87">
        <f>(INDEX(Data!56:56,1,$U$1-1)+INDEX(Data!445:445,1,$U$1-1)-INDEX(Data!1277:1277,1,$U$1-1))/1000000</f>
        <v>28.351906</v>
      </c>
      <c r="D111" s="88">
        <f t="shared" si="48"/>
        <v>56.576678000000001</v>
      </c>
      <c r="E111" s="89">
        <f>(INDEX(Data!56:56,1,$U$1)+INDEX(Data!445:445,1,$U$1)-INDEX(Data!1277:1277,1,$U$1))/1000000</f>
        <v>27.292107000000001</v>
      </c>
      <c r="F111" s="90">
        <f>(INDEX(Data!56:56,1,$U$1+1)+INDEX(Data!445:445,1,$U$1+1)-INDEX(Data!1277:1277,1,$U$1+1))/1000000</f>
        <v>27.279395000000001</v>
      </c>
      <c r="G111" s="88">
        <f t="shared" si="43"/>
        <v>54.571502000000002</v>
      </c>
      <c r="H111" s="86">
        <f t="shared" si="49"/>
        <v>-2.0051759999999987</v>
      </c>
      <c r="I111" s="84">
        <f t="shared" si="50"/>
        <v>-3.5441741560011682E-2</v>
      </c>
      <c r="J111" s="412">
        <f t="shared" si="44"/>
        <v>2.2697754600733352E-3</v>
      </c>
      <c r="K111" s="91">
        <f>(INDEX(Data!155:155,1,$U$1-2)+INDEX(Data!445:445,1,$U$1-2)-INDEX(Data!1434:1434,1,$U$1-2))/1000000</f>
        <v>23.779751000000001</v>
      </c>
      <c r="L111" s="87">
        <f>(INDEX(Data!155:155,1,$U$1-1)+INDEX(Data!445:445,1,$U$1-1)-INDEX(Data!1434:1434,1,$U$1-1))/1000000</f>
        <v>23.873930000000001</v>
      </c>
      <c r="M111" s="88">
        <f t="shared" si="53"/>
        <v>47.653681000000006</v>
      </c>
      <c r="N111" s="89">
        <f>(INDEX(Data!155:155,1,$U$1)+INDEX(Data!445:445,1,$U$1)-INDEX(Data!1434:1434,1,$U$1))/1000000</f>
        <v>24.073090000000001</v>
      </c>
      <c r="O111" s="90">
        <f>(INDEX(Data!155:155,1,$U$1+1)+INDEX(Data!445:445,1,$U$1+1)-INDEX(Data!1434:1434,1,$U$1+1))/1000000</f>
        <v>24.054724</v>
      </c>
      <c r="P111" s="88">
        <f t="shared" si="45"/>
        <v>48.127814000000001</v>
      </c>
      <c r="Q111" s="86">
        <f t="shared" si="51"/>
        <v>0.47413299999999481</v>
      </c>
      <c r="R111" s="84">
        <f t="shared" si="52"/>
        <v>9.9495566774788022E-3</v>
      </c>
      <c r="S111" s="85">
        <f t="shared" si="46"/>
        <v>3.237827186879717E-3</v>
      </c>
      <c r="T111" s="85">
        <f t="shared" si="47"/>
        <v>0.88192210652365766</v>
      </c>
    </row>
    <row r="112" spans="1:20" hidden="1" outlineLevel="1">
      <c r="A112" s="50" t="s">
        <v>750</v>
      </c>
      <c r="B112" s="86">
        <f>(INDEX(Data!57:57,1,$U$1-2)+INDEX(Data!446:446,1,$U$1-2)-INDEX(Data!1278:1278,1,$U$1-2))/1000000</f>
        <v>70.836712000000006</v>
      </c>
      <c r="C112" s="87">
        <f>(INDEX(Data!57:57,1,$U$1-1)+INDEX(Data!446:446,1,$U$1-1)-INDEX(Data!1278:1278,1,$U$1-1))/1000000</f>
        <v>71.185383000000002</v>
      </c>
      <c r="D112" s="88">
        <f t="shared" si="48"/>
        <v>142.02209500000001</v>
      </c>
      <c r="E112" s="89">
        <f>(INDEX(Data!57:57,1,$U$1)+INDEX(Data!446:446,1,$U$1)-INDEX(Data!1278:1278,1,$U$1))/1000000</f>
        <v>72.561351000000002</v>
      </c>
      <c r="F112" s="90">
        <f>(INDEX(Data!57:57,1,$U$1+1)+INDEX(Data!446:446,1,$U$1+1)-INDEX(Data!1278:1278,1,$U$1+1))/1000000</f>
        <v>72.559279000000004</v>
      </c>
      <c r="G112" s="88">
        <f t="shared" si="43"/>
        <v>145.12063000000001</v>
      </c>
      <c r="H112" s="86">
        <f t="shared" si="49"/>
        <v>3.0985349999999983</v>
      </c>
      <c r="I112" s="84">
        <f t="shared" si="50"/>
        <v>2.1817274276935559E-2</v>
      </c>
      <c r="J112" s="412">
        <f t="shared" si="44"/>
        <v>6.0359570957820114E-3</v>
      </c>
      <c r="K112" s="91">
        <f>(INDEX(Data!156:156,1,$U$1-2)+INDEX(Data!446:446,1,$U$1-2)-INDEX(Data!1435:1435,1,$U$1-2))/1000000</f>
        <v>53.729958000000003</v>
      </c>
      <c r="L112" s="87">
        <f>(INDEX(Data!156:156,1,$U$1-1)+INDEX(Data!446:446,1,$U$1-1)-INDEX(Data!1435:1435,1,$U$1-1))/1000000</f>
        <v>53.951521999999997</v>
      </c>
      <c r="M112" s="88">
        <f t="shared" si="53"/>
        <v>107.68147999999999</v>
      </c>
      <c r="N112" s="89">
        <f>(INDEX(Data!156:156,1,$U$1)+INDEX(Data!446:446,1,$U$1)-INDEX(Data!1435:1435,1,$U$1))/1000000</f>
        <v>53.749929000000002</v>
      </c>
      <c r="O112" s="90">
        <f>(INDEX(Data!156:156,1,$U$1+1)+INDEX(Data!446:446,1,$U$1+1)-INDEX(Data!1435:1435,1,$U$1+1))/1000000</f>
        <v>53.710711000000003</v>
      </c>
      <c r="P112" s="88">
        <f t="shared" si="45"/>
        <v>107.46064000000001</v>
      </c>
      <c r="Q112" s="86">
        <f t="shared" si="51"/>
        <v>-0.22083999999998127</v>
      </c>
      <c r="R112" s="84">
        <f t="shared" si="52"/>
        <v>-2.0508633425170351E-3</v>
      </c>
      <c r="S112" s="85">
        <f t="shared" si="46"/>
        <v>7.2294781913737867E-3</v>
      </c>
      <c r="T112" s="85">
        <f t="shared" si="47"/>
        <v>0.74049182393984925</v>
      </c>
    </row>
    <row r="113" spans="1:20" hidden="1" outlineLevel="1">
      <c r="A113" s="50" t="s">
        <v>1209</v>
      </c>
      <c r="B113" s="86">
        <f>(INDEX(Data!58:58,1,$U$1-2)+INDEX(Data!447:447,1,$U$1-2)-INDEX(Data!1279:1279,1,$U$1-2))/1000000</f>
        <v>66.290492</v>
      </c>
      <c r="C113" s="87">
        <f>(INDEX(Data!58:58,1,$U$1-1)+INDEX(Data!447:447,1,$U$1-1)-INDEX(Data!1279:1279,1,$U$1-1))/1000000</f>
        <v>66.633635999999996</v>
      </c>
      <c r="D113" s="88">
        <f t="shared" si="48"/>
        <v>132.924128</v>
      </c>
      <c r="E113" s="89">
        <f>(INDEX(Data!58:58,1,$U$1)+INDEX(Data!447:447,1,$U$1)-INDEX(Data!1279:1279,1,$U$1))/1000000</f>
        <v>65.969500999999994</v>
      </c>
      <c r="F113" s="90">
        <f>(INDEX(Data!58:58,1,$U$1+1)+INDEX(Data!447:447,1,$U$1+1)-INDEX(Data!1279:1279,1,$U$1+1))/1000000</f>
        <v>65.966556999999995</v>
      </c>
      <c r="G113" s="88">
        <f t="shared" si="43"/>
        <v>131.936058</v>
      </c>
      <c r="H113" s="86">
        <f t="shared" si="49"/>
        <v>-0.98806999999999334</v>
      </c>
      <c r="I113" s="84">
        <f t="shared" si="50"/>
        <v>-7.4333382123070489E-3</v>
      </c>
      <c r="J113" s="412">
        <f t="shared" si="44"/>
        <v>5.4875753052795254E-3</v>
      </c>
      <c r="K113" s="91">
        <f>(INDEX(Data!157:157,1,$U$1-2)+INDEX(Data!447:447,1,$U$1-2)-INDEX(Data!1436:1436,1,$U$1-2))/1000000</f>
        <v>51.012369</v>
      </c>
      <c r="L113" s="87">
        <f>(INDEX(Data!157:157,1,$U$1-1)+INDEX(Data!447:447,1,$U$1-1)-INDEX(Data!1436:1436,1,$U$1-1))/1000000</f>
        <v>51.318313000000003</v>
      </c>
      <c r="M113" s="88">
        <f t="shared" si="53"/>
        <v>102.330682</v>
      </c>
      <c r="N113" s="89">
        <f>(INDEX(Data!157:157,1,$U$1)+INDEX(Data!447:447,1,$U$1)-INDEX(Data!1436:1436,1,$U$1))/1000000</f>
        <v>50.981271</v>
      </c>
      <c r="O113" s="90">
        <f>(INDEX(Data!157:157,1,$U$1+1)+INDEX(Data!447:447,1,$U$1+1)-INDEX(Data!1436:1436,1,$U$1+1))/1000000</f>
        <v>50.967123000000001</v>
      </c>
      <c r="P113" s="88">
        <f t="shared" si="45"/>
        <v>101.94839400000001</v>
      </c>
      <c r="Q113" s="86">
        <f t="shared" si="51"/>
        <v>-0.38228799999998841</v>
      </c>
      <c r="R113" s="84">
        <f t="shared" si="52"/>
        <v>-3.7358101453871715E-3</v>
      </c>
      <c r="S113" s="85">
        <f t="shared" si="46"/>
        <v>6.8586385775162156E-3</v>
      </c>
      <c r="T113" s="85">
        <f t="shared" si="47"/>
        <v>0.77271062623380793</v>
      </c>
    </row>
    <row r="114" spans="1:20" hidden="1" outlineLevel="1">
      <c r="A114" s="678" t="s">
        <v>1210</v>
      </c>
      <c r="B114" s="86">
        <f>(INDEX(Data!59:59,1,$U$1-2)+INDEX(Data!449:449,1,$U$1-2)-INDEX(Data!1280:1280,1,$U$1-2))/1000000</f>
        <v>23.865528999999999</v>
      </c>
      <c r="C114" s="87">
        <f>(INDEX(Data!59:59,1,$U$1-1)+INDEX(Data!449:449,1,$U$1-1)-INDEX(Data!1280:1280,1,$U$1-1))/1000000</f>
        <v>24.105995</v>
      </c>
      <c r="D114" s="88">
        <f t="shared" si="48"/>
        <v>47.971524000000002</v>
      </c>
      <c r="E114" s="89">
        <f>(INDEX(Data!59:59,1,$U$1)+INDEX(Data!449:449,1,$U$1)-INDEX(Data!1280:1280,1,$U$1))/1000000</f>
        <v>20.713584999999998</v>
      </c>
      <c r="F114" s="90">
        <f>(INDEX(Data!59:59,1,$U$1+1)+INDEX(Data!449:449,1,$U$1+1)-INDEX(Data!1280:1280,1,$U$1+1))/1000000</f>
        <v>20.711026</v>
      </c>
      <c r="G114" s="88">
        <f t="shared" si="43"/>
        <v>41.424610999999999</v>
      </c>
      <c r="H114" s="86">
        <f t="shared" si="49"/>
        <v>-6.5469130000000035</v>
      </c>
      <c r="I114" s="84">
        <f t="shared" si="50"/>
        <v>-0.13647498461795801</v>
      </c>
      <c r="J114" s="412">
        <f t="shared" si="44"/>
        <v>1.7229609236499286E-3</v>
      </c>
      <c r="K114" s="91">
        <f>(INDEX(Data!158:158,1,$U$1-2)+INDEX(Data!449:449,1,$U$1-2)-INDEX(Data!1437:1437,1,$U$1-2))/1000000</f>
        <v>21.441627</v>
      </c>
      <c r="L114" s="87">
        <f>(INDEX(Data!158:158,1,$U$1-1)+INDEX(Data!449:449,1,$U$1-1)-INDEX(Data!1437:1437,1,$U$1-1))/1000000</f>
        <v>21.671682000000001</v>
      </c>
      <c r="M114" s="88">
        <f t="shared" si="53"/>
        <v>43.113309000000001</v>
      </c>
      <c r="N114" s="89">
        <f>(INDEX(Data!158:158,1,$U$1)+INDEX(Data!449:449,1,$U$1)-INDEX(Data!1437:1437,1,$U$1))/1000000</f>
        <v>18.228292</v>
      </c>
      <c r="O114" s="90">
        <f>(INDEX(Data!158:158,1,$U$1+1)+INDEX(Data!449:449,1,$U$1+1)-INDEX(Data!1437:1437,1,$U$1+1))/1000000</f>
        <v>18.221972999999998</v>
      </c>
      <c r="P114" s="88">
        <f t="shared" si="45"/>
        <v>36.450265000000002</v>
      </c>
      <c r="Q114" s="86">
        <f t="shared" si="51"/>
        <v>-6.6630439999999993</v>
      </c>
      <c r="R114" s="84">
        <f t="shared" si="52"/>
        <v>-0.15454726520759515</v>
      </c>
      <c r="S114" s="85">
        <f t="shared" si="46"/>
        <v>2.4522131627663416E-3</v>
      </c>
      <c r="T114" s="85">
        <f t="shared" si="47"/>
        <v>0.87991809989477032</v>
      </c>
    </row>
    <row r="115" spans="1:20" hidden="1" outlineLevel="1">
      <c r="A115" s="678" t="s">
        <v>1211</v>
      </c>
      <c r="B115" s="86">
        <f>(INDEX(Data!60:60,1,$U$1-2)+INDEX(Data!448:448,1,$U$1-2)-INDEX(Data!1281:1281,1,$U$1-2))/1000000</f>
        <v>66.426437000000007</v>
      </c>
      <c r="C115" s="87">
        <f>(INDEX(Data!60:60,1,$U$1-1)+INDEX(Data!448:448,1,$U$1-1)-INDEX(Data!1281:1281,1,$U$1-1))/1000000</f>
        <v>66.582165000000003</v>
      </c>
      <c r="D115" s="88">
        <f t="shared" si="48"/>
        <v>133.008602</v>
      </c>
      <c r="E115" s="89">
        <f>(INDEX(Data!60:60,1,$U$1)+INDEX(Data!448:448,1,$U$1)-INDEX(Data!1281:1281,1,$U$1))/1000000</f>
        <v>74.762637999999995</v>
      </c>
      <c r="F115" s="90">
        <f>(INDEX(Data!60:60,1,$U$1+1)+INDEX(Data!448:448,1,$U$1+1)-INDEX(Data!1281:1281,1,$U$1+1))/1000000</f>
        <v>74.739177999999995</v>
      </c>
      <c r="G115" s="88">
        <f t="shared" si="43"/>
        <v>149.50181599999999</v>
      </c>
      <c r="H115" s="86">
        <f t="shared" si="49"/>
        <v>16.493213999999995</v>
      </c>
      <c r="I115" s="84">
        <f t="shared" si="50"/>
        <v>0.1240011078381231</v>
      </c>
      <c r="J115" s="412">
        <f t="shared" si="44"/>
        <v>6.2181823984467028E-3</v>
      </c>
      <c r="K115" s="91">
        <f>(INDEX(Data!159:159,1,$U$1-2)+INDEX(Data!448:448,1,$U$1-2)-INDEX(Data!1438:1438,1,$U$1-2))/1000000</f>
        <v>48.971494</v>
      </c>
      <c r="L115" s="87">
        <f>(INDEX(Data!159:159,1,$U$1-1)+INDEX(Data!448:448,1,$U$1-1)-INDEX(Data!1438:1438,1,$U$1-1))/1000000</f>
        <v>49.097157000000003</v>
      </c>
      <c r="M115" s="88">
        <f t="shared" si="53"/>
        <v>98.068651000000003</v>
      </c>
      <c r="N115" s="89">
        <f>(INDEX(Data!159:159,1,$U$1)+INDEX(Data!448:448,1,$U$1)-INDEX(Data!1438:1438,1,$U$1))/1000000</f>
        <v>56.983125999999999</v>
      </c>
      <c r="O115" s="90">
        <f>(INDEX(Data!159:159,1,$U$1+1)+INDEX(Data!448:448,1,$U$1+1)-INDEX(Data!1438:1438,1,$U$1+1))/1000000</f>
        <v>56.950887999999999</v>
      </c>
      <c r="P115" s="88">
        <f t="shared" si="45"/>
        <v>113.93401399999999</v>
      </c>
      <c r="Q115" s="86">
        <f t="shared" si="51"/>
        <v>15.865362999999988</v>
      </c>
      <c r="R115" s="84">
        <f t="shared" si="52"/>
        <v>0.16177813030180244</v>
      </c>
      <c r="S115" s="85">
        <f t="shared" si="46"/>
        <v>7.6649782605861597E-3</v>
      </c>
      <c r="T115" s="85">
        <f t="shared" si="47"/>
        <v>0.76209117085239952</v>
      </c>
    </row>
    <row r="116" spans="1:20" hidden="1" outlineLevel="1">
      <c r="A116" s="678" t="s">
        <v>1212</v>
      </c>
      <c r="B116" s="86">
        <f>(INDEX(Data!61:61,1,$U$1-2)+INDEX(Data!451:451,1,$U$1-2)-INDEX(Data!1282:1282,1,$U$1-2))/1000000</f>
        <v>66.949173999999999</v>
      </c>
      <c r="C116" s="87">
        <f>(INDEX(Data!61:61,1,$U$1-1)+INDEX(Data!451:451,1,$U$1-1)-INDEX(Data!1282:1282,1,$U$1-1))/1000000</f>
        <v>67.341262999999998</v>
      </c>
      <c r="D116" s="88">
        <f t="shared" si="48"/>
        <v>134.290437</v>
      </c>
      <c r="E116" s="89">
        <f>(INDEX(Data!61:61,1,$U$1)+INDEX(Data!451:451,1,$U$1)-INDEX(Data!1282:1282,1,$U$1))/1000000</f>
        <v>59.819181999999998</v>
      </c>
      <c r="F116" s="90">
        <f>(INDEX(Data!61:61,1,$U$1+1)+INDEX(Data!451:451,1,$U$1+1)-INDEX(Data!1282:1282,1,$U$1+1))/1000000</f>
        <v>59.823886000000002</v>
      </c>
      <c r="G116" s="88">
        <f t="shared" si="43"/>
        <v>119.643068</v>
      </c>
      <c r="H116" s="86">
        <f t="shared" si="49"/>
        <v>-14.647368999999998</v>
      </c>
      <c r="I116" s="84">
        <f t="shared" si="50"/>
        <v>-0.10907231614712817</v>
      </c>
      <c r="J116" s="412">
        <f t="shared" si="44"/>
        <v>4.9762768067898389E-3</v>
      </c>
      <c r="K116" s="91">
        <f>(INDEX(Data!160:160,1,$U$1-2)+INDEX(Data!451:451,1,$U$1-2)-INDEX(Data!1439:1439,1,$U$1-2))/1000000</f>
        <v>43.292532000000001</v>
      </c>
      <c r="L116" s="87">
        <f>(INDEX(Data!160:160,1,$U$1-1)+INDEX(Data!451:451,1,$U$1-1)-INDEX(Data!1439:1439,1,$U$1-1))/1000000</f>
        <v>43.252544999999998</v>
      </c>
      <c r="M116" s="88">
        <f t="shared" si="53"/>
        <v>86.545076999999992</v>
      </c>
      <c r="N116" s="89">
        <f>(INDEX(Data!160:160,1,$U$1)+INDEX(Data!451:451,1,$U$1)-INDEX(Data!1439:1439,1,$U$1))/1000000</f>
        <v>44.032224999999997</v>
      </c>
      <c r="O116" s="90">
        <f>(INDEX(Data!160:160,1,$U$1+1)+INDEX(Data!451:451,1,$U$1+1)-INDEX(Data!1439:1439,1,$U$1+1))/1000000</f>
        <v>43.979492</v>
      </c>
      <c r="P116" s="88">
        <f t="shared" si="45"/>
        <v>88.011717000000004</v>
      </c>
      <c r="Q116" s="86">
        <f t="shared" si="51"/>
        <v>1.4666400000000124</v>
      </c>
      <c r="R116" s="84">
        <f t="shared" si="52"/>
        <v>1.694654451575579E-2</v>
      </c>
      <c r="S116" s="85">
        <f t="shared" si="46"/>
        <v>5.9210403794064644E-3</v>
      </c>
      <c r="T116" s="85">
        <f t="shared" si="47"/>
        <v>0.73561902474784424</v>
      </c>
    </row>
    <row r="117" spans="1:20" hidden="1" outlineLevel="1">
      <c r="A117" s="678" t="s">
        <v>1213</v>
      </c>
      <c r="B117" s="86">
        <f>(INDEX(Data!62:62,1,$U$1-2)+INDEX(Data!450:450,1,$U$1-2)-INDEX(Data!1283:1283,1,$U$1-2))/1000000</f>
        <v>36.063222000000003</v>
      </c>
      <c r="C117" s="87">
        <f>(INDEX(Data!62:62,1,$U$1-1)+INDEX(Data!450:450,1,$U$1-1)-INDEX(Data!1283:1283,1,$U$1-1))/1000000</f>
        <v>36.163125000000001</v>
      </c>
      <c r="D117" s="88">
        <f t="shared" si="48"/>
        <v>72.226347000000004</v>
      </c>
      <c r="E117" s="89">
        <f>(INDEX(Data!62:62,1,$U$1)+INDEX(Data!450:450,1,$U$1)-INDEX(Data!1283:1283,1,$U$1))/1000000</f>
        <v>40.776656000000003</v>
      </c>
      <c r="F117" s="90">
        <f>(INDEX(Data!62:62,1,$U$1+1)+INDEX(Data!450:450,1,$U$1+1)-INDEX(Data!1283:1283,1,$U$1+1))/1000000</f>
        <v>40.780451999999997</v>
      </c>
      <c r="G117" s="88">
        <f t="shared" si="43"/>
        <v>81.557107999999999</v>
      </c>
      <c r="H117" s="86">
        <f t="shared" si="49"/>
        <v>9.3307609999999954</v>
      </c>
      <c r="I117" s="84">
        <f t="shared" si="50"/>
        <v>0.12918777409578799</v>
      </c>
      <c r="J117" s="412">
        <f t="shared" si="44"/>
        <v>3.3921793527499147E-3</v>
      </c>
      <c r="K117" s="91">
        <f>(INDEX(Data!161:161,1,$U$1-2)+INDEX(Data!450:450,1,$U$1-2)-INDEX(Data!1440:1440,1,$U$1-2))/1000000</f>
        <v>29.702981999999999</v>
      </c>
      <c r="L117" s="87">
        <f>(INDEX(Data!161:161,1,$U$1-1)+INDEX(Data!450:450,1,$U$1-1)-INDEX(Data!1440:1440,1,$U$1-1))/1000000</f>
        <v>29.791228</v>
      </c>
      <c r="M117" s="88">
        <f t="shared" si="53"/>
        <v>59.494209999999995</v>
      </c>
      <c r="N117" s="89">
        <f>(INDEX(Data!161:161,1,$U$1)+INDEX(Data!450:450,1,$U$1)-INDEX(Data!1440:1440,1,$U$1))/1000000</f>
        <v>33.498545999999997</v>
      </c>
      <c r="O117" s="90">
        <f>(INDEX(Data!161:161,1,$U$1+1)+INDEX(Data!450:450,1,$U$1+1)-INDEX(Data!1440:1440,1,$U$1+1))/1000000</f>
        <v>33.499155000000002</v>
      </c>
      <c r="P117" s="88">
        <f t="shared" si="45"/>
        <v>66.997701000000006</v>
      </c>
      <c r="Q117" s="86">
        <f t="shared" si="51"/>
        <v>7.503491000000011</v>
      </c>
      <c r="R117" s="84">
        <f t="shared" si="52"/>
        <v>0.12612136542362715</v>
      </c>
      <c r="S117" s="85">
        <f t="shared" si="46"/>
        <v>4.5073100090570993E-3</v>
      </c>
      <c r="T117" s="85">
        <f t="shared" si="47"/>
        <v>0.82148205892734705</v>
      </c>
    </row>
    <row r="118" spans="1:20" hidden="1" outlineLevel="1">
      <c r="A118" s="50" t="s">
        <v>861</v>
      </c>
      <c r="B118" s="86">
        <f>(INDEX(Data!63:63,1,$U$1-2)+INDEX(Data!452:452,1,$U$1-2)-INDEX(Data!1284:1284,1,$U$1-2))/1000000</f>
        <v>43.399819000000001</v>
      </c>
      <c r="C118" s="87">
        <f>(INDEX(Data!63:63,1,$U$1-1)+INDEX(Data!452:452,1,$U$1-1)-INDEX(Data!1284:1284,1,$U$1-1))/1000000</f>
        <v>43.588262</v>
      </c>
      <c r="D118" s="88">
        <f t="shared" si="48"/>
        <v>86.988080999999994</v>
      </c>
      <c r="E118" s="89">
        <f>(INDEX(Data!63:63,1,$U$1)+INDEX(Data!452:452,1,$U$1)-INDEX(Data!1284:1284,1,$U$1))/1000000</f>
        <v>44.965255999999997</v>
      </c>
      <c r="F118" s="90">
        <f>(INDEX(Data!63:63,1,$U$1+1)+INDEX(Data!452:452,1,$U$1+1)-INDEX(Data!1284:1284,1,$U$1+1))/1000000</f>
        <v>44.952641</v>
      </c>
      <c r="G118" s="88">
        <f t="shared" si="43"/>
        <v>89.917896999999996</v>
      </c>
      <c r="H118" s="86">
        <f t="shared" si="49"/>
        <v>2.9298160000000024</v>
      </c>
      <c r="I118" s="84">
        <f t="shared" si="50"/>
        <v>3.3680660227462689E-2</v>
      </c>
      <c r="J118" s="412">
        <f t="shared" si="44"/>
        <v>3.7399270416269966E-3</v>
      </c>
      <c r="K118" s="91">
        <f>(INDEX(Data!162:162,1,$U$1-2)+INDEX(Data!452:452,1,$U$1-2)-INDEX(Data!1441:1441,1,$U$1-2))/1000000</f>
        <v>34.128162000000003</v>
      </c>
      <c r="L118" s="87">
        <f>(INDEX(Data!162:162,1,$U$1-1)+INDEX(Data!452:452,1,$U$1-1)-INDEX(Data!1441:1441,1,$U$1-1))/1000000</f>
        <v>34.283484000000001</v>
      </c>
      <c r="M118" s="88">
        <f t="shared" si="53"/>
        <v>68.411646000000005</v>
      </c>
      <c r="N118" s="89">
        <f>(INDEX(Data!162:162,1,$U$1)+INDEX(Data!452:452,1,$U$1)-INDEX(Data!1441:1441,1,$U$1))/1000000</f>
        <v>34.938468</v>
      </c>
      <c r="O118" s="90">
        <f>(INDEX(Data!162:162,1,$U$1+1)+INDEX(Data!452:452,1,$U$1+1)-INDEX(Data!1441:1441,1,$U$1+1))/1000000</f>
        <v>34.919893999999999</v>
      </c>
      <c r="P118" s="88">
        <f t="shared" si="45"/>
        <v>69.858362</v>
      </c>
      <c r="Q118" s="86">
        <f t="shared" si="51"/>
        <v>1.446715999999995</v>
      </c>
      <c r="R118" s="84">
        <f t="shared" si="52"/>
        <v>2.1147218121312195E-2</v>
      </c>
      <c r="S118" s="85">
        <f t="shared" si="46"/>
        <v>4.6997626718405473E-3</v>
      </c>
      <c r="T118" s="85">
        <f t="shared" si="47"/>
        <v>0.77691276520846575</v>
      </c>
    </row>
    <row r="119" spans="1:20" hidden="1" outlineLevel="1">
      <c r="A119" s="50" t="s">
        <v>871</v>
      </c>
      <c r="B119" s="86">
        <f>(INDEX(Data!64:64,1,$U$1-2)+INDEX(Data!453:453,1,$U$1-2)-INDEX(Data!1285:1285,1,$U$1-2))/1000000</f>
        <v>50.795465999999998</v>
      </c>
      <c r="C119" s="87">
        <f>(INDEX(Data!64:64,1,$U$1-1)+INDEX(Data!453:453,1,$U$1-1)-INDEX(Data!1285:1285,1,$U$1-1))/1000000</f>
        <v>51.136685</v>
      </c>
      <c r="D119" s="88">
        <f t="shared" si="48"/>
        <v>101.932151</v>
      </c>
      <c r="E119" s="89">
        <f>(INDEX(Data!64:64,1,$U$1)+INDEX(Data!453:453,1,$U$1)-INDEX(Data!1285:1285,1,$U$1))/1000000</f>
        <v>53.464725000000001</v>
      </c>
      <c r="F119" s="90">
        <f>(INDEX(Data!64:64,1,$U$1+1)+INDEX(Data!453:453,1,$U$1+1)-INDEX(Data!1285:1285,1,$U$1+1))/1000000</f>
        <v>53.465228000000003</v>
      </c>
      <c r="G119" s="88">
        <f t="shared" si="43"/>
        <v>106.92995300000001</v>
      </c>
      <c r="H119" s="86">
        <f t="shared" si="49"/>
        <v>4.9978020000000072</v>
      </c>
      <c r="I119" s="84">
        <f t="shared" si="50"/>
        <v>4.9030673354474849E-2</v>
      </c>
      <c r="J119" s="412">
        <f t="shared" si="44"/>
        <v>4.4475041802256995E-3</v>
      </c>
      <c r="K119" s="91">
        <f>(INDEX(Data!163:163,1,$U$1-2)+INDEX(Data!453:453,1,$U$1-2)-INDEX(Data!1442:1442,1,$U$1-2))/1000000</f>
        <v>37.814273999999997</v>
      </c>
      <c r="L119" s="87">
        <f>(INDEX(Data!163:163,1,$U$1-1)+INDEX(Data!453:453,1,$U$1-1)-INDEX(Data!1442:1442,1,$U$1-1))/1000000</f>
        <v>38.059555000000003</v>
      </c>
      <c r="M119" s="88">
        <f t="shared" si="53"/>
        <v>75.873829000000001</v>
      </c>
      <c r="N119" s="89">
        <f>(INDEX(Data!163:163,1,$U$1)+INDEX(Data!453:453,1,$U$1)-INDEX(Data!1442:1442,1,$U$1))/1000000</f>
        <v>39.889868</v>
      </c>
      <c r="O119" s="90">
        <f>(INDEX(Data!163:163,1,$U$1+1)+INDEX(Data!453:453,1,$U$1+1)-INDEX(Data!1442:1442,1,$U$1+1))/1000000</f>
        <v>39.860481</v>
      </c>
      <c r="P119" s="88">
        <f t="shared" si="45"/>
        <v>79.750349</v>
      </c>
      <c r="Q119" s="86">
        <f t="shared" si="51"/>
        <v>3.8765199999999993</v>
      </c>
      <c r="R119" s="84">
        <f t="shared" si="52"/>
        <v>5.1091661658461962E-2</v>
      </c>
      <c r="S119" s="85">
        <f t="shared" si="46"/>
        <v>5.3652519550409176E-3</v>
      </c>
      <c r="T119" s="85">
        <f t="shared" si="47"/>
        <v>0.74581861080589829</v>
      </c>
    </row>
    <row r="120" spans="1:20" hidden="1" outlineLevel="1">
      <c r="A120" s="678" t="s">
        <v>1361</v>
      </c>
      <c r="B120" s="86">
        <f>(INDEX(Data!65:65,1,$U$1-2)+INDEX(Data!454:454,1,$U$1-2)-INDEX(Data!1286:1286,1,$U$1-2))/1000000</f>
        <v>67.046559000000002</v>
      </c>
      <c r="C120" s="87">
        <f>(INDEX(Data!65:65,1,$U$1-1)+INDEX(Data!454:454,1,$U$1-1)-INDEX(Data!1286:1286,1,$U$1-1))/1000000</f>
        <v>67.487537000000003</v>
      </c>
      <c r="D120" s="88">
        <f t="shared" si="48"/>
        <v>134.53409600000001</v>
      </c>
      <c r="E120" s="89">
        <f>(INDEX(Data!65:65,1,$U$1)+INDEX(Data!454:454,1,$U$1)-INDEX(Data!1286:1286,1,$U$1))/1000000</f>
        <v>64.699348999999998</v>
      </c>
      <c r="F120" s="90">
        <f>(INDEX(Data!65:65,1,$U$1+1)+INDEX(Data!454:454,1,$U$1+1)-INDEX(Data!1286:1286,1,$U$1+1))/1000000</f>
        <v>64.688143999999994</v>
      </c>
      <c r="G120" s="88">
        <f t="shared" si="43"/>
        <v>129.38749300000001</v>
      </c>
      <c r="H120" s="86">
        <f t="shared" si="49"/>
        <v>-5.1466029999999989</v>
      </c>
      <c r="I120" s="84">
        <f t="shared" si="50"/>
        <v>-3.8255008603915536E-2</v>
      </c>
      <c r="J120" s="412">
        <f t="shared" si="44"/>
        <v>5.3815736362141991E-3</v>
      </c>
      <c r="K120" s="91">
        <f>(INDEX(Data!164:164,1,$U$1-2)+INDEX(Data!454:454,1,$U$1-2)-INDEX(Data!1443:1443,1,$U$1-2))/1000000</f>
        <v>47.566218999999997</v>
      </c>
      <c r="L120" s="87">
        <f>(INDEX(Data!164:164,1,$U$1-1)+INDEX(Data!454:454,1,$U$1-1)-INDEX(Data!1443:1443,1,$U$1-1))/1000000</f>
        <v>47.848312</v>
      </c>
      <c r="M120" s="88">
        <f t="shared" si="53"/>
        <v>95.414530999999997</v>
      </c>
      <c r="N120" s="89">
        <f>(INDEX(Data!164:164,1,$U$1)+INDEX(Data!454:454,1,$U$1)-INDEX(Data!1443:1443,1,$U$1))/1000000</f>
        <v>48.764685999999998</v>
      </c>
      <c r="O120" s="90">
        <f>(INDEX(Data!164:164,1,$U$1+1)+INDEX(Data!454:454,1,$U$1+1)-INDEX(Data!1443:1443,1,$U$1+1))/1000000</f>
        <v>48.728228000000001</v>
      </c>
      <c r="P120" s="88">
        <f t="shared" si="45"/>
        <v>97.492913999999999</v>
      </c>
      <c r="Q120" s="86">
        <f t="shared" si="51"/>
        <v>2.0783830000000023</v>
      </c>
      <c r="R120" s="84">
        <f t="shared" si="52"/>
        <v>2.1782667463931697E-2</v>
      </c>
      <c r="S120" s="85">
        <f t="shared" si="46"/>
        <v>6.5588935220977657E-3</v>
      </c>
      <c r="T120" s="85">
        <f t="shared" si="47"/>
        <v>0.7534956566474319</v>
      </c>
    </row>
    <row r="121" spans="1:20" hidden="1" outlineLevel="1">
      <c r="A121" s="50" t="s">
        <v>1425</v>
      </c>
      <c r="B121" s="86">
        <f>(INDEX(Data!66:66,1,$U$1-2)+INDEX(Data!455:455,1,$U$1-2)-INDEX(Data!1287:1287,1,$U$1-2))/1000000</f>
        <v>24.175436000000001</v>
      </c>
      <c r="C121" s="87">
        <f>(INDEX(Data!66:66,1,$U$1-1)+INDEX(Data!455:455,1,$U$1-1)-INDEX(Data!1287:1287,1,$U$1-1))/1000000</f>
        <v>24.269879</v>
      </c>
      <c r="D121" s="88">
        <f t="shared" si="48"/>
        <v>48.445315000000001</v>
      </c>
      <c r="E121" s="89">
        <f>(INDEX(Data!66:66,1,$U$1)+INDEX(Data!455:455,1,$U$1)-INDEX(Data!1287:1287,1,$U$1))/1000000</f>
        <v>26.732111</v>
      </c>
      <c r="F121" s="90">
        <f>(INDEX(Data!66:66,1,$U$1+1)+INDEX(Data!455:455,1,$U$1+1)-INDEX(Data!1287:1287,1,$U$1+1))/1000000</f>
        <v>26.733851999999999</v>
      </c>
      <c r="G121" s="88">
        <f t="shared" si="43"/>
        <v>53.465963000000002</v>
      </c>
      <c r="H121" s="86">
        <f t="shared" si="49"/>
        <v>5.0206480000000013</v>
      </c>
      <c r="I121" s="84">
        <f t="shared" si="50"/>
        <v>0.10363536701123734</v>
      </c>
      <c r="J121" s="412">
        <f t="shared" si="44"/>
        <v>2.2237931212996283E-3</v>
      </c>
      <c r="K121" s="91">
        <f>(INDEX(Data!165:165,1,$U$1-2)+INDEX(Data!455:455,1,$U$1-2)-INDEX(Data!1444:1444,1,$U$1-2))/1000000</f>
        <v>21.594942</v>
      </c>
      <c r="L121" s="87">
        <f>(INDEX(Data!165:165,1,$U$1-1)+INDEX(Data!455:455,1,$U$1-1)-INDEX(Data!1444:1444,1,$U$1-1))/1000000</f>
        <v>21.665913</v>
      </c>
      <c r="M121" s="88">
        <f t="shared" si="53"/>
        <v>43.260854999999999</v>
      </c>
      <c r="N121" s="89">
        <f>(INDEX(Data!165:165,1,$U$1)+INDEX(Data!455:455,1,$U$1)-INDEX(Data!1444:1444,1,$U$1))/1000000</f>
        <v>24.370132999999999</v>
      </c>
      <c r="O121" s="90">
        <f>(INDEX(Data!165:165,1,$U$1+1)+INDEX(Data!455:455,1,$U$1+1)-INDEX(Data!1444:1444,1,$U$1+1))/1000000</f>
        <v>24.366892</v>
      </c>
      <c r="P121" s="88">
        <f t="shared" si="45"/>
        <v>48.737025000000003</v>
      </c>
      <c r="Q121" s="86">
        <f t="shared" si="51"/>
        <v>5.4761700000000033</v>
      </c>
      <c r="R121" s="84">
        <f t="shared" si="52"/>
        <v>0.12658487678988323</v>
      </c>
      <c r="S121" s="85">
        <f t="shared" si="46"/>
        <v>3.2788122176634999E-3</v>
      </c>
      <c r="T121" s="85">
        <f t="shared" si="47"/>
        <v>0.91155236463242983</v>
      </c>
    </row>
    <row r="122" spans="1:20" hidden="1" outlineLevel="1">
      <c r="A122" s="50" t="s">
        <v>726</v>
      </c>
      <c r="B122" s="86">
        <f>(INDEX(Data!68:68,1,$U$1-2)+INDEX(Data!465:465,1,$U$1-2)-INDEX(Data!1289:1289,1,$U$1-2))/1000000</f>
        <v>258.98486000000003</v>
      </c>
      <c r="C122" s="87">
        <f>(INDEX(Data!68:68,1,$U$1-1)+INDEX(Data!465:465,1,$U$1-1)-INDEX(Data!1289:1289,1,$U$1-1))/1000000</f>
        <v>260.19834400000002</v>
      </c>
      <c r="D122" s="88">
        <f t="shared" si="48"/>
        <v>519.18320400000005</v>
      </c>
      <c r="E122" s="89">
        <f>(INDEX(Data!68:68,1,$U$1)+INDEX(Data!465:465,1,$U$1)-INDEX(Data!1289:1289,1,$U$1))/1000000</f>
        <v>321.317655</v>
      </c>
      <c r="F122" s="90">
        <f>(INDEX(Data!68:68,1,$U$1+1)+INDEX(Data!465:465,1,$U$1+1)-INDEX(Data!1289:1289,1,$U$1+1))/1000000</f>
        <v>276.34026799999998</v>
      </c>
      <c r="G122" s="88">
        <f t="shared" si="43"/>
        <v>597.65792299999998</v>
      </c>
      <c r="H122" s="86">
        <f t="shared" si="49"/>
        <v>78.474718999999936</v>
      </c>
      <c r="I122" s="84">
        <f t="shared" si="50"/>
        <v>0.1511503422980531</v>
      </c>
      <c r="J122" s="412">
        <f t="shared" si="44"/>
        <v>2.4858199562544547E-2</v>
      </c>
      <c r="K122" s="91">
        <f>(INDEX(Data!167:167,1,$U$1-2)+INDEX(Data!465:465,1,$U$1-2)-INDEX(Data!1446:1446,1,$U$1-2))/1000000</f>
        <v>176.106696</v>
      </c>
      <c r="L122" s="87">
        <f>(INDEX(Data!167:167,1,$U$1-1)+INDEX(Data!465:465,1,$U$1-1)-INDEX(Data!1446:1446,1,$U$1-1))/1000000</f>
        <v>176.63423599999999</v>
      </c>
      <c r="M122" s="88">
        <f t="shared" si="53"/>
        <v>352.74093199999999</v>
      </c>
      <c r="N122" s="89">
        <f>(INDEX(Data!167:167,1,$U$1)+INDEX(Data!465:465,1,$U$1)-INDEX(Data!1446:1446,1,$U$1))/1000000</f>
        <v>238.684966</v>
      </c>
      <c r="O122" s="90">
        <f>(INDEX(Data!167:167,1,$U$1+1)+INDEX(Data!465:465,1,$U$1+1)-INDEX(Data!1446:1446,1,$U$1+1))/1000000</f>
        <v>193.55328399999999</v>
      </c>
      <c r="P122" s="88">
        <f t="shared" si="45"/>
        <v>432.23824999999999</v>
      </c>
      <c r="Q122" s="86">
        <f t="shared" si="51"/>
        <v>79.497318000000007</v>
      </c>
      <c r="R122" s="84">
        <f t="shared" si="52"/>
        <v>0.22537026692439541</v>
      </c>
      <c r="S122" s="85">
        <f t="shared" si="46"/>
        <v>2.9079084228909955E-2</v>
      </c>
      <c r="T122" s="85">
        <f t="shared" si="47"/>
        <v>0.72322014544764934</v>
      </c>
    </row>
    <row r="123" spans="1:20" hidden="1" outlineLevel="1">
      <c r="A123" s="50" t="s">
        <v>1363</v>
      </c>
      <c r="B123" s="86">
        <f>(INDEX(Data!69:69,1,$U$1-2)+INDEX(Data!466:466,1,$U$1-2)-INDEX(Data!1290:1290,1,$U$1-2))/1000000</f>
        <v>47.082476999999997</v>
      </c>
      <c r="C123" s="87">
        <f>(INDEX(Data!69:69,1,$U$1-1)+INDEX(Data!466:466,1,$U$1-1)-INDEX(Data!1290:1290,1,$U$1-1))/1000000</f>
        <v>47.380955</v>
      </c>
      <c r="D123" s="88">
        <f t="shared" si="48"/>
        <v>94.463431999999997</v>
      </c>
      <c r="E123" s="89">
        <f>(INDEX(Data!69:69,1,$U$1)+INDEX(Data!466:466,1,$U$1)-INDEX(Data!1290:1290,1,$U$1))/1000000</f>
        <v>46.895161000000002</v>
      </c>
      <c r="F123" s="90">
        <f>(INDEX(Data!69:69,1,$U$1+1)+INDEX(Data!466:466,1,$U$1+1)-INDEX(Data!1290:1290,1,$U$1+1))/1000000</f>
        <v>46.898650000000004</v>
      </c>
      <c r="G123" s="88">
        <f t="shared" si="43"/>
        <v>93.793811000000005</v>
      </c>
      <c r="H123" s="86">
        <f t="shared" si="49"/>
        <v>-0.66962099999999225</v>
      </c>
      <c r="I123" s="84">
        <f t="shared" si="50"/>
        <v>-7.0886795643841554E-3</v>
      </c>
      <c r="J123" s="412">
        <f t="shared" si="44"/>
        <v>3.9011367236063328E-3</v>
      </c>
      <c r="K123" s="91">
        <f>(INDEX(Data!168:168,1,$U$1-2)+INDEX(Data!466:466,1,$U$1-2)-INDEX(Data!1447:1447,1,$U$1-2))/1000000</f>
        <v>29.829732</v>
      </c>
      <c r="L123" s="87">
        <f>(INDEX(Data!168:168,1,$U$1-1)+INDEX(Data!466:466,1,$U$1-1)-INDEX(Data!1447:1447,1,$U$1-1))/1000000</f>
        <v>29.874026000000001</v>
      </c>
      <c r="M123" s="88">
        <f t="shared" si="53"/>
        <v>59.703758000000001</v>
      </c>
      <c r="N123" s="89">
        <f>(INDEX(Data!168:168,1,$U$1)+INDEX(Data!466:466,1,$U$1)-INDEX(Data!1447:1447,1,$U$1))/1000000</f>
        <v>33.000233000000001</v>
      </c>
      <c r="O123" s="90">
        <f>(INDEX(Data!168:168,1,$U$1+1)+INDEX(Data!466:466,1,$U$1+1)-INDEX(Data!1447:1447,1,$U$1+1))/1000000</f>
        <v>32.970056</v>
      </c>
      <c r="P123" s="88">
        <f t="shared" si="45"/>
        <v>65.970289000000008</v>
      </c>
      <c r="Q123" s="86">
        <f t="shared" si="51"/>
        <v>6.2665310000000076</v>
      </c>
      <c r="R123" s="84">
        <f t="shared" si="52"/>
        <v>0.10496041136975008</v>
      </c>
      <c r="S123" s="85">
        <f t="shared" si="46"/>
        <v>4.438190258350648E-3</v>
      </c>
      <c r="T123" s="85">
        <f t="shared" si="47"/>
        <v>0.70335439296735691</v>
      </c>
    </row>
    <row r="124" spans="1:20" hidden="1" outlineLevel="1">
      <c r="A124" s="50" t="s">
        <v>1364</v>
      </c>
      <c r="B124" s="86">
        <f>(INDEX(Data!70:70,1,$U$1-2)+INDEX(Data!467:467,1,$U$1-2)-INDEX(Data!1291:1291,1,$U$1-2))/1000000</f>
        <v>45.116185999999999</v>
      </c>
      <c r="C124" s="87">
        <f>(INDEX(Data!70:70,1,$U$1-1)+INDEX(Data!467:467,1,$U$1-1)-INDEX(Data!1291:1291,1,$U$1-1))/1000000</f>
        <v>45.369331000000003</v>
      </c>
      <c r="D124" s="88">
        <f t="shared" si="48"/>
        <v>90.485517000000002</v>
      </c>
      <c r="E124" s="89">
        <f>(INDEX(Data!70:70,1,$U$1)+INDEX(Data!467:467,1,$U$1)-INDEX(Data!1291:1291,1,$U$1))/1000000</f>
        <v>46.413525</v>
      </c>
      <c r="F124" s="90">
        <f>(INDEX(Data!70:70,1,$U$1+1)+INDEX(Data!467:467,1,$U$1+1)-INDEX(Data!1291:1291,1,$U$1+1))/1000000</f>
        <v>46.416606000000002</v>
      </c>
      <c r="G124" s="88">
        <f t="shared" si="43"/>
        <v>92.830130999999994</v>
      </c>
      <c r="H124" s="86">
        <f t="shared" si="49"/>
        <v>2.3446139999999929</v>
      </c>
      <c r="I124" s="84">
        <f t="shared" si="50"/>
        <v>2.5911483712912783E-2</v>
      </c>
      <c r="J124" s="412">
        <f t="shared" si="44"/>
        <v>3.8610546819692251E-3</v>
      </c>
      <c r="K124" s="91">
        <f>(INDEX(Data!169:169,1,$U$1-2)+INDEX(Data!467:467,1,$U$1-2)-INDEX(Data!1448:1448,1,$U$1-2))/1000000</f>
        <v>27.805890000000002</v>
      </c>
      <c r="L124" s="87">
        <f>(INDEX(Data!169:169,1,$U$1-1)+INDEX(Data!467:467,1,$U$1-1)-INDEX(Data!1448:1448,1,$U$1-1))/1000000</f>
        <v>27.972024000000001</v>
      </c>
      <c r="M124" s="88">
        <f t="shared" si="53"/>
        <v>55.777914000000003</v>
      </c>
      <c r="N124" s="89">
        <f>(INDEX(Data!169:169,1,$U$1)+INDEX(Data!467:467,1,$U$1)-INDEX(Data!1448:1448,1,$U$1))/1000000</f>
        <v>28.981961999999999</v>
      </c>
      <c r="O124" s="90">
        <f>(INDEX(Data!169:169,1,$U$1+1)+INDEX(Data!467:467,1,$U$1+1)-INDEX(Data!1448:1448,1,$U$1+1))/1000000</f>
        <v>28.961265999999998</v>
      </c>
      <c r="P124" s="88">
        <f t="shared" si="45"/>
        <v>57.943227999999998</v>
      </c>
      <c r="Q124" s="86">
        <f t="shared" si="51"/>
        <v>2.1653139999999951</v>
      </c>
      <c r="R124" s="84">
        <f t="shared" si="52"/>
        <v>3.882027570984449E-2</v>
      </c>
      <c r="S124" s="85">
        <f t="shared" si="46"/>
        <v>3.8981649761605634E-3</v>
      </c>
      <c r="T124" s="85">
        <f t="shared" si="47"/>
        <v>0.62418556750717069</v>
      </c>
    </row>
    <row r="125" spans="1:20" hidden="1" outlineLevel="1">
      <c r="A125" s="50" t="s">
        <v>1365</v>
      </c>
      <c r="B125" s="86">
        <f>(INDEX(Data!71:71,1,$U$1-2)+INDEX(Data!468:468,1,$U$1-2)-INDEX(Data!1292:1292,1,$U$1-2))/1000000</f>
        <v>21.007251</v>
      </c>
      <c r="C125" s="87">
        <f>(INDEX(Data!71:71,1,$U$1-1)+INDEX(Data!468:468,1,$U$1-1)-INDEX(Data!1292:1292,1,$U$1-1))/1000000</f>
        <v>21.129564999999999</v>
      </c>
      <c r="D125" s="88">
        <f t="shared" si="48"/>
        <v>42.136815999999996</v>
      </c>
      <c r="E125" s="89">
        <f>(INDEX(Data!71:71,1,$U$1)+INDEX(Data!468:468,1,$U$1)-INDEX(Data!1292:1292,1,$U$1))/1000000</f>
        <v>21.816696</v>
      </c>
      <c r="F125" s="90">
        <f>(INDEX(Data!71:71,1,$U$1+1)+INDEX(Data!468:468,1,$U$1+1)-INDEX(Data!1292:1292,1,$U$1+1))/1000000</f>
        <v>21.817477</v>
      </c>
      <c r="G125" s="88">
        <f t="shared" si="43"/>
        <v>43.634173000000004</v>
      </c>
      <c r="H125" s="86">
        <f t="shared" si="49"/>
        <v>1.497357000000008</v>
      </c>
      <c r="I125" s="84">
        <f t="shared" si="50"/>
        <v>3.5535599082759557E-2</v>
      </c>
      <c r="J125" s="412">
        <f t="shared" si="44"/>
        <v>1.8148625466822316E-3</v>
      </c>
      <c r="K125" s="91">
        <f>(INDEX(Data!170:170,1,$U$1-2)+INDEX(Data!468:468,1,$U$1-2)-INDEX(Data!1449:1449,1,$U$1-2))/1000000</f>
        <v>15.826416</v>
      </c>
      <c r="L125" s="87">
        <f>(INDEX(Data!170:170,1,$U$1-1)+INDEX(Data!468:468,1,$U$1-1)-INDEX(Data!1449:1449,1,$U$1-1))/1000000</f>
        <v>15.930241000000001</v>
      </c>
      <c r="M125" s="88">
        <f t="shared" si="53"/>
        <v>31.756657000000001</v>
      </c>
      <c r="N125" s="89">
        <f>(INDEX(Data!170:170,1,$U$1)+INDEX(Data!468:468,1,$U$1)-INDEX(Data!1449:1449,1,$U$1))/1000000</f>
        <v>16.461186999999999</v>
      </c>
      <c r="O125" s="90">
        <f>(INDEX(Data!170:170,1,$U$1+1)+INDEX(Data!468:468,1,$U$1+1)-INDEX(Data!1449:1449,1,$U$1+1))/1000000</f>
        <v>16.457536000000001</v>
      </c>
      <c r="P125" s="88">
        <f t="shared" si="45"/>
        <v>32.918723</v>
      </c>
      <c r="Q125" s="86">
        <f t="shared" si="51"/>
        <v>1.1620659999999994</v>
      </c>
      <c r="R125" s="84">
        <f t="shared" si="52"/>
        <v>3.6592831543949961E-2</v>
      </c>
      <c r="S125" s="85">
        <f t="shared" si="46"/>
        <v>2.2146265834297528E-3</v>
      </c>
      <c r="T125" s="85">
        <f t="shared" si="47"/>
        <v>0.75442527580389795</v>
      </c>
    </row>
    <row r="126" spans="1:20" hidden="1" outlineLevel="1">
      <c r="A126" s="50" t="s">
        <v>730</v>
      </c>
      <c r="B126" s="86">
        <f>(INDEX(Data!72:72,1,$U$1-2)+INDEX(Data!480:480,1,$U$1-2)-INDEX(Data!1293:1293,1,$U$1-2))/1000000</f>
        <v>32.382071000000003</v>
      </c>
      <c r="C126" s="87">
        <f>(INDEX(Data!72:72,1,$U$1-1)+INDEX(Data!480:480,1,$U$1-1)-INDEX(Data!1293:1293,1,$U$1-1))/1000000</f>
        <v>32.610036999999998</v>
      </c>
      <c r="D126" s="88">
        <f t="shared" si="48"/>
        <v>64.992108000000002</v>
      </c>
      <c r="E126" s="89">
        <f>(INDEX(Data!72:72,1,$U$1)+INDEX(Data!480:480,1,$U$1)-INDEX(Data!1293:1293,1,$U$1))/1000000</f>
        <v>31.131163000000001</v>
      </c>
      <c r="F126" s="90">
        <f>(INDEX(Data!72:72,1,$U$1+1)+INDEX(Data!480:480,1,$U$1+1)-INDEX(Data!1293:1293,1,$U$1+1))/1000000</f>
        <v>31.046019999999999</v>
      </c>
      <c r="G126" s="88">
        <f t="shared" si="43"/>
        <v>62.177182999999999</v>
      </c>
      <c r="H126" s="86">
        <f t="shared" si="49"/>
        <v>-2.8149250000000023</v>
      </c>
      <c r="I126" s="84">
        <f t="shared" si="50"/>
        <v>-4.3311797180051494E-2</v>
      </c>
      <c r="J126" s="412">
        <f t="shared" si="44"/>
        <v>2.586116177448972E-3</v>
      </c>
      <c r="K126" s="91">
        <f>(INDEX(Data!171:171,1,$U$1-2)+INDEX(Data!480:480,1,$U$1-2)-INDEX(Data!1450:1450,1,$U$1-2))/1000000</f>
        <v>25.172546000000001</v>
      </c>
      <c r="L126" s="87">
        <f>(INDEX(Data!171:171,1,$U$1-1)+INDEX(Data!480:480,1,$U$1-1)-INDEX(Data!1450:1450,1,$U$1-1))/1000000</f>
        <v>25.343771</v>
      </c>
      <c r="M126" s="88">
        <f t="shared" si="53"/>
        <v>50.516317000000001</v>
      </c>
      <c r="N126" s="89">
        <f>(INDEX(Data!171:171,1,$U$1)+INDEX(Data!480:480,1,$U$1)-INDEX(Data!1450:1450,1,$U$1))/1000000</f>
        <v>24.375285000000002</v>
      </c>
      <c r="O126" s="90">
        <f>(INDEX(Data!171:171,1,$U$1+1)+INDEX(Data!480:480,1,$U$1+1)-INDEX(Data!1450:1450,1,$U$1+1))/1000000</f>
        <v>24.278855</v>
      </c>
      <c r="P126" s="88">
        <f t="shared" si="45"/>
        <v>48.654139999999998</v>
      </c>
      <c r="Q126" s="86">
        <f t="shared" si="51"/>
        <v>-1.8621770000000026</v>
      </c>
      <c r="R126" s="84">
        <f t="shared" si="52"/>
        <v>-3.6862881353761451E-2</v>
      </c>
      <c r="S126" s="85">
        <f t="shared" si="46"/>
        <v>3.2732360802061756E-3</v>
      </c>
      <c r="T126" s="85">
        <f t="shared" si="47"/>
        <v>0.78250794990181527</v>
      </c>
    </row>
    <row r="127" spans="1:20" hidden="1" outlineLevel="1">
      <c r="A127" s="50" t="s">
        <v>731</v>
      </c>
      <c r="B127" s="86">
        <f>(INDEX(Data!74:74,1,$U$1-2)+INDEX(Data!481:481,1,$U$1-2)-INDEX(Data!1295:1295,1,$U$1-2))/1000000</f>
        <v>180.98003700000001</v>
      </c>
      <c r="C127" s="87">
        <f>(INDEX(Data!74:74,1,$U$1-1)+INDEX(Data!481:481,1,$U$1-1)-INDEX(Data!1295:1295,1,$U$1-1))/1000000</f>
        <v>182.10563099999999</v>
      </c>
      <c r="D127" s="88">
        <f t="shared" si="48"/>
        <v>363.085668</v>
      </c>
      <c r="E127" s="89">
        <f>(INDEX(Data!74:74,1,$U$1)+INDEX(Data!481:481,1,$U$1)-INDEX(Data!1295:1295,1,$U$1))/1000000</f>
        <v>192.699242</v>
      </c>
      <c r="F127" s="90">
        <f>(INDEX(Data!74:74,1,$U$1+1)+INDEX(Data!481:481,1,$U$1+1)-INDEX(Data!1295:1295,1,$U$1+1))/1000000</f>
        <v>192.720438</v>
      </c>
      <c r="G127" s="88">
        <f t="shared" si="43"/>
        <v>385.41967999999997</v>
      </c>
      <c r="H127" s="86">
        <f t="shared" si="49"/>
        <v>22.334011999999973</v>
      </c>
      <c r="I127" s="84">
        <f t="shared" si="50"/>
        <v>6.1511687098593969E-2</v>
      </c>
      <c r="J127" s="412">
        <f t="shared" si="44"/>
        <v>1.6030640525403123E-2</v>
      </c>
      <c r="K127" s="91">
        <f>(INDEX(Data!173:173,1,$U$1-2)+INDEX(Data!481:481,1,$U$1-2)-INDEX(Data!1452:1452,1,$U$1-2))/1000000</f>
        <v>120.30679600000001</v>
      </c>
      <c r="L127" s="87">
        <f>(INDEX(Data!173:173,1,$U$1-1)+INDEX(Data!481:481,1,$U$1-1)-INDEX(Data!1452:1452,1,$U$1-1))/1000000</f>
        <v>120.926053</v>
      </c>
      <c r="M127" s="88">
        <f t="shared" si="53"/>
        <v>241.23284899999999</v>
      </c>
      <c r="N127" s="89">
        <f>(INDEX(Data!173:173,1,$U$1)+INDEX(Data!481:481,1,$U$1)-INDEX(Data!1452:1452,1,$U$1))/1000000</f>
        <v>127.815112</v>
      </c>
      <c r="O127" s="90">
        <f>(INDEX(Data!173:173,1,$U$1+1)+INDEX(Data!481:481,1,$U$1+1)-INDEX(Data!1452:1452,1,$U$1+1))/1000000</f>
        <v>127.815112</v>
      </c>
      <c r="P127" s="88">
        <f t="shared" si="45"/>
        <v>255.630224</v>
      </c>
      <c r="Q127" s="86">
        <f t="shared" si="51"/>
        <v>14.397375000000011</v>
      </c>
      <c r="R127" s="84">
        <f t="shared" si="52"/>
        <v>5.9682481302536089E-2</v>
      </c>
      <c r="S127" s="85">
        <f t="shared" si="46"/>
        <v>1.7197674697116971E-2</v>
      </c>
      <c r="T127" s="85">
        <f t="shared" si="47"/>
        <v>0.66325161185334391</v>
      </c>
    </row>
    <row r="128" spans="1:20" hidden="1" outlineLevel="1">
      <c r="A128" s="678" t="s">
        <v>1453</v>
      </c>
      <c r="B128" s="86">
        <f>(INDEX(Data!75:75,1,$U$1-2)+INDEX(Data!482:482,1,$U$1-2)-INDEX(Data!1296:1296,1,$U$1-2))/1000000</f>
        <v>29.755974999999999</v>
      </c>
      <c r="C128" s="87">
        <f>(INDEX(Data!75:75,1,$U$1-1)+INDEX(Data!482:482,1,$U$1-1)-INDEX(Data!1296:1296,1,$U$1-1))/1000000</f>
        <v>29.830746000000001</v>
      </c>
      <c r="D128" s="88">
        <f t="shared" si="48"/>
        <v>59.586720999999997</v>
      </c>
      <c r="E128" s="89">
        <f>(INDEX(Data!75:75,1,$U$1)+INDEX(Data!482:482,1,$U$1)-INDEX(Data!1296:1296,1,$U$1))/1000000</f>
        <v>32.939726</v>
      </c>
      <c r="F128" s="90">
        <f>(INDEX(Data!75:75,1,$U$1+1)+INDEX(Data!482:482,1,$U$1+1)-INDEX(Data!1296:1296,1,$U$1+1))/1000000</f>
        <v>32.931224999999998</v>
      </c>
      <c r="G128" s="88">
        <f t="shared" si="43"/>
        <v>65.870950999999991</v>
      </c>
      <c r="H128" s="86">
        <f t="shared" si="49"/>
        <v>6.2842299999999938</v>
      </c>
      <c r="I128" s="84">
        <f t="shared" si="50"/>
        <v>0.10546359817315663</v>
      </c>
      <c r="J128" s="412">
        <f t="shared" si="44"/>
        <v>2.7397499176675232E-3</v>
      </c>
      <c r="K128" s="91">
        <f>(INDEX(Data!174:174,1,$U$1-2)+INDEX(Data!482:482,1,$U$1-2)-INDEX(Data!1453:1453,1,$U$1-2))/1000000</f>
        <v>23.578603000000001</v>
      </c>
      <c r="L128" s="87">
        <f>(INDEX(Data!174:174,1,$U$1-1)+INDEX(Data!482:482,1,$U$1-1)-INDEX(Data!1453:1453,1,$U$1-1))/1000000</f>
        <v>23.649602999999999</v>
      </c>
      <c r="M128" s="88">
        <f t="shared" si="53"/>
        <v>47.228206</v>
      </c>
      <c r="N128" s="89">
        <f>(INDEX(Data!174:174,1,$U$1)+INDEX(Data!482:482,1,$U$1)-INDEX(Data!1453:1453,1,$U$1))/1000000</f>
        <v>26.012591</v>
      </c>
      <c r="O128" s="90">
        <f>(INDEX(Data!174:174,1,$U$1+1)+INDEX(Data!482:482,1,$U$1+1)-INDEX(Data!1453:1453,1,$U$1+1))/1000000</f>
        <v>26.003450000000001</v>
      </c>
      <c r="P128" s="88">
        <f t="shared" si="45"/>
        <v>52.016041000000001</v>
      </c>
      <c r="Q128" s="86">
        <f t="shared" si="51"/>
        <v>4.7878350000000012</v>
      </c>
      <c r="R128" s="84">
        <f t="shared" si="52"/>
        <v>0.10137660109299941</v>
      </c>
      <c r="S128" s="85">
        <f t="shared" si="46"/>
        <v>3.4994099608108113E-3</v>
      </c>
      <c r="T128" s="85">
        <f t="shared" si="47"/>
        <v>0.78966585741262496</v>
      </c>
    </row>
    <row r="129" spans="1:20" hidden="1" outlineLevel="1">
      <c r="A129" s="50" t="s">
        <v>1426</v>
      </c>
      <c r="B129" s="86">
        <f>(INDEX(Data!76:76,1,$U$1-2)+INDEX(Data!484:484,1,$U$1-2)-INDEX(Data!1297:1297,1,$U$1-2))/1000000</f>
        <v>63.401705999999997</v>
      </c>
      <c r="C129" s="87">
        <f>(INDEX(Data!76:76,1,$U$1-1)+INDEX(Data!484:484,1,$U$1-1)-INDEX(Data!1297:1297,1,$U$1-1))/1000000</f>
        <v>63.857348999999999</v>
      </c>
      <c r="D129" s="88">
        <f t="shared" si="48"/>
        <v>127.25905499999999</v>
      </c>
      <c r="E129" s="89">
        <f>(INDEX(Data!76:76,1,$U$1)+INDEX(Data!484:484,1,$U$1)-INDEX(Data!1297:1297,1,$U$1))/1000000</f>
        <v>61.707506000000002</v>
      </c>
      <c r="F129" s="90">
        <f>(INDEX(Data!76:76,1,$U$1+1)+INDEX(Data!484:484,1,$U$1+1)-INDEX(Data!1297:1297,1,$U$1+1))/1000000</f>
        <v>60.658915</v>
      </c>
      <c r="G129" s="88">
        <f t="shared" si="43"/>
        <v>122.366421</v>
      </c>
      <c r="H129" s="86">
        <f t="shared" si="49"/>
        <v>-4.8926339999999868</v>
      </c>
      <c r="I129" s="84">
        <f t="shared" si="50"/>
        <v>-3.8446254374590379E-2</v>
      </c>
      <c r="J129" s="412">
        <f t="shared" si="44"/>
        <v>5.0895483786171473E-3</v>
      </c>
      <c r="K129" s="91">
        <f>(INDEX(Data!175:175,1,$U$1-2)+INDEX(Data!484:484,1,$U$1-2)-INDEX(Data!1454:1454,1,$U$1-2))/1000000</f>
        <v>46.868859</v>
      </c>
      <c r="L129" s="87">
        <f>(INDEX(Data!175:175,1,$U$1-1)+INDEX(Data!484:484,1,$U$1-1)-INDEX(Data!1454:1454,1,$U$1-1))/1000000</f>
        <v>47.231121000000002</v>
      </c>
      <c r="M129" s="88">
        <f t="shared" si="53"/>
        <v>94.099980000000002</v>
      </c>
      <c r="N129" s="89">
        <f>(INDEX(Data!175:175,1,$U$1)+INDEX(Data!484:484,1,$U$1)-INDEX(Data!1454:1454,1,$U$1))/1000000</f>
        <v>45.529642000000003</v>
      </c>
      <c r="O129" s="90">
        <f>(INDEX(Data!175:175,1,$U$1+1)+INDEX(Data!484:484,1,$U$1+1)-INDEX(Data!1454:1454,1,$U$1+1))/1000000</f>
        <v>44.463064000000003</v>
      </c>
      <c r="P129" s="88">
        <f t="shared" si="45"/>
        <v>89.992705999999998</v>
      </c>
      <c r="Q129" s="86">
        <f t="shared" si="51"/>
        <v>-4.1072740000000039</v>
      </c>
      <c r="R129" s="84">
        <f t="shared" si="52"/>
        <v>-4.3647979521355941E-2</v>
      </c>
      <c r="S129" s="85">
        <f t="shared" si="46"/>
        <v>6.0543125874712158E-3</v>
      </c>
      <c r="T129" s="85">
        <f t="shared" si="47"/>
        <v>0.73543628443623432</v>
      </c>
    </row>
    <row r="130" spans="1:20" hidden="1" outlineLevel="1">
      <c r="A130" s="50" t="s">
        <v>733</v>
      </c>
      <c r="B130" s="86">
        <f>(INDEX(Data!77:77,1,$U$1-2)+INDEX(Data!485:485,1,$U$1-2)-INDEX(Data!1298:1298,1,$U$1-2))/1000000</f>
        <v>84.470967000000002</v>
      </c>
      <c r="C130" s="87">
        <f>(INDEX(Data!77:77,1,$U$1-1)+INDEX(Data!485:485,1,$U$1-1)-INDEX(Data!1298:1298,1,$U$1-1))/1000000</f>
        <v>84.889224999999996</v>
      </c>
      <c r="D130" s="88">
        <f t="shared" si="48"/>
        <v>169.36019199999998</v>
      </c>
      <c r="E130" s="89">
        <f>(INDEX(Data!77:77,1,$U$1)+INDEX(Data!485:485,1,$U$1)-INDEX(Data!1298:1298,1,$U$1))/1000000</f>
        <v>86.493842999999998</v>
      </c>
      <c r="F130" s="90">
        <f>(INDEX(Data!77:77,1,$U$1+1)+INDEX(Data!485:485,1,$U$1+1)-INDEX(Data!1298:1298,1,$U$1+1))/1000000</f>
        <v>86.504887999999994</v>
      </c>
      <c r="G130" s="88">
        <f t="shared" si="43"/>
        <v>172.99873099999999</v>
      </c>
      <c r="H130" s="86">
        <f t="shared" si="49"/>
        <v>3.6385390000000086</v>
      </c>
      <c r="I130" s="84">
        <f t="shared" si="50"/>
        <v>2.1484027368131521E-2</v>
      </c>
      <c r="J130" s="412">
        <f t="shared" si="44"/>
        <v>7.1954822545955968E-3</v>
      </c>
      <c r="K130" s="91">
        <f>(INDEX(Data!176:176,1,$U$1-2)+INDEX(Data!485:485,1,$U$1-2)-INDEX(Data!1455:1455,1,$U$1-2))/1000000</f>
        <v>60.801136999999997</v>
      </c>
      <c r="L130" s="87">
        <f>(INDEX(Data!176:176,1,$U$1-1)+INDEX(Data!485:485,1,$U$1-1)-INDEX(Data!1455:1455,1,$U$1-1))/1000000</f>
        <v>61.000373000000003</v>
      </c>
      <c r="M130" s="88">
        <f t="shared" si="53"/>
        <v>121.80151000000001</v>
      </c>
      <c r="N130" s="89">
        <f>(INDEX(Data!176:176,1,$U$1)+INDEX(Data!485:485,1,$U$1)-INDEX(Data!1455:1455,1,$U$1))/1000000</f>
        <v>56.871791999999999</v>
      </c>
      <c r="O130" s="90">
        <f>(INDEX(Data!176:176,1,$U$1+1)+INDEX(Data!485:485,1,$U$1+1)-INDEX(Data!1455:1455,1,$U$1+1))/1000000</f>
        <v>56.801831</v>
      </c>
      <c r="P130" s="88">
        <f t="shared" si="45"/>
        <v>113.67362299999999</v>
      </c>
      <c r="Q130" s="86">
        <f t="shared" si="51"/>
        <v>-8.1278870000000154</v>
      </c>
      <c r="R130" s="84">
        <f t="shared" si="52"/>
        <v>-6.673059307721238E-2</v>
      </c>
      <c r="S130" s="85">
        <f t="shared" si="46"/>
        <v>7.6474603018644362E-3</v>
      </c>
      <c r="T130" s="85">
        <f t="shared" si="47"/>
        <v>0.6570777851543893</v>
      </c>
    </row>
    <row r="131" spans="1:20" hidden="1" outlineLevel="1">
      <c r="A131" s="50" t="s">
        <v>735</v>
      </c>
      <c r="B131" s="86">
        <f>(INDEX(Data!79:79,1,$U$1-2)+INDEX(Data!486:486,1,$U$1-2)-INDEX(Data!1300:1300,1,$U$1-2))/1000000</f>
        <v>235.943737</v>
      </c>
      <c r="C131" s="87">
        <f>(INDEX(Data!79:79,1,$U$1-1)+INDEX(Data!486:486,1,$U$1-1)-INDEX(Data!1300:1300,1,$U$1-1))/1000000</f>
        <v>240.366232</v>
      </c>
      <c r="D131" s="88">
        <f t="shared" si="48"/>
        <v>476.30996900000002</v>
      </c>
      <c r="E131" s="89">
        <f>(INDEX(Data!79:79,1,$U$1)+INDEX(Data!486:486,1,$U$1)-INDEX(Data!1300:1300,1,$U$1))/1000000</f>
        <v>249.44336000000001</v>
      </c>
      <c r="F131" s="90">
        <f>(INDEX(Data!79:79,1,$U$1+1)+INDEX(Data!486:486,1,$U$1+1)-INDEX(Data!1300:1300,1,$U$1+1))/1000000</f>
        <v>251.80846</v>
      </c>
      <c r="G131" s="88">
        <f t="shared" si="43"/>
        <v>501.25182000000001</v>
      </c>
      <c r="H131" s="86">
        <f t="shared" si="49"/>
        <v>24.941850999999986</v>
      </c>
      <c r="I131" s="84">
        <f t="shared" si="50"/>
        <v>5.2364746957458672E-2</v>
      </c>
      <c r="J131" s="412">
        <f t="shared" si="44"/>
        <v>2.0848410592640396E-2</v>
      </c>
      <c r="K131" s="91">
        <f>(INDEX(Data!178:178,1,$U$1-2)+INDEX(Data!486:486,1,$U$1-2)-INDEX(Data!1457:1457,1,$U$1-2))/1000000</f>
        <v>173.61519899999999</v>
      </c>
      <c r="L131" s="87">
        <f>(INDEX(Data!178:178,1,$U$1-1)+INDEX(Data!486:486,1,$U$1-1)-INDEX(Data!1457:1457,1,$U$1-1))/1000000</f>
        <v>177.519553</v>
      </c>
      <c r="M131" s="88">
        <f t="shared" si="53"/>
        <v>351.13475199999999</v>
      </c>
      <c r="N131" s="89">
        <f>(INDEX(Data!178:178,1,$U$1)+INDEX(Data!486:486,1,$U$1)-INDEX(Data!1457:1457,1,$U$1))/1000000</f>
        <v>188.82926900000001</v>
      </c>
      <c r="O131" s="90">
        <f>(INDEX(Data!178:178,1,$U$1+1)+INDEX(Data!486:486,1,$U$1+1)-INDEX(Data!1457:1457,1,$U$1+1))/1000000</f>
        <v>191.069276</v>
      </c>
      <c r="P131" s="88">
        <f t="shared" si="45"/>
        <v>379.89854500000001</v>
      </c>
      <c r="Q131" s="86">
        <f t="shared" si="51"/>
        <v>28.763793000000021</v>
      </c>
      <c r="R131" s="84">
        <f t="shared" si="52"/>
        <v>8.1916679668322945E-2</v>
      </c>
      <c r="S131" s="85">
        <f t="shared" si="46"/>
        <v>2.555789958083381E-2</v>
      </c>
      <c r="T131" s="85">
        <f t="shared" si="47"/>
        <v>0.75789958228979604</v>
      </c>
    </row>
    <row r="132" spans="1:20" hidden="1" outlineLevel="1">
      <c r="A132" s="50" t="s">
        <v>855</v>
      </c>
      <c r="B132" s="86">
        <f>(INDEX(Data!80:80,1,$U$1-2)+INDEX(Data!474:474,1,$U$1-2)-INDEX(Data!1301:1301,1,$U$1-2))/1000000</f>
        <v>45.609817999999997</v>
      </c>
      <c r="C132" s="87">
        <f>(INDEX(Data!80:80,1,$U$1-1)+INDEX(Data!474:474,1,$U$1-1)-INDEX(Data!1301:1301,1,$U$1-1))/1000000</f>
        <v>44.430770000000003</v>
      </c>
      <c r="D132" s="88">
        <f t="shared" si="48"/>
        <v>90.040588</v>
      </c>
      <c r="E132" s="89">
        <f>(INDEX(Data!80:80,1,$U$1)+INDEX(Data!474:474,1,$U$1)-INDEX(Data!1301:1301,1,$U$1))/1000000</f>
        <v>46.318098999999997</v>
      </c>
      <c r="F132" s="90">
        <f>(INDEX(Data!80:80,1,$U$1+1)+INDEX(Data!474:474,1,$U$1+1)-INDEX(Data!1301:1301,1,$U$1+1))/1000000</f>
        <v>46.301215999999997</v>
      </c>
      <c r="G132" s="88">
        <f t="shared" si="43"/>
        <v>92.619315</v>
      </c>
      <c r="H132" s="86">
        <f t="shared" si="49"/>
        <v>2.5787270000000007</v>
      </c>
      <c r="I132" s="84">
        <f t="shared" si="50"/>
        <v>2.8639606396173252E-2</v>
      </c>
      <c r="J132" s="412">
        <f t="shared" ref="J132:J166" si="63">IFERROR(G132/G$254,"")</f>
        <v>3.8522862778415396E-3</v>
      </c>
      <c r="K132" s="91">
        <f>(INDEX(Data!179:179,1,$U$1-2)+INDEX(Data!474:474,1,$U$1-2)-INDEX(Data!1458:1458,1,$U$1-2))/1000000</f>
        <v>32.201462999999997</v>
      </c>
      <c r="L132" s="87">
        <f>(INDEX(Data!179:179,1,$U$1-1)+INDEX(Data!474:474,1,$U$1-1)-INDEX(Data!1458:1458,1,$U$1-1))/1000000</f>
        <v>30.915907000000001</v>
      </c>
      <c r="M132" s="88">
        <f t="shared" si="53"/>
        <v>63.117369999999994</v>
      </c>
      <c r="N132" s="89">
        <f>(INDEX(Data!179:179,1,$U$1)+INDEX(Data!474:474,1,$U$1)-INDEX(Data!1458:1458,1,$U$1))/1000000</f>
        <v>34.628585000000001</v>
      </c>
      <c r="O132" s="90">
        <f>(INDEX(Data!179:179,1,$U$1+1)+INDEX(Data!474:474,1,$U$1+1)-INDEX(Data!1458:1458,1,$U$1+1))/1000000</f>
        <v>34.590854999999998</v>
      </c>
      <c r="P132" s="88">
        <f t="shared" si="45"/>
        <v>69.219439999999992</v>
      </c>
      <c r="Q132" s="86">
        <f t="shared" si="51"/>
        <v>6.1020699999999977</v>
      </c>
      <c r="R132" s="84">
        <f t="shared" si="52"/>
        <v>9.6678141056891279E-2</v>
      </c>
      <c r="S132" s="85">
        <f t="shared" ref="S132:S166" si="64">IFERROR(P132/P$254,"")</f>
        <v>4.6567788159376884E-3</v>
      </c>
      <c r="T132" s="85">
        <f t="shared" si="47"/>
        <v>0.74735426406468231</v>
      </c>
    </row>
    <row r="133" spans="1:20" hidden="1" outlineLevel="1">
      <c r="A133" s="50" t="s">
        <v>737</v>
      </c>
      <c r="B133" s="86">
        <f>(INDEX(Data!81:81,1,$U$1-2)+INDEX(Data!489:489,1,$U$1-2)-INDEX(Data!1302:1302,1,$U$1-2))/1000000</f>
        <v>84.208876000000004</v>
      </c>
      <c r="C133" s="87">
        <f>(INDEX(Data!81:81,1,$U$1-1)+INDEX(Data!489:489,1,$U$1-1)-INDEX(Data!1302:1302,1,$U$1-1))/1000000</f>
        <v>84.696163999999996</v>
      </c>
      <c r="D133" s="88">
        <f t="shared" si="48"/>
        <v>168.90503999999999</v>
      </c>
      <c r="E133" s="89">
        <f>(INDEX(Data!81:81,1,$U$1)+INDEX(Data!489:489,1,$U$1)-INDEX(Data!1302:1302,1,$U$1))/1000000</f>
        <v>88.983221</v>
      </c>
      <c r="F133" s="90">
        <f>(INDEX(Data!81:81,1,$U$1+1)+INDEX(Data!489:489,1,$U$1+1)-INDEX(Data!1302:1302,1,$U$1+1))/1000000</f>
        <v>88.978022999999993</v>
      </c>
      <c r="G133" s="88">
        <f t="shared" si="43"/>
        <v>177.96124399999999</v>
      </c>
      <c r="H133" s="86">
        <f t="shared" si="49"/>
        <v>9.0562040000000081</v>
      </c>
      <c r="I133" s="84">
        <f t="shared" si="50"/>
        <v>5.3617133035225049E-2</v>
      </c>
      <c r="J133" s="412">
        <f t="shared" si="63"/>
        <v>7.4018865098366363E-3</v>
      </c>
      <c r="K133" s="91">
        <f>(INDEX(Data!180:180,1,$U$1-2)+INDEX(Data!489:489,1,$U$1-2)-INDEX(Data!1459:1459,1,$U$1-2))/1000000</f>
        <v>62.501300999999998</v>
      </c>
      <c r="L133" s="87">
        <f>(INDEX(Data!180:180,1,$U$1-1)+INDEX(Data!489:489,1,$U$1-1)-INDEX(Data!1459:1459,1,$U$1-1))/1000000</f>
        <v>62.899796000000002</v>
      </c>
      <c r="M133" s="88">
        <f t="shared" si="53"/>
        <v>125.40109699999999</v>
      </c>
      <c r="N133" s="89">
        <f>(INDEX(Data!180:180,1,$U$1)+INDEX(Data!489:489,1,$U$1)-INDEX(Data!1459:1459,1,$U$1))/1000000</f>
        <v>70.302076</v>
      </c>
      <c r="O133" s="90">
        <f>(INDEX(Data!180:180,1,$U$1+1)+INDEX(Data!489:489,1,$U$1+1)-INDEX(Data!1459:1459,1,$U$1+1))/1000000</f>
        <v>70.284254000000004</v>
      </c>
      <c r="P133" s="88">
        <f t="shared" si="45"/>
        <v>140.58633</v>
      </c>
      <c r="Q133" s="86">
        <f t="shared" si="51"/>
        <v>15.185233000000011</v>
      </c>
      <c r="R133" s="84">
        <f t="shared" si="52"/>
        <v>0.12109330271648271</v>
      </c>
      <c r="S133" s="85">
        <f t="shared" si="64"/>
        <v>9.4580286022889707E-3</v>
      </c>
      <c r="T133" s="85">
        <f t="shared" si="47"/>
        <v>0.78998284592795953</v>
      </c>
    </row>
    <row r="134" spans="1:20" hidden="1" outlineLevel="1">
      <c r="A134" s="50" t="s">
        <v>738</v>
      </c>
      <c r="B134" s="86">
        <f>(INDEX(Data!83:83,1,$U$1-2)+INDEX(Data!470:470,1,$U$1-2)-INDEX(Data!1304:1304,1,$U$1-2))/1000000</f>
        <v>76.928602999999995</v>
      </c>
      <c r="C134" s="87">
        <f>(INDEX(Data!83:83,1,$U$1-1)+INDEX(Data!470:470,1,$U$1-1)-INDEX(Data!1304:1304,1,$U$1-1))/1000000</f>
        <v>76.969818000000004</v>
      </c>
      <c r="D134" s="88">
        <f t="shared" si="48"/>
        <v>153.89842099999998</v>
      </c>
      <c r="E134" s="89">
        <f>(INDEX(Data!83:83,1,$U$1)+INDEX(Data!470:470,1,$U$1)-INDEX(Data!1304:1304,1,$U$1))/1000000</f>
        <v>75.835436999999999</v>
      </c>
      <c r="F134" s="90">
        <f>(INDEX(Data!83:83,1,$U$1+1)+INDEX(Data!470:470,1,$U$1+1)-INDEX(Data!1304:1304,1,$U$1+1))/1000000</f>
        <v>75.786196000000004</v>
      </c>
      <c r="G134" s="88">
        <f t="shared" si="43"/>
        <v>151.621633</v>
      </c>
      <c r="H134" s="86">
        <f t="shared" si="49"/>
        <v>-2.276787999999982</v>
      </c>
      <c r="I134" s="84">
        <f t="shared" si="50"/>
        <v>-1.479409590563624E-2</v>
      </c>
      <c r="J134" s="412">
        <f t="shared" si="63"/>
        <v>6.3063512856883679E-3</v>
      </c>
      <c r="K134" s="91">
        <f>(INDEX(Data!182:182,1,$U$1-2)+INDEX(Data!470:470,1,$U$1-2)-INDEX(Data!1461:1461,1,$U$1-2))/1000000</f>
        <v>57.227414000000003</v>
      </c>
      <c r="L134" s="87">
        <f>(INDEX(Data!182:182,1,$U$1-1)+INDEX(Data!470:470,1,$U$1-1)-INDEX(Data!1461:1461,1,$U$1-1))/1000000</f>
        <v>57.089711000000001</v>
      </c>
      <c r="M134" s="88">
        <f t="shared" si="53"/>
        <v>114.317125</v>
      </c>
      <c r="N134" s="89">
        <f>(INDEX(Data!182:182,1,$U$1)+INDEX(Data!470:470,1,$U$1)-INDEX(Data!1461:1461,1,$U$1))/1000000</f>
        <v>57.834446</v>
      </c>
      <c r="O134" s="90">
        <f>(INDEX(Data!182:182,1,$U$1+1)+INDEX(Data!470:470,1,$U$1+1)-INDEX(Data!1461:1461,1,$U$1+1))/1000000</f>
        <v>57.772640000000003</v>
      </c>
      <c r="P134" s="88">
        <f t="shared" si="45"/>
        <v>115.60708600000001</v>
      </c>
      <c r="Q134" s="86">
        <f t="shared" si="51"/>
        <v>1.2899610000000052</v>
      </c>
      <c r="R134" s="84">
        <f t="shared" si="52"/>
        <v>1.1284057397349742E-2</v>
      </c>
      <c r="S134" s="85">
        <f t="shared" si="64"/>
        <v>7.777535170135538E-3</v>
      </c>
      <c r="T134" s="85">
        <f t="shared" si="47"/>
        <v>0.76247091996430361</v>
      </c>
    </row>
    <row r="135" spans="1:20" hidden="1" outlineLevel="1">
      <c r="A135" s="50" t="s">
        <v>1367</v>
      </c>
      <c r="B135" s="86">
        <f>(INDEX(Data!87:87,1,$U$1-2)+INDEX(Data!475:475,1,$U$1-2)-INDEX(Data!1308:1308,1,$U$1-2))/1000000</f>
        <v>95.470510000000004</v>
      </c>
      <c r="C135" s="87">
        <f>(INDEX(Data!87:87,1,$U$1-1)+INDEX(Data!475:475,1,$U$1-1)-INDEX(Data!1308:1308,1,$U$1-1))/1000000</f>
        <v>95.604508999999993</v>
      </c>
      <c r="D135" s="88">
        <f t="shared" si="48"/>
        <v>191.075019</v>
      </c>
      <c r="E135" s="89">
        <f>(INDEX(Data!87:87,1,$U$1)+INDEX(Data!475:475,1,$U$1)-INDEX(Data!1308:1308,1,$U$1))/1000000</f>
        <v>101.938873</v>
      </c>
      <c r="F135" s="90">
        <f>(INDEX(Data!87:87,1,$U$1+1)+INDEX(Data!475:475,1,$U$1+1)-INDEX(Data!1308:1308,1,$U$1+1))/1000000</f>
        <v>99.500187999999994</v>
      </c>
      <c r="G135" s="88">
        <f t="shared" si="43"/>
        <v>201.43906099999998</v>
      </c>
      <c r="H135" s="86">
        <f t="shared" si="49"/>
        <v>10.364041999999984</v>
      </c>
      <c r="I135" s="84">
        <f t="shared" si="50"/>
        <v>5.4240695901749375E-2</v>
      </c>
      <c r="J135" s="412">
        <f t="shared" si="63"/>
        <v>8.378392028828811E-3</v>
      </c>
      <c r="K135" s="91">
        <f>(INDEX(Data!186:186,1,$U$1-2)+INDEX(Data!475:475,1,$U$1-2)-INDEX(Data!1465:1465,1,$U$1-2))/1000000</f>
        <v>64.501507000000004</v>
      </c>
      <c r="L135" s="87">
        <f>(INDEX(Data!186:186,1,$U$1-1)+INDEX(Data!475:475,1,$U$1-1)-INDEX(Data!1465:1465,1,$U$1-1))/1000000</f>
        <v>64.505005999999995</v>
      </c>
      <c r="M135" s="88">
        <f t="shared" si="53"/>
        <v>129.00651299999998</v>
      </c>
      <c r="N135" s="89">
        <f>(INDEX(Data!186:186,1,$U$1)+INDEX(Data!475:475,1,$U$1)-INDEX(Data!1465:1465,1,$U$1))/1000000</f>
        <v>67.658394000000001</v>
      </c>
      <c r="O135" s="90">
        <f>(INDEX(Data!186:186,1,$U$1+1)+INDEX(Data!475:475,1,$U$1+1)-INDEX(Data!1465:1465,1,$U$1+1))/1000000</f>
        <v>67.504057000000003</v>
      </c>
      <c r="P135" s="88">
        <f t="shared" si="45"/>
        <v>135.162451</v>
      </c>
      <c r="Q135" s="86">
        <f t="shared" si="51"/>
        <v>6.1559380000000203</v>
      </c>
      <c r="R135" s="84">
        <f t="shared" si="52"/>
        <v>4.7718040406223683E-2</v>
      </c>
      <c r="S135" s="85">
        <f t="shared" si="64"/>
        <v>9.0931339306850201E-3</v>
      </c>
      <c r="T135" s="85">
        <f t="shared" si="47"/>
        <v>0.67098431818047455</v>
      </c>
    </row>
    <row r="136" spans="1:20" hidden="1" outlineLevel="1">
      <c r="A136" s="678" t="s">
        <v>1094</v>
      </c>
      <c r="B136" s="86">
        <f>(INDEX(Data!88:88,1,$U$1-2)+INDEX(Data!476:476,1,$U$1-2)-INDEX(Data!1309:1309,1,$U$1-2))/1000000</f>
        <v>174.634434</v>
      </c>
      <c r="C136" s="87">
        <f>(INDEX(Data!88:88,1,$U$1-1)+INDEX(Data!476:476,1,$U$1-1)-INDEX(Data!1309:1309,1,$U$1-1))/1000000</f>
        <v>174.20974899999999</v>
      </c>
      <c r="D136" s="88">
        <f t="shared" si="48"/>
        <v>348.84418299999999</v>
      </c>
      <c r="E136" s="89">
        <f>(INDEX(Data!88:88,1,$U$1)+INDEX(Data!476:476,1,$U$1)-INDEX(Data!1309:1309,1,$U$1))/1000000</f>
        <v>184.86297099999999</v>
      </c>
      <c r="F136" s="90">
        <f>(INDEX(Data!88:88,1,$U$1+1)+INDEX(Data!476:476,1,$U$1+1)-INDEX(Data!1309:1309,1,$U$1+1))/1000000</f>
        <v>184.27696499999999</v>
      </c>
      <c r="G136" s="88">
        <f t="shared" si="43"/>
        <v>369.13993599999998</v>
      </c>
      <c r="H136" s="86">
        <f t="shared" si="49"/>
        <v>20.295752999999991</v>
      </c>
      <c r="I136" s="84">
        <f t="shared" si="50"/>
        <v>5.8179995508195102E-2</v>
      </c>
      <c r="J136" s="412">
        <f t="shared" si="63"/>
        <v>1.5353522211388672E-2</v>
      </c>
      <c r="K136" s="91">
        <f>(INDEX(Data!187:187,1,$U$1-2)+INDEX(Data!476:476,1,$U$1-2)-INDEX(Data!1466:1466,1,$U$1-2))/1000000</f>
        <v>123.323623</v>
      </c>
      <c r="L136" s="87">
        <f>(INDEX(Data!187:187,1,$U$1-1)+INDEX(Data!476:476,1,$U$1-1)-INDEX(Data!1466:1466,1,$U$1-1))/1000000</f>
        <v>122.764306</v>
      </c>
      <c r="M136" s="88">
        <f t="shared" si="53"/>
        <v>246.087929</v>
      </c>
      <c r="N136" s="89">
        <f>(INDEX(Data!187:187,1,$U$1)+INDEX(Data!476:476,1,$U$1)-INDEX(Data!1466:1466,1,$U$1))/1000000</f>
        <v>135.33426800000001</v>
      </c>
      <c r="O136" s="90">
        <f>(INDEX(Data!187:187,1,$U$1+1)+INDEX(Data!476:476,1,$U$1+1)-INDEX(Data!1466:1466,1,$U$1+1))/1000000</f>
        <v>134.734227</v>
      </c>
      <c r="P136" s="88">
        <f t="shared" si="45"/>
        <v>270.06849499999998</v>
      </c>
      <c r="Q136" s="86">
        <f t="shared" si="51"/>
        <v>23.980565999999982</v>
      </c>
      <c r="R136" s="84">
        <f t="shared" si="52"/>
        <v>9.7447144593589483E-2</v>
      </c>
      <c r="S136" s="85">
        <f t="shared" si="64"/>
        <v>1.8169017928607537E-2</v>
      </c>
      <c r="T136" s="85">
        <f t="shared" si="47"/>
        <v>0.73161548957953981</v>
      </c>
    </row>
    <row r="137" spans="1:20" hidden="1" outlineLevel="1">
      <c r="A137" s="50" t="s">
        <v>859</v>
      </c>
      <c r="B137" s="86">
        <f>(INDEX(Data!89:89,1,$U$1-2)+INDEX(Data!477:477,1,$U$1-2)-INDEX(Data!1310:1310,1,$U$1-2))/1000000</f>
        <v>17.083282000000001</v>
      </c>
      <c r="C137" s="87">
        <f>(INDEX(Data!89:89,1,$U$1-1)+INDEX(Data!477:477,1,$U$1-1)-INDEX(Data!1310:1310,1,$U$1-1))/1000000</f>
        <v>16.025798000000002</v>
      </c>
      <c r="D137" s="88">
        <f t="shared" si="48"/>
        <v>33.109080000000006</v>
      </c>
      <c r="E137" s="89">
        <f>(INDEX(Data!89:89,1,$U$1)+INDEX(Data!477:477,1,$U$1)-INDEX(Data!1310:1310,1,$U$1))/1000000</f>
        <v>15.847272999999999</v>
      </c>
      <c r="F137" s="90">
        <f>(INDEX(Data!89:89,1,$U$1+1)+INDEX(Data!477:477,1,$U$1+1)-INDEX(Data!1310:1310,1,$U$1+1))/1000000</f>
        <v>15.810328</v>
      </c>
      <c r="G137" s="88">
        <f t="shared" si="43"/>
        <v>31.657601</v>
      </c>
      <c r="H137" s="86">
        <f t="shared" si="49"/>
        <v>-1.4514790000000062</v>
      </c>
      <c r="I137" s="84">
        <f t="shared" si="50"/>
        <v>-4.3839303296860137E-2</v>
      </c>
      <c r="J137" s="412">
        <f t="shared" si="63"/>
        <v>1.3167247233655593E-3</v>
      </c>
      <c r="K137" s="91">
        <f>(INDEX(Data!188:188,1,$U$1-2)+INDEX(Data!477:477,1,$U$1-2)-INDEX(Data!1467:1467,1,$U$1-2))/1000000</f>
        <v>14.412533</v>
      </c>
      <c r="L137" s="87">
        <f>(INDEX(Data!188:188,1,$U$1-1)+INDEX(Data!477:477,1,$U$1-1)-INDEX(Data!1467:1467,1,$U$1-1))/1000000</f>
        <v>13.347272</v>
      </c>
      <c r="M137" s="88">
        <f t="shared" si="53"/>
        <v>27.759805</v>
      </c>
      <c r="N137" s="89">
        <f>(INDEX(Data!188:188,1,$U$1)+INDEX(Data!477:477,1,$U$1)-INDEX(Data!1467:1467,1,$U$1))/1000000</f>
        <v>13.503615999999999</v>
      </c>
      <c r="O137" s="90">
        <f>(INDEX(Data!188:188,1,$U$1+1)+INDEX(Data!477:477,1,$U$1+1)-INDEX(Data!1467:1467,1,$U$1+1))/1000000</f>
        <v>13.464453000000001</v>
      </c>
      <c r="P137" s="88">
        <f t="shared" si="45"/>
        <v>26.968069</v>
      </c>
      <c r="Q137" s="86">
        <f t="shared" si="51"/>
        <v>-0.79173600000000022</v>
      </c>
      <c r="R137" s="84">
        <f t="shared" si="52"/>
        <v>-2.8520949624826264E-2</v>
      </c>
      <c r="S137" s="85">
        <f t="shared" si="64"/>
        <v>1.8142928117584583E-3</v>
      </c>
      <c r="T137" s="85">
        <f t="shared" si="47"/>
        <v>0.85186710768134322</v>
      </c>
    </row>
    <row r="138" spans="1:20" hidden="1" outlineLevel="1">
      <c r="A138" s="50" t="s">
        <v>1427</v>
      </c>
      <c r="B138" s="86">
        <f>(INDEX(Data!90:90,1,$U$1-2)+INDEX(Data!478:478,1,$U$1-2)-INDEX(Data!1311:1311,1,$U$1-2))/1000000</f>
        <v>5.9851419999999997</v>
      </c>
      <c r="C138" s="87">
        <f>(INDEX(Data!90:90,1,$U$1-1)+INDEX(Data!478:478,1,$U$1-1)-INDEX(Data!1311:1311,1,$U$1-1))/1000000</f>
        <v>6.0051290000000002</v>
      </c>
      <c r="D138" s="88">
        <f t="shared" si="48"/>
        <v>11.990271</v>
      </c>
      <c r="E138" s="89">
        <f>(INDEX(Data!90:90,1,$U$1)+INDEX(Data!478:478,1,$U$1)-INDEX(Data!1311:1311,1,$U$1))/1000000</f>
        <v>6.1542589999999997</v>
      </c>
      <c r="F138" s="90">
        <f>(INDEX(Data!90:90,1,$U$1+1)+INDEX(Data!478:478,1,$U$1+1)-INDEX(Data!1311:1311,1,$U$1+1))/1000000</f>
        <v>6.1542979999999998</v>
      </c>
      <c r="G138" s="88">
        <f t="shared" si="43"/>
        <v>12.308557</v>
      </c>
      <c r="H138" s="86">
        <f t="shared" si="49"/>
        <v>0.31828600000000051</v>
      </c>
      <c r="I138" s="84">
        <f t="shared" si="50"/>
        <v>2.6545354979883317E-2</v>
      </c>
      <c r="J138" s="412">
        <f t="shared" si="63"/>
        <v>5.1194597186483652E-4</v>
      </c>
      <c r="K138" s="91">
        <f>(INDEX(Data!189:189,1,$U$1-2)+INDEX(Data!478:478,1,$U$1-2)-INDEX(Data!1468:1468,1,$U$1-2))/1000000</f>
        <v>5.016591</v>
      </c>
      <c r="L138" s="87">
        <f>(INDEX(Data!189:189,1,$U$1-1)+INDEX(Data!478:478,1,$U$1-1)-INDEX(Data!1468:1468,1,$U$1-1))/1000000</f>
        <v>5.0355749999999997</v>
      </c>
      <c r="M138" s="88">
        <f t="shared" si="53"/>
        <v>10.052166</v>
      </c>
      <c r="N138" s="89">
        <f>(INDEX(Data!189:189,1,$U$1)+INDEX(Data!478:478,1,$U$1)-INDEX(Data!1468:1468,1,$U$1))/1000000</f>
        <v>5.3463729999999998</v>
      </c>
      <c r="O138" s="90">
        <f>(INDEX(Data!189:189,1,$U$1+1)+INDEX(Data!478:478,1,$U$1+1)-INDEX(Data!1468:1468,1,$U$1+1))/1000000</f>
        <v>5.3461699999999999</v>
      </c>
      <c r="P138" s="88">
        <f t="shared" si="45"/>
        <v>10.692543000000001</v>
      </c>
      <c r="Q138" s="86">
        <f t="shared" si="51"/>
        <v>0.64037700000000086</v>
      </c>
      <c r="R138" s="84">
        <f t="shared" si="52"/>
        <v>6.370537454315825E-2</v>
      </c>
      <c r="S138" s="85">
        <f t="shared" si="64"/>
        <v>7.1934716216864555E-4</v>
      </c>
      <c r="T138" s="85">
        <f t="shared" si="47"/>
        <v>0.86870808657749243</v>
      </c>
    </row>
    <row r="139" spans="1:20" collapsed="1">
      <c r="A139" s="113" t="s">
        <v>784</v>
      </c>
      <c r="B139" s="105">
        <f t="shared" ref="B139:H139" si="65">SUM(B100:B138)</f>
        <v>3832.2983980000008</v>
      </c>
      <c r="C139" s="106">
        <f t="shared" si="65"/>
        <v>3845.0308979999995</v>
      </c>
      <c r="D139" s="107">
        <f t="shared" si="65"/>
        <v>7677.3292959999981</v>
      </c>
      <c r="E139" s="114">
        <f t="shared" si="65"/>
        <v>4065.5041740000006</v>
      </c>
      <c r="F139" s="115">
        <f t="shared" si="65"/>
        <v>4009.5269500000004</v>
      </c>
      <c r="G139" s="107">
        <f t="shared" si="65"/>
        <v>8075.0311239999992</v>
      </c>
      <c r="H139" s="105">
        <f t="shared" si="65"/>
        <v>397.70182799999992</v>
      </c>
      <c r="I139" s="449">
        <f t="shared" si="50"/>
        <v>5.1802106262031571E-2</v>
      </c>
      <c r="J139" s="454">
        <f t="shared" si="63"/>
        <v>0.33586225067771813</v>
      </c>
      <c r="K139" s="405">
        <f t="shared" ref="K139:Q139" si="66">SUM(K100:K138)</f>
        <v>2737.5082859999993</v>
      </c>
      <c r="L139" s="106">
        <f t="shared" si="66"/>
        <v>2741.9185849999999</v>
      </c>
      <c r="M139" s="107">
        <f t="shared" si="66"/>
        <v>5479.4268709999997</v>
      </c>
      <c r="N139" s="114">
        <f t="shared" si="66"/>
        <v>2971.5303902312621</v>
      </c>
      <c r="O139" s="115">
        <f t="shared" si="66"/>
        <v>2915.8790790000003</v>
      </c>
      <c r="P139" s="107">
        <f t="shared" si="66"/>
        <v>5887.4094692312592</v>
      </c>
      <c r="Q139" s="105">
        <f t="shared" si="66"/>
        <v>407.9825982312621</v>
      </c>
      <c r="R139" s="449">
        <f t="shared" si="52"/>
        <v>7.4457166385506479E-2</v>
      </c>
      <c r="S139" s="454">
        <f t="shared" si="64"/>
        <v>0.39607895841207447</v>
      </c>
      <c r="T139" s="454">
        <f t="shared" si="47"/>
        <v>0.72908814576988368</v>
      </c>
    </row>
    <row r="140" spans="1:20" ht="25.5" hidden="1" outlineLevel="1">
      <c r="A140" s="677" t="s">
        <v>1428</v>
      </c>
      <c r="B140" s="86">
        <f>(INDEX(Data!40:40,1,$U$1-2)+INDEX(Data!442:442,1,$U$1-2)-INDEX(Data!1264:1264,1,$U$1-2))/1000000</f>
        <v>10.740705999999999</v>
      </c>
      <c r="C140" s="87">
        <f>(INDEX(Data!40:40,1,$U$1-1)+INDEX(Data!442:442,1,$U$1-1)-INDEX(Data!1264:1264,1,$U$1-1))/1000000</f>
        <v>10.094153</v>
      </c>
      <c r="D140" s="88">
        <f t="shared" ref="D140:D145" si="67">B140+C140</f>
        <v>20.834859000000002</v>
      </c>
      <c r="E140" s="89">
        <f>(INDEX(Data!40:40,1,$U$1)+INDEX(Data!442:442,1,$U$1)-INDEX(Data!1264:1264,1,$U$1))/1000000</f>
        <v>10.076703</v>
      </c>
      <c r="F140" s="90">
        <f>(INDEX(Data!40:40,1,$U$1+1)+INDEX(Data!442:442,1,$U$1+1)-INDEX(Data!1264:1264,1,$U$1+1))/1000000</f>
        <v>9.4226430000000008</v>
      </c>
      <c r="G140" s="88">
        <f t="shared" ref="G140:G145" si="68">E140+F140</f>
        <v>19.499346000000003</v>
      </c>
      <c r="H140" s="86">
        <f t="shared" si="49"/>
        <v>-1.3355129999999988</v>
      </c>
      <c r="I140" s="447">
        <f t="shared" si="50"/>
        <v>-6.4099929833938335E-2</v>
      </c>
      <c r="J140" s="453">
        <f t="shared" si="63"/>
        <v>8.110302157026785E-4</v>
      </c>
      <c r="K140" s="91">
        <f>(INDEX(Data!141:141,1,$U$1-2)+INDEX(Data!442:442,1,$U$1-2)-INDEX(Data!1421:1421,1,$U$1-2))/1000000</f>
        <v>9.5167059999999992</v>
      </c>
      <c r="L140" s="87">
        <f>(INDEX(Data!141:141,1,$U$1-1)+INDEX(Data!442:442,1,$U$1-1)-INDEX(Data!1421:1421,1,$U$1-1))/1000000</f>
        <v>8.8701530000000002</v>
      </c>
      <c r="M140" s="88">
        <f t="shared" ref="M140:M145" si="69">K140+L140</f>
        <v>18.386859000000001</v>
      </c>
      <c r="N140" s="89">
        <f>(INDEX(Data!141:141,1,$U$1)+INDEX(Data!442:442,1,$U$1)-INDEX(Data!1421:1421,1,$U$1))/1000000</f>
        <v>8.820703</v>
      </c>
      <c r="O140" s="90">
        <f>(INDEX(Data!141:141,1,$U$1+1)+INDEX(Data!442:442,1,$U$1+1)-INDEX(Data!1421:1421,1,$U$1+1))/1000000</f>
        <v>8.1666430000000005</v>
      </c>
      <c r="P140" s="88">
        <f t="shared" ref="P140:P145" si="70">N140+O140</f>
        <v>16.987346000000002</v>
      </c>
      <c r="Q140" s="86">
        <f t="shared" si="51"/>
        <v>-1.3995129999999989</v>
      </c>
      <c r="R140" s="447">
        <f t="shared" si="52"/>
        <v>-7.6114849197462101E-2</v>
      </c>
      <c r="S140" s="453">
        <f t="shared" si="64"/>
        <v>1.1428337616109557E-3</v>
      </c>
      <c r="T140" s="453">
        <f t="shared" si="47"/>
        <v>0.87117516659276673</v>
      </c>
    </row>
    <row r="141" spans="1:20" ht="25.5" hidden="1" outlineLevel="1">
      <c r="A141" s="677" t="s">
        <v>1429</v>
      </c>
      <c r="B141" s="86">
        <f>(INDEX(Data!54:54,1,$U$1-2)+INDEX(Data!464:464,1,$U$1-2)-INDEX(Data!1275:1275,1,$U$1-2))/1000000</f>
        <v>0.77002800000000005</v>
      </c>
      <c r="C141" s="87">
        <f>(INDEX(Data!54:54,1,$U$1-1)+INDEX(Data!464:464,1,$U$1-1)-INDEX(Data!1275:1275,1,$U$1-1))/1000000</f>
        <v>0.77002700000000002</v>
      </c>
      <c r="D141" s="88">
        <f t="shared" si="67"/>
        <v>1.5400550000000002</v>
      </c>
      <c r="E141" s="89">
        <f>(INDEX(Data!54:54,1,$U$1)+INDEX(Data!464:464,1,$U$1)-INDEX(Data!1275:1275,1,$U$1))/1000000</f>
        <v>0.77002800000000005</v>
      </c>
      <c r="F141" s="90">
        <f>(INDEX(Data!54:54,1,$U$1+1)+INDEX(Data!464:464,1,$U$1+1)-INDEX(Data!1275:1275,1,$U$1+1))/1000000</f>
        <v>0.77002700000000002</v>
      </c>
      <c r="G141" s="88">
        <f t="shared" si="68"/>
        <v>1.5400550000000002</v>
      </c>
      <c r="H141" s="86">
        <f t="shared" si="49"/>
        <v>0</v>
      </c>
      <c r="I141" s="447">
        <f t="shared" si="50"/>
        <v>0</v>
      </c>
      <c r="J141" s="453">
        <f t="shared" si="63"/>
        <v>6.4055027222143169E-5</v>
      </c>
      <c r="K141" s="91">
        <f>(INDEX(Data!153:153,1,$U$1-2)+INDEX(Data!464:464,1,$U$1-2)-INDEX(Data!1432:1432,1,$U$1-2))/1000000</f>
        <v>0.77002800000000005</v>
      </c>
      <c r="L141" s="87">
        <f>(INDEX(Data!153:153,1,$U$1-1)+INDEX(Data!464:464,1,$U$1-1)-INDEX(Data!1432:1432,1,$U$1-1))/1000000</f>
        <v>0.77002700000000002</v>
      </c>
      <c r="M141" s="88">
        <f t="shared" si="69"/>
        <v>1.5400550000000002</v>
      </c>
      <c r="N141" s="89">
        <f>(INDEX(Data!153:153,1,$U$1)+INDEX(Data!464:464,1,$U$1)-INDEX(Data!1432:1432,1,$U$1))/1000000</f>
        <v>0.77002800000000005</v>
      </c>
      <c r="O141" s="90">
        <f>(INDEX(Data!153:153,1,$U$1+1)+INDEX(Data!464:464,1,$U$1+1)-INDEX(Data!1432:1432,1,$U$1+1))/1000000</f>
        <v>0.77002700000000002</v>
      </c>
      <c r="P141" s="88">
        <f t="shared" si="70"/>
        <v>1.5400550000000002</v>
      </c>
      <c r="Q141" s="86">
        <f t="shared" si="51"/>
        <v>0</v>
      </c>
      <c r="R141" s="447">
        <f t="shared" si="52"/>
        <v>0</v>
      </c>
      <c r="S141" s="453">
        <f t="shared" si="64"/>
        <v>1.0360811210519644E-4</v>
      </c>
      <c r="T141" s="453">
        <f t="shared" si="47"/>
        <v>1</v>
      </c>
    </row>
    <row r="142" spans="1:20" ht="25.5" hidden="1" outlineLevel="1">
      <c r="A142" s="677" t="s">
        <v>1430</v>
      </c>
      <c r="B142" s="86">
        <f>(INDEX(Data!67:67,1,$U$1-2)+INDEX(Data!469:469,1,$U$1-2)-INDEX(Data!1288:1288,1,$U$1-2))/1000000</f>
        <v>48.483418999999998</v>
      </c>
      <c r="C142" s="87">
        <f>(INDEX(Data!67:67,1,$U$1-1)+INDEX(Data!469:469,1,$U$1-1)-INDEX(Data!1288:1288,1,$U$1-1))/1000000</f>
        <v>47.771453999999999</v>
      </c>
      <c r="D142" s="88">
        <f t="shared" si="67"/>
        <v>96.254873000000003</v>
      </c>
      <c r="E142" s="89">
        <f>(INDEX(Data!67:67,1,$U$1)+INDEX(Data!469:469,1,$U$1)-INDEX(Data!1288:1288,1,$U$1))/1000000</f>
        <v>41.799670999999996</v>
      </c>
      <c r="F142" s="90">
        <f>(INDEX(Data!67:67,1,$U$1+1)+INDEX(Data!469:469,1,$U$1+1)-INDEX(Data!1288:1288,1,$U$1+1))/1000000</f>
        <v>41.835974999999998</v>
      </c>
      <c r="G142" s="88">
        <f t="shared" si="68"/>
        <v>83.635645999999994</v>
      </c>
      <c r="H142" s="86">
        <f t="shared" si="49"/>
        <v>-12.619227000000009</v>
      </c>
      <c r="I142" s="447">
        <f t="shared" si="50"/>
        <v>-0.13110221443022432</v>
      </c>
      <c r="J142" s="453">
        <f t="shared" si="63"/>
        <v>3.4786313354208311E-3</v>
      </c>
      <c r="K142" s="91">
        <f>(INDEX(Data!166:166,1,$U$1-2)+INDEX(Data!469:469,1,$U$1-2)-INDEX(Data!1445:1445,1,$U$1-2))/1000000</f>
        <v>48.472180999999999</v>
      </c>
      <c r="L142" s="87">
        <f>(INDEX(Data!166:166,1,$U$1-1)+INDEX(Data!469:469,1,$U$1-1)-INDEX(Data!1445:1445,1,$U$1-1))/1000000</f>
        <v>47.760216</v>
      </c>
      <c r="M142" s="88">
        <f t="shared" si="69"/>
        <v>96.232396999999992</v>
      </c>
      <c r="N142" s="89">
        <f>(INDEX(Data!166:166,1,$U$1)+INDEX(Data!469:469,1,$U$1)-INDEX(Data!1445:1445,1,$U$1))/1000000</f>
        <v>41.788432999999998</v>
      </c>
      <c r="O142" s="90">
        <f>(INDEX(Data!166:166,1,$U$1+1)+INDEX(Data!469:469,1,$U$1+1)-INDEX(Data!1445:1445,1,$U$1+1))/1000000</f>
        <v>41.824736999999999</v>
      </c>
      <c r="P142" s="88">
        <f t="shared" si="70"/>
        <v>83.613169999999997</v>
      </c>
      <c r="Q142" s="86">
        <f t="shared" si="51"/>
        <v>-12.619226999999995</v>
      </c>
      <c r="R142" s="447">
        <f t="shared" si="52"/>
        <v>-0.13113283461078076</v>
      </c>
      <c r="S142" s="453">
        <f t="shared" si="64"/>
        <v>5.6251255252772444E-3</v>
      </c>
      <c r="T142" s="453">
        <f t="shared" si="47"/>
        <v>0.99973126291151027</v>
      </c>
    </row>
    <row r="143" spans="1:20" ht="25.5" hidden="1" outlineLevel="1">
      <c r="A143" s="677" t="s">
        <v>1431</v>
      </c>
      <c r="B143" s="86">
        <f>(INDEX(Data!73:73,1,$U$1-2)+INDEX(Data!497:497,1,$U$1-2)-INDEX(Data!1294:1294,1,$U$1-2))/1000000</f>
        <v>9.8703529999999997</v>
      </c>
      <c r="C143" s="87">
        <f>(INDEX(Data!73:73,1,$U$1-1)+INDEX(Data!497:497,1,$U$1-1)-INDEX(Data!1294:1294,1,$U$1-1))/1000000</f>
        <v>10.037817</v>
      </c>
      <c r="D143" s="88">
        <f t="shared" si="67"/>
        <v>19.908169999999998</v>
      </c>
      <c r="E143" s="89">
        <f>(INDEX(Data!73:73,1,$U$1)+INDEX(Data!497:497,1,$U$1)-INDEX(Data!1294:1294,1,$U$1))/1000000</f>
        <v>7.2020309999999998</v>
      </c>
      <c r="F143" s="90">
        <f>(INDEX(Data!73:73,1,$U$1+1)+INDEX(Data!497:497,1,$U$1+1)-INDEX(Data!1294:1294,1,$U$1+1))/1000000</f>
        <v>7.2066780000000001</v>
      </c>
      <c r="G143" s="88">
        <f t="shared" si="68"/>
        <v>14.408709</v>
      </c>
      <c r="H143" s="86">
        <f t="shared" si="49"/>
        <v>-5.4994609999999984</v>
      </c>
      <c r="I143" s="447">
        <f t="shared" si="50"/>
        <v>-0.27624141244524225</v>
      </c>
      <c r="J143" s="453">
        <f t="shared" si="63"/>
        <v>5.992969388956493E-4</v>
      </c>
      <c r="K143" s="91">
        <f>(INDEX(Data!172:172,1,$U$1-2)+INDEX(Data!497:497,1,$U$1-2)-INDEX(Data!1451:1451,1,$U$1-2))/1000000</f>
        <v>9.8703529999999997</v>
      </c>
      <c r="L143" s="87">
        <f>(INDEX(Data!172:172,1,$U$1-1)+INDEX(Data!497:497,1,$U$1-1)-INDEX(Data!1451:1451,1,$U$1-1))/1000000</f>
        <v>10.037817</v>
      </c>
      <c r="M143" s="88">
        <f t="shared" si="69"/>
        <v>19.908169999999998</v>
      </c>
      <c r="N143" s="89">
        <f>(INDEX(Data!172:172,1,$U$1)+INDEX(Data!497:497,1,$U$1)-INDEX(Data!1451:1451,1,$U$1))/1000000</f>
        <v>7.2020309999999998</v>
      </c>
      <c r="O143" s="90">
        <f>(INDEX(Data!172:172,1,$U$1+1)+INDEX(Data!497:497,1,$U$1+1)-INDEX(Data!1451:1451,1,$U$1+1))/1000000</f>
        <v>7.2066780000000001</v>
      </c>
      <c r="P143" s="88">
        <f t="shared" si="70"/>
        <v>14.408709</v>
      </c>
      <c r="Q143" s="86">
        <f t="shared" si="51"/>
        <v>-5.4994609999999984</v>
      </c>
      <c r="R143" s="447">
        <f t="shared" si="52"/>
        <v>-0.27624141244524225</v>
      </c>
      <c r="S143" s="453">
        <f t="shared" si="64"/>
        <v>9.6935443043472656E-4</v>
      </c>
      <c r="T143" s="453">
        <f t="shared" si="47"/>
        <v>1</v>
      </c>
    </row>
    <row r="144" spans="1:20" ht="25.5" hidden="1" outlineLevel="1">
      <c r="A144" s="677" t="s">
        <v>1432</v>
      </c>
      <c r="B144" s="86">
        <f>(INDEX(Data!78:78,1,$U$1-2)+INDEX(Data!498:498,1,$U$1-2)-INDEX(Data!1299:1299,1,$U$1-2))/1000000</f>
        <v>2.0715370000000002</v>
      </c>
      <c r="C144" s="87">
        <f>(INDEX(Data!78:78,1,$U$1-1)+INDEX(Data!498:498,1,$U$1-1)-INDEX(Data!1299:1299,1,$U$1-1))/1000000</f>
        <v>2.103634</v>
      </c>
      <c r="D144" s="88">
        <f t="shared" si="67"/>
        <v>4.1751710000000006</v>
      </c>
      <c r="E144" s="89">
        <f>(INDEX(Data!78:78,1,$U$1)+INDEX(Data!498:498,1,$U$1)-INDEX(Data!1299:1299,1,$U$1))/1000000</f>
        <v>2.1103809999999998</v>
      </c>
      <c r="F144" s="90">
        <f>(INDEX(Data!78:78,1,$U$1+1)+INDEX(Data!498:498,1,$U$1+1)-INDEX(Data!1299:1299,1,$U$1+1))/1000000</f>
        <v>2.1103809999999998</v>
      </c>
      <c r="G144" s="88">
        <f t="shared" si="68"/>
        <v>4.2207619999999997</v>
      </c>
      <c r="H144" s="86">
        <f t="shared" si="49"/>
        <v>4.5590999999999049E-2</v>
      </c>
      <c r="I144" s="447">
        <f t="shared" si="50"/>
        <v>1.0919552756042577E-2</v>
      </c>
      <c r="J144" s="453">
        <f t="shared" si="63"/>
        <v>1.7555283727411513E-4</v>
      </c>
      <c r="K144" s="91">
        <f>(INDEX(Data!177:177,1,$U$1-2)+INDEX(Data!498:498,1,$U$1-2)-INDEX(Data!1456:1456,1,$U$1-2))/1000000</f>
        <v>2.0715370000000002</v>
      </c>
      <c r="L144" s="87">
        <f>(INDEX(Data!177:177,1,$U$1-1)+INDEX(Data!498:498,1,$U$1-1)-INDEX(Data!1456:1456,1,$U$1-1))/1000000</f>
        <v>2.103634</v>
      </c>
      <c r="M144" s="88">
        <f t="shared" si="69"/>
        <v>4.1751710000000006</v>
      </c>
      <c r="N144" s="89">
        <f>(INDEX(Data!177:177,1,$U$1)+INDEX(Data!498:498,1,$U$1)-INDEX(Data!1456:1456,1,$U$1))/1000000</f>
        <v>2.1103809999999998</v>
      </c>
      <c r="O144" s="90">
        <f>(INDEX(Data!177:177,1,$U$1+1)+INDEX(Data!498:498,1,$U$1+1)-INDEX(Data!1456:1456,1,$U$1+1))/1000000</f>
        <v>2.1103809999999998</v>
      </c>
      <c r="P144" s="88">
        <f t="shared" si="70"/>
        <v>4.2207619999999997</v>
      </c>
      <c r="Q144" s="86">
        <f t="shared" si="51"/>
        <v>4.5590999999999049E-2</v>
      </c>
      <c r="R144" s="447">
        <f t="shared" si="52"/>
        <v>1.0919552756042577E-2</v>
      </c>
      <c r="S144" s="453">
        <f t="shared" si="64"/>
        <v>2.8395426297460357E-4</v>
      </c>
      <c r="T144" s="453">
        <f t="shared" si="47"/>
        <v>1</v>
      </c>
    </row>
    <row r="145" spans="1:22" hidden="1" outlineLevel="1">
      <c r="A145" s="677" t="s">
        <v>60</v>
      </c>
      <c r="B145" s="86">
        <f>(INDEX(Data!82:82,1,$U$1-2)+INDEX(Data!479:479,1,$U$1-2)-INDEX(Data!1303:1303,1,$U$1-2))/1000000</f>
        <v>1.4813989999999999</v>
      </c>
      <c r="C145" s="87">
        <f>(INDEX(Data!82:82,1,$U$1-1)+INDEX(Data!479:479,1,$U$1-1)-INDEX(Data!1303:1303,1,$U$1-1))/1000000</f>
        <v>1.4865740000000001</v>
      </c>
      <c r="D145" s="88">
        <f t="shared" si="67"/>
        <v>2.9679729999999998</v>
      </c>
      <c r="E145" s="89">
        <f>(INDEX(Data!82:82,1,$U$1)+INDEX(Data!479:479,1,$U$1)-INDEX(Data!1303:1303,1,$U$1))/1000000</f>
        <v>1.631127</v>
      </c>
      <c r="F145" s="90">
        <f>(INDEX(Data!82:82,1,$U$1+1)+INDEX(Data!479:479,1,$U$1+1)-INDEX(Data!1303:1303,1,$U$1+1))/1000000</f>
        <v>1.631127</v>
      </c>
      <c r="G145" s="88">
        <f t="shared" si="68"/>
        <v>3.262254</v>
      </c>
      <c r="H145" s="86">
        <f t="shared" si="49"/>
        <v>0.29428100000000024</v>
      </c>
      <c r="I145" s="447">
        <f t="shared" si="50"/>
        <v>9.915218231432707E-2</v>
      </c>
      <c r="J145" s="453">
        <f t="shared" si="63"/>
        <v>1.3568591301969438E-4</v>
      </c>
      <c r="K145" s="91">
        <f>(INDEX(Data!181:181,1,$U$1-2)+INDEX(Data!479:479,1,$U$1-2)-INDEX(Data!1460:1460,1,$U$1-2))/1000000</f>
        <v>1.4813989999999999</v>
      </c>
      <c r="L145" s="87">
        <f>(INDEX(Data!181:181,1,$U$1-1)+INDEX(Data!479:479,1,$U$1-1)-INDEX(Data!1460:1460,1,$U$1-1))/1000000</f>
        <v>1.4865740000000001</v>
      </c>
      <c r="M145" s="88">
        <f t="shared" si="69"/>
        <v>2.9679729999999998</v>
      </c>
      <c r="N145" s="89">
        <f>(INDEX(Data!181:181,1,$U$1)+INDEX(Data!479:479,1,$U$1)-INDEX(Data!1460:1460,1,$U$1))/1000000</f>
        <v>1.631127</v>
      </c>
      <c r="O145" s="90">
        <f>(INDEX(Data!181:181,1,$U$1+1)+INDEX(Data!479:479,1,$U$1+1)-INDEX(Data!1460:1460,1,$U$1+1))/1000000</f>
        <v>1.631127</v>
      </c>
      <c r="P145" s="88">
        <f t="shared" si="70"/>
        <v>3.262254</v>
      </c>
      <c r="Q145" s="86">
        <f t="shared" si="51"/>
        <v>0.29428100000000024</v>
      </c>
      <c r="R145" s="447">
        <f t="shared" si="52"/>
        <v>9.915218231432707E-2</v>
      </c>
      <c r="S145" s="453">
        <f t="shared" si="64"/>
        <v>2.1947006967129452E-4</v>
      </c>
      <c r="T145" s="453">
        <f t="shared" si="47"/>
        <v>1</v>
      </c>
    </row>
    <row r="146" spans="1:22" collapsed="1">
      <c r="A146" s="113" t="s">
        <v>1830</v>
      </c>
      <c r="B146" s="105">
        <f>SUM(B140:B145)</f>
        <v>73.417441999999994</v>
      </c>
      <c r="C146" s="106">
        <f t="shared" ref="C146:H146" si="71">SUM(C140:C145)</f>
        <v>72.263659000000004</v>
      </c>
      <c r="D146" s="107">
        <f t="shared" si="71"/>
        <v>145.68110100000001</v>
      </c>
      <c r="E146" s="114">
        <f t="shared" si="71"/>
        <v>63.589940999999989</v>
      </c>
      <c r="F146" s="115">
        <f t="shared" si="71"/>
        <v>62.97683099999999</v>
      </c>
      <c r="G146" s="107">
        <f t="shared" si="71"/>
        <v>126.56677199999999</v>
      </c>
      <c r="H146" s="105">
        <f t="shared" si="71"/>
        <v>-19.114329000000005</v>
      </c>
      <c r="I146" s="449">
        <f t="shared" si="50"/>
        <v>-0.13120664841762833</v>
      </c>
      <c r="J146" s="454">
        <f t="shared" si="63"/>
        <v>5.2642522675351109E-3</v>
      </c>
      <c r="K146" s="405">
        <f>SUM(K140:K145)</f>
        <v>72.182203999999999</v>
      </c>
      <c r="L146" s="106">
        <f t="shared" ref="L146:Q146" si="72">SUM(L140:L145)</f>
        <v>71.028421000000009</v>
      </c>
      <c r="M146" s="107">
        <f t="shared" si="72"/>
        <v>143.21062499999999</v>
      </c>
      <c r="N146" s="114">
        <f t="shared" si="72"/>
        <v>62.32270299999999</v>
      </c>
      <c r="O146" s="115">
        <f t="shared" si="72"/>
        <v>61.709592999999998</v>
      </c>
      <c r="P146" s="107">
        <f t="shared" si="72"/>
        <v>124.03229599999999</v>
      </c>
      <c r="Q146" s="105">
        <f t="shared" si="72"/>
        <v>-19.178328999999991</v>
      </c>
      <c r="R146" s="449">
        <f t="shared" si="52"/>
        <v>-0.13391694226598055</v>
      </c>
      <c r="S146" s="454">
        <f t="shared" si="64"/>
        <v>8.3443461620740199E-3</v>
      </c>
      <c r="T146" s="454">
        <f t="shared" si="47"/>
        <v>0.97997518653632099</v>
      </c>
    </row>
    <row r="147" spans="1:22" ht="25.5" hidden="1" outlineLevel="1">
      <c r="A147" s="79" t="s">
        <v>1433</v>
      </c>
      <c r="B147" s="86">
        <f>(INDEX(Data!91:91,1,$U$1-2)+INDEX(Data!435:435,1,$U$1-2)-INDEX(Data!1312:1312,1,$U$1-2))/1000000</f>
        <v>188.64033000000001</v>
      </c>
      <c r="C147" s="87">
        <f>(INDEX(Data!91:91,1,$U$1-1)+INDEX(Data!435:435,1,$U$1-1)-INDEX(Data!1312:1312,1,$U$1-1))/1000000</f>
        <v>189.41916599999999</v>
      </c>
      <c r="D147" s="88">
        <f t="shared" ref="D147:D159" si="73">B147+C147</f>
        <v>378.05949599999997</v>
      </c>
      <c r="E147" s="89">
        <f>(INDEX(Data!91:91,1,$U$1)+INDEX(Data!435:435,1,$U$1)-INDEX(Data!1312:1312,1,$U$1))/1000000</f>
        <v>197.52740399999999</v>
      </c>
      <c r="F147" s="90">
        <f>(INDEX(Data!91:91,1,$U$1+1)+INDEX(Data!435:435,1,$U$1+1)-INDEX(Data!1312:1312,1,$U$1+1))/1000000</f>
        <v>197.52810400000001</v>
      </c>
      <c r="G147" s="88">
        <f t="shared" ref="G147:G159" si="74">E147+F147</f>
        <v>395.05550800000003</v>
      </c>
      <c r="H147" s="86">
        <f t="shared" si="49"/>
        <v>16.996012000000064</v>
      </c>
      <c r="I147" s="447">
        <f t="shared" si="50"/>
        <v>4.4955918790094522E-2</v>
      </c>
      <c r="J147" s="453">
        <f t="shared" si="63"/>
        <v>1.6431420513681391E-2</v>
      </c>
      <c r="K147" s="91">
        <f>(INDEX(Data!190:190,1,$U$1-2)+INDEX(Data!435:435,1,$U$1-2)-INDEX(Data!1469:1469,1,$U$1-2))/1000000</f>
        <v>175.65078199999999</v>
      </c>
      <c r="L147" s="87">
        <f>(INDEX(Data!190:190,1,$U$1-1)+INDEX(Data!435:435,1,$U$1-1)-INDEX(Data!1469:1469,1,$U$1-1))/1000000</f>
        <v>176.42961700000001</v>
      </c>
      <c r="M147" s="88">
        <f t="shared" ref="M147:M159" si="75">K147+L147</f>
        <v>352.080399</v>
      </c>
      <c r="N147" s="89">
        <f>(INDEX(Data!190:190,1,$U$1)+INDEX(Data!435:435,1,$U$1)-INDEX(Data!1469:1469,1,$U$1))/1000000</f>
        <v>183.74927</v>
      </c>
      <c r="O147" s="90">
        <f>(INDEX(Data!190:190,1,$U$1+1)+INDEX(Data!435:435,1,$U$1+1)-INDEX(Data!1469:1469,1,$U$1+1))/1000000</f>
        <v>183.74996999999999</v>
      </c>
      <c r="P147" s="88">
        <f t="shared" ref="P147:P159" si="76">N147+O147</f>
        <v>367.49923999999999</v>
      </c>
      <c r="Q147" s="86">
        <f t="shared" si="51"/>
        <v>15.418840999999986</v>
      </c>
      <c r="R147" s="447">
        <f t="shared" si="52"/>
        <v>4.3793522853852442E-2</v>
      </c>
      <c r="S147" s="453">
        <f t="shared" si="64"/>
        <v>2.472372899441545E-2</v>
      </c>
      <c r="T147" s="453">
        <f t="shared" si="47"/>
        <v>0.93024709833940589</v>
      </c>
    </row>
    <row r="148" spans="1:22" ht="25.5" hidden="1" outlineLevel="1">
      <c r="A148" s="79" t="s">
        <v>1434</v>
      </c>
      <c r="B148" s="86">
        <f>(INDEX(Data!92:92,1,$U$1-2)+INDEX(Data!436:436,1,$U$1-2)-INDEX(Data!1313:1313,1,$U$1-2))/1000000</f>
        <v>334.58323899999999</v>
      </c>
      <c r="C148" s="87">
        <f>(INDEX(Data!92:92,1,$U$1-1)+INDEX(Data!436:436,1,$U$1-1)-INDEX(Data!1313:1313,1,$U$1-1))/1000000</f>
        <v>337.20025199999998</v>
      </c>
      <c r="D148" s="88">
        <f t="shared" si="73"/>
        <v>671.78349099999991</v>
      </c>
      <c r="E148" s="89">
        <f>(INDEX(Data!92:92,1,$U$1)+INDEX(Data!436:436,1,$U$1)-INDEX(Data!1313:1313,1,$U$1))/1000000</f>
        <v>342.78456</v>
      </c>
      <c r="F148" s="90">
        <f>(INDEX(Data!92:92,1,$U$1+1)+INDEX(Data!436:436,1,$U$1+1)-INDEX(Data!1313:1313,1,$U$1+1))/1000000</f>
        <v>342.78405800000002</v>
      </c>
      <c r="G148" s="88">
        <f t="shared" si="74"/>
        <v>685.56861800000001</v>
      </c>
      <c r="H148" s="86">
        <f t="shared" si="49"/>
        <v>13.785127000000102</v>
      </c>
      <c r="I148" s="447">
        <f t="shared" si="50"/>
        <v>2.0520193164437414E-2</v>
      </c>
      <c r="J148" s="453">
        <f t="shared" si="63"/>
        <v>2.8514641677496625E-2</v>
      </c>
      <c r="K148" s="91">
        <f>(INDEX(Data!191:191,1,$U$1-2)+INDEX(Data!436:436,1,$U$1-2)-INDEX(Data!1470:1470,1,$U$1-2))/1000000</f>
        <v>317.23777000000001</v>
      </c>
      <c r="L148" s="87">
        <f>(INDEX(Data!191:191,1,$U$1-1)+INDEX(Data!436:436,1,$U$1-1)-INDEX(Data!1470:1470,1,$U$1-1))/1000000</f>
        <v>319.85478599999999</v>
      </c>
      <c r="M148" s="88">
        <f t="shared" si="75"/>
        <v>637.09255600000006</v>
      </c>
      <c r="N148" s="89">
        <f>(INDEX(Data!191:191,1,$U$1)+INDEX(Data!436:436,1,$U$1)-INDEX(Data!1470:1470,1,$U$1))/1000000</f>
        <v>325.55437999999998</v>
      </c>
      <c r="O148" s="90">
        <f>(INDEX(Data!191:191,1,$U$1+1)+INDEX(Data!436:436,1,$U$1+1)-INDEX(Data!1470:1470,1,$U$1+1))/1000000</f>
        <v>325.55387999999999</v>
      </c>
      <c r="P148" s="88">
        <f t="shared" si="76"/>
        <v>651.10825999999997</v>
      </c>
      <c r="Q148" s="86">
        <f t="shared" si="51"/>
        <v>14.015703999999914</v>
      </c>
      <c r="R148" s="447">
        <f t="shared" si="52"/>
        <v>2.1999478518471203E-2</v>
      </c>
      <c r="S148" s="453">
        <f t="shared" si="64"/>
        <v>4.3803693760741912E-2</v>
      </c>
      <c r="T148" s="453">
        <f t="shared" si="47"/>
        <v>0.94973463327342666</v>
      </c>
    </row>
    <row r="149" spans="1:22" ht="25.5" hidden="1" outlineLevel="1">
      <c r="A149" s="79" t="s">
        <v>1435</v>
      </c>
      <c r="B149" s="86">
        <f>(INDEX(Data!93:93,1,$U$1-2)+INDEX(Data!437:437,1,$U$1-2)-INDEX(Data!1314:1314,1,$U$1-2))/1000000</f>
        <v>222.357597</v>
      </c>
      <c r="C149" s="87">
        <f>(INDEX(Data!93:93,1,$U$1-1)+INDEX(Data!437:437,1,$U$1-1)-INDEX(Data!1314:1314,1,$U$1-1))/1000000</f>
        <v>223.480324</v>
      </c>
      <c r="D149" s="88">
        <f t="shared" si="73"/>
        <v>445.83792099999999</v>
      </c>
      <c r="E149" s="89">
        <f>(INDEX(Data!93:93,1,$U$1)+INDEX(Data!437:437,1,$U$1)-INDEX(Data!1314:1314,1,$U$1))/1000000</f>
        <v>241.839519</v>
      </c>
      <c r="F149" s="90">
        <f>(INDEX(Data!93:93,1,$U$1+1)+INDEX(Data!437:437,1,$U$1+1)-INDEX(Data!1314:1314,1,$U$1+1))/1000000</f>
        <v>241.83921799999999</v>
      </c>
      <c r="G149" s="88">
        <f t="shared" si="74"/>
        <v>483.67873699999996</v>
      </c>
      <c r="H149" s="86">
        <f t="shared" si="49"/>
        <v>37.840815999999961</v>
      </c>
      <c r="I149" s="447">
        <f t="shared" si="50"/>
        <v>8.4875723256389313E-2</v>
      </c>
      <c r="J149" s="453">
        <f t="shared" si="63"/>
        <v>2.0117498833033119E-2</v>
      </c>
      <c r="K149" s="91">
        <f>(INDEX(Data!192:192,1,$U$1-2)+INDEX(Data!437:437,1,$U$1-2)-INDEX(Data!1471:1471,1,$U$1-2))/1000000</f>
        <v>194.84919300000001</v>
      </c>
      <c r="L149" s="87">
        <f>(INDEX(Data!192:192,1,$U$1-1)+INDEX(Data!437:437,1,$U$1-1)-INDEX(Data!1471:1471,1,$U$1-1))/1000000</f>
        <v>195.97192100000001</v>
      </c>
      <c r="M149" s="88">
        <f t="shared" si="75"/>
        <v>390.82111400000002</v>
      </c>
      <c r="N149" s="89">
        <f>(INDEX(Data!192:192,1,$U$1)+INDEX(Data!437:437,1,$U$1)-INDEX(Data!1471:1471,1,$U$1))/1000000</f>
        <v>212.59087600000001</v>
      </c>
      <c r="O149" s="90">
        <f>(INDEX(Data!192:192,1,$U$1+1)+INDEX(Data!437:437,1,$U$1+1)-INDEX(Data!1471:1471,1,$U$1+1))/1000000</f>
        <v>212.590575</v>
      </c>
      <c r="P149" s="88">
        <f t="shared" si="76"/>
        <v>425.18145100000004</v>
      </c>
      <c r="Q149" s="86">
        <f t="shared" si="51"/>
        <v>34.360337000000015</v>
      </c>
      <c r="R149" s="447">
        <f t="shared" si="52"/>
        <v>8.7918323164085793E-2</v>
      </c>
      <c r="S149" s="453">
        <f t="shared" si="64"/>
        <v>2.8604333897333592E-2</v>
      </c>
      <c r="T149" s="453">
        <f t="shared" si="47"/>
        <v>0.87905756130023982</v>
      </c>
    </row>
    <row r="150" spans="1:22" ht="25.5" hidden="1" outlineLevel="1">
      <c r="A150" s="79" t="s">
        <v>1436</v>
      </c>
      <c r="B150" s="86">
        <f>(INDEX(Data!94:94,1,$U$1-2)+INDEX(Data!438:438,1,$U$1-2)-INDEX(Data!1315:1315,1,$U$1-2))/1000000</f>
        <v>179.62018599999999</v>
      </c>
      <c r="C150" s="87">
        <f>(INDEX(Data!94:94,1,$U$1-1)+INDEX(Data!438:438,1,$U$1-1)-INDEX(Data!1315:1315,1,$U$1-1))/1000000</f>
        <v>180.56483700000001</v>
      </c>
      <c r="D150" s="88">
        <f t="shared" si="73"/>
        <v>360.185023</v>
      </c>
      <c r="E150" s="89">
        <f>(INDEX(Data!94:94,1,$U$1)+INDEX(Data!438:438,1,$U$1)-INDEX(Data!1315:1315,1,$U$1))/1000000</f>
        <v>194.25285700000001</v>
      </c>
      <c r="F150" s="90">
        <f>(INDEX(Data!94:94,1,$U$1+1)+INDEX(Data!438:438,1,$U$1+1)-INDEX(Data!1315:1315,1,$U$1+1))/1000000</f>
        <v>194.253094</v>
      </c>
      <c r="G150" s="88">
        <f t="shared" si="74"/>
        <v>388.50595099999998</v>
      </c>
      <c r="H150" s="86">
        <f t="shared" si="49"/>
        <v>28.320927999999981</v>
      </c>
      <c r="I150" s="447">
        <f t="shared" si="50"/>
        <v>7.8628832937342824E-2</v>
      </c>
      <c r="J150" s="453">
        <f t="shared" si="63"/>
        <v>1.6159006832398595E-2</v>
      </c>
      <c r="K150" s="91">
        <f>(INDEX(Data!193:193,1,$U$1-2)+INDEX(Data!438:438,1,$U$1-2)-INDEX(Data!1472:1472,1,$U$1-2))/1000000</f>
        <v>154.62013200000001</v>
      </c>
      <c r="L150" s="87">
        <f>(INDEX(Data!193:193,1,$U$1-1)+INDEX(Data!438:438,1,$U$1-1)-INDEX(Data!1472:1472,1,$U$1-1))/1000000</f>
        <v>155.56478300000001</v>
      </c>
      <c r="M150" s="88">
        <f t="shared" si="75"/>
        <v>310.18491500000005</v>
      </c>
      <c r="N150" s="89">
        <f>(INDEX(Data!193:193,1,$U$1)+INDEX(Data!438:438,1,$U$1)-INDEX(Data!1472:1472,1,$U$1))/1000000</f>
        <v>168.399754</v>
      </c>
      <c r="O150" s="90">
        <f>(INDEX(Data!193:193,1,$U$1+1)+INDEX(Data!438:438,1,$U$1+1)-INDEX(Data!1472:1472,1,$U$1+1))/1000000</f>
        <v>168.399991</v>
      </c>
      <c r="P150" s="88">
        <f t="shared" si="76"/>
        <v>336.79974500000003</v>
      </c>
      <c r="Q150" s="86">
        <f t="shared" si="51"/>
        <v>26.614829999999984</v>
      </c>
      <c r="R150" s="447">
        <f t="shared" si="52"/>
        <v>8.5803108768200353E-2</v>
      </c>
      <c r="S150" s="453">
        <f t="shared" si="64"/>
        <v>2.2658402288854341E-2</v>
      </c>
      <c r="T150" s="453">
        <f t="shared" si="47"/>
        <v>0.86691013131997052</v>
      </c>
    </row>
    <row r="151" spans="1:22" ht="25.5" hidden="1" outlineLevel="1">
      <c r="A151" s="79" t="s">
        <v>1437</v>
      </c>
      <c r="B151" s="86">
        <f>(INDEX(Data!96:96,1,$U$1-2)+INDEX(Data!439:439,1,$U$1-2)-INDEX(Data!1317:1317,1,$U$1-2))/1000000</f>
        <v>210.068816</v>
      </c>
      <c r="C151" s="87">
        <f>(INDEX(Data!96:96,1,$U$1-1)+INDEX(Data!439:439,1,$U$1-1)-INDEX(Data!1317:1317,1,$U$1-1))/1000000</f>
        <v>210.41835800000001</v>
      </c>
      <c r="D151" s="88">
        <f t="shared" si="73"/>
        <v>420.48717399999998</v>
      </c>
      <c r="E151" s="89">
        <f>(INDEX(Data!96:96,1,$U$1)+INDEX(Data!439:439,1,$U$1)-INDEX(Data!1317:1317,1,$U$1))/1000000</f>
        <v>218.78237999999999</v>
      </c>
      <c r="F151" s="90">
        <f>(INDEX(Data!96:96,1,$U$1+1)+INDEX(Data!439:439,1,$U$1+1)-INDEX(Data!1317:1317,1,$U$1+1))/1000000</f>
        <v>218.78273100000001</v>
      </c>
      <c r="G151" s="88">
        <f t="shared" si="74"/>
        <v>437.565111</v>
      </c>
      <c r="H151" s="86">
        <f t="shared" si="49"/>
        <v>17.07793700000002</v>
      </c>
      <c r="I151" s="447">
        <f t="shared" si="50"/>
        <v>4.0614644288769722E-2</v>
      </c>
      <c r="J151" s="453">
        <f t="shared" si="63"/>
        <v>1.81995091711433E-2</v>
      </c>
      <c r="K151" s="91">
        <f>(INDEX(Data!195:195,1,$U$1-2)+INDEX(Data!439:439,1,$U$1-2)-INDEX(Data!1474:1474,1,$U$1-2))/1000000</f>
        <v>200.50816399999999</v>
      </c>
      <c r="L151" s="87">
        <f>(INDEX(Data!195:195,1,$U$1-1)+INDEX(Data!439:439,1,$U$1-1)-INDEX(Data!1474:1474,1,$U$1-1))/1000000</f>
        <v>200.85770600000001</v>
      </c>
      <c r="M151" s="88">
        <f t="shared" si="75"/>
        <v>401.36586999999997</v>
      </c>
      <c r="N151" s="89">
        <f>(INDEX(Data!195:195,1,$U$1)+INDEX(Data!439:439,1,$U$1)-INDEX(Data!1474:1474,1,$U$1))/1000000</f>
        <v>209.10231300000001</v>
      </c>
      <c r="O151" s="90">
        <f>(INDEX(Data!195:195,1,$U$1+1)+INDEX(Data!439:439,1,$U$1+1)-INDEX(Data!1474:1474,1,$U$1+1))/1000000</f>
        <v>209.102664</v>
      </c>
      <c r="P151" s="88">
        <f t="shared" si="76"/>
        <v>418.20497699999999</v>
      </c>
      <c r="Q151" s="86">
        <f t="shared" si="51"/>
        <v>16.839107000000013</v>
      </c>
      <c r="R151" s="447">
        <f t="shared" si="52"/>
        <v>4.1954506495532402E-2</v>
      </c>
      <c r="S151" s="453">
        <f t="shared" si="64"/>
        <v>2.8134987477698586E-2</v>
      </c>
      <c r="T151" s="453">
        <f t="shared" si="47"/>
        <v>0.95575484993363646</v>
      </c>
    </row>
    <row r="152" spans="1:22" ht="14.25" hidden="1" customHeight="1" outlineLevel="1">
      <c r="A152" s="79" t="s">
        <v>1438</v>
      </c>
      <c r="B152" s="86">
        <f>(INDEX(Data!97:97,1,$U$1-2)+INDEX(Data!440:440,1,$U$1-2)-INDEX(Data!1318:1318,1,$U$1-2))/1000000</f>
        <v>50.823296999999997</v>
      </c>
      <c r="C152" s="87">
        <f>(INDEX(Data!97:97,1,$U$1-1)+INDEX(Data!440:440,1,$U$1-1)-INDEX(Data!1318:1318,1,$U$1-1))/1000000</f>
        <v>51.025067</v>
      </c>
      <c r="D152" s="88">
        <f t="shared" si="73"/>
        <v>101.848364</v>
      </c>
      <c r="E152" s="89">
        <f>(INDEX(Data!97:97,1,$U$1)+INDEX(Data!440:440,1,$U$1)-INDEX(Data!1318:1318,1,$U$1))/1000000</f>
        <v>56.488891000000002</v>
      </c>
      <c r="F152" s="90">
        <f>(INDEX(Data!97:97,1,$U$1+1)+INDEX(Data!440:440,1,$U$1+1)-INDEX(Data!1318:1318,1,$U$1+1))/1000000</f>
        <v>56.488691000000003</v>
      </c>
      <c r="G152" s="88">
        <f t="shared" si="74"/>
        <v>112.97758200000001</v>
      </c>
      <c r="H152" s="86">
        <f t="shared" si="49"/>
        <v>11.129218000000009</v>
      </c>
      <c r="I152" s="447">
        <f t="shared" si="50"/>
        <v>0.10927242778293433</v>
      </c>
      <c r="J152" s="453">
        <f t="shared" si="63"/>
        <v>4.6990413267720384E-3</v>
      </c>
      <c r="K152" s="91">
        <f>(INDEX(Data!196:196,1,$U$1-2)+INDEX(Data!440:440,1,$U$1-2)-INDEX(Data!1475:1475,1,$U$1-2))/1000000</f>
        <v>47.460034</v>
      </c>
      <c r="L152" s="87">
        <f>(INDEX(Data!196:196,1,$U$1-1)+INDEX(Data!440:440,1,$U$1-1)-INDEX(Data!1475:1475,1,$U$1-1))/1000000</f>
        <v>47.661803999999997</v>
      </c>
      <c r="M152" s="88">
        <f t="shared" si="75"/>
        <v>95.121837999999997</v>
      </c>
      <c r="N152" s="89">
        <f>(INDEX(Data!196:196,1,$U$1)+INDEX(Data!440:440,1,$U$1)-INDEX(Data!1475:1475,1,$U$1))/1000000</f>
        <v>53.016168</v>
      </c>
      <c r="O152" s="90">
        <f>(INDEX(Data!196:196,1,$U$1+1)+INDEX(Data!440:440,1,$U$1+1)-INDEX(Data!1475:1475,1,$U$1+1))/1000000</f>
        <v>53.015968000000001</v>
      </c>
      <c r="P152" s="88">
        <f t="shared" si="76"/>
        <v>106.03213600000001</v>
      </c>
      <c r="Q152" s="86">
        <f t="shared" si="51"/>
        <v>10.910298000000012</v>
      </c>
      <c r="R152" s="447">
        <f t="shared" si="52"/>
        <v>0.11469814113558247</v>
      </c>
      <c r="S152" s="453">
        <f t="shared" si="64"/>
        <v>7.1333747388511674E-3</v>
      </c>
      <c r="T152" s="453">
        <f t="shared" si="47"/>
        <v>0.93852367985712415</v>
      </c>
    </row>
    <row r="153" spans="1:22" ht="25.5" hidden="1" outlineLevel="1">
      <c r="A153" s="79" t="s">
        <v>1439</v>
      </c>
      <c r="B153" s="86">
        <f>(INDEX(Data!98:98,1,$U$1-2)+INDEX(Data!444:444,1,$U$1-2)-INDEX(Data!1319:1319,1,$U$1-2))/1000000</f>
        <v>170.813794</v>
      </c>
      <c r="C153" s="87">
        <f>(INDEX(Data!98:98,1,$U$1-1)+INDEX(Data!444:444,1,$U$1-1)-INDEX(Data!1319:1319,1,$U$1-1))/1000000</f>
        <v>171.22069999999999</v>
      </c>
      <c r="D153" s="88">
        <f t="shared" si="73"/>
        <v>342.034494</v>
      </c>
      <c r="E153" s="89">
        <f>(INDEX(Data!98:98,1,$U$1)+INDEX(Data!444:444,1,$U$1)-INDEX(Data!1319:1319,1,$U$1))/1000000</f>
        <v>173.69824199999999</v>
      </c>
      <c r="F153" s="90">
        <f>(INDEX(Data!98:98,1,$U$1+1)+INDEX(Data!444:444,1,$U$1+1)-INDEX(Data!1319:1319,1,$U$1+1))/1000000</f>
        <v>173.70263399999999</v>
      </c>
      <c r="G153" s="88">
        <f t="shared" si="74"/>
        <v>347.40087599999998</v>
      </c>
      <c r="H153" s="86">
        <f t="shared" si="49"/>
        <v>5.3663819999999873</v>
      </c>
      <c r="I153" s="447">
        <f t="shared" si="50"/>
        <v>1.5689592991752425E-2</v>
      </c>
      <c r="J153" s="453">
        <f t="shared" si="63"/>
        <v>1.4449336269923074E-2</v>
      </c>
      <c r="K153" s="91">
        <f>(INDEX(Data!197:197,1,$U$1-2)+INDEX(Data!444:444,1,$U$1-2)-INDEX(Data!1476:1476,1,$U$1-2))/1000000</f>
        <v>151.74777599999999</v>
      </c>
      <c r="L153" s="87">
        <f>(INDEX(Data!197:197,1,$U$1-1)+INDEX(Data!444:444,1,$U$1-1)-INDEX(Data!1476:1476,1,$U$1-1))/1000000</f>
        <v>152.15468100000001</v>
      </c>
      <c r="M153" s="88">
        <f t="shared" si="75"/>
        <v>303.90245700000003</v>
      </c>
      <c r="N153" s="89">
        <f>(INDEX(Data!197:197,1,$U$1)+INDEX(Data!444:444,1,$U$1)-INDEX(Data!1476:1476,1,$U$1))/1000000</f>
        <v>154.168421</v>
      </c>
      <c r="O153" s="90">
        <f>(INDEX(Data!197:197,1,$U$1+1)+INDEX(Data!444:444,1,$U$1+1)-INDEX(Data!1476:1476,1,$U$1+1))/1000000</f>
        <v>154.17281299999999</v>
      </c>
      <c r="P153" s="88">
        <f t="shared" si="76"/>
        <v>308.34123399999999</v>
      </c>
      <c r="Q153" s="86">
        <f t="shared" si="51"/>
        <v>4.4387769999999591</v>
      </c>
      <c r="R153" s="447">
        <f t="shared" si="52"/>
        <v>1.4605926664159739E-2</v>
      </c>
      <c r="S153" s="453">
        <f t="shared" si="64"/>
        <v>2.0743839108945204E-2</v>
      </c>
      <c r="T153" s="453">
        <f t="shared" si="47"/>
        <v>0.88756608086388356</v>
      </c>
    </row>
    <row r="154" spans="1:22" ht="25.5" hidden="1" outlineLevel="1">
      <c r="A154" s="79" t="s">
        <v>1440</v>
      </c>
      <c r="B154" s="86">
        <f>(INDEX(Data!99:99,1,$U$1-2)+INDEX(Data!483:483,1,$U$1-2)-INDEX(Data!1320:1320,1,$U$1-2))/1000000</f>
        <v>108.70016699999999</v>
      </c>
      <c r="C154" s="87">
        <f>(INDEX(Data!99:99,1,$U$1-1)+INDEX(Data!483:483,1,$U$1-1)-INDEX(Data!1320:1320,1,$U$1-1))/1000000</f>
        <v>108.751333</v>
      </c>
      <c r="D154" s="88">
        <f t="shared" si="73"/>
        <v>217.45150000000001</v>
      </c>
      <c r="E154" s="89">
        <f>(INDEX(Data!99:99,1,$U$1)+INDEX(Data!483:483,1,$U$1)-INDEX(Data!1320:1320,1,$U$1))/1000000</f>
        <v>113.36847</v>
      </c>
      <c r="F154" s="90">
        <f>(INDEX(Data!99:99,1,$U$1+1)+INDEX(Data!483:483,1,$U$1+1)-INDEX(Data!1320:1320,1,$U$1+1))/1000000</f>
        <v>113.083842</v>
      </c>
      <c r="G154" s="88">
        <f t="shared" si="74"/>
        <v>226.45231200000001</v>
      </c>
      <c r="H154" s="86">
        <f t="shared" si="49"/>
        <v>9.0008119999999963</v>
      </c>
      <c r="I154" s="447">
        <f t="shared" si="50"/>
        <v>4.1392273679418147E-2</v>
      </c>
      <c r="J154" s="453">
        <f t="shared" si="63"/>
        <v>9.4187603752315698E-3</v>
      </c>
      <c r="K154" s="91">
        <f>(INDEX(Data!198:198,1,$U$1-2)+INDEX(Data!483:483,1,$U$1-2)-INDEX(Data!1477:1477,1,$U$1-2))/1000000</f>
        <v>95.108163000000005</v>
      </c>
      <c r="L154" s="87">
        <f>(INDEX(Data!198:198,1,$U$1-1)+INDEX(Data!483:483,1,$U$1-1)-INDEX(Data!1477:1477,1,$U$1-1))/1000000</f>
        <v>95.159328000000002</v>
      </c>
      <c r="M154" s="88">
        <f t="shared" si="75"/>
        <v>190.26749100000001</v>
      </c>
      <c r="N154" s="89">
        <f>(INDEX(Data!198:198,1,$U$1)+INDEX(Data!483:483,1,$U$1)-INDEX(Data!1477:1477,1,$U$1))/1000000</f>
        <v>102.402794</v>
      </c>
      <c r="O154" s="90">
        <f>(INDEX(Data!198:198,1,$U$1+1)+INDEX(Data!483:483,1,$U$1+1)-INDEX(Data!1477:1477,1,$U$1+1))/1000000</f>
        <v>102.118166</v>
      </c>
      <c r="P154" s="88">
        <f t="shared" si="76"/>
        <v>204.52096</v>
      </c>
      <c r="Q154" s="86">
        <f t="shared" si="51"/>
        <v>14.253468999999996</v>
      </c>
      <c r="R154" s="447">
        <f t="shared" si="52"/>
        <v>7.4912792117493132E-2</v>
      </c>
      <c r="S154" s="453">
        <f t="shared" si="64"/>
        <v>1.3759268695950726E-2</v>
      </c>
      <c r="T154" s="453">
        <f t="shared" si="47"/>
        <v>0.90315244827352437</v>
      </c>
    </row>
    <row r="155" spans="1:22" ht="25.5" hidden="1" outlineLevel="1">
      <c r="A155" s="79" t="s">
        <v>942</v>
      </c>
      <c r="B155" s="86">
        <f>(INDEX(Data!100:100,1,$U$1-2)+INDEX(Data!487:487,1,$U$1-2)-INDEX(Data!1321:1321,1,$U$1-2))/1000000</f>
        <v>164.75058100000001</v>
      </c>
      <c r="C155" s="87">
        <f>(INDEX(Data!100:100,1,$U$1-1)+INDEX(Data!487:487,1,$U$1-1)-INDEX(Data!1321:1321,1,$U$1-1))/1000000</f>
        <v>165.63261199999999</v>
      </c>
      <c r="D155" s="88">
        <f t="shared" si="73"/>
        <v>330.38319300000001</v>
      </c>
      <c r="E155" s="89">
        <f>(INDEX(Data!100:100,1,$U$1)+INDEX(Data!487:487,1,$U$1)-INDEX(Data!1321:1321,1,$U$1))/1000000</f>
        <v>186.22988799999999</v>
      </c>
      <c r="F155" s="90">
        <f>(INDEX(Data!100:100,1,$U$1+1)+INDEX(Data!487:487,1,$U$1+1)-INDEX(Data!1321:1321,1,$U$1+1))/1000000</f>
        <v>186.21320900000001</v>
      </c>
      <c r="G155" s="88">
        <f t="shared" si="74"/>
        <v>372.44309699999997</v>
      </c>
      <c r="H155" s="86">
        <f t="shared" si="49"/>
        <v>42.05990399999996</v>
      </c>
      <c r="I155" s="447">
        <f t="shared" si="50"/>
        <v>0.12730642747919674</v>
      </c>
      <c r="J155" s="453">
        <f t="shared" si="63"/>
        <v>1.5490909556499153E-2</v>
      </c>
      <c r="K155" s="91">
        <f>(INDEX(Data!199:199,1,$U$1-2)+INDEX(Data!487:487,1,$U$1-2)-INDEX(Data!1478:1478,1,$U$1-2))/1000000</f>
        <v>147.39225999999999</v>
      </c>
      <c r="L155" s="87">
        <f>(INDEX(Data!199:199,1,$U$1-1)+INDEX(Data!487:487,1,$U$1-1)-INDEX(Data!1478:1478,1,$U$1-1))/1000000</f>
        <v>148.27429100000001</v>
      </c>
      <c r="M155" s="88">
        <f t="shared" si="75"/>
        <v>295.66655100000003</v>
      </c>
      <c r="N155" s="89">
        <f>(INDEX(Data!199:199,1,$U$1)+INDEX(Data!487:487,1,$U$1)-INDEX(Data!1478:1478,1,$U$1))/1000000</f>
        <v>167.335498</v>
      </c>
      <c r="O155" s="90">
        <f>(INDEX(Data!199:199,1,$U$1+1)+INDEX(Data!487:487,1,$U$1+1)-INDEX(Data!1478:1478,1,$U$1+1))/1000000</f>
        <v>167.31881899999999</v>
      </c>
      <c r="P155" s="88">
        <f t="shared" si="76"/>
        <v>334.65431699999999</v>
      </c>
      <c r="Q155" s="86">
        <f t="shared" si="51"/>
        <v>38.987765999999965</v>
      </c>
      <c r="R155" s="447">
        <f t="shared" si="52"/>
        <v>0.13186397266831837</v>
      </c>
      <c r="S155" s="453">
        <f t="shared" si="64"/>
        <v>2.2514067349688124E-2</v>
      </c>
      <c r="T155" s="453">
        <f t="shared" si="47"/>
        <v>0.89853811144739792</v>
      </c>
    </row>
    <row r="156" spans="1:22" ht="25.5" hidden="1" outlineLevel="1">
      <c r="A156" s="79" t="s">
        <v>1556</v>
      </c>
      <c r="B156" s="86">
        <f>(INDEX(Data!101:101,1,$U$1-2)+INDEX(Data!488:488,1,$U$1-2)-INDEX(Data!1322:1322,1,$U$1-2))/1000000</f>
        <v>75.846118000000004</v>
      </c>
      <c r="C156" s="87">
        <f>(INDEX(Data!101:101,1,$U$1-1)+INDEX(Data!488:488,1,$U$1-1)-INDEX(Data!1322:1322,1,$U$1-1))/1000000</f>
        <v>76.000963999999996</v>
      </c>
      <c r="D156" s="88">
        <f t="shared" ref="D156" si="77">B156+C156</f>
        <v>151.847082</v>
      </c>
      <c r="E156" s="89">
        <f>(INDEX(Data!101:101,1,$U$1)+INDEX(Data!488:488,1,$U$1)-INDEX(Data!1322:1322,1,$U$1))/1000000</f>
        <v>81.037082999999996</v>
      </c>
      <c r="F156" s="90">
        <f>(INDEX(Data!101:101,1,$U$1+1)+INDEX(Data!488:488,1,$U$1+1)-INDEX(Data!1322:1322,1,$U$1+1))/1000000</f>
        <v>81.021474999999995</v>
      </c>
      <c r="G156" s="88">
        <f t="shared" ref="G156" si="78">E156+F156</f>
        <v>162.058558</v>
      </c>
      <c r="H156" s="86">
        <f t="shared" ref="H156" si="79">G156-D156</f>
        <v>10.211476000000005</v>
      </c>
      <c r="I156" s="447">
        <f t="shared" ref="I156" si="80">IFERROR(H156/D156,"")</f>
        <v>6.7248417720664561E-2</v>
      </c>
      <c r="J156" s="453">
        <f t="shared" si="63"/>
        <v>6.7404510515996288E-3</v>
      </c>
      <c r="K156" s="91">
        <f>(INDEX(Data!200:200,1,$U$1-2)+INDEX(Data!488:488,1,$U$1-2)-INDEX(Data!1479:1479,1,$U$1-2))/1000000</f>
        <v>70.214532000000005</v>
      </c>
      <c r="L156" s="87">
        <f>(INDEX(Data!200:200,1,$U$1-1)+INDEX(Data!488:488,1,$U$1-1)-INDEX(Data!1479:1479,1,$U$1-1))/1000000</f>
        <v>70.369377999999998</v>
      </c>
      <c r="M156" s="88">
        <f t="shared" ref="M156" si="81">K156+L156</f>
        <v>140.58391</v>
      </c>
      <c r="N156" s="89">
        <f>(INDEX(Data!200:200,1,$U$1)+INDEX(Data!488:488,1,$U$1)-INDEX(Data!1479:1479,1,$U$1))/1000000</f>
        <v>75.244916000000003</v>
      </c>
      <c r="O156" s="90">
        <f>(INDEX(Data!200:200,1,$U$1+1)+INDEX(Data!488:488,1,$U$1+1)-INDEX(Data!1479:1479,1,$U$1+1))/1000000</f>
        <v>75.229308000000003</v>
      </c>
      <c r="P156" s="88">
        <f t="shared" ref="P156" si="82">N156+O156</f>
        <v>150.47422399999999</v>
      </c>
      <c r="Q156" s="86">
        <f t="shared" ref="Q156" si="83">P156-M156</f>
        <v>9.8903139999999894</v>
      </c>
      <c r="R156" s="447">
        <f t="shared" ref="R156" si="84">IFERROR(Q156/M156,"")</f>
        <v>7.0351678225481065E-2</v>
      </c>
      <c r="S156" s="453">
        <f t="shared" si="64"/>
        <v>1.0123242526490573E-2</v>
      </c>
      <c r="T156" s="453">
        <f t="shared" ref="T156" si="85">IFERROR(P156/G156,"")</f>
        <v>0.92851760411196538</v>
      </c>
    </row>
    <row r="157" spans="1:22" s="1044" customFormat="1" ht="25.5" hidden="1" outlineLevel="1">
      <c r="A157" s="79" t="s">
        <v>1843</v>
      </c>
      <c r="B157" s="86">
        <f>(INDEX(Data!102:102,1,$U$1-2)-INDEX(Data!1323:1323,1,$U$1-2))/1000000</f>
        <v>6.0713429999999997</v>
      </c>
      <c r="C157" s="87">
        <f>(INDEX(Data!102:102,1,$U$1-1)-INDEX(Data!1323:1323,1,$U$1-1))/1000000</f>
        <v>6.0713429999999997</v>
      </c>
      <c r="D157" s="88">
        <f t="shared" ref="D157:D158" si="86">B157+C157</f>
        <v>12.142685999999999</v>
      </c>
      <c r="E157" s="89">
        <f>(INDEX(Data!102:102,1,$U$1)-INDEX(Data!1323:1323,1,$U$1))/1000000</f>
        <v>12.283896</v>
      </c>
      <c r="F157" s="90">
        <f>(INDEX(Data!102:102,1,$U$1+1)-INDEX(Data!1323:1323,1,$U$1+1))/1000000</f>
        <v>12.283896</v>
      </c>
      <c r="G157" s="88">
        <f t="shared" ref="G157:G158" si="87">E157+F157</f>
        <v>24.567792000000001</v>
      </c>
      <c r="H157" s="86">
        <f t="shared" ref="H157:H158" si="88">G157-D157</f>
        <v>12.425106000000001</v>
      </c>
      <c r="I157" s="447">
        <f t="shared" ref="I157:I158" si="89">IFERROR(H157/D157,"")</f>
        <v>1.0232584454543254</v>
      </c>
      <c r="J157" s="453">
        <f t="shared" si="63"/>
        <v>1.0218405091687965E-3</v>
      </c>
      <c r="K157" s="91">
        <f>(INDEX(Data!201:201,1,$U$1-2)-INDEX(Data!1480:1480,1,$U$1-2))/1000000</f>
        <v>5.6914429999999996</v>
      </c>
      <c r="L157" s="87">
        <f>(INDEX(Data!201:201,1,$U$1-1)-INDEX(Data!1480:1480,1,$U$1-1))/1000000</f>
        <v>5.6914429999999996</v>
      </c>
      <c r="M157" s="88">
        <f t="shared" ref="M157:M158" si="90">K157+L157</f>
        <v>11.382885999999999</v>
      </c>
      <c r="N157" s="89">
        <f>(INDEX(Data!201:201,1,$U$1)-INDEX(Data!1480:1480,1,$U$1))/1000000</f>
        <v>10.985359000000001</v>
      </c>
      <c r="O157" s="90">
        <f>(INDEX(Data!201:201,1,$U$1+1)-INDEX(Data!1480:1480,1,$U$1+1))/1000000</f>
        <v>10.985359000000001</v>
      </c>
      <c r="P157" s="88">
        <f t="shared" ref="P157:P158" si="91">N157+O157</f>
        <v>21.970718000000002</v>
      </c>
      <c r="Q157" s="86">
        <f t="shared" ref="Q157:Q158" si="92">P157-M157</f>
        <v>10.587832000000002</v>
      </c>
      <c r="R157" s="447">
        <f t="shared" ref="R157:R158" si="93">IFERROR(Q157/M157,"")</f>
        <v>0.93015356562474605</v>
      </c>
      <c r="S157" s="453">
        <f t="shared" si="64"/>
        <v>1.4780930639332083E-3</v>
      </c>
      <c r="T157" s="453">
        <f t="shared" ref="T157:T158" si="94">IFERROR(P157/G157,"")</f>
        <v>0.89428948275042386</v>
      </c>
      <c r="U157" s="67"/>
      <c r="V157" s="67"/>
    </row>
    <row r="158" spans="1:22" s="1044" customFormat="1" ht="25.5" hidden="1" outlineLevel="1">
      <c r="A158" s="79" t="s">
        <v>1670</v>
      </c>
      <c r="B158" s="90">
        <f>(INDEX(Data!95:95,1,$U$1-2)+(INDEX(Data!441:441,1,$U$1-2)-INDEX(Data!1324:1324,1,$U$1-2)))/1000000</f>
        <v>28.326681000000001</v>
      </c>
      <c r="C158" s="90">
        <f>(INDEX(Data!95:95,1,$U$1-1)+(INDEX(Data!441:441,1,$U$1-1)-INDEX(Data!1324:1324,1,$U$1-1)))/1000000</f>
        <v>28.338062000000001</v>
      </c>
      <c r="D158" s="88">
        <f t="shared" si="86"/>
        <v>56.664743000000001</v>
      </c>
      <c r="E158" s="90">
        <f>(INDEX(Data!95:95,1,$U$1)+(INDEX(Data!441:441,1,$U$1)-INDEX(Data!1324:1324,1,$U$1)))/1000000</f>
        <v>36.213258000000003</v>
      </c>
      <c r="F158" s="90">
        <f>(INDEX(Data!95:95,1,$U$1+1)+(INDEX(Data!441:441,1,$U$1+1)-INDEX(Data!1324:1324,1,$U$1+1)))/1000000</f>
        <v>36.213258000000003</v>
      </c>
      <c r="G158" s="88">
        <f t="shared" si="87"/>
        <v>72.426516000000007</v>
      </c>
      <c r="H158" s="86">
        <f t="shared" si="88"/>
        <v>15.761773000000005</v>
      </c>
      <c r="I158" s="447">
        <f t="shared" si="89"/>
        <v>0.27815837795293635</v>
      </c>
      <c r="J158" s="453">
        <f t="shared" si="63"/>
        <v>3.0124134878202319E-3</v>
      </c>
      <c r="K158" s="91">
        <f>(INDEX(Data!194:194,1,$U$1-2)+INDEX(Data!768:768,1,$U$1-2)-INDEX(Data!1481:1481,1,$U$1-2))/1000000</f>
        <v>26.743331000000001</v>
      </c>
      <c r="L158" s="87">
        <f>(INDEX(Data!194:194,1,$U$1-1)+INDEX(Data!768:768,1,$U$1-1)-INDEX(Data!1481:1481,1,$U$1-1))/1000000</f>
        <v>26.754712000000001</v>
      </c>
      <c r="M158" s="88">
        <f t="shared" si="90"/>
        <v>53.498043000000003</v>
      </c>
      <c r="N158" s="89">
        <f>(INDEX(Data!194:194,1,$U$1)+INDEX(Data!768:768,1,$U$1)-INDEX(Data!1481:1481,1,$U$1))/1000000</f>
        <v>34.035966000000002</v>
      </c>
      <c r="O158" s="90">
        <f>(INDEX(Data!194:194,1,$U$1+1)+INDEX(Data!768:768,1,$U$1+1)-INDEX(Data!1481:1481,1,$U$1+1))/1000000</f>
        <v>34.035966000000002</v>
      </c>
      <c r="P158" s="88">
        <f t="shared" si="91"/>
        <v>68.071932000000004</v>
      </c>
      <c r="Q158" s="86">
        <f t="shared" si="92"/>
        <v>14.573889000000001</v>
      </c>
      <c r="R158" s="447">
        <f t="shared" si="93"/>
        <v>0.27241910512502299</v>
      </c>
      <c r="S158" s="453">
        <f t="shared" si="64"/>
        <v>4.5795795357135355E-3</v>
      </c>
      <c r="T158" s="453">
        <f t="shared" si="94"/>
        <v>0.93987583221592486</v>
      </c>
      <c r="U158" s="67"/>
      <c r="V158" s="67"/>
    </row>
    <row r="159" spans="1:22" hidden="1" outlineLevel="1">
      <c r="A159" s="79" t="s">
        <v>221</v>
      </c>
      <c r="B159" s="86">
        <f>(INDEX(Data!1036:1036,1,$U$1-2)+INDEX(Data!1037:1037,1,$U$1-2)+INDEX(Data!1100:1100,1,$U$1-2)+INDEX(Data!1101:1101,1,$U$1-2)+(INDEX(Data!1063:1063,1,$U$1-2)+INDEX(Data!1064:1064,1,$U$1-2)+INDEX(Data!1065:1065,1,$U$1-2)+INDEX(Data!1066:1066,1,$U$1-2)-INDEX(Data!1388:1388,1,$U$1-2)))/1000000</f>
        <v>49.541747000000001</v>
      </c>
      <c r="C159" s="87">
        <f>(INDEX(Data!1036:1036,1,$U$1-1)+INDEX(Data!1037:1037,1,$U$1-1)+INDEX(Data!1100:1100,1,$U$1-1)+INDEX(Data!1101:1101,1,$U$1-1)+(INDEX(Data!1063:1063,1,$U$1-1)+INDEX(Data!1064:1064,1,$U$1-1)+INDEX(Data!1065:1065,1,$U$1-1)+INDEX(Data!1066:1066,1,$U$1-1)-INDEX(Data!1388:1388,1,$U$1-1)))/1000000</f>
        <v>48.649611</v>
      </c>
      <c r="D159" s="88">
        <f t="shared" si="73"/>
        <v>98.191358000000008</v>
      </c>
      <c r="E159" s="89">
        <f>(INDEX(Data!1036:1036,1,$U$1)+INDEX(Data!1037:1037,1,$U$1)+INDEX(Data!1100:1100,1,$U$1)+INDEX(Data!1101:1101,1,$U$1)+(INDEX(Data!1063:1063,1,$U$1)+INDEX(Data!1064:1064,1,$U$1)+INDEX(Data!1065:1065,1,$U$1)+INDEX(Data!1066:1066,1,$U$1)-INDEX(Data!1388:1388,1,$U$1)))/1000000</f>
        <v>48.444436000000003</v>
      </c>
      <c r="F159" s="90">
        <f>(INDEX(Data!1036:1036,1,$U$1+1)+INDEX(Data!1037:1037,1,$U$1+1)+INDEX(Data!1100:1100,1,$U$1+1)+INDEX(Data!1101:1101,1,$U$1+1)+(INDEX(Data!1063:1063,1,$U$1+1)+INDEX(Data!1064:1064,1,$U$1+1)+INDEX(Data!1065:1065,1,$U$1+1)+INDEX(Data!1066:1066,1,$U$1+1)-INDEX(Data!1388:1388,1,$U$1+1)))/1000000</f>
        <v>48.426485</v>
      </c>
      <c r="G159" s="88">
        <f t="shared" si="74"/>
        <v>96.87092100000001</v>
      </c>
      <c r="H159" s="86">
        <f t="shared" si="49"/>
        <v>-1.3204369999999983</v>
      </c>
      <c r="I159" s="447">
        <f t="shared" si="50"/>
        <v>-1.3447588737900928E-2</v>
      </c>
      <c r="J159" s="453">
        <f t="shared" si="63"/>
        <v>4.0291219999864158E-3</v>
      </c>
      <c r="K159" s="91">
        <f>(INDEX(Data!1177:1177,1,$U$1-2)+INDEX(Data!1178:1178,1,$U$1-2)+(INDEX(Data!1203:1203,1,$U$1-2)+INDEX(Data!1204:1204,1,$U$1-2)-INDEX(Data!1545:1545,1,$U$1-2)))/1000000</f>
        <v>46.202553999999999</v>
      </c>
      <c r="L159" s="87">
        <f>(INDEX(Data!1177:1177,1,$U$1-1)+INDEX(Data!1178:1178,1,$U$1-1)+(INDEX(Data!1203:1203,1,$U$1-1)+INDEX(Data!1204:1204,1,$U$1-1)-INDEX(Data!1545:1545,1,$U$1-1)))/1000000</f>
        <v>45.310417999999999</v>
      </c>
      <c r="M159" s="88">
        <f t="shared" si="75"/>
        <v>91.512971999999991</v>
      </c>
      <c r="N159" s="89">
        <f>(INDEX(Data!1177:1177,1,$U$1)+INDEX(Data!1178:1178,1,$U$1)+INDEX(Data!1203:1203,1,$U$1)+INDEX(Data!1204:1204,1,$U$1)-INDEX(Data!1545:1545,1,$U$1))/1000000</f>
        <v>45.105243000000002</v>
      </c>
      <c r="O159" s="90">
        <f>(INDEX(Data!1177:1177,1,$U$1+1)+INDEX(Data!1178:1178,1,$U$1+1)+INDEX(Data!1203:1203,1,$U$1+1)+INDEX(Data!1204:1204,1,$U$1+1)-INDEX(Data!1545:1545,1,$U$1+1))/1000000</f>
        <v>45.087291999999998</v>
      </c>
      <c r="P159" s="88">
        <f t="shared" si="76"/>
        <v>90.192534999999992</v>
      </c>
      <c r="Q159" s="86">
        <f t="shared" si="51"/>
        <v>-1.3204369999999983</v>
      </c>
      <c r="R159" s="447">
        <f t="shared" si="52"/>
        <v>-1.4428959863744765E-2</v>
      </c>
      <c r="S159" s="453">
        <f t="shared" si="64"/>
        <v>6.0677562017797107E-3</v>
      </c>
      <c r="T159" s="453">
        <f t="shared" si="47"/>
        <v>0.9310589191156754</v>
      </c>
    </row>
    <row r="160" spans="1:22" collapsed="1">
      <c r="A160" s="113" t="s">
        <v>1284</v>
      </c>
      <c r="B160" s="105">
        <f t="shared" ref="B160:H160" si="95">SUM(B147:B159)</f>
        <v>1790.1438959999998</v>
      </c>
      <c r="C160" s="106">
        <f t="shared" si="95"/>
        <v>1796.7726290000003</v>
      </c>
      <c r="D160" s="107">
        <f t="shared" si="95"/>
        <v>3586.9165250000001</v>
      </c>
      <c r="E160" s="114">
        <f t="shared" si="95"/>
        <v>1902.9508839999999</v>
      </c>
      <c r="F160" s="115">
        <f t="shared" si="95"/>
        <v>1902.6206950000001</v>
      </c>
      <c r="G160" s="107">
        <f t="shared" si="95"/>
        <v>3805.5715789999999</v>
      </c>
      <c r="H160" s="105">
        <f t="shared" si="95"/>
        <v>218.65505400000009</v>
      </c>
      <c r="I160" s="449">
        <f t="shared" si="50"/>
        <v>6.0959058421355398E-2</v>
      </c>
      <c r="J160" s="454">
        <f t="shared" si="63"/>
        <v>0.15828395160475395</v>
      </c>
      <c r="K160" s="405">
        <f t="shared" ref="K160:Q160" si="96">SUM(K147:K159)</f>
        <v>1633.4261339999998</v>
      </c>
      <c r="L160" s="106">
        <f t="shared" si="96"/>
        <v>1640.0548679999999</v>
      </c>
      <c r="M160" s="107">
        <f t="shared" si="96"/>
        <v>3273.4810020000004</v>
      </c>
      <c r="N160" s="114">
        <f t="shared" si="96"/>
        <v>1741.6909580000001</v>
      </c>
      <c r="O160" s="115">
        <f t="shared" si="96"/>
        <v>1741.3607709999997</v>
      </c>
      <c r="P160" s="107">
        <f t="shared" si="96"/>
        <v>3483.0517289999998</v>
      </c>
      <c r="Q160" s="105">
        <f t="shared" si="96"/>
        <v>209.57072699999983</v>
      </c>
      <c r="R160" s="449">
        <f t="shared" si="52"/>
        <v>6.4020755541870658E-2</v>
      </c>
      <c r="S160" s="454">
        <f t="shared" si="64"/>
        <v>0.2343243676403961</v>
      </c>
      <c r="T160" s="454">
        <f t="shared" si="47"/>
        <v>0.91525061523484741</v>
      </c>
    </row>
    <row r="161" spans="1:22" hidden="1" outlineLevel="1">
      <c r="A161" s="79" t="s">
        <v>83</v>
      </c>
      <c r="B161" s="86">
        <f>(INDEX(Data!111:111,1,$U$1-2)+INDEX(Data!456:456,1,$U$1-2)-INDEX(Data!1381:1381,1,$U$1-2))/1000000</f>
        <v>80.388514000000001</v>
      </c>
      <c r="C161" s="87">
        <f>(INDEX(Data!111:111,1,$U$1-1)+INDEX(Data!456:456,1,$U$1-1)-INDEX(Data!1381:1381,1,$U$1-1))/1000000</f>
        <v>80.792491999999996</v>
      </c>
      <c r="D161" s="88">
        <f t="shared" ref="D161:D166" si="97">B161+C161</f>
        <v>161.181006</v>
      </c>
      <c r="E161" s="89">
        <f>(INDEX(Data!111:111,1,$U$1)+INDEX(Data!456:456,1,$U$1)-INDEX(Data!1381:1381,1,$U$1))/1000000</f>
        <v>81.338949999999997</v>
      </c>
      <c r="F161" s="90">
        <f>(INDEX(Data!111:111,1,$U$1+1)+INDEX(Data!456:456,1,$U$1+1)-INDEX(Data!1381:1381,1,$U$1+1))/1000000</f>
        <v>81.338949</v>
      </c>
      <c r="G161" s="88">
        <f t="shared" ref="G161:G166" si="98">E161+F161</f>
        <v>162.677899</v>
      </c>
      <c r="H161" s="86">
        <f t="shared" si="49"/>
        <v>1.496893</v>
      </c>
      <c r="I161" s="447">
        <f t="shared" si="50"/>
        <v>9.2870310041370512E-3</v>
      </c>
      <c r="J161" s="453">
        <f t="shared" si="63"/>
        <v>6.7662111086201826E-3</v>
      </c>
      <c r="K161" s="91">
        <f>(INDEX(Data!210:210,1,$U$1-2)+INDEX(Data!456:456,1,$U$1-2)-INDEX(Data!1538:1538,1,$U$1-2))/1000000</f>
        <v>63.900029000000004</v>
      </c>
      <c r="L161" s="87">
        <f>(INDEX(Data!210:210,1,$U$1-1)+INDEX(Data!456:456,1,$U$1-1)-INDEX(Data!1538:1538,1,$U$1-1))/1000000</f>
        <v>64.304006999999999</v>
      </c>
      <c r="M161" s="88">
        <f t="shared" ref="M161:M166" si="99">K161+L161</f>
        <v>128.204036</v>
      </c>
      <c r="N161" s="89">
        <f>(INDEX(Data!210:210,1,$U$1)+INDEX(Data!456:456,1,$U$1)-INDEX(Data!1538:1538,1,$U$1))/1000000</f>
        <v>64.850465</v>
      </c>
      <c r="O161" s="90">
        <f>(INDEX(Data!210:210,1,$U$1+1)+INDEX(Data!456:456,1,$U$1+1)-INDEX(Data!1538:1538,1,$U$1+1))/1000000</f>
        <v>64.850464000000002</v>
      </c>
      <c r="P161" s="88">
        <f t="shared" ref="P161:P166" si="100">N161+O161</f>
        <v>129.700929</v>
      </c>
      <c r="Q161" s="86">
        <f t="shared" si="51"/>
        <v>1.496893</v>
      </c>
      <c r="R161" s="447">
        <f t="shared" si="52"/>
        <v>1.1675864869027993E-2</v>
      </c>
      <c r="S161" s="453">
        <f t="shared" si="64"/>
        <v>8.7257068039648736E-3</v>
      </c>
      <c r="T161" s="453">
        <f t="shared" si="47"/>
        <v>0.7972867230108498</v>
      </c>
    </row>
    <row r="162" spans="1:22" hidden="1" outlineLevel="1">
      <c r="A162" s="79" t="s">
        <v>84</v>
      </c>
      <c r="B162" s="86">
        <f>(INDEX(Data!112:112,1,$U$1-2)+INDEX(Data!457:457,1,$U$1-2)-INDEX(Data!1382:1382,1,$U$1-2))/1000000</f>
        <v>82.941214000000002</v>
      </c>
      <c r="C162" s="87">
        <f>(INDEX(Data!112:112,1,$U$1-1)+INDEX(Data!457:457,1,$U$1-1)-INDEX(Data!1382:1382,1,$U$1-1))/1000000</f>
        <v>83.545060000000007</v>
      </c>
      <c r="D162" s="88">
        <f t="shared" si="97"/>
        <v>166.48627400000001</v>
      </c>
      <c r="E162" s="89">
        <f>(INDEX(Data!112:112,1,$U$1)+INDEX(Data!457:457,1,$U$1)-INDEX(Data!1382:1382,1,$U$1))/1000000</f>
        <v>89.433133999999995</v>
      </c>
      <c r="F162" s="90">
        <f>(INDEX(Data!112:112,1,$U$1+1)+INDEX(Data!457:457,1,$U$1+1)-INDEX(Data!1382:1382,1,$U$1+1))/1000000</f>
        <v>89.433133999999995</v>
      </c>
      <c r="G162" s="88">
        <f t="shared" si="98"/>
        <v>178.86626799999999</v>
      </c>
      <c r="H162" s="86">
        <f t="shared" si="49"/>
        <v>12.379993999999982</v>
      </c>
      <c r="I162" s="447">
        <f t="shared" si="50"/>
        <v>7.4360448477572283E-2</v>
      </c>
      <c r="J162" s="453">
        <f t="shared" si="63"/>
        <v>7.439528890762442E-3</v>
      </c>
      <c r="K162" s="91">
        <f>(INDEX(Data!211:211,1,$U$1-2)+INDEX(Data!457:457,1,$U$1-2)-INDEX(Data!1539:1539,1,$U$1-2))/1000000</f>
        <v>57.289808000000001</v>
      </c>
      <c r="L162" s="87">
        <f>(INDEX(Data!211:211,1,$U$1-1)+INDEX(Data!457:457,1,$U$1-1)-INDEX(Data!1539:1539,1,$U$1-1))/1000000</f>
        <v>57.893653999999998</v>
      </c>
      <c r="M162" s="88">
        <f t="shared" si="99"/>
        <v>115.18346199999999</v>
      </c>
      <c r="N162" s="89">
        <f>(INDEX(Data!211:211,1,$U$1)+INDEX(Data!457:457,1,$U$1)-INDEX(Data!1539:1539,1,$U$1))/1000000</f>
        <v>62.724044999999997</v>
      </c>
      <c r="O162" s="90">
        <f>(INDEX(Data!211:211,1,$U$1+1)+INDEX(Data!457:457,1,$U$1+1)-INDEX(Data!1539:1539,1,$U$1+1))/1000000</f>
        <v>62.724044999999997</v>
      </c>
      <c r="P162" s="88">
        <f t="shared" si="100"/>
        <v>125.44808999999999</v>
      </c>
      <c r="Q162" s="86">
        <f t="shared" si="51"/>
        <v>10.264628000000002</v>
      </c>
      <c r="R162" s="447">
        <f t="shared" si="52"/>
        <v>8.9115466940905136E-2</v>
      </c>
      <c r="S162" s="453">
        <f t="shared" si="64"/>
        <v>8.4395945418201113E-3</v>
      </c>
      <c r="T162" s="453">
        <f t="shared" si="47"/>
        <v>0.70135130230368536</v>
      </c>
    </row>
    <row r="163" spans="1:22" hidden="1" outlineLevel="1">
      <c r="A163" s="79" t="s">
        <v>85</v>
      </c>
      <c r="B163" s="86">
        <f>(INDEX(Data!113:113,1,$U$1-2)+INDEX(Data!458:458,1,$U$1-2)-INDEX(Data!1383:1383,1,$U$1-2))/1000000</f>
        <v>126.24963200000001</v>
      </c>
      <c r="C163" s="87">
        <f>(INDEX(Data!113:113,1,$U$1-1)+INDEX(Data!458:458,1,$U$1-1)-INDEX(Data!1383:1383,1,$U$1-1))/1000000</f>
        <v>126.35059</v>
      </c>
      <c r="D163" s="88">
        <f t="shared" si="97"/>
        <v>252.600222</v>
      </c>
      <c r="E163" s="89">
        <f>(INDEX(Data!113:113,1,$U$1)+INDEX(Data!458:458,1,$U$1)-INDEX(Data!1383:1383,1,$U$1))/1000000</f>
        <v>127.95110200000001</v>
      </c>
      <c r="F163" s="90">
        <f>(INDEX(Data!113:113,1,$U$1+1)+INDEX(Data!458:458,1,$U$1+1)-INDEX(Data!1383:1383,1,$U$1+1))/1000000</f>
        <v>127.952101</v>
      </c>
      <c r="G163" s="88">
        <f t="shared" si="98"/>
        <v>255.90320300000002</v>
      </c>
      <c r="H163" s="86">
        <f t="shared" si="49"/>
        <v>3.3029810000000168</v>
      </c>
      <c r="I163" s="447">
        <f t="shared" si="50"/>
        <v>1.3075922791548523E-2</v>
      </c>
      <c r="J163" s="453">
        <f t="shared" si="63"/>
        <v>1.0643702097911196E-2</v>
      </c>
      <c r="K163" s="91">
        <f>(INDEX(Data!212:212,1,$U$1-2)+INDEX(Data!458:458,1,$U$1-2)-INDEX(Data!1540:1540,1,$U$1-2))/1000000</f>
        <v>23.847228000000001</v>
      </c>
      <c r="L163" s="87">
        <f>(INDEX(Data!212:212,1,$U$1-1)+INDEX(Data!458:458,1,$U$1-1)-INDEX(Data!1540:1540,1,$U$1-1))/1000000</f>
        <v>23.948187000000001</v>
      </c>
      <c r="M163" s="88">
        <f t="shared" si="99"/>
        <v>47.795415000000006</v>
      </c>
      <c r="N163" s="89">
        <f>(INDEX(Data!212:212,1,$U$1)+INDEX(Data!458:458,1,$U$1)-INDEX(Data!1540:1540,1,$U$1))/1000000</f>
        <v>25.776755999999999</v>
      </c>
      <c r="O163" s="90">
        <f>(INDEX(Data!212:212,1,$U$1+1)+INDEX(Data!458:458,1,$U$1+1)-INDEX(Data!1540:1540,1,$U$1+1))/1000000</f>
        <v>25.777754999999999</v>
      </c>
      <c r="P163" s="88">
        <f t="shared" si="100"/>
        <v>51.554510999999998</v>
      </c>
      <c r="Q163" s="86">
        <f t="shared" si="51"/>
        <v>3.7590959999999924</v>
      </c>
      <c r="R163" s="447">
        <f t="shared" si="52"/>
        <v>7.8649719852835087E-2</v>
      </c>
      <c r="S163" s="453">
        <f t="shared" si="64"/>
        <v>3.4683602567548446E-3</v>
      </c>
      <c r="T163" s="453">
        <f t="shared" si="47"/>
        <v>0.20146098366732829</v>
      </c>
    </row>
    <row r="164" spans="1:22" hidden="1" outlineLevel="1">
      <c r="A164" s="390" t="s">
        <v>86</v>
      </c>
      <c r="B164" s="86">
        <f>(INDEX(Data!114:114,1,$U$1-2)+INDEX(Data!459:459,1,$U$1-2)-INDEX(Data!1384:1384,1,$U$1-2))/1000000</f>
        <v>71.612106999999995</v>
      </c>
      <c r="C164" s="87">
        <f>(INDEX(Data!114:114,1,$U$1-1)+INDEX(Data!459:459,1,$U$1-1)-INDEX(Data!1384:1384,1,$U$1-1))/1000000</f>
        <v>73.539724000000007</v>
      </c>
      <c r="D164" s="88">
        <f t="shared" si="97"/>
        <v>145.15183100000002</v>
      </c>
      <c r="E164" s="89">
        <f>(INDEX(Data!114:114,1,$U$1)+INDEX(Data!459:459,1,$U$1)-INDEX(Data!1384:1384,1,$U$1))/1000000</f>
        <v>74.624298999999993</v>
      </c>
      <c r="F164" s="90">
        <f>(INDEX(Data!114:114,1,$U$1+1)+INDEX(Data!459:459,1,$U$1+1)-INDEX(Data!1384:1384,1,$U$1+1))/1000000</f>
        <v>75.581897999999995</v>
      </c>
      <c r="G164" s="88">
        <f t="shared" si="98"/>
        <v>150.20619699999997</v>
      </c>
      <c r="H164" s="86">
        <f t="shared" si="49"/>
        <v>5.0543659999999591</v>
      </c>
      <c r="I164" s="447">
        <f t="shared" si="50"/>
        <v>3.4821234876465032E-2</v>
      </c>
      <c r="J164" s="453">
        <f t="shared" si="63"/>
        <v>6.2474794976605363E-3</v>
      </c>
      <c r="K164" s="413">
        <f>(INDEX(Data!213:213,1,$U$1-2)+IF(Start!E8&gt;"2014-2015",INDEX(Data!786:786,1,$U$1-2),0)-INDEX(Data!1541:1541,1,$U$1-2))/1000000</f>
        <v>7.567469</v>
      </c>
      <c r="L164" s="391">
        <f>(INDEX(Data!213:213,1,$U$1-1)+IF(Start!E8&gt;"2014-2015",INDEX(Data!786:786,1,$U$1-1),0)-INDEX(Data!1541:1541,1,$U$1-1))/1000000</f>
        <v>7.5674700000000001</v>
      </c>
      <c r="M164" s="88">
        <f t="shared" si="99"/>
        <v>15.134938999999999</v>
      </c>
      <c r="N164" s="392">
        <f>(INDEX(Data!213:213,1,$U$1)+IF(Start!F8&gt;"2014-2015",INDEX(Data!786:786,1,$U$1),0)-INDEX(Data!1541:1541,1,$U$1))/1000000</f>
        <v>9.3439700000000006</v>
      </c>
      <c r="O164" s="393">
        <f>(INDEX(Data!213:213,1,$U$1+1)+IF(Start!F8&gt;"2014-2015",INDEX(Data!786:786,1,$U$1+1),0)-INDEX(Data!1541:1541,1,$U$1+1))/1000000</f>
        <v>9.3439689999999995</v>
      </c>
      <c r="P164" s="88">
        <f t="shared" si="100"/>
        <v>18.687939</v>
      </c>
      <c r="Q164" s="86">
        <f t="shared" si="51"/>
        <v>3.5530000000000008</v>
      </c>
      <c r="R164" s="447">
        <f t="shared" si="52"/>
        <v>0.23475482788533214</v>
      </c>
      <c r="S164" s="453">
        <f t="shared" si="64"/>
        <v>1.2572421627325468E-3</v>
      </c>
      <c r="T164" s="453">
        <f t="shared" si="47"/>
        <v>0.12441523301465388</v>
      </c>
    </row>
    <row r="165" spans="1:22" hidden="1" outlineLevel="1">
      <c r="A165" s="79" t="s">
        <v>87</v>
      </c>
      <c r="B165" s="86">
        <f>(INDEX(Data!115:115,1,$U$1-2)+INDEX(Data!460:460,1,$U$1-2)-INDEX(Data!1385:1385,1,$U$1-2))/1000000</f>
        <v>88.092203999999995</v>
      </c>
      <c r="C165" s="87">
        <f>(INDEX(Data!115:115,1,$U$1-1)+INDEX(Data!460:460,1,$U$1-1)-INDEX(Data!1385:1385,1,$U$1-1))/1000000</f>
        <v>88.265407999999994</v>
      </c>
      <c r="D165" s="88">
        <f t="shared" si="97"/>
        <v>176.35761199999999</v>
      </c>
      <c r="E165" s="89">
        <f>(INDEX(Data!115:115,1,$U$1)+INDEX(Data!460:460,1,$U$1)-INDEX(Data!1385:1385,1,$U$1))/1000000</f>
        <v>90.473665999999994</v>
      </c>
      <c r="F165" s="90">
        <f>(INDEX(Data!115:115,1,$U$1+1)+INDEX(Data!460:460,1,$U$1+1)-INDEX(Data!1385:1385,1,$U$1+1))/1000000</f>
        <v>90.473665999999994</v>
      </c>
      <c r="G165" s="88">
        <f t="shared" si="98"/>
        <v>180.94733199999999</v>
      </c>
      <c r="H165" s="86">
        <f t="shared" si="49"/>
        <v>4.5897199999999998</v>
      </c>
      <c r="I165" s="447">
        <f t="shared" si="50"/>
        <v>2.6025074551361015E-2</v>
      </c>
      <c r="J165" s="453">
        <f t="shared" si="63"/>
        <v>7.526085936563418E-3</v>
      </c>
      <c r="K165" s="91">
        <f>(INDEX(Data!214:214,1,$U$1-2)+INDEX(Data!460:460,1,$U$1-2)-INDEX(Data!1542:1542,1,$U$1-2))/1000000</f>
        <v>12.590225</v>
      </c>
      <c r="L165" s="87">
        <f>(INDEX(Data!214:214,1,$U$1-1)+INDEX(Data!460:460,1,$U$1-1)-INDEX(Data!1542:1542,1,$U$1-1))/1000000</f>
        <v>12.763427999999999</v>
      </c>
      <c r="M165" s="88">
        <f t="shared" si="99"/>
        <v>25.353653000000001</v>
      </c>
      <c r="N165" s="89">
        <f>(INDEX(Data!214:214,1,$U$1)+INDEX(Data!460:460,1,$U$1)-INDEX(Data!1542:1542,1,$U$1))/1000000</f>
        <v>9.5567410000000006</v>
      </c>
      <c r="O165" s="90">
        <f>(INDEX(Data!214:214,1,$U$1+1)+INDEX(Data!460:460,1,$U$1+1)-INDEX(Data!1542:1542,1,$U$1+1))/1000000</f>
        <v>9.5567410000000006</v>
      </c>
      <c r="P165" s="88">
        <f t="shared" si="100"/>
        <v>19.113482000000001</v>
      </c>
      <c r="Q165" s="86">
        <f t="shared" si="51"/>
        <v>-6.2401710000000001</v>
      </c>
      <c r="R165" s="447">
        <f t="shared" si="52"/>
        <v>-0.24612512445445237</v>
      </c>
      <c r="S165" s="453">
        <f t="shared" si="64"/>
        <v>1.2858708200529554E-3</v>
      </c>
      <c r="T165" s="453">
        <f t="shared" si="47"/>
        <v>0.10563008467016249</v>
      </c>
    </row>
    <row r="166" spans="1:22" hidden="1" outlineLevel="1">
      <c r="A166" s="79" t="s">
        <v>88</v>
      </c>
      <c r="B166" s="86">
        <f>(INDEX(Data!116:116,1,$U$1-2)+INDEX(Data!461:461,1,$U$1-2)-INDEX(Data!1386:1386,1,$U$1-2))/1000000</f>
        <v>65.390698</v>
      </c>
      <c r="C166" s="87">
        <f>(INDEX(Data!116:116,1,$U$1-1)+INDEX(Data!461:461,1,$U$1-1)-INDEX(Data!1386:1386,1,$U$1-1))/1000000</f>
        <v>65.567965000000001</v>
      </c>
      <c r="D166" s="88">
        <f t="shared" si="97"/>
        <v>130.958663</v>
      </c>
      <c r="E166" s="89">
        <f>(INDEX(Data!116:116,1,$U$1)+INDEX(Data!461:461,1,$U$1)-INDEX(Data!1386:1386,1,$U$1))/1000000</f>
        <v>65.976434999999995</v>
      </c>
      <c r="F166" s="90">
        <f>(INDEX(Data!116:116,1,$U$1+1)+INDEX(Data!461:461,1,$U$1+1)-INDEX(Data!1386:1386,1,$U$1+1))/1000000</f>
        <v>65.976434999999995</v>
      </c>
      <c r="G166" s="88">
        <f t="shared" si="98"/>
        <v>131.95286999999999</v>
      </c>
      <c r="H166" s="86">
        <f t="shared" si="49"/>
        <v>0.99420699999998874</v>
      </c>
      <c r="I166" s="447">
        <f t="shared" si="50"/>
        <v>7.5917619898119206E-3</v>
      </c>
      <c r="J166" s="453">
        <f t="shared" si="63"/>
        <v>5.4882745615513189E-3</v>
      </c>
      <c r="K166" s="91">
        <f>(INDEX(Data!215:215,1,$U$1-2)+INDEX(Data!461:461,1,$U$1-2)-INDEX(Data!1543:1543,1,$U$1-2))/1000000</f>
        <v>36.670926000000001</v>
      </c>
      <c r="L166" s="87">
        <f>(INDEX(Data!215:215,1,$U$1-1)+INDEX(Data!461:461,1,$U$1-1)-INDEX(Data!1543:1543,1,$U$1-1))/1000000</f>
        <v>36.848191999999997</v>
      </c>
      <c r="M166" s="88">
        <f t="shared" si="99"/>
        <v>73.519117999999992</v>
      </c>
      <c r="N166" s="89">
        <f>(INDEX(Data!215:215,1,$U$1)+INDEX(Data!461:461,1,$U$1)-INDEX(Data!1543:1543,1,$U$1))/1000000</f>
        <v>36.757677000000001</v>
      </c>
      <c r="O166" s="90">
        <f>(INDEX(Data!215:215,1,$U$1+1)+INDEX(Data!461:461,1,$U$1+1)-INDEX(Data!1543:1543,1,$U$1+1))/1000000</f>
        <v>36.757675999999996</v>
      </c>
      <c r="P166" s="88">
        <f t="shared" si="100"/>
        <v>73.515353000000005</v>
      </c>
      <c r="Q166" s="86">
        <f t="shared" si="51"/>
        <v>-3.7649999999871397E-3</v>
      </c>
      <c r="R166" s="447">
        <f t="shared" si="52"/>
        <v>-5.121116931771597E-5</v>
      </c>
      <c r="S166" s="453">
        <f t="shared" si="64"/>
        <v>4.9457889069397451E-3</v>
      </c>
      <c r="T166" s="453">
        <f t="shared" si="47"/>
        <v>0.55713341437742137</v>
      </c>
    </row>
    <row r="167" spans="1:22" s="1044" customFormat="1" ht="25.5" hidden="1" outlineLevel="1">
      <c r="A167" s="79" t="s">
        <v>89</v>
      </c>
      <c r="B167" s="86">
        <f>(INDEX(Data!117:117,1,$U$1-2)+INDEX(Data!462:462,1,$U$1-2)-INDEX(Data!1387:1387,1,$U$1-2))/1000000</f>
        <v>19.510652</v>
      </c>
      <c r="C167" s="87">
        <f>(INDEX(Data!117:117,1,$U$1-1)+INDEX(Data!462:462,1,$U$1-1)-INDEX(Data!1387:1387,1,$U$1-1))/1000000</f>
        <v>19.532626</v>
      </c>
      <c r="D167" s="88">
        <f t="shared" ref="D167:D168" si="101">B167+C167</f>
        <v>39.043278000000001</v>
      </c>
      <c r="E167" s="89">
        <f>(INDEX(Data!117:117,1,$U$1)+INDEX(Data!462:462,1,$U$1)-INDEX(Data!1387:1387,1,$U$1))/1000000</f>
        <v>21.380693999999998</v>
      </c>
      <c r="F167" s="90">
        <f>(INDEX(Data!117:117,1,$U$1+1)+INDEX(Data!462:462,1,$U$1+1)-INDEX(Data!1387:1387,1,$U$1+1))/1000000</f>
        <v>21.378692000000001</v>
      </c>
      <c r="G167" s="88">
        <f t="shared" ref="G167:G168" si="102">E167+F167</f>
        <v>42.759385999999999</v>
      </c>
      <c r="H167" s="86">
        <f t="shared" ref="H167:H168" si="103">G167-D167</f>
        <v>3.7161079999999984</v>
      </c>
      <c r="I167" s="447">
        <f t="shared" ref="I167:I168" si="104">IFERROR(H167/D167,"")</f>
        <v>9.517920088574526E-2</v>
      </c>
      <c r="J167" s="453">
        <f t="shared" ref="J167:J168" si="105">IFERROR(G167/G$254,"")</f>
        <v>1.7784778038655289E-3</v>
      </c>
      <c r="K167" s="91">
        <f>(INDEX(Data!216:216,1,$U$1-2)+INDEX(Data!462:462,1,$U$1-2)-INDEX(Data!1544:1544,1,$U$1-2))/1000000</f>
        <v>9.1690989999999992</v>
      </c>
      <c r="L167" s="87">
        <f>(INDEX(Data!216:216,1,$U$1-1)+INDEX(Data!462:462,1,$U$1-1)-INDEX(Data!1544:1544,1,$U$1-1))/1000000</f>
        <v>9.1910729999999994</v>
      </c>
      <c r="M167" s="88">
        <f t="shared" ref="M167:M168" si="106">K167+L167</f>
        <v>18.360171999999999</v>
      </c>
      <c r="N167" s="89">
        <f>(INDEX(Data!216:216,1,$U$1)+INDEX(Data!462:462,1,$U$1)-INDEX(Data!1544:1544,1,$U$1))/1000000</f>
        <v>9.7793430000000008</v>
      </c>
      <c r="O167" s="90">
        <f>(INDEX(Data!216:216,1,$U$1+1)+INDEX(Data!462:462,1,$U$1+1)-INDEX(Data!1544:1544,1,$U$1+1))/1000000</f>
        <v>9.7793410000000005</v>
      </c>
      <c r="P167" s="88">
        <f t="shared" ref="P167:P168" si="107">N167+O167</f>
        <v>19.558684</v>
      </c>
      <c r="Q167" s="86">
        <f t="shared" ref="Q167:Q168" si="108">P167-M167</f>
        <v>1.1985120000000009</v>
      </c>
      <c r="R167" s="447">
        <f t="shared" ref="R167:R168" si="109">IFERROR(Q167/M167,"")</f>
        <v>6.5277819837417705E-2</v>
      </c>
      <c r="S167" s="453">
        <f t="shared" ref="S167:S168" si="110">IFERROR(P167/P$254,"")</f>
        <v>1.3158220482399081E-3</v>
      </c>
      <c r="T167" s="453">
        <f t="shared" ref="T167:T168" si="111">IFERROR(P167/G167,"")</f>
        <v>0.45741264853522451</v>
      </c>
      <c r="U167" s="67"/>
      <c r="V167" s="67"/>
    </row>
    <row r="168" spans="1:22" ht="25.5" hidden="1" outlineLevel="1">
      <c r="A168" s="79" t="s">
        <v>2051</v>
      </c>
      <c r="B168" s="86">
        <f>(INDEX(Data!118:118,1,$U$1-2)+INDEX(Data!463:463,1,$U$1-2)-INDEX(Data!1388:1388,1,$U$1-2))/1000000</f>
        <v>0</v>
      </c>
      <c r="C168" s="87">
        <f>(INDEX(Data!118:118,1,$U$1-1)+INDEX(Data!463:463,1,$U$1-1)-INDEX(Data!1388:1388,1,$U$1-1))/1000000</f>
        <v>0</v>
      </c>
      <c r="D168" s="88">
        <f t="shared" si="101"/>
        <v>0</v>
      </c>
      <c r="E168" s="89">
        <f>(INDEX(Data!118:118,1,$U$1)+INDEX(Data!463:463,1,$U$1)-INDEX(Data!1388:1388,1,$U$1))/1000000</f>
        <v>1442.0858370000001</v>
      </c>
      <c r="F168" s="90">
        <f>(INDEX(Data!118:118,1,$U$1+1)+INDEX(Data!463:463,1,$U$1+1)-INDEX(Data!1388:1388,1,$U$1+1))/1000000</f>
        <v>2084.2495319999998</v>
      </c>
      <c r="G168" s="88">
        <f t="shared" si="102"/>
        <v>3526.3353689999999</v>
      </c>
      <c r="H168" s="86">
        <f t="shared" si="103"/>
        <v>3526.3353689999999</v>
      </c>
      <c r="I168" s="447" t="str">
        <f t="shared" si="104"/>
        <v/>
      </c>
      <c r="J168" s="453">
        <f t="shared" si="105"/>
        <v>0.14666976702500964</v>
      </c>
      <c r="K168" s="91">
        <f>(INDEX(Data!217:217,1,$U$1-2)+INDEX(Data!463:463,1,$U$1-2)-INDEX(Data!1545:1545,1,$U$1-2))/1000000</f>
        <v>0</v>
      </c>
      <c r="L168" s="87">
        <f>(INDEX(Data!217:217,1,$U$1-1)+INDEX(Data!463:463,1,$U$1-1)-INDEX(Data!1545:1545,1,$U$1-1))/1000000</f>
        <v>0</v>
      </c>
      <c r="M168" s="88">
        <f t="shared" si="106"/>
        <v>0</v>
      </c>
      <c r="N168" s="89">
        <f>(INDEX(Data!217:217,1,$U$1)+INDEX(Data!463:463,1,$U$1)-INDEX(Data!1545:1545,1,$U$1))/1000000</f>
        <v>22.183968</v>
      </c>
      <c r="O168" s="90">
        <f>(INDEX(Data!217:217,1,$U$1+1)+INDEX(Data!463:463,1,$U$1+1)-INDEX(Data!1545:1545,1,$U$1+1))/1000000</f>
        <v>11.012098</v>
      </c>
      <c r="P168" s="88">
        <f t="shared" si="107"/>
        <v>33.196066000000002</v>
      </c>
      <c r="Q168" s="86">
        <f t="shared" si="108"/>
        <v>33.196066000000002</v>
      </c>
      <c r="R168" s="447" t="str">
        <f t="shared" si="109"/>
        <v/>
      </c>
      <c r="S168" s="453">
        <f t="shared" si="110"/>
        <v>2.2332849979900069E-3</v>
      </c>
      <c r="T168" s="453">
        <f t="shared" si="111"/>
        <v>9.41375749221883E-3</v>
      </c>
    </row>
    <row r="169" spans="1:22" collapsed="1">
      <c r="A169" s="113" t="s">
        <v>787</v>
      </c>
      <c r="B169" s="105">
        <f>SUM(B161:B168)</f>
        <v>534.18502100000001</v>
      </c>
      <c r="C169" s="106">
        <f t="shared" ref="C169:H169" si="112">SUM(C161:C168)</f>
        <v>537.59386500000005</v>
      </c>
      <c r="D169" s="107">
        <f t="shared" si="112"/>
        <v>1071.7788860000001</v>
      </c>
      <c r="E169" s="114">
        <f t="shared" si="112"/>
        <v>1993.2641170000002</v>
      </c>
      <c r="F169" s="115">
        <f t="shared" si="112"/>
        <v>2636.384407</v>
      </c>
      <c r="G169" s="107">
        <f t="shared" si="112"/>
        <v>4629.6485240000002</v>
      </c>
      <c r="H169" s="105">
        <f t="shared" si="112"/>
        <v>3557.8696379999997</v>
      </c>
      <c r="I169" s="449">
        <f t="shared" si="50"/>
        <v>3.3195929538025992</v>
      </c>
      <c r="J169" s="454">
        <f t="shared" ref="J169:J196" si="113">IFERROR(G169/G$254,"")</f>
        <v>0.19255952692194428</v>
      </c>
      <c r="K169" s="405">
        <f>SUM(K161:K168)</f>
        <v>211.034784</v>
      </c>
      <c r="L169" s="106">
        <f t="shared" ref="L169:Q169" si="114">SUM(L161:L168)</f>
        <v>212.51601100000002</v>
      </c>
      <c r="M169" s="107">
        <f t="shared" si="114"/>
        <v>423.55079499999994</v>
      </c>
      <c r="N169" s="114">
        <f t="shared" si="114"/>
        <v>240.97296500000002</v>
      </c>
      <c r="O169" s="115">
        <f t="shared" si="114"/>
        <v>229.80208899999997</v>
      </c>
      <c r="P169" s="107">
        <f t="shared" si="114"/>
        <v>470.77505399999995</v>
      </c>
      <c r="Q169" s="105">
        <f t="shared" si="114"/>
        <v>47.224259000000011</v>
      </c>
      <c r="R169" s="449">
        <f t="shared" si="52"/>
        <v>0.11149609340244543</v>
      </c>
      <c r="S169" s="454">
        <f t="shared" ref="S169:S196" si="115">IFERROR(P169/P$254,"")</f>
        <v>3.1671670538494991E-2</v>
      </c>
      <c r="T169" s="454">
        <f t="shared" ref="T169:T254" si="116">IFERROR(P169/G169,"")</f>
        <v>0.10168699666065621</v>
      </c>
    </row>
    <row r="170" spans="1:22" ht="25.5" hidden="1" outlineLevel="1">
      <c r="A170" s="79" t="s">
        <v>1441</v>
      </c>
      <c r="B170" s="86">
        <f>(INDEX(Data!104:104,1,$U$1-2)+INDEX(Data!496:496,1,$U$1-2)-INDEX(Data!1374:1374,1,$U$1-2))/1000000</f>
        <v>11.89499</v>
      </c>
      <c r="C170" s="87">
        <f>(INDEX(Data!104:104,1,$U$1-1)+INDEX(Data!496:496,1,$U$1-1)-INDEX(Data!1374:1374,1,$U$1-1))/1000000</f>
        <v>12.269921999999999</v>
      </c>
      <c r="D170" s="88">
        <f t="shared" ref="D170:D171" si="117">B170+C170</f>
        <v>24.164912000000001</v>
      </c>
      <c r="E170" s="89">
        <f>(INDEX(Data!104:104,1,$U$1)+INDEX(Data!496:496,1,$U$1)-INDEX(Data!1374:1374,1,$U$1))/1000000</f>
        <v>8.8809670000000001</v>
      </c>
      <c r="F170" s="90">
        <f>(INDEX(Data!104:104,1,$U$1+1)+INDEX(Data!496:496,1,$U$1+1)-INDEX(Data!1374:1374,1,$U$1+1))/1000000</f>
        <v>8.8838659999999994</v>
      </c>
      <c r="G170" s="88">
        <f t="shared" ref="G170:G171" si="118">E170+F170</f>
        <v>17.764832999999999</v>
      </c>
      <c r="H170" s="86">
        <f t="shared" ref="H170:H244" si="119">G170-D170</f>
        <v>-6.4000790000000016</v>
      </c>
      <c r="I170" s="447">
        <f t="shared" ref="I170:I244" si="120">IFERROR(H170/D170,"")</f>
        <v>-0.26485008511514552</v>
      </c>
      <c r="J170" s="453">
        <f t="shared" si="113"/>
        <v>7.3888715754426119E-4</v>
      </c>
      <c r="K170" s="91">
        <f>(INDEX(Data!203:203,1,$U$1-2)+INDEX(Data!496:496,1,$U$1-2)-INDEX(Data!1531:1531,1,$U$1-2))/1000000</f>
        <v>11.16844</v>
      </c>
      <c r="L170" s="87">
        <f>(INDEX(Data!203:203,1,$U$1-1)+INDEX(Data!496:496,1,$U$1-1)-INDEX(Data!1531:1531,1,$U$1-1))/1000000</f>
        <v>11.534229</v>
      </c>
      <c r="M170" s="88">
        <f t="shared" ref="M170:M171" si="121">K170+L170</f>
        <v>22.702669</v>
      </c>
      <c r="N170" s="89">
        <f>(INDEX(Data!203:203,1,$U$1)+INDEX(Data!496:496,1,$U$1)-INDEX(Data!1531:1531,1,$U$1))/1000000</f>
        <v>8.5092479999999995</v>
      </c>
      <c r="O170" s="90">
        <f>(INDEX(Data!203:203,1,$U$1+1)+INDEX(Data!496:496,1,$U$1+1)-INDEX(Data!1531:1531,1,$U$1+1))/1000000</f>
        <v>8.5074310000000004</v>
      </c>
      <c r="P170" s="88">
        <f t="shared" ref="P170:P171" si="122">N170+O170</f>
        <v>17.016679</v>
      </c>
      <c r="Q170" s="86">
        <f t="shared" ref="Q170:Q244" si="123">P170-M170</f>
        <v>-5.6859900000000003</v>
      </c>
      <c r="R170" s="447">
        <f t="shared" ref="R170:R244" si="124">IFERROR(Q170/M170,"")</f>
        <v>-0.25045469323452674</v>
      </c>
      <c r="S170" s="453">
        <f t="shared" si="115"/>
        <v>1.1448071565561891E-3</v>
      </c>
      <c r="T170" s="453">
        <f t="shared" si="116"/>
        <v>0.9578856722154383</v>
      </c>
    </row>
    <row r="171" spans="1:22" ht="15" hidden="1" customHeight="1" outlineLevel="1">
      <c r="A171" s="79" t="s">
        <v>1442</v>
      </c>
      <c r="B171" s="86">
        <f>(INDEX(Data!105:105,1,$U$1-2)+INDEX(Data!490:490,1,$U$1-2)-INDEX(Data!1375:1375,1,$U$1-2))/1000000</f>
        <v>28.512163000000001</v>
      </c>
      <c r="C171" s="87">
        <f>(INDEX(Data!105:105,1,$U$1-1)+INDEX(Data!490:490,1,$U$1-1)-INDEX(Data!1375:1375,1,$U$1-1))/1000000</f>
        <v>29.083106999999998</v>
      </c>
      <c r="D171" s="88">
        <f t="shared" si="117"/>
        <v>57.595269999999999</v>
      </c>
      <c r="E171" s="89">
        <f>(INDEX(Data!105:105,1,$U$1)+INDEX(Data!490:490,1,$U$1)-INDEX(Data!1375:1375,1,$U$1))/1000000</f>
        <v>32.071064999999997</v>
      </c>
      <c r="F171" s="90">
        <f>(INDEX(Data!105:105,1,$U$1+1)+INDEX(Data!490:490,1,$U$1+1)-INDEX(Data!1375:1375,1,$U$1+1))/1000000</f>
        <v>32.381413000000002</v>
      </c>
      <c r="G171" s="88">
        <f t="shared" si="118"/>
        <v>64.452477999999999</v>
      </c>
      <c r="H171" s="86">
        <f t="shared" si="119"/>
        <v>6.857208</v>
      </c>
      <c r="I171" s="447">
        <f t="shared" si="120"/>
        <v>0.11905852685472262</v>
      </c>
      <c r="J171" s="453">
        <f t="shared" si="113"/>
        <v>2.6807518126460306E-3</v>
      </c>
      <c r="K171" s="91">
        <f>(INDEX(Data!204:204,1,$U$1-2)+INDEX(Data!490:490,1,$U$1-2)-INDEX(Data!1532:1532,1,$U$1-2))/1000000</f>
        <v>19.248581999999999</v>
      </c>
      <c r="L171" s="87">
        <f>(INDEX(Data!204:204,1,$U$1-1)+INDEX(Data!490:490,1,$U$1-1)-INDEX(Data!1532:1532,1,$U$1-1))/1000000</f>
        <v>19.318380999999999</v>
      </c>
      <c r="M171" s="88">
        <f t="shared" si="121"/>
        <v>38.566963000000001</v>
      </c>
      <c r="N171" s="89">
        <f>(INDEX(Data!204:204,1,$U$1)+INDEX(Data!490:490,1,$U$1)-INDEX(Data!1532:1532,1,$U$1))/1000000</f>
        <v>29.817596000000002</v>
      </c>
      <c r="O171" s="90">
        <f>(INDEX(Data!204:204,1,$U$1+1)+INDEX(Data!490:490,1,$U$1+1)-INDEX(Data!1532:1532,1,$U$1+1))/1000000</f>
        <v>30.007954999999999</v>
      </c>
      <c r="P171" s="88">
        <f t="shared" si="122"/>
        <v>59.825551000000004</v>
      </c>
      <c r="Q171" s="86">
        <f t="shared" si="123"/>
        <v>21.258588000000003</v>
      </c>
      <c r="R171" s="447">
        <f t="shared" si="124"/>
        <v>0.5512123938822977</v>
      </c>
      <c r="S171" s="453">
        <f t="shared" si="115"/>
        <v>4.0247993706478968E-3</v>
      </c>
      <c r="T171" s="453">
        <f t="shared" si="116"/>
        <v>0.92821180591380836</v>
      </c>
    </row>
    <row r="172" spans="1:22" ht="25.5" hidden="1" outlineLevel="1">
      <c r="A172" s="79" t="s">
        <v>1443</v>
      </c>
      <c r="B172" s="86">
        <f>(INDEX(Data!106:106,1,$U$1-2)+INDEX(Data!491:491,1,$U$1-2)-INDEX(Data!1376:1376,1,$U$1-2))/1000000</f>
        <v>14.832539000000001</v>
      </c>
      <c r="C172" s="87">
        <f>(INDEX(Data!106:106,1,$U$1-1)+INDEX(Data!491:491,1,$U$1-1)-INDEX(Data!1376:1376,1,$U$1-1))/1000000</f>
        <v>15.023844</v>
      </c>
      <c r="D172" s="88">
        <f t="shared" ref="D172:D176" si="125">B172+C172</f>
        <v>29.856383000000001</v>
      </c>
      <c r="E172" s="89">
        <f>(INDEX(Data!106:106,1,$U$1)+INDEX(Data!491:491,1,$U$1)-INDEX(Data!1376:1376,1,$U$1))/1000000</f>
        <v>13.663126999999999</v>
      </c>
      <c r="F172" s="90">
        <f>(INDEX(Data!106:106,1,$U$1+1)+INDEX(Data!491:491,1,$U$1+1)-INDEX(Data!1376:1376,1,$U$1+1))/1000000</f>
        <v>13.694708</v>
      </c>
      <c r="G172" s="88">
        <f t="shared" ref="G172:G176" si="126">E172+F172</f>
        <v>27.357835000000001</v>
      </c>
      <c r="H172" s="86">
        <f t="shared" ref="H172:H176" si="127">G172-D172</f>
        <v>-2.4985479999999995</v>
      </c>
      <c r="I172" s="447">
        <f t="shared" ref="I172:I176" si="128">IFERROR(H172/D172,"")</f>
        <v>-8.3685555614690488E-2</v>
      </c>
      <c r="J172" s="453">
        <f t="shared" si="113"/>
        <v>1.1378858973633416E-3</v>
      </c>
      <c r="K172" s="91">
        <f>(INDEX(Data!205:205,1,$U$1-2)+INDEX(Data!491:491,1,$U$1-2)-INDEX(Data!1533:1533,1,$U$1-2))/1000000</f>
        <v>12.012013</v>
      </c>
      <c r="L172" s="87">
        <f>(INDEX(Data!205:205,1,$U$1-1)+INDEX(Data!491:491,1,$U$1-1)-INDEX(Data!1533:1533,1,$U$1-1))/1000000</f>
        <v>12.050869</v>
      </c>
      <c r="M172" s="88">
        <f t="shared" ref="M172:M176" si="129">K172+L172</f>
        <v>24.062882000000002</v>
      </c>
      <c r="N172" s="89">
        <f>(INDEX(Data!205:205,1,$U$1)+INDEX(Data!491:491,1,$U$1)-INDEX(Data!1533:1533,1,$U$1))/1000000</f>
        <v>13.018421</v>
      </c>
      <c r="O172" s="90">
        <f>(INDEX(Data!205:205,1,$U$1+1)+INDEX(Data!491:491,1,$U$1+1)-INDEX(Data!1533:1533,1,$U$1+1))/1000000</f>
        <v>13.015283999999999</v>
      </c>
      <c r="P172" s="88">
        <f t="shared" ref="P172:P176" si="130">N172+O172</f>
        <v>26.033704999999998</v>
      </c>
      <c r="Q172" s="86">
        <f t="shared" ref="Q172:Q176" si="131">P172-M172</f>
        <v>1.9708229999999958</v>
      </c>
      <c r="R172" s="447">
        <f t="shared" ref="R172:R176" si="132">IFERROR(Q172/M172,"")</f>
        <v>8.1903032230303735E-2</v>
      </c>
      <c r="S172" s="453">
        <f t="shared" si="115"/>
        <v>1.751432920352593E-3</v>
      </c>
      <c r="T172" s="453">
        <f t="shared" ref="T172:T176" si="133">IFERROR(P172/G172,"")</f>
        <v>0.9515996057436561</v>
      </c>
    </row>
    <row r="173" spans="1:22" hidden="1" outlineLevel="1">
      <c r="A173" s="79" t="s">
        <v>1444</v>
      </c>
      <c r="B173" s="86">
        <f>(INDEX(Data!107:107,1,$U$1-2)+INDEX(Data!492:492,1,$U$1-2)-INDEX(Data!1377:1377,1,$U$1-2))/1000000</f>
        <v>10.749076000000001</v>
      </c>
      <c r="C173" s="87">
        <f>(INDEX(Data!107:107,1,$U$1-1)+INDEX(Data!492:492,1,$U$1-1)-INDEX(Data!1377:1377,1,$U$1-1))/1000000</f>
        <v>10.972116</v>
      </c>
      <c r="D173" s="88">
        <f t="shared" si="125"/>
        <v>21.721192000000002</v>
      </c>
      <c r="E173" s="89">
        <f>(INDEX(Data!107:107,1,$U$1)+INDEX(Data!492:492,1,$U$1)-INDEX(Data!1377:1377,1,$U$1))/1000000</f>
        <v>10.144683000000001</v>
      </c>
      <c r="F173" s="90">
        <f>(INDEX(Data!107:107,1,$U$1+1)+INDEX(Data!492:492,1,$U$1+1)-INDEX(Data!1377:1377,1,$U$1+1))/1000000</f>
        <v>10.164680000000001</v>
      </c>
      <c r="G173" s="88">
        <f t="shared" si="126"/>
        <v>20.309363000000001</v>
      </c>
      <c r="H173" s="86">
        <f t="shared" si="127"/>
        <v>-1.4118290000000009</v>
      </c>
      <c r="I173" s="447">
        <f t="shared" si="128"/>
        <v>-6.4997768078289664E-2</v>
      </c>
      <c r="J173" s="453">
        <f t="shared" si="113"/>
        <v>8.4472100011323439E-4</v>
      </c>
      <c r="K173" s="91">
        <f>(INDEX(Data!206:206,1,$U$1-2)+INDEX(Data!492:492,1,$U$1-2)-INDEX(Data!1534:1534,1,$U$1-2))/1000000</f>
        <v>8.9081250000000001</v>
      </c>
      <c r="L173" s="87">
        <f>(INDEX(Data!206:206,1,$U$1-1)+INDEX(Data!492:492,1,$U$1-1)-INDEX(Data!1534:1534,1,$U$1-1))/1000000</f>
        <v>9.0384609999999999</v>
      </c>
      <c r="M173" s="88">
        <f t="shared" si="129"/>
        <v>17.946586</v>
      </c>
      <c r="N173" s="89">
        <f>(INDEX(Data!206:206,1,$U$1)+INDEX(Data!492:492,1,$U$1)-INDEX(Data!1534:1534,1,$U$1))/1000000</f>
        <v>9.9487199999999998</v>
      </c>
      <c r="O173" s="90">
        <f>(INDEX(Data!206:206,1,$U$1+1)+INDEX(Data!492:492,1,$U$1+1)-INDEX(Data!1534:1534,1,$U$1+1))/1000000</f>
        <v>9.947082</v>
      </c>
      <c r="P173" s="88">
        <f t="shared" si="130"/>
        <v>19.895802</v>
      </c>
      <c r="Q173" s="86">
        <f t="shared" si="131"/>
        <v>1.9492159999999998</v>
      </c>
      <c r="R173" s="447">
        <f t="shared" si="132"/>
        <v>0.10861207808549213</v>
      </c>
      <c r="S173" s="453">
        <f t="shared" si="115"/>
        <v>1.3385018613223498E-3</v>
      </c>
      <c r="T173" s="453">
        <f t="shared" si="133"/>
        <v>0.97963692903612976</v>
      </c>
    </row>
    <row r="174" spans="1:22" hidden="1" outlineLevel="1">
      <c r="A174" s="79" t="s">
        <v>1445</v>
      </c>
      <c r="B174" s="86">
        <f>(INDEX(Data!108:108,1,$U$1-2)+INDEX(Data!493:493,1,$U$1-2)-INDEX(Data!1378:1378,1,$U$1-2))/1000000</f>
        <v>35.323639999999997</v>
      </c>
      <c r="C174" s="87">
        <f>(INDEX(Data!108:108,1,$U$1-1)+INDEX(Data!493:493,1,$U$1-1)-INDEX(Data!1378:1378,1,$U$1-1))/1000000</f>
        <v>35.853248000000001</v>
      </c>
      <c r="D174" s="88">
        <f t="shared" si="125"/>
        <v>71.176887999999991</v>
      </c>
      <c r="E174" s="89">
        <f>(INDEX(Data!108:108,1,$U$1)+INDEX(Data!493:493,1,$U$1)-INDEX(Data!1378:1378,1,$U$1))/1000000</f>
        <v>38.090169000000003</v>
      </c>
      <c r="F174" s="90">
        <f>(INDEX(Data!108:108,1,$U$1+1)+INDEX(Data!493:493,1,$U$1+1)-INDEX(Data!1378:1378,1,$U$1+1))/1000000</f>
        <v>38.209735999999999</v>
      </c>
      <c r="G174" s="88">
        <f t="shared" si="126"/>
        <v>76.299904999999995</v>
      </c>
      <c r="H174" s="86">
        <f t="shared" si="127"/>
        <v>5.1230170000000044</v>
      </c>
      <c r="I174" s="447">
        <f t="shared" si="128"/>
        <v>7.1975849801132141E-2</v>
      </c>
      <c r="J174" s="453">
        <f t="shared" si="113"/>
        <v>3.1735181482621961E-3</v>
      </c>
      <c r="K174" s="91">
        <f>(INDEX(Data!207:207,1,$U$1-2)+INDEX(Data!493:493,1,$U$1-2)-INDEX(Data!1535:1535,1,$U$1-2))/1000000</f>
        <v>24.544654999999999</v>
      </c>
      <c r="L174" s="87">
        <f>(INDEX(Data!207:207,1,$U$1-1)+INDEX(Data!493:493,1,$U$1-1)-INDEX(Data!1535:1535,1,$U$1-1))/1000000</f>
        <v>24.497640000000001</v>
      </c>
      <c r="M174" s="88">
        <f t="shared" si="129"/>
        <v>49.042294999999996</v>
      </c>
      <c r="N174" s="89">
        <f>(INDEX(Data!207:207,1,$U$1)+INDEX(Data!493:493,1,$U$1)-INDEX(Data!1535:1535,1,$U$1))/1000000</f>
        <v>35.456885</v>
      </c>
      <c r="O174" s="90">
        <f>(INDEX(Data!207:207,1,$U$1+1)+INDEX(Data!493:493,1,$U$1+1)-INDEX(Data!1535:1535,1,$U$1+1))/1000000</f>
        <v>35.446753000000001</v>
      </c>
      <c r="P174" s="88">
        <f t="shared" si="130"/>
        <v>70.903638000000001</v>
      </c>
      <c r="Q174" s="86">
        <f t="shared" si="131"/>
        <v>21.861343000000005</v>
      </c>
      <c r="R174" s="447">
        <f t="shared" si="132"/>
        <v>0.44576508909299628</v>
      </c>
      <c r="S174" s="453">
        <f t="shared" si="115"/>
        <v>4.7700842337255918E-3</v>
      </c>
      <c r="T174" s="453">
        <f t="shared" si="133"/>
        <v>0.92927557380313919</v>
      </c>
    </row>
    <row r="175" spans="1:22" s="1044" customFormat="1" ht="25.5" hidden="1" outlineLevel="1">
      <c r="A175" s="79" t="s">
        <v>1852</v>
      </c>
      <c r="B175" s="86">
        <f>(INDEX(Data!109:109,1,$U$1-2)+INDEX(Data!494:494,1,$U$1-2)-INDEX(Data!1379:1379,1,$U$1-2))/1000000</f>
        <v>5.9569140000000003</v>
      </c>
      <c r="C175" s="87">
        <f>(INDEX(Data!109:109,1,$U$1-1)+INDEX(Data!494:494,1,$U$1-1)-INDEX(Data!1379:1379,1,$U$1-1))/1000000</f>
        <v>6.0307310000000003</v>
      </c>
      <c r="D175" s="88">
        <f t="shared" si="125"/>
        <v>11.987645000000001</v>
      </c>
      <c r="E175" s="89">
        <f>(INDEX(Data!109:109,1,$U$1)+INDEX(Data!494:494,1,$U$1)-INDEX(Data!1379:1379,1,$U$1))/1000000</f>
        <v>6.6194410000000001</v>
      </c>
      <c r="F175" s="90">
        <f>(INDEX(Data!109:109,1,$U$1+1)+INDEX(Data!494:494,1,$U$1+1)-INDEX(Data!1379:1379,1,$U$1+1))/1000000</f>
        <v>6.6327829999999999</v>
      </c>
      <c r="G175" s="88">
        <f t="shared" si="126"/>
        <v>13.252224</v>
      </c>
      <c r="H175" s="86">
        <f t="shared" si="127"/>
        <v>1.2645789999999995</v>
      </c>
      <c r="I175" s="447">
        <f t="shared" si="128"/>
        <v>0.10549019427919323</v>
      </c>
      <c r="J175" s="453">
        <f t="shared" si="113"/>
        <v>5.5119561903564413E-4</v>
      </c>
      <c r="K175" s="91">
        <f>(INDEX(Data!208:208,1,$U$1-2)+INDEX(Data!494:494,1,$U$1-2)-INDEX(Data!1536:1536,1,$U$1-2))/1000000</f>
        <v>5.694153</v>
      </c>
      <c r="L175" s="87">
        <f>(INDEX(Data!208:208,1,$U$1-1)+INDEX(Data!494:494,1,$U$1-1)-INDEX(Data!1536:1536,1,$U$1-1))/1000000</f>
        <v>5.6962250000000001</v>
      </c>
      <c r="M175" s="88">
        <f t="shared" si="129"/>
        <v>11.390378</v>
      </c>
      <c r="N175" s="89">
        <f>(INDEX(Data!208:208,1,$U$1)+INDEX(Data!494:494,1,$U$1)-INDEX(Data!1536:1536,1,$U$1))/1000000</f>
        <v>6.3239609999999997</v>
      </c>
      <c r="O175" s="90">
        <f>(INDEX(Data!208:208,1,$U$1+1)+INDEX(Data!494:494,1,$U$1+1)-INDEX(Data!1536:1536,1,$U$1+1))/1000000</f>
        <v>6.317952</v>
      </c>
      <c r="P175" s="88">
        <f t="shared" si="130"/>
        <v>12.641912999999999</v>
      </c>
      <c r="Q175" s="86">
        <f t="shared" si="131"/>
        <v>1.2515349999999987</v>
      </c>
      <c r="R175" s="447">
        <f t="shared" si="132"/>
        <v>0.10987651156089805</v>
      </c>
      <c r="S175" s="453">
        <f t="shared" si="115"/>
        <v>8.5049218328445413E-4</v>
      </c>
      <c r="T175" s="453">
        <f t="shared" si="133"/>
        <v>0.9539465224855842</v>
      </c>
      <c r="U175" s="67"/>
      <c r="V175" s="67"/>
    </row>
    <row r="176" spans="1:22" s="1044" customFormat="1" ht="25.5" hidden="1" outlineLevel="1">
      <c r="A176" s="79" t="s">
        <v>1853</v>
      </c>
      <c r="B176" s="86">
        <f>(INDEX(Data!110:110,1,$U$1-2)+INDEX(Data!495:495,1,$U$1-2)-INDEX(Data!1380:1380,1,$U$1-2))/1000000</f>
        <v>3.9654590000000001</v>
      </c>
      <c r="C176" s="87">
        <f>(INDEX(Data!110:110,1,$U$1-1)+INDEX(Data!495:495,1,$U$1-1)-INDEX(Data!1380:1380,1,$U$1-1))/1000000</f>
        <v>4.0600079999999998</v>
      </c>
      <c r="D176" s="88">
        <f t="shared" si="125"/>
        <v>8.025466999999999</v>
      </c>
      <c r="E176" s="89">
        <f>(INDEX(Data!110:110,1,$U$1)+INDEX(Data!495:495,1,$U$1)-INDEX(Data!1380:1380,1,$U$1))/1000000</f>
        <v>4.1606889999999996</v>
      </c>
      <c r="F176" s="90">
        <f>(INDEX(Data!110:110,1,$U$1+1)+INDEX(Data!495:495,1,$U$1+1)-INDEX(Data!1380:1380,1,$U$1+1))/1000000</f>
        <v>4.1708780000000001</v>
      </c>
      <c r="G176" s="88">
        <f t="shared" si="126"/>
        <v>8.3315669999999997</v>
      </c>
      <c r="H176" s="86">
        <f t="shared" si="127"/>
        <v>0.3061000000000007</v>
      </c>
      <c r="I176" s="447">
        <f t="shared" si="128"/>
        <v>3.8141082631079383E-2</v>
      </c>
      <c r="J176" s="453">
        <f t="shared" si="113"/>
        <v>3.4653226734636725E-4</v>
      </c>
      <c r="K176" s="91">
        <f>(INDEX(Data!209:209,1,$U$1-2)+INDEX(Data!495:495,1,$U$1-2)-INDEX(Data!1537:1537,1,$U$1-2))/1000000</f>
        <v>3.6008100000000001</v>
      </c>
      <c r="L176" s="87">
        <f>(INDEX(Data!209:209,1,$U$1-1)+INDEX(Data!495:495,1,$U$1-1)-INDEX(Data!1537:1537,1,$U$1-1))/1000000</f>
        <v>3.596044</v>
      </c>
      <c r="M176" s="88">
        <f t="shared" si="129"/>
        <v>7.1968540000000001</v>
      </c>
      <c r="N176" s="89">
        <f>(INDEX(Data!209:209,1,$U$1)+INDEX(Data!495:495,1,$U$1)-INDEX(Data!1537:1537,1,$U$1))/1000000</f>
        <v>3.9723449999999998</v>
      </c>
      <c r="O176" s="90">
        <f>(INDEX(Data!209:209,1,$U$1+1)+INDEX(Data!495:495,1,$U$1+1)-INDEX(Data!1537:1537,1,$U$1+1))/1000000</f>
        <v>3.9721470000000001</v>
      </c>
      <c r="P176" s="88">
        <f t="shared" si="130"/>
        <v>7.9444920000000003</v>
      </c>
      <c r="Q176" s="86">
        <f t="shared" si="131"/>
        <v>0.74763800000000025</v>
      </c>
      <c r="R176" s="447">
        <f t="shared" si="132"/>
        <v>0.10388400264893524</v>
      </c>
      <c r="S176" s="453">
        <f t="shared" si="115"/>
        <v>5.3447040381988714E-4</v>
      </c>
      <c r="T176" s="453">
        <f t="shared" si="133"/>
        <v>0.95354115258270145</v>
      </c>
      <c r="U176" s="67"/>
      <c r="V176" s="67"/>
    </row>
    <row r="177" spans="1:20" collapsed="1">
      <c r="A177" s="113" t="s">
        <v>788</v>
      </c>
      <c r="B177" s="105">
        <f>SUM(B170:B176)</f>
        <v>111.234781</v>
      </c>
      <c r="C177" s="105">
        <f t="shared" ref="C177:H177" si="134">SUM(C170:C176)</f>
        <v>113.292976</v>
      </c>
      <c r="D177" s="105">
        <f t="shared" si="134"/>
        <v>224.52775700000001</v>
      </c>
      <c r="E177" s="105">
        <f t="shared" si="134"/>
        <v>113.63014099999999</v>
      </c>
      <c r="F177" s="105">
        <f t="shared" si="134"/>
        <v>114.13806400000001</v>
      </c>
      <c r="G177" s="105">
        <f t="shared" si="134"/>
        <v>227.76820499999999</v>
      </c>
      <c r="H177" s="105">
        <f t="shared" si="134"/>
        <v>3.2404480000000024</v>
      </c>
      <c r="I177" s="449">
        <f t="shared" si="120"/>
        <v>1.4432282419317993E-2</v>
      </c>
      <c r="J177" s="454">
        <f t="shared" si="113"/>
        <v>9.4734919023110754E-3</v>
      </c>
      <c r="K177" s="105">
        <f t="shared" ref="K177:Q177" si="135">SUM(K170:K176)</f>
        <v>85.176777999999985</v>
      </c>
      <c r="L177" s="105">
        <f t="shared" si="135"/>
        <v>85.731848999999997</v>
      </c>
      <c r="M177" s="105">
        <f t="shared" si="135"/>
        <v>170.908627</v>
      </c>
      <c r="N177" s="105">
        <f t="shared" si="135"/>
        <v>107.04717599999999</v>
      </c>
      <c r="O177" s="105">
        <f t="shared" si="135"/>
        <v>107.21460400000002</v>
      </c>
      <c r="P177" s="105">
        <f t="shared" si="135"/>
        <v>214.26177999999999</v>
      </c>
      <c r="Q177" s="105">
        <f t="shared" si="135"/>
        <v>43.353153000000006</v>
      </c>
      <c r="R177" s="449">
        <f t="shared" si="124"/>
        <v>0.25366275395799653</v>
      </c>
      <c r="S177" s="454">
        <f t="shared" si="115"/>
        <v>1.4414588129708961E-2</v>
      </c>
      <c r="T177" s="454">
        <f t="shared" si="116"/>
        <v>0.94070100785138111</v>
      </c>
    </row>
    <row r="178" spans="1:20" hidden="1" outlineLevel="1">
      <c r="A178" s="79" t="s">
        <v>1446</v>
      </c>
      <c r="B178" s="86">
        <f>(INDEX(Data!84:84,1,$U$1-2)+INDEX(Data!471:471,1,$U$1-2)-INDEX(Data!1305:1305,1,$U$1-2))/1000000</f>
        <v>13.679073000000001</v>
      </c>
      <c r="C178" s="87">
        <f>(INDEX(Data!84:84,1,$U$1-1)+INDEX(Data!471:471,1,$U$1-1)-INDEX(Data!1305:1305,1,$U$1-1))/1000000</f>
        <v>13.602392</v>
      </c>
      <c r="D178" s="88">
        <f t="shared" ref="D178:D180" si="136">B178+C178</f>
        <v>27.281465000000001</v>
      </c>
      <c r="E178" s="89">
        <f>(INDEX(Data!84:84,1,$U$1)+INDEX(Data!471:471,1,$U$1)-INDEX(Data!1305:1305,1,$U$1))/1000000</f>
        <v>18.196155999999998</v>
      </c>
      <c r="F178" s="90">
        <f>(INDEX(Data!84:84,1,$U$1+1)+INDEX(Data!471:471,1,$U$1+1)-INDEX(Data!1305:1305,1,$U$1+1))/1000000</f>
        <v>18.182573000000001</v>
      </c>
      <c r="G178" s="88">
        <f t="shared" ref="G178:G180" si="137">E178+F178</f>
        <v>36.378729</v>
      </c>
      <c r="H178" s="86">
        <f t="shared" si="119"/>
        <v>9.0972639999999991</v>
      </c>
      <c r="I178" s="447">
        <f t="shared" si="120"/>
        <v>0.33345951179674549</v>
      </c>
      <c r="J178" s="453">
        <f t="shared" si="113"/>
        <v>1.5130891275973708E-3</v>
      </c>
      <c r="K178" s="91">
        <f>(INDEX(Data!183:183,1,$U$1-2)+INDEX(Data!471:471,1,$U$1-2)-INDEX(Data!1462:1462,1,$U$1-2))/1000000</f>
        <v>11.175454</v>
      </c>
      <c r="L178" s="87">
        <f>(INDEX(Data!183:183,1,$U$1-1)+INDEX(Data!471:471,1,$U$1-1)-INDEX(Data!1462:1462,1,$U$1-1))/1000000</f>
        <v>11.094366000000001</v>
      </c>
      <c r="M178" s="88">
        <f t="shared" ref="M178:M180" si="138">K178+L178</f>
        <v>22.269820000000003</v>
      </c>
      <c r="N178" s="89">
        <f>(INDEX(Data!183:183,1,$U$1)+INDEX(Data!471:471,1,$U$1)-INDEX(Data!1462:1462,1,$U$1))/1000000</f>
        <v>15.665521</v>
      </c>
      <c r="O178" s="90">
        <f>(INDEX(Data!183:183,1,$U$1+1)+INDEX(Data!471:471,1,$U$1+1)-INDEX(Data!1462:1462,1,$U$1+1))/1000000</f>
        <v>15.650840000000001</v>
      </c>
      <c r="P178" s="88">
        <f t="shared" ref="P178:P180" si="139">N178+O178</f>
        <v>31.316361000000001</v>
      </c>
      <c r="Q178" s="86">
        <f t="shared" si="123"/>
        <v>9.0465409999999977</v>
      </c>
      <c r="R178" s="447">
        <f t="shared" si="124"/>
        <v>0.40622425327191675</v>
      </c>
      <c r="S178" s="453">
        <f t="shared" si="115"/>
        <v>2.1068267310029847E-3</v>
      </c>
      <c r="T178" s="453">
        <f t="shared" si="116"/>
        <v>0.86084263691565477</v>
      </c>
    </row>
    <row r="179" spans="1:20" hidden="1" outlineLevel="1">
      <c r="A179" s="79" t="s">
        <v>1447</v>
      </c>
      <c r="B179" s="86">
        <f>(INDEX(Data!85:85,1,$U$1-2)+INDEX(Data!472:472,1,$U$1-2)-INDEX(Data!1306:1306,1,$U$1-2))/1000000</f>
        <v>11.457743000000001</v>
      </c>
      <c r="C179" s="87">
        <f>(INDEX(Data!85:85,1,$U$1-1)+INDEX(Data!472:472,1,$U$1-1)-INDEX(Data!1306:1306,1,$U$1-1))/1000000</f>
        <v>11.275214</v>
      </c>
      <c r="D179" s="88">
        <f t="shared" si="136"/>
        <v>22.732956999999999</v>
      </c>
      <c r="E179" s="89">
        <f>(INDEX(Data!85:85,1,$U$1)+INDEX(Data!472:472,1,$U$1)-INDEX(Data!1306:1306,1,$U$1))/1000000</f>
        <v>13.610756</v>
      </c>
      <c r="F179" s="90">
        <f>(INDEX(Data!85:85,1,$U$1+1)+INDEX(Data!472:472,1,$U$1+1)-INDEX(Data!1306:1306,1,$U$1+1))/1000000</f>
        <v>13.606541999999999</v>
      </c>
      <c r="G179" s="88">
        <f t="shared" si="137"/>
        <v>27.217298</v>
      </c>
      <c r="H179" s="86">
        <f t="shared" si="119"/>
        <v>4.4843410000000006</v>
      </c>
      <c r="I179" s="447">
        <f t="shared" si="120"/>
        <v>0.19726166727892025</v>
      </c>
      <c r="J179" s="453">
        <f t="shared" si="113"/>
        <v>1.1320405857603673E-3</v>
      </c>
      <c r="K179" s="91">
        <f>(INDEX(Data!184:184,1,$U$1-2)+INDEX(Data!472:472,1,$U$1-2)-INDEX(Data!1463:1463,1,$U$1-2))/1000000</f>
        <v>9.3137430000000005</v>
      </c>
      <c r="L179" s="87">
        <f>(INDEX(Data!184:184,1,$U$1-1)+INDEX(Data!472:472,1,$U$1-1)-INDEX(Data!1463:1463,1,$U$1-1))/1000000</f>
        <v>9.1222820000000002</v>
      </c>
      <c r="M179" s="88">
        <f t="shared" si="138"/>
        <v>18.436025000000001</v>
      </c>
      <c r="N179" s="89">
        <f>(INDEX(Data!184:184,1,$U$1)+INDEX(Data!472:472,1,$U$1)-INDEX(Data!1463:1463,1,$U$1))/1000000</f>
        <v>11.580461</v>
      </c>
      <c r="O179" s="90">
        <f>(INDEX(Data!184:184,1,$U$1+1)+INDEX(Data!472:472,1,$U$1+1)-INDEX(Data!1463:1463,1,$U$1+1))/1000000</f>
        <v>11.574455</v>
      </c>
      <c r="P179" s="88">
        <f t="shared" si="139"/>
        <v>23.154916</v>
      </c>
      <c r="Q179" s="86">
        <f t="shared" si="123"/>
        <v>4.7188909999999993</v>
      </c>
      <c r="R179" s="447">
        <f t="shared" si="124"/>
        <v>0.25596032767367149</v>
      </c>
      <c r="S179" s="453">
        <f t="shared" si="115"/>
        <v>1.5577606856342185E-3</v>
      </c>
      <c r="T179" s="453">
        <f t="shared" si="116"/>
        <v>0.85074264168324132</v>
      </c>
    </row>
    <row r="180" spans="1:20" hidden="1" outlineLevel="1">
      <c r="A180" s="79" t="s">
        <v>1448</v>
      </c>
      <c r="B180" s="86">
        <f>(INDEX(Data!86:86,1,$U$1-2)+INDEX(Data!473:473,1,$U$1-2)-INDEX(Data!1307:1307,1,$U$1-2))/1000000</f>
        <v>12.708290999999999</v>
      </c>
      <c r="C180" s="87">
        <f>(INDEX(Data!86:86,1,$U$1-1)+INDEX(Data!473:473,1,$U$1-1)-INDEX(Data!1307:1307,1,$U$1-1))/1000000</f>
        <v>12.577145</v>
      </c>
      <c r="D180" s="88">
        <f t="shared" si="136"/>
        <v>25.285435999999997</v>
      </c>
      <c r="E180" s="89">
        <f>(INDEX(Data!86:86,1,$U$1)+INDEX(Data!473:473,1,$U$1)-INDEX(Data!1307:1307,1,$U$1))/1000000</f>
        <v>16.570592999999999</v>
      </c>
      <c r="F180" s="90">
        <f>(INDEX(Data!86:86,1,$U$1+1)+INDEX(Data!473:473,1,$U$1+1)-INDEX(Data!1307:1307,1,$U$1+1))/1000000</f>
        <v>16.553628</v>
      </c>
      <c r="G180" s="88">
        <f t="shared" si="137"/>
        <v>33.124220999999999</v>
      </c>
      <c r="H180" s="86">
        <f t="shared" si="119"/>
        <v>7.8387850000000014</v>
      </c>
      <c r="I180" s="447">
        <f t="shared" si="120"/>
        <v>0.31001185820960342</v>
      </c>
      <c r="J180" s="453">
        <f t="shared" si="113"/>
        <v>1.3777253915394489E-3</v>
      </c>
      <c r="K180" s="91">
        <f>(INDEX(Data!185:185,1,$U$1-2)+INDEX(Data!473:473,1,$U$1-2)-INDEX(Data!1464:1464,1,$U$1-2))/1000000</f>
        <v>10.655025999999999</v>
      </c>
      <c r="L180" s="87">
        <f>(INDEX(Data!185:185,1,$U$1-1)+INDEX(Data!473:473,1,$U$1-1)-INDEX(Data!1464:1464,1,$U$1-1))/1000000</f>
        <v>10.519947999999999</v>
      </c>
      <c r="M180" s="88">
        <f t="shared" si="138"/>
        <v>21.174973999999999</v>
      </c>
      <c r="N180" s="89">
        <f>(INDEX(Data!185:185,1,$U$1)+INDEX(Data!473:473,1,$U$1)-INDEX(Data!1464:1464,1,$U$1))/1000000</f>
        <v>14.270022000000001</v>
      </c>
      <c r="O180" s="90">
        <f>(INDEX(Data!185:185,1,$U$1+1)+INDEX(Data!473:473,1,$U$1+1)-INDEX(Data!1464:1464,1,$U$1+1))/1000000</f>
        <v>14.249464</v>
      </c>
      <c r="P180" s="88">
        <f t="shared" si="139"/>
        <v>28.519486000000001</v>
      </c>
      <c r="Q180" s="86">
        <f t="shared" si="123"/>
        <v>7.3445120000000017</v>
      </c>
      <c r="R180" s="447">
        <f t="shared" si="124"/>
        <v>0.34684869034549948</v>
      </c>
      <c r="S180" s="453">
        <f t="shared" si="115"/>
        <v>1.9186653091419334E-3</v>
      </c>
      <c r="T180" s="453">
        <f t="shared" si="116"/>
        <v>0.86098586288263212</v>
      </c>
    </row>
    <row r="181" spans="1:20" collapsed="1">
      <c r="A181" s="113" t="s">
        <v>789</v>
      </c>
      <c r="B181" s="105">
        <f>SUM(B178:B180)</f>
        <v>37.845106999999999</v>
      </c>
      <c r="C181" s="106">
        <f t="shared" ref="C181:H181" si="140">SUM(C178:C180)</f>
        <v>37.454751000000002</v>
      </c>
      <c r="D181" s="119">
        <f t="shared" si="140"/>
        <v>75.299858</v>
      </c>
      <c r="E181" s="114">
        <f t="shared" si="140"/>
        <v>48.377504999999999</v>
      </c>
      <c r="F181" s="115">
        <f t="shared" si="140"/>
        <v>48.342742999999999</v>
      </c>
      <c r="G181" s="107">
        <f t="shared" si="140"/>
        <v>96.720247999999998</v>
      </c>
      <c r="H181" s="105">
        <f t="shared" si="140"/>
        <v>21.420390000000001</v>
      </c>
      <c r="I181" s="449">
        <f t="shared" si="120"/>
        <v>0.28446786712399913</v>
      </c>
      <c r="J181" s="454">
        <f t="shared" si="113"/>
        <v>4.022855104897187E-3</v>
      </c>
      <c r="K181" s="405">
        <f>SUM(K178:K180)</f>
        <v>31.144223</v>
      </c>
      <c r="L181" s="106">
        <f t="shared" ref="L181:Q181" si="141">SUM(L178:L180)</f>
        <v>30.736595999999999</v>
      </c>
      <c r="M181" s="119">
        <f t="shared" si="141"/>
        <v>61.880819000000002</v>
      </c>
      <c r="N181" s="114">
        <f t="shared" si="141"/>
        <v>41.516003999999995</v>
      </c>
      <c r="O181" s="115">
        <f t="shared" si="141"/>
        <v>41.474759000000006</v>
      </c>
      <c r="P181" s="107">
        <f t="shared" si="141"/>
        <v>82.990763000000001</v>
      </c>
      <c r="Q181" s="105">
        <f t="shared" si="141"/>
        <v>21.109943999999999</v>
      </c>
      <c r="R181" s="449">
        <f t="shared" si="124"/>
        <v>0.34113872991887839</v>
      </c>
      <c r="S181" s="454">
        <f t="shared" si="115"/>
        <v>5.5832527257791368E-3</v>
      </c>
      <c r="T181" s="454">
        <f t="shared" si="116"/>
        <v>0.8580495265065905</v>
      </c>
    </row>
    <row r="182" spans="1:20" hidden="1" outlineLevel="1">
      <c r="A182" s="79" t="s">
        <v>1407</v>
      </c>
      <c r="B182" s="86">
        <f>(INDEX(Data!321:321,1,$U$1-2)+INDEX(Data!838:838,1,$U$1-2)-INDEX(Data!1324:1324,1,$U$1-2))/1000000</f>
        <v>76.791771999999995</v>
      </c>
      <c r="C182" s="87">
        <f>(INDEX(Data!321:321,1,$U$1-1)+INDEX(Data!838:838,1,$U$1-1)-INDEX(Data!1324:1324,1,$U$1-1))/1000000</f>
        <v>77.376874999999998</v>
      </c>
      <c r="D182" s="88">
        <f t="shared" ref="D182:D232" si="142">B182+C182</f>
        <v>154.16864699999999</v>
      </c>
      <c r="E182" s="89">
        <f>(INDEX(Data!321:321,1,$U$1)+INDEX(Data!838:838,1,$U$1)-INDEX(Data!1324:1324,1,$U$1))/1000000</f>
        <v>80.089402000000007</v>
      </c>
      <c r="F182" s="90">
        <f>(INDEX(Data!321:321,1,$U$1+1)+INDEX(Data!838:838,1,$U$1+1)-INDEX(Data!1324:1324,1,$U$1+1))/1000000</f>
        <v>80.089410000000001</v>
      </c>
      <c r="G182" s="88">
        <f t="shared" ref="G182:G232" si="143">E182+F182</f>
        <v>160.17881199999999</v>
      </c>
      <c r="H182" s="86">
        <f t="shared" ref="H182:H231" si="144">G182-D182</f>
        <v>6.0101650000000006</v>
      </c>
      <c r="I182" s="447">
        <f t="shared" si="120"/>
        <v>3.8984353284231658E-2</v>
      </c>
      <c r="J182" s="453">
        <f t="shared" si="113"/>
        <v>6.662267362575071E-3</v>
      </c>
      <c r="K182" s="91">
        <f>(INDEX(Data!373:373,1,$U$1-2)+INDEX(Data!838:838,1,$U$1-2)-INDEX(Data!1481:1481,1,$U$1-2))/1000000</f>
        <v>76.791771999999995</v>
      </c>
      <c r="L182" s="87">
        <f>(INDEX(Data!373:373,1,$U$1-1)+INDEX(Data!838:838,1,$U$1-1)-INDEX(Data!1481:1481,1,$U$1-1))/1000000</f>
        <v>77.376874999999998</v>
      </c>
      <c r="M182" s="88">
        <f t="shared" ref="M182:M232" si="145">K182+L182</f>
        <v>154.16864699999999</v>
      </c>
      <c r="N182" s="89">
        <f>(INDEX(Data!373:373,1,$U$1)+INDEX(Data!838:838,1,$U$1)-INDEX(Data!1481:1481,1,$U$1))/1000000</f>
        <v>80.089402000000007</v>
      </c>
      <c r="O182" s="90">
        <f>(INDEX(Data!373:373,1,$U$1+1)+INDEX(Data!838:838,1,$U$1+1)-INDEX(Data!1481:1481,1,$U$1+1))/1000000</f>
        <v>80.089410000000001</v>
      </c>
      <c r="P182" s="88">
        <f t="shared" ref="P182:P232" si="146">N182+O182</f>
        <v>160.17881199999999</v>
      </c>
      <c r="Q182" s="86">
        <f t="shared" ref="Q182:Q231" si="147">P182-M182</f>
        <v>6.0101650000000006</v>
      </c>
      <c r="R182" s="447">
        <f t="shared" si="124"/>
        <v>3.8984353284231658E-2</v>
      </c>
      <c r="S182" s="453">
        <f t="shared" si="115"/>
        <v>1.0776124430993168E-2</v>
      </c>
      <c r="T182" s="453">
        <f t="shared" si="116"/>
        <v>1</v>
      </c>
    </row>
    <row r="183" spans="1:20" hidden="1" outlineLevel="1">
      <c r="A183" s="79" t="s">
        <v>102</v>
      </c>
      <c r="B183" s="86">
        <f>(INDEX(Data!322:322,1,$U$1-2)+INDEX(Data!839:839,1,$U$1-2)-INDEX(Data!1325:1325,1,$U$1-2))/1000000</f>
        <v>9.6061800000000002</v>
      </c>
      <c r="C183" s="87">
        <f>(INDEX(Data!322:322,1,$U$1-1)+INDEX(Data!839:839,1,$U$1-1)-INDEX(Data!1325:1325,1,$U$1-1))/1000000</f>
        <v>9.6824759999999994</v>
      </c>
      <c r="D183" s="88">
        <f t="shared" si="142"/>
        <v>19.288656</v>
      </c>
      <c r="E183" s="89">
        <f>(INDEX(Data!322:322,1,$U$1)+INDEX(Data!839:839,1,$U$1)-INDEX(Data!1325:1325,1,$U$1))/1000000</f>
        <v>9.5012899999999991</v>
      </c>
      <c r="F183" s="90">
        <f>(INDEX(Data!322:322,1,$U$1+1)+INDEX(Data!839:839,1,$U$1+1)-INDEX(Data!1325:1325,1,$U$1+1))/1000000</f>
        <v>9.5012899999999991</v>
      </c>
      <c r="G183" s="88">
        <f t="shared" si="143"/>
        <v>19.002579999999998</v>
      </c>
      <c r="H183" s="86">
        <f t="shared" si="144"/>
        <v>-0.28607600000000133</v>
      </c>
      <c r="I183" s="447">
        <f t="shared" si="120"/>
        <v>-1.4831308101508022E-2</v>
      </c>
      <c r="J183" s="453">
        <f t="shared" si="113"/>
        <v>7.9036838242202586E-4</v>
      </c>
      <c r="K183" s="91">
        <f>(INDEX(Data!374:374,1,$U$1-2)+INDEX(Data!839:839,1,$U$1-2)-INDEX(Data!1482:1482,1,$U$1-2))/1000000</f>
        <v>9.6061800000000002</v>
      </c>
      <c r="L183" s="87">
        <f>(INDEX(Data!374:374,1,$U$1-1)+INDEX(Data!839:839,1,$U$1-1)-INDEX(Data!1482:1482,1,$U$1-1))/1000000</f>
        <v>9.6824759999999994</v>
      </c>
      <c r="M183" s="88">
        <f t="shared" si="145"/>
        <v>19.288656</v>
      </c>
      <c r="N183" s="89">
        <f>(INDEX(Data!374:374,1,$U$1)+INDEX(Data!839:839,1,$U$1)-INDEX(Data!1482:1482,1,$U$1))/1000000</f>
        <v>9.5012899999999991</v>
      </c>
      <c r="O183" s="90">
        <f>(INDEX(Data!374:374,1,$U$1+1)+INDEX(Data!839:839,1,$U$1+1)-INDEX(Data!1482:1482,1,$U$1+1))/1000000</f>
        <v>9.5012899999999991</v>
      </c>
      <c r="P183" s="88">
        <f t="shared" si="146"/>
        <v>19.002579999999998</v>
      </c>
      <c r="Q183" s="86">
        <f t="shared" si="147"/>
        <v>-0.28607600000000133</v>
      </c>
      <c r="R183" s="447">
        <f t="shared" si="124"/>
        <v>-1.4831308101508022E-2</v>
      </c>
      <c r="S183" s="453">
        <f t="shared" si="115"/>
        <v>1.2784098223296981E-3</v>
      </c>
      <c r="T183" s="453">
        <f t="shared" si="116"/>
        <v>1</v>
      </c>
    </row>
    <row r="184" spans="1:20" hidden="1" outlineLevel="1">
      <c r="A184" s="79" t="s">
        <v>103</v>
      </c>
      <c r="B184" s="86">
        <f>(INDEX(Data!323:323,1,$U$1-2)+INDEX(Data!840:840,1,$U$1-2)-INDEX(Data!1326:1326,1,$U$1-2))/1000000</f>
        <v>17.398554000000001</v>
      </c>
      <c r="C184" s="87">
        <f>(INDEX(Data!323:323,1,$U$1-1)+INDEX(Data!840:840,1,$U$1-1)-INDEX(Data!1326:1326,1,$U$1-1))/1000000</f>
        <v>17.575284</v>
      </c>
      <c r="D184" s="88">
        <f t="shared" si="142"/>
        <v>34.973838000000001</v>
      </c>
      <c r="E184" s="89">
        <f>(INDEX(Data!323:323,1,$U$1)+INDEX(Data!840:840,1,$U$1)-INDEX(Data!1326:1326,1,$U$1))/1000000</f>
        <v>18.851554</v>
      </c>
      <c r="F184" s="90">
        <f>(INDEX(Data!323:323,1,$U$1+1)+INDEX(Data!840:840,1,$U$1+1)-INDEX(Data!1326:1326,1,$U$1+1))/1000000</f>
        <v>18.851552000000002</v>
      </c>
      <c r="G184" s="88">
        <f t="shared" si="143"/>
        <v>37.703106000000005</v>
      </c>
      <c r="H184" s="86">
        <f t="shared" si="144"/>
        <v>2.7292680000000047</v>
      </c>
      <c r="I184" s="447">
        <f t="shared" si="120"/>
        <v>7.8037417569098502E-2</v>
      </c>
      <c r="J184" s="453">
        <f t="shared" si="113"/>
        <v>1.5681735270424429E-3</v>
      </c>
      <c r="K184" s="91">
        <f>(INDEX(Data!375:375,1,$U$1-2)+INDEX(Data!840:840,1,$U$1-2)-INDEX(Data!1483:1483,1,$U$1-2))/1000000</f>
        <v>17.398554000000001</v>
      </c>
      <c r="L184" s="87">
        <f>(INDEX(Data!375:375,1,$U$1-1)+INDEX(Data!840:840,1,$U$1-1)-INDEX(Data!1483:1483,1,$U$1-1))/1000000</f>
        <v>17.575284</v>
      </c>
      <c r="M184" s="88">
        <f t="shared" si="145"/>
        <v>34.973838000000001</v>
      </c>
      <c r="N184" s="89">
        <f>(INDEX(Data!375:375,1,$U$1)+INDEX(Data!840:840,1,$U$1)-INDEX(Data!1483:1483,1,$U$1))/1000000</f>
        <v>18.851554</v>
      </c>
      <c r="O184" s="90">
        <f>(INDEX(Data!375:375,1,$U$1+1)+INDEX(Data!840:840,1,$U$1+1)-INDEX(Data!1483:1483,1,$U$1+1))/1000000</f>
        <v>18.851552000000002</v>
      </c>
      <c r="P184" s="88">
        <f t="shared" si="146"/>
        <v>37.703106000000005</v>
      </c>
      <c r="Q184" s="86">
        <f t="shared" si="147"/>
        <v>2.7292680000000047</v>
      </c>
      <c r="R184" s="447">
        <f t="shared" si="124"/>
        <v>7.8037417569098502E-2</v>
      </c>
      <c r="S184" s="453">
        <f t="shared" si="115"/>
        <v>2.5364987829409372E-3</v>
      </c>
      <c r="T184" s="453">
        <f t="shared" si="116"/>
        <v>1</v>
      </c>
    </row>
    <row r="185" spans="1:20" hidden="1" outlineLevel="1">
      <c r="A185" s="79" t="s">
        <v>104</v>
      </c>
      <c r="B185" s="86">
        <f>(INDEX(Data!324:324,1,$U$1-2)+INDEX(Data!841:841,1,$U$1-2)-INDEX(Data!1327:1327,1,$U$1-2))/1000000</f>
        <v>9.0149650000000001</v>
      </c>
      <c r="C185" s="87">
        <f>(INDEX(Data!324:324,1,$U$1-1)+INDEX(Data!841:841,1,$U$1-1)-INDEX(Data!1327:1327,1,$U$1-1))/1000000</f>
        <v>9.0855479999999993</v>
      </c>
      <c r="D185" s="88">
        <f t="shared" si="142"/>
        <v>18.100512999999999</v>
      </c>
      <c r="E185" s="89">
        <f>(INDEX(Data!324:324,1,$U$1)+INDEX(Data!841:841,1,$U$1)-INDEX(Data!1327:1327,1,$U$1))/1000000</f>
        <v>10.155619</v>
      </c>
      <c r="F185" s="90">
        <f>(INDEX(Data!324:324,1,$U$1+1)+INDEX(Data!841:841,1,$U$1+1)-INDEX(Data!1327:1327,1,$U$1+1))/1000000</f>
        <v>10.155618</v>
      </c>
      <c r="G185" s="88">
        <f t="shared" si="143"/>
        <v>20.311236999999998</v>
      </c>
      <c r="H185" s="86">
        <f t="shared" si="144"/>
        <v>2.210723999999999</v>
      </c>
      <c r="I185" s="447">
        <f t="shared" si="120"/>
        <v>0.12213598586957171</v>
      </c>
      <c r="J185" s="453">
        <f t="shared" si="113"/>
        <v>8.4479894481067318E-4</v>
      </c>
      <c r="K185" s="91">
        <f>(INDEX(Data!376:376,1,$U$1-2)+INDEX(Data!841:841,1,$U$1-2)-INDEX(Data!1484:1484,1,$U$1-2))/1000000</f>
        <v>9.0149650000000001</v>
      </c>
      <c r="L185" s="87">
        <f>(INDEX(Data!376:376,1,$U$1-1)+INDEX(Data!841:841,1,$U$1-1)-INDEX(Data!1484:1484,1,$U$1-1))/1000000</f>
        <v>9.0855479999999993</v>
      </c>
      <c r="M185" s="88">
        <f t="shared" si="145"/>
        <v>18.100512999999999</v>
      </c>
      <c r="N185" s="89">
        <f>(INDEX(Data!376:376,1,$U$1)+INDEX(Data!841:841,1,$U$1)-INDEX(Data!1484:1484,1,$U$1))/1000000</f>
        <v>10.155619</v>
      </c>
      <c r="O185" s="90">
        <f>(INDEX(Data!376:376,1,$U$1+1)+INDEX(Data!841:841,1,$U$1+1)-INDEX(Data!1484:1484,1,$U$1+1))/1000000</f>
        <v>10.155618</v>
      </c>
      <c r="P185" s="88">
        <f t="shared" si="146"/>
        <v>20.311236999999998</v>
      </c>
      <c r="Q185" s="86">
        <f t="shared" si="147"/>
        <v>2.210723999999999</v>
      </c>
      <c r="R185" s="447">
        <f t="shared" si="124"/>
        <v>0.12213598586957171</v>
      </c>
      <c r="S185" s="453">
        <f t="shared" si="115"/>
        <v>1.3664504969570655E-3</v>
      </c>
      <c r="T185" s="453">
        <f t="shared" si="116"/>
        <v>1</v>
      </c>
    </row>
    <row r="186" spans="1:20" hidden="1" outlineLevel="1">
      <c r="A186" s="79" t="s">
        <v>105</v>
      </c>
      <c r="B186" s="86">
        <f>(INDEX(Data!325:325,1,$U$1-2)+INDEX(Data!842:842,1,$U$1-2)-INDEX(Data!1328:1328,1,$U$1-2))/1000000</f>
        <v>58.944578</v>
      </c>
      <c r="C186" s="87">
        <f>(INDEX(Data!325:325,1,$U$1-1)+INDEX(Data!842:842,1,$U$1-1)-INDEX(Data!1328:1328,1,$U$1-1))/1000000</f>
        <v>54.849248000000003</v>
      </c>
      <c r="D186" s="88">
        <f t="shared" si="142"/>
        <v>113.793826</v>
      </c>
      <c r="E186" s="89">
        <f>(INDEX(Data!325:325,1,$U$1)+INDEX(Data!842:842,1,$U$1)-INDEX(Data!1328:1328,1,$U$1))/1000000</f>
        <v>60.455241999999998</v>
      </c>
      <c r="F186" s="90">
        <f>(INDEX(Data!325:325,1,$U$1+1)+INDEX(Data!842:842,1,$U$1+1)-INDEX(Data!1328:1328,1,$U$1+1))/1000000</f>
        <v>55.895240999999999</v>
      </c>
      <c r="G186" s="88">
        <f t="shared" si="143"/>
        <v>116.350483</v>
      </c>
      <c r="H186" s="86">
        <f t="shared" si="144"/>
        <v>2.5566570000000013</v>
      </c>
      <c r="I186" s="447">
        <f t="shared" si="120"/>
        <v>2.2467449156688003E-2</v>
      </c>
      <c r="J186" s="453">
        <f t="shared" si="113"/>
        <v>4.8393293459483618E-3</v>
      </c>
      <c r="K186" s="91">
        <f>(INDEX(Data!377:377,1,$U$1-2)+INDEX(Data!842:842,1,$U$1-2)-INDEX(Data!1485:1485,1,$U$1-2))/1000000</f>
        <v>58.944578</v>
      </c>
      <c r="L186" s="87">
        <f>(INDEX(Data!377:377,1,$U$1-1)+INDEX(Data!842:842,1,$U$1-1)-INDEX(Data!1485:1485,1,$U$1-1))/1000000</f>
        <v>54.849248000000003</v>
      </c>
      <c r="M186" s="88">
        <f t="shared" si="145"/>
        <v>113.793826</v>
      </c>
      <c r="N186" s="89">
        <f>(INDEX(Data!377:377,1,$U$1)+INDEX(Data!842:842,1,$U$1)-INDEX(Data!1485:1485,1,$U$1))/1000000</f>
        <v>60.455241999999998</v>
      </c>
      <c r="O186" s="90">
        <f>(INDEX(Data!377:377,1,$U$1+1)+INDEX(Data!842:842,1,$U$1+1)-INDEX(Data!1485:1485,1,$U$1+1))/1000000</f>
        <v>55.895240999999999</v>
      </c>
      <c r="P186" s="88">
        <f t="shared" si="146"/>
        <v>116.350483</v>
      </c>
      <c r="Q186" s="86">
        <f t="shared" si="147"/>
        <v>2.5566570000000013</v>
      </c>
      <c r="R186" s="447">
        <f t="shared" si="124"/>
        <v>2.2467449156688003E-2</v>
      </c>
      <c r="S186" s="453">
        <f t="shared" si="115"/>
        <v>7.8275476435307519E-3</v>
      </c>
      <c r="T186" s="453">
        <f t="shared" si="116"/>
        <v>1</v>
      </c>
    </row>
    <row r="187" spans="1:20" hidden="1" outlineLevel="1">
      <c r="A187" s="79" t="s">
        <v>106</v>
      </c>
      <c r="B187" s="86">
        <f>(INDEX(Data!326:326,1,$U$1-2)+INDEX(Data!843:843,1,$U$1-2)-INDEX(Data!1329:1329,1,$U$1-2))/1000000</f>
        <v>27.378321</v>
      </c>
      <c r="C187" s="87">
        <f>(INDEX(Data!326:326,1,$U$1-1)+INDEX(Data!843:843,1,$U$1-1)-INDEX(Data!1329:1329,1,$U$1-1))/1000000</f>
        <v>27.549569999999999</v>
      </c>
      <c r="D187" s="88">
        <f t="shared" si="142"/>
        <v>54.927891000000002</v>
      </c>
      <c r="E187" s="89">
        <f>(INDEX(Data!326:326,1,$U$1)+INDEX(Data!843:843,1,$U$1)-INDEX(Data!1329:1329,1,$U$1))/1000000</f>
        <v>28.481477999999999</v>
      </c>
      <c r="F187" s="90">
        <f>(INDEX(Data!326:326,1,$U$1+1)+INDEX(Data!843:843,1,$U$1+1)-INDEX(Data!1329:1329,1,$U$1+1))/1000000</f>
        <v>28.344677000000001</v>
      </c>
      <c r="G187" s="88">
        <f t="shared" si="143"/>
        <v>56.826155</v>
      </c>
      <c r="H187" s="86">
        <f t="shared" si="144"/>
        <v>1.8982639999999975</v>
      </c>
      <c r="I187" s="447">
        <f t="shared" si="120"/>
        <v>3.4559200534387845E-2</v>
      </c>
      <c r="J187" s="453">
        <f t="shared" si="113"/>
        <v>2.3635525390032996E-3</v>
      </c>
      <c r="K187" s="91">
        <f>(INDEX(Data!378:378,1,$U$1-2)+INDEX(Data!843:843,1,$U$1-2)-INDEX(Data!1486:1486,1,$U$1-2))/1000000</f>
        <v>27.378321</v>
      </c>
      <c r="L187" s="87">
        <f>(INDEX(Data!378:378,1,$U$1-1)+INDEX(Data!843:843,1,$U$1-1)-INDEX(Data!1486:1486,1,$U$1-1))/1000000</f>
        <v>27.549569999999999</v>
      </c>
      <c r="M187" s="88">
        <f t="shared" si="145"/>
        <v>54.927891000000002</v>
      </c>
      <c r="N187" s="89">
        <f>(INDEX(Data!378:378,1,$U$1)+INDEX(Data!843:843,1,$U$1)-INDEX(Data!1486:1486,1,$U$1))/1000000</f>
        <v>28.481477999999999</v>
      </c>
      <c r="O187" s="90">
        <f>(INDEX(Data!378:378,1,$U$1+1)+INDEX(Data!843:843,1,$U$1+1)-INDEX(Data!1486:1486,1,$U$1+1))/1000000</f>
        <v>28.344677000000001</v>
      </c>
      <c r="P187" s="88">
        <f t="shared" si="146"/>
        <v>56.826155</v>
      </c>
      <c r="Q187" s="86">
        <f t="shared" si="147"/>
        <v>1.8982639999999975</v>
      </c>
      <c r="R187" s="447">
        <f t="shared" si="124"/>
        <v>3.4559200534387845E-2</v>
      </c>
      <c r="S187" s="453">
        <f t="shared" si="115"/>
        <v>3.8230132285842185E-3</v>
      </c>
      <c r="T187" s="453">
        <f t="shared" si="116"/>
        <v>1</v>
      </c>
    </row>
    <row r="188" spans="1:20" hidden="1" outlineLevel="1">
      <c r="A188" s="79" t="s">
        <v>107</v>
      </c>
      <c r="B188" s="86">
        <f>(INDEX(Data!327:327,1,$U$1-2)+INDEX(Data!844:844,1,$U$1-2)-INDEX(Data!1330:1330,1,$U$1-2))/1000000</f>
        <v>6.9295710000000001</v>
      </c>
      <c r="C188" s="87">
        <f>(INDEX(Data!327:327,1,$U$1-1)+INDEX(Data!844:844,1,$U$1-1)-INDEX(Data!1330:1330,1,$U$1-1))/1000000</f>
        <v>6.9964729999999999</v>
      </c>
      <c r="D188" s="88">
        <f t="shared" si="142"/>
        <v>13.926044000000001</v>
      </c>
      <c r="E188" s="89">
        <f>(INDEX(Data!327:327,1,$U$1)+INDEX(Data!844:844,1,$U$1)-INDEX(Data!1330:1330,1,$U$1))/1000000</f>
        <v>7.506195</v>
      </c>
      <c r="F188" s="90">
        <f>(INDEX(Data!327:327,1,$U$1+1)+INDEX(Data!844:844,1,$U$1+1)-INDEX(Data!1330:1330,1,$U$1+1))/1000000</f>
        <v>7.5061939999999998</v>
      </c>
      <c r="G188" s="88">
        <f t="shared" si="143"/>
        <v>15.012388999999999</v>
      </c>
      <c r="H188" s="86">
        <f t="shared" si="144"/>
        <v>1.0863449999999979</v>
      </c>
      <c r="I188" s="447">
        <f t="shared" si="120"/>
        <v>7.800815507979135E-2</v>
      </c>
      <c r="J188" s="453">
        <f t="shared" si="113"/>
        <v>6.244056128283746E-4</v>
      </c>
      <c r="K188" s="91">
        <f>(INDEX(Data!379:379,1,$U$1-2)+INDEX(Data!844:844,1,$U$1-2)-INDEX(Data!1487:1487,1,$U$1-2))/1000000</f>
        <v>6.9295710000000001</v>
      </c>
      <c r="L188" s="87">
        <f>(INDEX(Data!379:379,1,$U$1-1)+INDEX(Data!844:844,1,$U$1-1)-INDEX(Data!1487:1487,1,$U$1-1))/1000000</f>
        <v>6.9964729999999999</v>
      </c>
      <c r="M188" s="88">
        <f t="shared" si="145"/>
        <v>13.926044000000001</v>
      </c>
      <c r="N188" s="89">
        <f>(INDEX(Data!379:379,1,$U$1)+INDEX(Data!844:844,1,$U$1)-INDEX(Data!1487:1487,1,$U$1))/1000000</f>
        <v>7.506195</v>
      </c>
      <c r="O188" s="90">
        <f>(INDEX(Data!379:379,1,$U$1+1)+INDEX(Data!844:844,1,$U$1+1)-INDEX(Data!1487:1487,1,$U$1+1))/1000000</f>
        <v>7.5061939999999998</v>
      </c>
      <c r="P188" s="88">
        <f t="shared" si="146"/>
        <v>15.012388999999999</v>
      </c>
      <c r="Q188" s="86">
        <f t="shared" si="147"/>
        <v>1.0863449999999979</v>
      </c>
      <c r="R188" s="447">
        <f t="shared" si="124"/>
        <v>7.800815507979135E-2</v>
      </c>
      <c r="S188" s="453">
        <f t="shared" si="115"/>
        <v>1.0099673599181962E-3</v>
      </c>
      <c r="T188" s="453">
        <f t="shared" si="116"/>
        <v>1</v>
      </c>
    </row>
    <row r="189" spans="1:20" hidden="1" outlineLevel="1">
      <c r="A189" s="79" t="s">
        <v>108</v>
      </c>
      <c r="B189" s="86">
        <f>(INDEX(Data!328:328,1,$U$1-2)+INDEX(Data!845:845,1,$U$1-2)-INDEX(Data!1331:1331,1,$U$1-2))/1000000</f>
        <v>19.461772</v>
      </c>
      <c r="C189" s="87">
        <f>(INDEX(Data!328:328,1,$U$1-1)+INDEX(Data!845:845,1,$U$1-1)-INDEX(Data!1331:1331,1,$U$1-1))/1000000</f>
        <v>19.591429999999999</v>
      </c>
      <c r="D189" s="88">
        <f t="shared" si="142"/>
        <v>39.053201999999999</v>
      </c>
      <c r="E189" s="89">
        <f>(INDEX(Data!328:328,1,$U$1)+INDEX(Data!845:845,1,$U$1)-INDEX(Data!1331:1331,1,$U$1))/1000000</f>
        <v>19.318491000000002</v>
      </c>
      <c r="F189" s="90">
        <f>(INDEX(Data!328:328,1,$U$1+1)+INDEX(Data!845:845,1,$U$1+1)-INDEX(Data!1331:1331,1,$U$1+1))/1000000</f>
        <v>19.318490000000001</v>
      </c>
      <c r="G189" s="88">
        <f t="shared" si="143"/>
        <v>38.636981000000006</v>
      </c>
      <c r="H189" s="86">
        <f t="shared" si="144"/>
        <v>-0.41622099999999307</v>
      </c>
      <c r="I189" s="447">
        <f t="shared" si="120"/>
        <v>-1.0657794462026266E-2</v>
      </c>
      <c r="J189" s="453">
        <f t="shared" si="113"/>
        <v>1.6070158986116914E-3</v>
      </c>
      <c r="K189" s="91">
        <f>(INDEX(Data!380:380,1,$U$1-2)+INDEX(Data!845:845,1,$U$1-2)-INDEX(Data!1488:1488,1,$U$1-2))/1000000</f>
        <v>19.461772</v>
      </c>
      <c r="L189" s="87">
        <f>(INDEX(Data!380:380,1,$U$1-1)+INDEX(Data!845:845,1,$U$1-1)-INDEX(Data!1488:1488,1,$U$1-1))/1000000</f>
        <v>19.591429999999999</v>
      </c>
      <c r="M189" s="88">
        <f t="shared" si="145"/>
        <v>39.053201999999999</v>
      </c>
      <c r="N189" s="89">
        <f>(INDEX(Data!380:380,1,$U$1)+INDEX(Data!845:845,1,$U$1)-INDEX(Data!1488:1488,1,$U$1))/1000000</f>
        <v>19.318491000000002</v>
      </c>
      <c r="O189" s="90">
        <f>(INDEX(Data!380:380,1,$U$1+1)+INDEX(Data!845:845,1,$U$1+1)-INDEX(Data!1488:1488,1,$U$1+1))/1000000</f>
        <v>19.318490000000001</v>
      </c>
      <c r="P189" s="88">
        <f t="shared" si="146"/>
        <v>38.636981000000006</v>
      </c>
      <c r="Q189" s="86">
        <f t="shared" si="147"/>
        <v>-0.41622099999999307</v>
      </c>
      <c r="R189" s="447">
        <f t="shared" si="124"/>
        <v>-1.0657794462026266E-2</v>
      </c>
      <c r="S189" s="453">
        <f t="shared" si="115"/>
        <v>2.5993257765822291E-3</v>
      </c>
      <c r="T189" s="453">
        <f t="shared" si="116"/>
        <v>1</v>
      </c>
    </row>
    <row r="190" spans="1:20" hidden="1" outlineLevel="1">
      <c r="A190" s="79" t="s">
        <v>1404</v>
      </c>
      <c r="B190" s="86">
        <f>(INDEX(Data!329:329,1,$U$1-2)+INDEX(Data!846:846,1,$U$1-2)-INDEX(Data!1332:1332,1,$U$1-2))/1000000</f>
        <v>5.9854380000000003</v>
      </c>
      <c r="C190" s="87">
        <f>(INDEX(Data!329:329,1,$U$1-1)+INDEX(Data!846:846,1,$U$1-1)-INDEX(Data!1332:1332,1,$U$1-1))/1000000</f>
        <v>6.0308409999999997</v>
      </c>
      <c r="D190" s="88">
        <f t="shared" si="142"/>
        <v>12.016279000000001</v>
      </c>
      <c r="E190" s="89">
        <f>(INDEX(Data!329:329,1,$U$1)+INDEX(Data!846:846,1,$U$1)-INDEX(Data!1332:1332,1,$U$1))/1000000</f>
        <v>6.3815470000000003</v>
      </c>
      <c r="F190" s="90">
        <f>(INDEX(Data!329:329,1,$U$1+1)+INDEX(Data!846:846,1,$U$1+1)-INDEX(Data!1332:1332,1,$U$1+1))/1000000</f>
        <v>6.3815460000000002</v>
      </c>
      <c r="G190" s="88">
        <f t="shared" si="143"/>
        <v>12.763093000000001</v>
      </c>
      <c r="H190" s="86">
        <f t="shared" si="144"/>
        <v>0.74681400000000053</v>
      </c>
      <c r="I190" s="447">
        <f t="shared" si="120"/>
        <v>6.2150188090672701E-2</v>
      </c>
      <c r="J190" s="453">
        <f t="shared" si="113"/>
        <v>5.3085134592838884E-4</v>
      </c>
      <c r="K190" s="91">
        <f>(INDEX(Data!381:381,1,$U$1-2)+INDEX(Data!846:846,1,$U$1-2)-INDEX(Data!1489:1489,1,$U$1-2))/1000000</f>
        <v>5.9854380000000003</v>
      </c>
      <c r="L190" s="87">
        <f>(INDEX(Data!381:381,1,$U$1-1)+INDEX(Data!846:846,1,$U$1-1)-INDEX(Data!1489:1489,1,$U$1-1))/1000000</f>
        <v>6.0308409999999997</v>
      </c>
      <c r="M190" s="88">
        <f t="shared" si="145"/>
        <v>12.016279000000001</v>
      </c>
      <c r="N190" s="89">
        <f>(INDEX(Data!381:381,1,$U$1)+INDEX(Data!846:846,1,$U$1)-INDEX(Data!1489:1489,1,$U$1))/1000000</f>
        <v>6.3815470000000003</v>
      </c>
      <c r="O190" s="90">
        <f>(INDEX(Data!381:381,1,$U$1+1)+INDEX(Data!846:846,1,$U$1+1)-INDEX(Data!1489:1489,1,$U$1+1))/1000000</f>
        <v>6.3815460000000002</v>
      </c>
      <c r="P190" s="88">
        <f t="shared" si="146"/>
        <v>12.763093000000001</v>
      </c>
      <c r="Q190" s="86">
        <f t="shared" si="147"/>
        <v>0.74681400000000053</v>
      </c>
      <c r="R190" s="447">
        <f t="shared" si="124"/>
        <v>6.2150188090672701E-2</v>
      </c>
      <c r="S190" s="453">
        <f t="shared" si="115"/>
        <v>8.5864463954407339E-4</v>
      </c>
      <c r="T190" s="453">
        <f t="shared" si="116"/>
        <v>1</v>
      </c>
    </row>
    <row r="191" spans="1:20" hidden="1" outlineLevel="1">
      <c r="A191" s="79" t="s">
        <v>110</v>
      </c>
      <c r="B191" s="86">
        <f>(INDEX(Data!330:330,1,$U$1-2)+INDEX(Data!847:847,1,$U$1-2)-INDEX(Data!1333:1333,1,$U$1-2))/1000000</f>
        <v>3.3379319999999999</v>
      </c>
      <c r="C191" s="87">
        <f>(INDEX(Data!330:330,1,$U$1-1)+INDEX(Data!847:847,1,$U$1-1)-INDEX(Data!1333:1333,1,$U$1-1))/1000000</f>
        <v>3.3608189999999998</v>
      </c>
      <c r="D191" s="88">
        <f t="shared" si="142"/>
        <v>6.6987509999999997</v>
      </c>
      <c r="E191" s="89">
        <f>(INDEX(Data!330:330,1,$U$1)+INDEX(Data!847:847,1,$U$1)-INDEX(Data!1333:1333,1,$U$1))/1000000</f>
        <v>3.4518659999999999</v>
      </c>
      <c r="F191" s="90">
        <f>(INDEX(Data!330:330,1,$U$1+1)+INDEX(Data!847:847,1,$U$1+1)-INDEX(Data!1333:1333,1,$U$1+1))/1000000</f>
        <v>3.4518650000000002</v>
      </c>
      <c r="G191" s="88">
        <f t="shared" si="143"/>
        <v>6.9037310000000005</v>
      </c>
      <c r="H191" s="86">
        <f t="shared" si="144"/>
        <v>0.20498000000000083</v>
      </c>
      <c r="I191" s="447">
        <f t="shared" si="120"/>
        <v>3.0599734189254213E-2</v>
      </c>
      <c r="J191" s="453">
        <f t="shared" si="113"/>
        <v>2.8714472998649635E-4</v>
      </c>
      <c r="K191" s="91">
        <f>(INDEX(Data!382:382,1,$U$1-2)+INDEX(Data!847:847,1,$U$1-2)-INDEX(Data!1490:1490,1,$U$1-2))/1000000</f>
        <v>3.3379319999999999</v>
      </c>
      <c r="L191" s="87">
        <f>(INDEX(Data!382:382,1,$U$1-1)+INDEX(Data!847:847,1,$U$1-1)-INDEX(Data!1490:1490,1,$U$1-1))/1000000</f>
        <v>3.3608189999999998</v>
      </c>
      <c r="M191" s="88">
        <f t="shared" si="145"/>
        <v>6.6987509999999997</v>
      </c>
      <c r="N191" s="89">
        <f>(INDEX(Data!382:382,1,$U$1)+INDEX(Data!847:847,1,$U$1)-INDEX(Data!1490:1490,1,$U$1))/1000000</f>
        <v>3.4518659999999999</v>
      </c>
      <c r="O191" s="90">
        <f>(INDEX(Data!382:382,1,$U$1+1)+INDEX(Data!847:847,1,$U$1+1)-INDEX(Data!1490:1490,1,$U$1+1))/1000000</f>
        <v>3.4518650000000002</v>
      </c>
      <c r="P191" s="88">
        <f t="shared" si="146"/>
        <v>6.9037310000000005</v>
      </c>
      <c r="Q191" s="86">
        <f t="shared" si="147"/>
        <v>0.20498000000000083</v>
      </c>
      <c r="R191" s="447">
        <f t="shared" si="124"/>
        <v>3.0599734189254213E-2</v>
      </c>
      <c r="S191" s="453">
        <f t="shared" si="115"/>
        <v>4.6445259123350786E-4</v>
      </c>
      <c r="T191" s="453">
        <f t="shared" si="116"/>
        <v>1</v>
      </c>
    </row>
    <row r="192" spans="1:20" hidden="1" outlineLevel="1">
      <c r="A192" s="79" t="s">
        <v>167</v>
      </c>
      <c r="B192" s="86">
        <f>(INDEX(Data!331:331,1,$U$1-2)+INDEX(Data!848:848,1,$U$1-2)-INDEX(Data!1334:1334,1,$U$1-2))/1000000</f>
        <v>8.4310569999999991</v>
      </c>
      <c r="C192" s="87">
        <f>(INDEX(Data!331:331,1,$U$1-1)+INDEX(Data!848:848,1,$U$1-1)-INDEX(Data!1334:1334,1,$U$1-1))/1000000</f>
        <v>8.488823</v>
      </c>
      <c r="D192" s="88">
        <f t="shared" si="142"/>
        <v>16.919879999999999</v>
      </c>
      <c r="E192" s="89">
        <f>(INDEX(Data!331:331,1,$U$1)+INDEX(Data!848:848,1,$U$1)-INDEX(Data!1334:1334,1,$U$1))/1000000</f>
        <v>8.1133609999999994</v>
      </c>
      <c r="F192" s="90">
        <f>(INDEX(Data!331:331,1,$U$1+1)+INDEX(Data!848:848,1,$U$1+1)-INDEX(Data!1334:1334,1,$U$1+1))/1000000</f>
        <v>8.1133609999999994</v>
      </c>
      <c r="G192" s="88">
        <f t="shared" si="143"/>
        <v>16.226721999999999</v>
      </c>
      <c r="H192" s="86">
        <f t="shared" si="144"/>
        <v>-0.69315800000000038</v>
      </c>
      <c r="I192" s="447">
        <f t="shared" si="120"/>
        <v>-4.0967075416610543E-2</v>
      </c>
      <c r="J192" s="453">
        <f t="shared" si="113"/>
        <v>6.749129865077216E-4</v>
      </c>
      <c r="K192" s="91">
        <f>(INDEX(Data!383:383,1,$U$1-2)+INDEX(Data!848:848,1,$U$1-2)-INDEX(Data!1491:1491,1,$U$1-2))/1000000</f>
        <v>8.4310569999999991</v>
      </c>
      <c r="L192" s="87">
        <f>(INDEX(Data!383:383,1,$U$1-1)+INDEX(Data!848:848,1,$U$1-1)-INDEX(Data!1491:1491,1,$U$1-1))/1000000</f>
        <v>8.488823</v>
      </c>
      <c r="M192" s="88">
        <f t="shared" si="145"/>
        <v>16.919879999999999</v>
      </c>
      <c r="N192" s="89">
        <f>(INDEX(Data!383:383,1,$U$1)+INDEX(Data!848:848,1,$U$1)-INDEX(Data!1491:1491,1,$U$1))/1000000</f>
        <v>8.1133609999999994</v>
      </c>
      <c r="O192" s="90">
        <f>(INDEX(Data!383:383,1,$U$1+1)+INDEX(Data!848:848,1,$U$1+1)-INDEX(Data!1491:1491,1,$U$1+1))/1000000</f>
        <v>8.1133609999999994</v>
      </c>
      <c r="P192" s="88">
        <f t="shared" si="146"/>
        <v>16.226721999999999</v>
      </c>
      <c r="Q192" s="86">
        <f t="shared" si="147"/>
        <v>-0.69315800000000038</v>
      </c>
      <c r="R192" s="447">
        <f t="shared" si="124"/>
        <v>-4.0967075416610543E-2</v>
      </c>
      <c r="S192" s="453">
        <f t="shared" si="115"/>
        <v>1.0916623315893634E-3</v>
      </c>
      <c r="T192" s="453">
        <f t="shared" si="116"/>
        <v>1</v>
      </c>
    </row>
    <row r="193" spans="1:20" ht="25.5" hidden="1" outlineLevel="1">
      <c r="A193" s="79" t="s">
        <v>1410</v>
      </c>
      <c r="B193" s="86">
        <f>(INDEX(Data!332:332,1,$U$1-2)+INDEX(Data!849:849,1,$U$1-2)-INDEX(Data!1335:1335,1,$U$1-2))/1000000</f>
        <v>8.4499189999999995</v>
      </c>
      <c r="C193" s="87">
        <f>(INDEX(Data!332:332,1,$U$1-1)+INDEX(Data!849:849,1,$U$1-1)-INDEX(Data!1335:1335,1,$U$1-1))/1000000</f>
        <v>8.5569380000000006</v>
      </c>
      <c r="D193" s="88">
        <f t="shared" si="142"/>
        <v>17.006857</v>
      </c>
      <c r="E193" s="89">
        <f>(INDEX(Data!332:332,1,$U$1)+INDEX(Data!849:849,1,$U$1)-INDEX(Data!1335:1335,1,$U$1))/1000000</f>
        <v>8.9581540000000004</v>
      </c>
      <c r="F193" s="90">
        <f>(INDEX(Data!332:332,1,$U$1+1)+INDEX(Data!849:849,1,$U$1+1)-INDEX(Data!1335:1335,1,$U$1+1))/1000000</f>
        <v>8.9581529999999994</v>
      </c>
      <c r="G193" s="88">
        <f t="shared" si="143"/>
        <v>17.916307</v>
      </c>
      <c r="H193" s="86">
        <f t="shared" si="144"/>
        <v>0.90944999999999965</v>
      </c>
      <c r="I193" s="447">
        <f t="shared" si="120"/>
        <v>5.3475489327628238E-2</v>
      </c>
      <c r="J193" s="453">
        <f t="shared" si="113"/>
        <v>7.4518736837663206E-4</v>
      </c>
      <c r="K193" s="91">
        <f>(INDEX(Data!384:384,1,$U$1-2)+INDEX(Data!849:849,1,$U$1-2)-INDEX(Data!1492:1492,1,$U$1-2))/1000000</f>
        <v>8.4499189999999995</v>
      </c>
      <c r="L193" s="87">
        <f>(INDEX(Data!384:384,1,$U$1-1)+INDEX(Data!849:849,1,$U$1-1)-INDEX(Data!1492:1492,1,$U$1-1))/1000000</f>
        <v>8.5569380000000006</v>
      </c>
      <c r="M193" s="88">
        <f t="shared" si="145"/>
        <v>17.006857</v>
      </c>
      <c r="N193" s="89">
        <f>(INDEX(Data!384:384,1,$U$1)+INDEX(Data!849:849,1,$U$1)-INDEX(Data!1492:1492,1,$U$1))/1000000</f>
        <v>8.9581540000000004</v>
      </c>
      <c r="O193" s="90">
        <f>(INDEX(Data!384:384,1,$U$1+1)+INDEX(Data!849:849,1,$U$1+1)-INDEX(Data!1492:1492,1,$U$1+1))/1000000</f>
        <v>8.9581529999999994</v>
      </c>
      <c r="P193" s="88">
        <f t="shared" si="146"/>
        <v>17.916307</v>
      </c>
      <c r="Q193" s="86">
        <f t="shared" si="147"/>
        <v>0.90944999999999965</v>
      </c>
      <c r="R193" s="447">
        <f t="shared" si="124"/>
        <v>5.3475489327628238E-2</v>
      </c>
      <c r="S193" s="453">
        <f t="shared" si="115"/>
        <v>1.2053301629923057E-3</v>
      </c>
      <c r="T193" s="453">
        <f t="shared" si="116"/>
        <v>1</v>
      </c>
    </row>
    <row r="194" spans="1:20" hidden="1" outlineLevel="1">
      <c r="A194" s="79" t="s">
        <v>885</v>
      </c>
      <c r="B194" s="86">
        <f>(INDEX(Data!333:333,1,$U$1-2)+INDEX(Data!850:850,1,$U$1-2)-INDEX(Data!1336:1336,1,$U$1-2))/1000000</f>
        <v>40.131328000000003</v>
      </c>
      <c r="C194" s="87">
        <f>(INDEX(Data!333:333,1,$U$1-1)+INDEX(Data!850:850,1,$U$1-1)-INDEX(Data!1336:1336,1,$U$1-1))/1000000</f>
        <v>40.342256999999996</v>
      </c>
      <c r="D194" s="88">
        <f t="shared" si="142"/>
        <v>80.473585</v>
      </c>
      <c r="E194" s="89">
        <f>(INDEX(Data!333:333,1,$U$1)+INDEX(Data!850:850,1,$U$1)-INDEX(Data!1336:1336,1,$U$1))/1000000</f>
        <v>44.613</v>
      </c>
      <c r="F194" s="90">
        <f>(INDEX(Data!333:333,1,$U$1+1)+INDEX(Data!850:850,1,$U$1+1)-INDEX(Data!1336:1336,1,$U$1+1))/1000000</f>
        <v>44.612999000000002</v>
      </c>
      <c r="G194" s="88">
        <f t="shared" si="143"/>
        <v>89.225999000000002</v>
      </c>
      <c r="H194" s="86">
        <f t="shared" si="144"/>
        <v>8.7524140000000017</v>
      </c>
      <c r="I194" s="447">
        <f t="shared" si="120"/>
        <v>0.10876132832904116</v>
      </c>
      <c r="J194" s="453">
        <f t="shared" si="113"/>
        <v>3.711149143938313E-3</v>
      </c>
      <c r="K194" s="91">
        <f>(INDEX(Data!385:385,1,$U$1-2)+INDEX(Data!850:850,1,$U$1-2)-INDEX(Data!1493:1493,1,$U$1-2))/1000000</f>
        <v>40.131328000000003</v>
      </c>
      <c r="L194" s="87">
        <f>(INDEX(Data!385:385,1,$U$1-1)+INDEX(Data!850:850,1,$U$1-1)-INDEX(Data!1493:1493,1,$U$1-1))/1000000</f>
        <v>40.342256999999996</v>
      </c>
      <c r="M194" s="88">
        <f t="shared" si="145"/>
        <v>80.473585</v>
      </c>
      <c r="N194" s="89">
        <f>(INDEX(Data!385:385,1,$U$1)+INDEX(Data!850:850,1,$U$1)-INDEX(Data!1493:1493,1,$U$1))/1000000</f>
        <v>44.613</v>
      </c>
      <c r="O194" s="90">
        <f>(INDEX(Data!385:385,1,$U$1+1)+INDEX(Data!850:850,1,$U$1+1)-INDEX(Data!1493:1493,1,$U$1+1))/1000000</f>
        <v>44.612999000000002</v>
      </c>
      <c r="P194" s="88">
        <f t="shared" si="146"/>
        <v>89.225999000000002</v>
      </c>
      <c r="Q194" s="86">
        <f t="shared" si="147"/>
        <v>8.7524140000000017</v>
      </c>
      <c r="R194" s="447">
        <f t="shared" si="124"/>
        <v>0.10876132832904116</v>
      </c>
      <c r="S194" s="453">
        <f t="shared" si="115"/>
        <v>6.0027319200224305E-3</v>
      </c>
      <c r="T194" s="453">
        <f t="shared" si="116"/>
        <v>1</v>
      </c>
    </row>
    <row r="195" spans="1:20" hidden="1" outlineLevel="1">
      <c r="A195" s="79" t="s">
        <v>1411</v>
      </c>
      <c r="B195" s="86">
        <f>(INDEX(Data!334:334,1,$U$1-2)+INDEX(Data!851:851,1,$U$1-2)-INDEX(Data!1337:1337,1,$U$1-2))/1000000</f>
        <v>107.28860400000001</v>
      </c>
      <c r="C195" s="87">
        <f>(INDEX(Data!334:334,1,$U$1-1)+INDEX(Data!851:851,1,$U$1-1)-INDEX(Data!1337:1337,1,$U$1-1))/1000000</f>
        <v>108.091898</v>
      </c>
      <c r="D195" s="88">
        <f t="shared" si="142"/>
        <v>215.38050200000001</v>
      </c>
      <c r="E195" s="89">
        <f>(INDEX(Data!334:334,1,$U$1)+INDEX(Data!851:851,1,$U$1)-INDEX(Data!1337:1337,1,$U$1))/1000000</f>
        <v>114.62353299999999</v>
      </c>
      <c r="F195" s="90">
        <f>(INDEX(Data!334:334,1,$U$1+1)+INDEX(Data!851:851,1,$U$1+1)-INDEX(Data!1337:1337,1,$U$1+1))/1000000</f>
        <v>114.623532</v>
      </c>
      <c r="G195" s="88">
        <f t="shared" si="143"/>
        <v>229.24706499999999</v>
      </c>
      <c r="H195" s="86">
        <f t="shared" si="144"/>
        <v>13.866562999999985</v>
      </c>
      <c r="I195" s="447">
        <f t="shared" si="120"/>
        <v>6.4381700623949628E-2</v>
      </c>
      <c r="J195" s="453">
        <f t="shared" si="113"/>
        <v>9.535001664986914E-3</v>
      </c>
      <c r="K195" s="91">
        <f>(INDEX(Data!386:386,1,$U$1-2)+INDEX(Data!851:851,1,$U$1-2)-INDEX(Data!1494:1494,1,$U$1-2))/1000000</f>
        <v>107.28860400000001</v>
      </c>
      <c r="L195" s="87">
        <f>(INDEX(Data!386:386,1,$U$1-1)+INDEX(Data!851:851,1,$U$1-1)-INDEX(Data!1494:1494,1,$U$1-1))/1000000</f>
        <v>108.091898</v>
      </c>
      <c r="M195" s="88">
        <f t="shared" si="145"/>
        <v>215.38050200000001</v>
      </c>
      <c r="N195" s="89">
        <f>(INDEX(Data!386:386,1,$U$1)+INDEX(Data!851:851,1,$U$1)-INDEX(Data!1494:1494,1,$U$1))/1000000</f>
        <v>114.62353299999999</v>
      </c>
      <c r="O195" s="90">
        <f>(INDEX(Data!386:386,1,$U$1+1)+INDEX(Data!851:851,1,$U$1+1)-INDEX(Data!1494:1494,1,$U$1+1))/1000000</f>
        <v>114.623532</v>
      </c>
      <c r="P195" s="88">
        <f t="shared" si="146"/>
        <v>229.24706499999999</v>
      </c>
      <c r="Q195" s="86">
        <f t="shared" si="147"/>
        <v>13.866562999999985</v>
      </c>
      <c r="R195" s="447">
        <f t="shared" si="124"/>
        <v>6.4381700623949628E-2</v>
      </c>
      <c r="S195" s="453">
        <f t="shared" si="115"/>
        <v>1.5422732051976879E-2</v>
      </c>
      <c r="T195" s="453">
        <f t="shared" si="116"/>
        <v>1</v>
      </c>
    </row>
    <row r="196" spans="1:20" hidden="1" outlineLevel="1">
      <c r="A196" s="79" t="s">
        <v>114</v>
      </c>
      <c r="B196" s="86">
        <f>(INDEX(Data!335:335,1,$U$1-2)+INDEX(Data!852:852,1,$U$1-2)-INDEX(Data!1338:1338,1,$U$1-2))/1000000</f>
        <v>20.046355999999999</v>
      </c>
      <c r="C196" s="87">
        <f>(INDEX(Data!335:335,1,$U$1-1)+INDEX(Data!852:852,1,$U$1-1)-INDEX(Data!1338:1338,1,$U$1-1))/1000000</f>
        <v>20.236667000000001</v>
      </c>
      <c r="D196" s="88">
        <f t="shared" si="142"/>
        <v>40.283023</v>
      </c>
      <c r="E196" s="89">
        <f>(INDEX(Data!335:335,1,$U$1)+INDEX(Data!852:852,1,$U$1)-INDEX(Data!1338:1338,1,$U$1))/1000000</f>
        <v>20.791314</v>
      </c>
      <c r="F196" s="90">
        <f>(INDEX(Data!335:335,1,$U$1+1)+INDEX(Data!852:852,1,$U$1+1)-INDEX(Data!1338:1338,1,$U$1+1))/1000000</f>
        <v>20.791312000000001</v>
      </c>
      <c r="G196" s="88">
        <f t="shared" si="143"/>
        <v>41.582626000000005</v>
      </c>
      <c r="H196" s="86">
        <f t="shared" si="144"/>
        <v>1.2996030000000047</v>
      </c>
      <c r="I196" s="447">
        <f t="shared" si="120"/>
        <v>3.2261804184854866E-2</v>
      </c>
      <c r="J196" s="453">
        <f t="shared" si="113"/>
        <v>1.7295331922549508E-3</v>
      </c>
      <c r="K196" s="91">
        <f>(INDEX(Data!387:387,1,$U$1-2)+INDEX(Data!852:852,1,$U$1-2)-INDEX(Data!1495:1495,1,$U$1-2))/1000000</f>
        <v>20.046355999999999</v>
      </c>
      <c r="L196" s="87">
        <f>(INDEX(Data!387:387,1,$U$1-1)+INDEX(Data!852:852,1,$U$1-1)-INDEX(Data!1495:1495,1,$U$1-1))/1000000</f>
        <v>20.236667000000001</v>
      </c>
      <c r="M196" s="88">
        <f t="shared" si="145"/>
        <v>40.283023</v>
      </c>
      <c r="N196" s="89">
        <f>(INDEX(Data!387:387,1,$U$1)+INDEX(Data!852:852,1,$U$1)-INDEX(Data!1495:1495,1,$U$1))/1000000</f>
        <v>20.791314</v>
      </c>
      <c r="O196" s="90">
        <f>(INDEX(Data!387:387,1,$U$1+1)+INDEX(Data!852:852,1,$U$1+1)-INDEX(Data!1495:1495,1,$U$1+1))/1000000</f>
        <v>20.791312000000001</v>
      </c>
      <c r="P196" s="88">
        <f t="shared" si="146"/>
        <v>41.582626000000005</v>
      </c>
      <c r="Q196" s="86">
        <f t="shared" si="147"/>
        <v>1.2996030000000047</v>
      </c>
      <c r="R196" s="447">
        <f t="shared" si="124"/>
        <v>3.2261804184854866E-2</v>
      </c>
      <c r="S196" s="453">
        <f t="shared" si="115"/>
        <v>2.7974957882909743E-3</v>
      </c>
      <c r="T196" s="453">
        <f t="shared" si="116"/>
        <v>1</v>
      </c>
    </row>
    <row r="197" spans="1:20" hidden="1" outlineLevel="1">
      <c r="A197" s="79" t="s">
        <v>1412</v>
      </c>
      <c r="B197" s="86">
        <f>(INDEX(Data!336:336,1,$U$1-2)+INDEX(Data!853:853,1,$U$1-2)-INDEX(Data!1339:1339,1,$U$1-2))/1000000</f>
        <v>38.633566000000002</v>
      </c>
      <c r="C197" s="87">
        <f>(INDEX(Data!336:336,1,$U$1-1)+INDEX(Data!853:853,1,$U$1-1)-INDEX(Data!1339:1339,1,$U$1-1))/1000000</f>
        <v>38.945025999999999</v>
      </c>
      <c r="D197" s="88">
        <f t="shared" si="142"/>
        <v>77.578592</v>
      </c>
      <c r="E197" s="89">
        <f>(INDEX(Data!336:336,1,$U$1)+INDEX(Data!853:853,1,$U$1)-INDEX(Data!1339:1339,1,$U$1))/1000000</f>
        <v>39.162658999999998</v>
      </c>
      <c r="F197" s="90">
        <f>(INDEX(Data!336:336,1,$U$1+1)+INDEX(Data!853:853,1,$U$1+1)-INDEX(Data!1339:1339,1,$U$1+1))/1000000</f>
        <v>39.162657000000003</v>
      </c>
      <c r="G197" s="88">
        <f t="shared" si="143"/>
        <v>78.325316000000001</v>
      </c>
      <c r="H197" s="86">
        <f t="shared" si="144"/>
        <v>0.74672400000000039</v>
      </c>
      <c r="I197" s="447">
        <f t="shared" si="120"/>
        <v>9.6253873749087941E-3</v>
      </c>
      <c r="J197" s="453">
        <f t="shared" ref="J197:J232" si="148">IFERROR(G197/G$254,"")</f>
        <v>3.2577604361941391E-3</v>
      </c>
      <c r="K197" s="91">
        <f>(INDEX(Data!388:388,1,$U$1-2)+INDEX(Data!853:853,1,$U$1-2)-INDEX(Data!1496:1496,1,$U$1-2))/1000000</f>
        <v>38.633566000000002</v>
      </c>
      <c r="L197" s="87">
        <f>(INDEX(Data!388:388,1,$U$1-1)+INDEX(Data!853:853,1,$U$1-1)-INDEX(Data!1496:1496,1,$U$1-1))/1000000</f>
        <v>38.945025999999999</v>
      </c>
      <c r="M197" s="88">
        <f t="shared" si="145"/>
        <v>77.578592</v>
      </c>
      <c r="N197" s="89">
        <f>(INDEX(Data!388:388,1,$U$1)+INDEX(Data!853:853,1,$U$1)-INDEX(Data!1496:1496,1,$U$1))/1000000</f>
        <v>39.162658999999998</v>
      </c>
      <c r="O197" s="90">
        <f>(INDEX(Data!388:388,1,$U$1+1)+INDEX(Data!853:853,1,$U$1+1)-INDEX(Data!1496:1496,1,$U$1+1))/1000000</f>
        <v>39.162657000000003</v>
      </c>
      <c r="P197" s="88">
        <f t="shared" si="146"/>
        <v>78.325316000000001</v>
      </c>
      <c r="Q197" s="86">
        <f t="shared" si="147"/>
        <v>0.74672400000000039</v>
      </c>
      <c r="R197" s="447">
        <f t="shared" si="124"/>
        <v>9.6253873749087941E-3</v>
      </c>
      <c r="S197" s="453">
        <f t="shared" ref="S197:S232" si="149">IFERROR(P197/P$254,"")</f>
        <v>5.2693820160987339E-3</v>
      </c>
      <c r="T197" s="453">
        <f t="shared" si="116"/>
        <v>1</v>
      </c>
    </row>
    <row r="198" spans="1:20" hidden="1" outlineLevel="1">
      <c r="A198" s="79" t="s">
        <v>116</v>
      </c>
      <c r="B198" s="86">
        <f>(INDEX(Data!337:337,1,$U$1-2)+INDEX(Data!854:854,1,$U$1-2)-INDEX(Data!1340:1340,1,$U$1-2))/1000000</f>
        <v>3.1131280000000001</v>
      </c>
      <c r="C198" s="87">
        <f>(INDEX(Data!337:337,1,$U$1-1)+INDEX(Data!854:854,1,$U$1-1)-INDEX(Data!1340:1340,1,$U$1-1))/1000000</f>
        <v>3.1345390000000002</v>
      </c>
      <c r="D198" s="88">
        <f t="shared" si="142"/>
        <v>6.2476669999999999</v>
      </c>
      <c r="E198" s="89">
        <f>(INDEX(Data!337:337,1,$U$1)+INDEX(Data!854:854,1,$U$1)-INDEX(Data!1340:1340,1,$U$1))/1000000</f>
        <v>3.0236610000000002</v>
      </c>
      <c r="F198" s="90">
        <f>(INDEX(Data!337:337,1,$U$1+1)+INDEX(Data!854:854,1,$U$1+1)-INDEX(Data!1340:1340,1,$U$1+1))/1000000</f>
        <v>3.0236610000000002</v>
      </c>
      <c r="G198" s="88">
        <f t="shared" si="143"/>
        <v>6.0473220000000003</v>
      </c>
      <c r="H198" s="86">
        <f t="shared" si="144"/>
        <v>-0.20034499999999955</v>
      </c>
      <c r="I198" s="447">
        <f t="shared" si="120"/>
        <v>-3.2067170033229932E-2</v>
      </c>
      <c r="J198" s="453">
        <f t="shared" si="148"/>
        <v>2.5152437759110241E-4</v>
      </c>
      <c r="K198" s="91">
        <f>(INDEX(Data!389:389,1,$U$1-2)+INDEX(Data!854:854,1,$U$1-2)-INDEX(Data!1497:1497,1,$U$1-2))/1000000</f>
        <v>3.1131280000000001</v>
      </c>
      <c r="L198" s="87">
        <f>(INDEX(Data!389:389,1,$U$1-1)+INDEX(Data!854:854,1,$U$1-1)-INDEX(Data!1497:1497,1,$U$1-1))/1000000</f>
        <v>3.1345390000000002</v>
      </c>
      <c r="M198" s="88">
        <f t="shared" si="145"/>
        <v>6.2476669999999999</v>
      </c>
      <c r="N198" s="89">
        <f>(INDEX(Data!389:389,1,$U$1)+INDEX(Data!854:854,1,$U$1)-INDEX(Data!1497:1497,1,$U$1))/1000000</f>
        <v>3.0236610000000002</v>
      </c>
      <c r="O198" s="90">
        <f>(INDEX(Data!389:389,1,$U$1+1)+INDEX(Data!854:854,1,$U$1+1)-INDEX(Data!1497:1497,1,$U$1+1))/1000000</f>
        <v>3.0236610000000002</v>
      </c>
      <c r="P198" s="88">
        <f t="shared" si="146"/>
        <v>6.0473220000000003</v>
      </c>
      <c r="Q198" s="86">
        <f t="shared" si="147"/>
        <v>-0.20034499999999955</v>
      </c>
      <c r="R198" s="447">
        <f t="shared" si="124"/>
        <v>-3.2067170033229932E-2</v>
      </c>
      <c r="S198" s="453">
        <f t="shared" si="149"/>
        <v>4.0683716861554992E-4</v>
      </c>
      <c r="T198" s="453">
        <f t="shared" si="116"/>
        <v>1</v>
      </c>
    </row>
    <row r="199" spans="1:20" hidden="1" outlineLevel="1">
      <c r="A199" s="79" t="s">
        <v>117</v>
      </c>
      <c r="B199" s="86">
        <f>(INDEX(Data!338:338,1,$U$1-2)+INDEX(Data!855:855,1,$U$1-2)-INDEX(Data!1341:1341,1,$U$1-2))/1000000</f>
        <v>4.9225779999999997</v>
      </c>
      <c r="C199" s="87">
        <f>(INDEX(Data!338:338,1,$U$1-1)+INDEX(Data!855:855,1,$U$1-1)-INDEX(Data!1341:1341,1,$U$1-1))/1000000</f>
        <v>4.9606969999999997</v>
      </c>
      <c r="D199" s="88">
        <f t="shared" si="142"/>
        <v>9.8832749999999994</v>
      </c>
      <c r="E199" s="89">
        <f>(INDEX(Data!338:338,1,$U$1)+INDEX(Data!855:855,1,$U$1)-INDEX(Data!1341:1341,1,$U$1))/1000000</f>
        <v>5.472035</v>
      </c>
      <c r="F199" s="90">
        <f>(INDEX(Data!338:338,1,$U$1+1)+INDEX(Data!855:855,1,$U$1+1)-INDEX(Data!1341:1341,1,$U$1+1))/1000000</f>
        <v>5.4720339999999998</v>
      </c>
      <c r="G199" s="88">
        <f t="shared" si="143"/>
        <v>10.944068999999999</v>
      </c>
      <c r="H199" s="86">
        <f t="shared" si="144"/>
        <v>1.0607939999999996</v>
      </c>
      <c r="I199" s="447">
        <f t="shared" si="120"/>
        <v>0.10733223551909662</v>
      </c>
      <c r="J199" s="453">
        <f t="shared" si="148"/>
        <v>4.5519324810867987E-4</v>
      </c>
      <c r="K199" s="91">
        <f>(INDEX(Data!390:390,1,$U$1-2)+INDEX(Data!855:855,1,$U$1-2)-INDEX(Data!1498:1498,1,$U$1-2))/1000000</f>
        <v>4.9225779999999997</v>
      </c>
      <c r="L199" s="87">
        <f>(INDEX(Data!390:390,1,$U$1-1)+INDEX(Data!855:855,1,$U$1-1)-INDEX(Data!1498:1498,1,$U$1-1))/1000000</f>
        <v>4.9606969999999997</v>
      </c>
      <c r="M199" s="88">
        <f t="shared" si="145"/>
        <v>9.8832749999999994</v>
      </c>
      <c r="N199" s="89">
        <f>(INDEX(Data!390:390,1,$U$1)+INDEX(Data!855:855,1,$U$1)-INDEX(Data!1498:1498,1,$U$1))/1000000</f>
        <v>5.472035</v>
      </c>
      <c r="O199" s="90">
        <f>(INDEX(Data!390:390,1,$U$1+1)+INDEX(Data!855:855,1,$U$1+1)-INDEX(Data!1498:1498,1,$U$1+1))/1000000</f>
        <v>5.4720339999999998</v>
      </c>
      <c r="P199" s="88">
        <f t="shared" si="146"/>
        <v>10.944068999999999</v>
      </c>
      <c r="Q199" s="86">
        <f t="shared" si="147"/>
        <v>1.0607939999999996</v>
      </c>
      <c r="R199" s="447">
        <f t="shared" si="124"/>
        <v>0.10733223551909662</v>
      </c>
      <c r="S199" s="453">
        <f t="shared" si="149"/>
        <v>7.362687227657485E-4</v>
      </c>
      <c r="T199" s="453">
        <f t="shared" si="116"/>
        <v>1</v>
      </c>
    </row>
    <row r="200" spans="1:20" hidden="1" outlineLevel="1">
      <c r="A200" s="79" t="s">
        <v>1406</v>
      </c>
      <c r="B200" s="86">
        <f>(INDEX(Data!339:339,1,$U$1-2)+INDEX(Data!856:856,1,$U$1-2)-INDEX(Data!1342:1342,1,$U$1-2))/1000000</f>
        <v>8.7295940000000005</v>
      </c>
      <c r="C200" s="87">
        <f>(INDEX(Data!339:339,1,$U$1-1)+INDEX(Data!856:856,1,$U$1-1)-INDEX(Data!1342:1342,1,$U$1-1))/1000000</f>
        <v>8.8012859999999993</v>
      </c>
      <c r="D200" s="88">
        <f t="shared" si="142"/>
        <v>17.53088</v>
      </c>
      <c r="E200" s="89">
        <f>(INDEX(Data!339:339,1,$U$1)+INDEX(Data!856:856,1,$U$1)-INDEX(Data!1342:1342,1,$U$1))/1000000</f>
        <v>8.7164579999999994</v>
      </c>
      <c r="F200" s="90">
        <f>(INDEX(Data!339:339,1,$U$1+1)+INDEX(Data!856:856,1,$U$1+1)-INDEX(Data!1342:1342,1,$U$1+1))/1000000</f>
        <v>8.7164579999999994</v>
      </c>
      <c r="G200" s="88">
        <f t="shared" si="143"/>
        <v>17.432915999999999</v>
      </c>
      <c r="H200" s="86">
        <f t="shared" si="144"/>
        <v>-9.796400000000105E-2</v>
      </c>
      <c r="I200" s="447">
        <f t="shared" si="120"/>
        <v>-5.5880822867991255E-3</v>
      </c>
      <c r="J200" s="453">
        <f t="shared" si="148"/>
        <v>7.2508183729888542E-4</v>
      </c>
      <c r="K200" s="91">
        <f>(INDEX(Data!391:391,1,$U$1-2)+INDEX(Data!856:856,1,$U$1-2)-INDEX(Data!1499:1499,1,$U$1-2))/1000000</f>
        <v>8.7295940000000005</v>
      </c>
      <c r="L200" s="87">
        <f>(INDEX(Data!391:391,1,$U$1-1)+INDEX(Data!856:856,1,$U$1-1)-INDEX(Data!1499:1499,1,$U$1-1))/1000000</f>
        <v>8.8012859999999993</v>
      </c>
      <c r="M200" s="88">
        <f t="shared" si="145"/>
        <v>17.53088</v>
      </c>
      <c r="N200" s="89">
        <f>(INDEX(Data!391:391,1,$U$1)+INDEX(Data!856:856,1,$U$1)-INDEX(Data!1499:1499,1,$U$1))/1000000</f>
        <v>8.7164579999999994</v>
      </c>
      <c r="O200" s="90">
        <f>(INDEX(Data!391:391,1,$U$1+1)+INDEX(Data!856:856,1,$U$1+1)-INDEX(Data!1499:1499,1,$U$1+1))/1000000</f>
        <v>8.7164579999999994</v>
      </c>
      <c r="P200" s="88">
        <f t="shared" si="146"/>
        <v>17.432915999999999</v>
      </c>
      <c r="Q200" s="86">
        <f t="shared" si="147"/>
        <v>-9.796400000000105E-2</v>
      </c>
      <c r="R200" s="447">
        <f t="shared" si="124"/>
        <v>-5.5880822867991255E-3</v>
      </c>
      <c r="S200" s="453">
        <f t="shared" si="149"/>
        <v>1.1728097472158282E-3</v>
      </c>
      <c r="T200" s="453">
        <f t="shared" si="116"/>
        <v>1</v>
      </c>
    </row>
    <row r="201" spans="1:20" hidden="1" outlineLevel="1">
      <c r="A201" s="79" t="s">
        <v>119</v>
      </c>
      <c r="B201" s="86">
        <f>(INDEX(Data!340:340,1,$U$1-2)+INDEX(Data!857:857,1,$U$1-2)-INDEX(Data!1343:1343,1,$U$1-2))/1000000</f>
        <v>7.839753</v>
      </c>
      <c r="C201" s="87">
        <f>(INDEX(Data!340:340,1,$U$1-1)+INDEX(Data!857:857,1,$U$1-1)-INDEX(Data!1343:1343,1,$U$1-1))/1000000</f>
        <v>7.8915730000000002</v>
      </c>
      <c r="D201" s="88">
        <f t="shared" si="142"/>
        <v>15.731325999999999</v>
      </c>
      <c r="E201" s="89">
        <f>(INDEX(Data!340:340,1,$U$1)+INDEX(Data!857:857,1,$U$1)-INDEX(Data!1343:1343,1,$U$1))/1000000</f>
        <v>8.2652180000000008</v>
      </c>
      <c r="F201" s="90">
        <f>(INDEX(Data!340:340,1,$U$1+1)+INDEX(Data!857:857,1,$U$1+1)-INDEX(Data!1343:1343,1,$U$1+1))/1000000</f>
        <v>8.2652169999999998</v>
      </c>
      <c r="G201" s="88">
        <f t="shared" si="143"/>
        <v>16.530435000000001</v>
      </c>
      <c r="H201" s="86">
        <f t="shared" si="144"/>
        <v>0.7991090000000014</v>
      </c>
      <c r="I201" s="447">
        <f t="shared" si="120"/>
        <v>5.079730723271525E-2</v>
      </c>
      <c r="J201" s="453">
        <f t="shared" si="148"/>
        <v>6.8754522657883525E-4</v>
      </c>
      <c r="K201" s="91">
        <f>(INDEX(Data!392:392,1,$U$1-2)+INDEX(Data!857:857,1,$U$1-2)-INDEX(Data!1500:1500,1,$U$1-2))/1000000</f>
        <v>7.839753</v>
      </c>
      <c r="L201" s="87">
        <f>(INDEX(Data!392:392,1,$U$1-1)+INDEX(Data!857:857,1,$U$1-1)-INDEX(Data!1500:1500,1,$U$1-1))/1000000</f>
        <v>7.8915730000000002</v>
      </c>
      <c r="M201" s="88">
        <f t="shared" si="145"/>
        <v>15.731325999999999</v>
      </c>
      <c r="N201" s="89">
        <f>(INDEX(Data!392:392,1,$U$1)+INDEX(Data!857:857,1,$U$1)-INDEX(Data!1500:1500,1,$U$1))/1000000</f>
        <v>8.2652180000000008</v>
      </c>
      <c r="O201" s="90">
        <f>(INDEX(Data!392:392,1,$U$1+1)+INDEX(Data!857:857,1,$U$1+1)-INDEX(Data!1500:1500,1,$U$1+1))/1000000</f>
        <v>8.2652169999999998</v>
      </c>
      <c r="P201" s="88">
        <f t="shared" si="146"/>
        <v>16.530435000000001</v>
      </c>
      <c r="Q201" s="86">
        <f t="shared" si="147"/>
        <v>0.7991090000000014</v>
      </c>
      <c r="R201" s="447">
        <f t="shared" si="124"/>
        <v>5.079730723271525E-2</v>
      </c>
      <c r="S201" s="453">
        <f t="shared" si="149"/>
        <v>1.1120948035152399E-3</v>
      </c>
      <c r="T201" s="453">
        <f t="shared" si="116"/>
        <v>1</v>
      </c>
    </row>
    <row r="202" spans="1:20" hidden="1" outlineLevel="1">
      <c r="A202" s="79" t="s">
        <v>120</v>
      </c>
      <c r="B202" s="86">
        <f>(INDEX(Data!341:341,1,$U$1-2)+INDEX(Data!858:858,1,$U$1-2)-INDEX(Data!1344:1344,1,$U$1-2))/1000000</f>
        <v>80.136410999999995</v>
      </c>
      <c r="C202" s="87">
        <f>(INDEX(Data!341:341,1,$U$1-1)+INDEX(Data!858:858,1,$U$1-1)-INDEX(Data!1344:1344,1,$U$1-1))/1000000</f>
        <v>80.684191999999996</v>
      </c>
      <c r="D202" s="88">
        <f t="shared" si="142"/>
        <v>160.82060300000001</v>
      </c>
      <c r="E202" s="89">
        <f>(INDEX(Data!341:341,1,$U$1)+INDEX(Data!858:858,1,$U$1)-INDEX(Data!1344:1344,1,$U$1))/1000000</f>
        <v>80.986878000000004</v>
      </c>
      <c r="F202" s="90">
        <f>(INDEX(Data!341:341,1,$U$1+1)+INDEX(Data!858:858,1,$U$1+1)-INDEX(Data!1344:1344,1,$U$1+1))/1000000</f>
        <v>80.986875999999995</v>
      </c>
      <c r="G202" s="88">
        <f t="shared" si="143"/>
        <v>161.97375399999999</v>
      </c>
      <c r="H202" s="86">
        <f t="shared" si="144"/>
        <v>1.1531509999999798</v>
      </c>
      <c r="I202" s="447">
        <f t="shared" si="120"/>
        <v>7.1704183325315592E-3</v>
      </c>
      <c r="J202" s="453">
        <f t="shared" si="148"/>
        <v>6.7369238252807323E-3</v>
      </c>
      <c r="K202" s="91">
        <f>(INDEX(Data!393:393,1,$U$1-2)+INDEX(Data!858:858,1,$U$1-2)-INDEX(Data!1501:1501,1,$U$1-2))/1000000</f>
        <v>80.136410999999995</v>
      </c>
      <c r="L202" s="87">
        <f>(INDEX(Data!393:393,1,$U$1-1)+INDEX(Data!858:858,1,$U$1-1)-INDEX(Data!1501:1501,1,$U$1-1))/1000000</f>
        <v>80.684191999999996</v>
      </c>
      <c r="M202" s="88">
        <f t="shared" si="145"/>
        <v>160.82060300000001</v>
      </c>
      <c r="N202" s="89">
        <f>(INDEX(Data!393:393,1,$U$1)+INDEX(Data!858:858,1,$U$1)-INDEX(Data!1501:1501,1,$U$1))/1000000</f>
        <v>80.986878000000004</v>
      </c>
      <c r="O202" s="90">
        <f>(INDEX(Data!393:393,1,$U$1+1)+INDEX(Data!858:858,1,$U$1+1)-INDEX(Data!1501:1501,1,$U$1+1))/1000000</f>
        <v>80.986875999999995</v>
      </c>
      <c r="P202" s="88">
        <f t="shared" si="146"/>
        <v>161.97375399999999</v>
      </c>
      <c r="Q202" s="86">
        <f t="shared" si="147"/>
        <v>1.1531509999999798</v>
      </c>
      <c r="R202" s="447">
        <f t="shared" si="124"/>
        <v>7.1704183325315592E-3</v>
      </c>
      <c r="S202" s="453">
        <f t="shared" si="149"/>
        <v>1.0896880216960763E-2</v>
      </c>
      <c r="T202" s="453">
        <f t="shared" si="116"/>
        <v>1</v>
      </c>
    </row>
    <row r="203" spans="1:20" hidden="1" outlineLevel="1">
      <c r="A203" s="79" t="s">
        <v>1415</v>
      </c>
      <c r="B203" s="86">
        <f>(INDEX(Data!342:342,1,$U$1-2)+INDEX(Data!859:859,1,$U$1-2)-INDEX(Data!1345:1345,1,$U$1-2))/1000000</f>
        <v>11.320416</v>
      </c>
      <c r="C203" s="87">
        <f>(INDEX(Data!342:342,1,$U$1-1)+INDEX(Data!859:859,1,$U$1-1)-INDEX(Data!1345:1345,1,$U$1-1))/1000000</f>
        <v>11.394809</v>
      </c>
      <c r="D203" s="88">
        <f t="shared" si="142"/>
        <v>22.715225</v>
      </c>
      <c r="E203" s="89">
        <f>(INDEX(Data!342:342,1,$U$1)+INDEX(Data!859:859,1,$U$1)-INDEX(Data!1345:1345,1,$U$1))/1000000</f>
        <v>11.856413999999999</v>
      </c>
      <c r="F203" s="90">
        <f>(INDEX(Data!342:342,1,$U$1+1)+INDEX(Data!859:859,1,$U$1+1)-INDEX(Data!1345:1345,1,$U$1+1))/1000000</f>
        <v>11.856413</v>
      </c>
      <c r="G203" s="88">
        <f t="shared" si="143"/>
        <v>23.712826999999997</v>
      </c>
      <c r="H203" s="86">
        <f t="shared" si="144"/>
        <v>0.99760199999999699</v>
      </c>
      <c r="I203" s="447">
        <f t="shared" si="120"/>
        <v>4.3917768809245646E-2</v>
      </c>
      <c r="J203" s="453">
        <f t="shared" si="148"/>
        <v>9.8628021661497224E-4</v>
      </c>
      <c r="K203" s="91">
        <f>(INDEX(Data!394:394,1,$U$1-2)+INDEX(Data!859:859,1,$U$1-2)-INDEX(Data!1502:1502,1,$U$1-2))/1000000</f>
        <v>11.320416</v>
      </c>
      <c r="L203" s="87">
        <f>(INDEX(Data!394:394,1,$U$1-1)+INDEX(Data!859:859,1,$U$1-1)-INDEX(Data!1502:1502,1,$U$1-1))/1000000</f>
        <v>11.394809</v>
      </c>
      <c r="M203" s="88">
        <f t="shared" si="145"/>
        <v>22.715225</v>
      </c>
      <c r="N203" s="89">
        <f>(INDEX(Data!394:394,1,$U$1)+INDEX(Data!859:859,1,$U$1)-INDEX(Data!1502:1502,1,$U$1))/1000000</f>
        <v>11.856413999999999</v>
      </c>
      <c r="O203" s="90">
        <f>(INDEX(Data!394:394,1,$U$1+1)+INDEX(Data!859:859,1,$U$1+1)-INDEX(Data!1502:1502,1,$U$1+1))/1000000</f>
        <v>11.856413</v>
      </c>
      <c r="P203" s="88">
        <f t="shared" si="146"/>
        <v>23.712826999999997</v>
      </c>
      <c r="Q203" s="86">
        <f t="shared" si="147"/>
        <v>0.99760199999999699</v>
      </c>
      <c r="R203" s="447">
        <f t="shared" si="124"/>
        <v>4.3917768809245646E-2</v>
      </c>
      <c r="S203" s="453">
        <f t="shared" si="149"/>
        <v>1.5952944785394862E-3</v>
      </c>
      <c r="T203" s="453">
        <f t="shared" si="116"/>
        <v>1</v>
      </c>
    </row>
    <row r="204" spans="1:20" hidden="1" outlineLevel="1">
      <c r="A204" s="79" t="s">
        <v>122</v>
      </c>
      <c r="B204" s="86">
        <f>(INDEX(Data!343:343,1,$U$1-2)+INDEX(Data!860:860,1,$U$1-2)-INDEX(Data!1346:1346,1,$U$1-2))/1000000</f>
        <v>12.120562</v>
      </c>
      <c r="C204" s="87">
        <f>(INDEX(Data!343:343,1,$U$1-1)+INDEX(Data!860:860,1,$U$1-1)-INDEX(Data!1346:1346,1,$U$1-1))/1000000</f>
        <v>12.229497</v>
      </c>
      <c r="D204" s="88">
        <f t="shared" si="142"/>
        <v>24.350059000000002</v>
      </c>
      <c r="E204" s="89">
        <f>(INDEX(Data!343:343,1,$U$1)+INDEX(Data!860:860,1,$U$1)-INDEX(Data!1346:1346,1,$U$1))/1000000</f>
        <v>11.710383</v>
      </c>
      <c r="F204" s="90">
        <f>(INDEX(Data!343:343,1,$U$1+1)+INDEX(Data!860:860,1,$U$1+1)-INDEX(Data!1346:1346,1,$U$1+1))/1000000</f>
        <v>11.710381999999999</v>
      </c>
      <c r="G204" s="88">
        <f t="shared" si="143"/>
        <v>23.420764999999999</v>
      </c>
      <c r="H204" s="86">
        <f t="shared" si="144"/>
        <v>-0.92929400000000228</v>
      </c>
      <c r="I204" s="447">
        <f t="shared" si="120"/>
        <v>-3.8163932169527896E-2</v>
      </c>
      <c r="J204" s="453">
        <f t="shared" si="148"/>
        <v>9.7413257295253595E-4</v>
      </c>
      <c r="K204" s="91">
        <f>(INDEX(Data!395:395,1,$U$1-2)+INDEX(Data!860:860,1,$U$1-2)-INDEX(Data!1503:1503,1,$U$1-2))/1000000</f>
        <v>12.120562</v>
      </c>
      <c r="L204" s="87">
        <f>(INDEX(Data!395:395,1,$U$1-1)+INDEX(Data!860:860,1,$U$1-1)-INDEX(Data!1503:1503,1,$U$1-1))/1000000</f>
        <v>12.229497</v>
      </c>
      <c r="M204" s="88">
        <f t="shared" si="145"/>
        <v>24.350059000000002</v>
      </c>
      <c r="N204" s="89">
        <f>(INDEX(Data!395:395,1,$U$1)+INDEX(Data!860:860,1,$U$1)-INDEX(Data!1503:1503,1,$U$1))/1000000</f>
        <v>11.710383</v>
      </c>
      <c r="O204" s="90">
        <f>(INDEX(Data!395:395,1,$U$1+1)+INDEX(Data!860:860,1,$U$1+1)-INDEX(Data!1503:1503,1,$U$1+1))/1000000</f>
        <v>11.710381999999999</v>
      </c>
      <c r="P204" s="88">
        <f t="shared" si="146"/>
        <v>23.420764999999999</v>
      </c>
      <c r="Q204" s="86">
        <f t="shared" si="147"/>
        <v>-0.92929400000000228</v>
      </c>
      <c r="R204" s="447">
        <f t="shared" si="124"/>
        <v>-3.8163932169527896E-2</v>
      </c>
      <c r="S204" s="453">
        <f t="shared" si="149"/>
        <v>1.5756458345380269E-3</v>
      </c>
      <c r="T204" s="453">
        <f t="shared" si="116"/>
        <v>1</v>
      </c>
    </row>
    <row r="205" spans="1:20" hidden="1" outlineLevel="1">
      <c r="A205" s="79" t="s">
        <v>123</v>
      </c>
      <c r="B205" s="86">
        <f>(INDEX(Data!344:344,1,$U$1-2)+INDEX(Data!861:861,1,$U$1-2)-INDEX(Data!1347:1347,1,$U$1-2))/1000000</f>
        <v>13.947713</v>
      </c>
      <c r="C205" s="87">
        <f>(INDEX(Data!344:344,1,$U$1-1)+INDEX(Data!861:861,1,$U$1-1)-INDEX(Data!1347:1347,1,$U$1-1))/1000000</f>
        <v>14.107984</v>
      </c>
      <c r="D205" s="88">
        <f t="shared" si="142"/>
        <v>28.055697000000002</v>
      </c>
      <c r="E205" s="89">
        <f>(INDEX(Data!344:344,1,$U$1)+INDEX(Data!861:861,1,$U$1)-INDEX(Data!1347:1347,1,$U$1))/1000000</f>
        <v>15.127755000000001</v>
      </c>
      <c r="F205" s="90">
        <f>(INDEX(Data!344:344,1,$U$1+1)+INDEX(Data!861:861,1,$U$1+1)-INDEX(Data!1347:1347,1,$U$1+1))/1000000</f>
        <v>15.127753999999999</v>
      </c>
      <c r="G205" s="88">
        <f t="shared" si="143"/>
        <v>30.255509</v>
      </c>
      <c r="H205" s="86">
        <f t="shared" si="144"/>
        <v>2.1998119999999979</v>
      </c>
      <c r="I205" s="447">
        <f t="shared" si="120"/>
        <v>7.8408745289771195E-2</v>
      </c>
      <c r="J205" s="453">
        <f t="shared" si="148"/>
        <v>1.258407948167304E-3</v>
      </c>
      <c r="K205" s="91">
        <f>(INDEX(Data!396:396,1,$U$1-2)+INDEX(Data!861:861,1,$U$1-2)-INDEX(Data!1504:1504,1,$U$1-2))/1000000</f>
        <v>13.947713</v>
      </c>
      <c r="L205" s="87">
        <f>(INDEX(Data!396:396,1,$U$1-1)+INDEX(Data!861:861,1,$U$1-1)-INDEX(Data!1504:1504,1,$U$1-1))/1000000</f>
        <v>14.107984</v>
      </c>
      <c r="M205" s="88">
        <f t="shared" si="145"/>
        <v>28.055697000000002</v>
      </c>
      <c r="N205" s="89">
        <f>(INDEX(Data!396:396,1,$U$1)+INDEX(Data!861:861,1,$U$1)-INDEX(Data!1504:1504,1,$U$1))/1000000</f>
        <v>15.127755000000001</v>
      </c>
      <c r="O205" s="90">
        <f>(INDEX(Data!396:396,1,$U$1+1)+INDEX(Data!861:861,1,$U$1+1)-INDEX(Data!1504:1504,1,$U$1+1))/1000000</f>
        <v>15.127753999999999</v>
      </c>
      <c r="P205" s="88">
        <f t="shared" si="146"/>
        <v>30.255509</v>
      </c>
      <c r="Q205" s="86">
        <f t="shared" si="147"/>
        <v>2.1998119999999979</v>
      </c>
      <c r="R205" s="447">
        <f t="shared" si="124"/>
        <v>7.8408745289771195E-2</v>
      </c>
      <c r="S205" s="453">
        <f t="shared" si="149"/>
        <v>2.0354572844942416E-3</v>
      </c>
      <c r="T205" s="453">
        <f t="shared" si="116"/>
        <v>1</v>
      </c>
    </row>
    <row r="206" spans="1:20" hidden="1" outlineLevel="1">
      <c r="A206" s="79" t="s">
        <v>174</v>
      </c>
      <c r="B206" s="86">
        <f>(INDEX(Data!345:345,1,$U$1-2)+INDEX(Data!862:862,1,$U$1-2)-INDEX(Data!1348:1348,1,$U$1-2))/1000000</f>
        <v>12.085684000000001</v>
      </c>
      <c r="C206" s="87">
        <f>(INDEX(Data!345:345,1,$U$1-1)+INDEX(Data!862:862,1,$U$1-1)-INDEX(Data!1348:1348,1,$U$1-1))/1000000</f>
        <v>12.184354000000001</v>
      </c>
      <c r="D206" s="88">
        <f t="shared" si="142"/>
        <v>24.270038</v>
      </c>
      <c r="E206" s="89">
        <f>(INDEX(Data!345:345,1,$U$1)+INDEX(Data!862:862,1,$U$1)-INDEX(Data!1348:1348,1,$U$1))/1000000</f>
        <v>12.659974</v>
      </c>
      <c r="F206" s="90">
        <f>(INDEX(Data!345:345,1,$U$1+1)+INDEX(Data!862:862,1,$U$1+1)-INDEX(Data!1348:1348,1,$U$1+1))/1000000</f>
        <v>12.659972</v>
      </c>
      <c r="G206" s="88">
        <f t="shared" si="143"/>
        <v>25.319946000000002</v>
      </c>
      <c r="H206" s="86">
        <f t="shared" si="144"/>
        <v>1.0499080000000021</v>
      </c>
      <c r="I206" s="447">
        <f t="shared" si="120"/>
        <v>4.3259429589685934E-2</v>
      </c>
      <c r="J206" s="453">
        <f t="shared" si="148"/>
        <v>1.0531246158696896E-3</v>
      </c>
      <c r="K206" s="91">
        <f>(INDEX(Data!397:397,1,$U$1-2)+INDEX(Data!862:862,1,$U$1-2)-INDEX(Data!1505:1505,1,$U$1-2))/1000000</f>
        <v>12.085684000000001</v>
      </c>
      <c r="L206" s="87">
        <f>(INDEX(Data!397:397,1,$U$1-1)+INDEX(Data!862:862,1,$U$1-1)-INDEX(Data!1505:1505,1,$U$1-1))/1000000</f>
        <v>12.184354000000001</v>
      </c>
      <c r="M206" s="88">
        <f t="shared" si="145"/>
        <v>24.270038</v>
      </c>
      <c r="N206" s="89">
        <f>(INDEX(Data!397:397,1,$U$1)+INDEX(Data!862:862,1,$U$1)-INDEX(Data!1505:1505,1,$U$1))/1000000</f>
        <v>12.659974</v>
      </c>
      <c r="O206" s="90">
        <f>(INDEX(Data!397:397,1,$U$1+1)+INDEX(Data!862:862,1,$U$1+1)-INDEX(Data!1505:1505,1,$U$1+1))/1000000</f>
        <v>12.659972</v>
      </c>
      <c r="P206" s="88">
        <f t="shared" si="146"/>
        <v>25.319946000000002</v>
      </c>
      <c r="Q206" s="86">
        <f t="shared" si="147"/>
        <v>1.0499080000000021</v>
      </c>
      <c r="R206" s="447">
        <f t="shared" si="124"/>
        <v>4.3259429589685934E-2</v>
      </c>
      <c r="S206" s="453">
        <f t="shared" si="149"/>
        <v>1.7034143609582256E-3</v>
      </c>
      <c r="T206" s="453">
        <f t="shared" si="116"/>
        <v>1</v>
      </c>
    </row>
    <row r="207" spans="1:20" hidden="1" outlineLevel="1">
      <c r="A207" s="79" t="s">
        <v>892</v>
      </c>
      <c r="B207" s="86">
        <f>(INDEX(Data!346:346,1,$U$1-2)+INDEX(Data!863:863,1,$U$1-2)-INDEX(Data!1349:1349,1,$U$1-2))/1000000</f>
        <v>89.119102999999996</v>
      </c>
      <c r="C207" s="87">
        <f>(INDEX(Data!346:346,1,$U$1-1)+INDEX(Data!863:863,1,$U$1-1)-INDEX(Data!1349:1349,1,$U$1-1))/1000000</f>
        <v>89.627488999999997</v>
      </c>
      <c r="D207" s="88">
        <f t="shared" si="142"/>
        <v>178.74659199999999</v>
      </c>
      <c r="E207" s="89">
        <f>(INDEX(Data!346:346,1,$U$1)+INDEX(Data!863:863,1,$U$1)-INDEX(Data!1349:1349,1,$U$1))/1000000</f>
        <v>90.176299999999998</v>
      </c>
      <c r="F207" s="90">
        <f>(INDEX(Data!346:346,1,$U$1+1)+INDEX(Data!863:863,1,$U$1+1)-INDEX(Data!1349:1349,1,$U$1+1))/1000000</f>
        <v>90.176299</v>
      </c>
      <c r="G207" s="88">
        <f t="shared" si="143"/>
        <v>180.352599</v>
      </c>
      <c r="H207" s="86">
        <f t="shared" si="144"/>
        <v>1.6060070000000053</v>
      </c>
      <c r="I207" s="447">
        <f t="shared" si="120"/>
        <v>8.9848258477566133E-3</v>
      </c>
      <c r="J207" s="453">
        <f t="shared" si="148"/>
        <v>7.5013493924108356E-3</v>
      </c>
      <c r="K207" s="91">
        <f>(INDEX(Data!398:398,1,$U$1-2)+INDEX(Data!863:863,1,$U$1-2)-INDEX(Data!1506:1506,1,$U$1-2))/1000000</f>
        <v>89.119102999999996</v>
      </c>
      <c r="L207" s="87">
        <f>(INDEX(Data!398:398,1,$U$1-1)+INDEX(Data!863:863,1,$U$1-1)-INDEX(Data!1506:1506,1,$U$1-1))/1000000</f>
        <v>89.627488999999997</v>
      </c>
      <c r="M207" s="88">
        <f t="shared" si="145"/>
        <v>178.74659199999999</v>
      </c>
      <c r="N207" s="89">
        <f>(INDEX(Data!398:398,1,$U$1)+INDEX(Data!863:863,1,$U$1)-INDEX(Data!1506:1506,1,$U$1))/1000000</f>
        <v>90.176299999999998</v>
      </c>
      <c r="O207" s="90">
        <f>(INDEX(Data!398:398,1,$U$1+1)+INDEX(Data!863:863,1,$U$1+1)-INDEX(Data!1506:1506,1,$U$1+1))/1000000</f>
        <v>90.176299</v>
      </c>
      <c r="P207" s="88">
        <f t="shared" si="146"/>
        <v>180.352599</v>
      </c>
      <c r="Q207" s="86">
        <f t="shared" si="147"/>
        <v>1.6060070000000053</v>
      </c>
      <c r="R207" s="447">
        <f t="shared" si="124"/>
        <v>8.9848258477566133E-3</v>
      </c>
      <c r="S207" s="453">
        <f t="shared" si="149"/>
        <v>1.2133327897805947E-2</v>
      </c>
      <c r="T207" s="453">
        <f t="shared" si="116"/>
        <v>1</v>
      </c>
    </row>
    <row r="208" spans="1:20" hidden="1" outlineLevel="1">
      <c r="A208" s="79" t="s">
        <v>126</v>
      </c>
      <c r="B208" s="86">
        <f>(INDEX(Data!347:347,1,$U$1-2)+INDEX(Data!864:864,1,$U$1-2)-INDEX(Data!1350:1350,1,$U$1-2))/1000000</f>
        <v>15.338597</v>
      </c>
      <c r="C208" s="87">
        <f>(INDEX(Data!347:347,1,$U$1-1)+INDEX(Data!864:864,1,$U$1-1)-INDEX(Data!1350:1350,1,$U$1-1))/1000000</f>
        <v>15.475016</v>
      </c>
      <c r="D208" s="88">
        <f t="shared" si="142"/>
        <v>30.813613</v>
      </c>
      <c r="E208" s="89">
        <f>(INDEX(Data!347:347,1,$U$1)+INDEX(Data!864:864,1,$U$1)-INDEX(Data!1350:1350,1,$U$1))/1000000</f>
        <v>15.591347000000001</v>
      </c>
      <c r="F208" s="90">
        <f>(INDEX(Data!347:347,1,$U$1+1)+INDEX(Data!864:864,1,$U$1+1)-INDEX(Data!1350:1350,1,$U$1+1))/1000000</f>
        <v>15.591347000000001</v>
      </c>
      <c r="G208" s="88">
        <f t="shared" si="143"/>
        <v>31.182694000000001</v>
      </c>
      <c r="H208" s="86">
        <f t="shared" si="144"/>
        <v>0.36908100000000132</v>
      </c>
      <c r="I208" s="447">
        <f t="shared" si="120"/>
        <v>1.1977855371909854E-2</v>
      </c>
      <c r="J208" s="453">
        <f t="shared" si="148"/>
        <v>1.2969720646533794E-3</v>
      </c>
      <c r="K208" s="91">
        <f>(INDEX(Data!399:399,1,$U$1-2)+INDEX(Data!864:864,1,$U$1-2)-INDEX(Data!1507:1507,1,$U$1-2))/1000000</f>
        <v>15.338597</v>
      </c>
      <c r="L208" s="87">
        <f>(INDEX(Data!399:399,1,$U$1-1)+INDEX(Data!864:864,1,$U$1-1)-INDEX(Data!1507:1507,1,$U$1-1))/1000000</f>
        <v>15.475016</v>
      </c>
      <c r="M208" s="88">
        <f t="shared" si="145"/>
        <v>30.813613</v>
      </c>
      <c r="N208" s="89">
        <f>(INDEX(Data!399:399,1,$U$1)+INDEX(Data!864:864,1,$U$1)-INDEX(Data!1507:1507,1,$U$1))/1000000</f>
        <v>15.591347000000001</v>
      </c>
      <c r="O208" s="90">
        <f>(INDEX(Data!399:399,1,$U$1+1)+INDEX(Data!864:864,1,$U$1+1)-INDEX(Data!1507:1507,1,$U$1+1))/1000000</f>
        <v>15.591347000000001</v>
      </c>
      <c r="P208" s="88">
        <f t="shared" si="146"/>
        <v>31.182694000000001</v>
      </c>
      <c r="Q208" s="86">
        <f t="shared" si="147"/>
        <v>0.36908100000000132</v>
      </c>
      <c r="R208" s="447">
        <f t="shared" si="124"/>
        <v>1.1977855371909854E-2</v>
      </c>
      <c r="S208" s="453">
        <f t="shared" si="149"/>
        <v>2.0978342044238917E-3</v>
      </c>
      <c r="T208" s="453">
        <f t="shared" si="116"/>
        <v>1</v>
      </c>
    </row>
    <row r="209" spans="1:20" hidden="1" outlineLevel="1">
      <c r="A209" s="79" t="s">
        <v>127</v>
      </c>
      <c r="B209" s="86">
        <f>(INDEX(Data!348:348,1,$U$1-2)+INDEX(Data!865:865,1,$U$1-2)-INDEX(Data!1351:1351,1,$U$1-2))/1000000</f>
        <v>10.538031</v>
      </c>
      <c r="C209" s="87">
        <f>(INDEX(Data!348:348,1,$U$1-1)+INDEX(Data!865:865,1,$U$1-1)-INDEX(Data!1351:1351,1,$U$1-1))/1000000</f>
        <v>10.632838</v>
      </c>
      <c r="D209" s="88">
        <f t="shared" si="142"/>
        <v>21.170869</v>
      </c>
      <c r="E209" s="89">
        <f>(INDEX(Data!348:348,1,$U$1)+INDEX(Data!865:865,1,$U$1)-INDEX(Data!1351:1351,1,$U$1))/1000000</f>
        <v>10.197782</v>
      </c>
      <c r="F209" s="90">
        <f>(INDEX(Data!348:348,1,$U$1+1)+INDEX(Data!865:865,1,$U$1+1)-INDEX(Data!1351:1351,1,$U$1+1))/1000000</f>
        <v>10.197779000000001</v>
      </c>
      <c r="G209" s="88">
        <f t="shared" si="143"/>
        <v>20.395561000000001</v>
      </c>
      <c r="H209" s="86">
        <f t="shared" si="144"/>
        <v>-0.775307999999999</v>
      </c>
      <c r="I209" s="447">
        <f t="shared" si="120"/>
        <v>-3.6621453753268182E-2</v>
      </c>
      <c r="J209" s="453">
        <f t="shared" si="148"/>
        <v>8.4830620663929623E-4</v>
      </c>
      <c r="K209" s="91">
        <f>(INDEX(Data!400:400,1,$U$1-2)+INDEX(Data!865:865,1,$U$1-2)-INDEX(Data!1508:1508,1,$U$1-2))/1000000</f>
        <v>10.538031</v>
      </c>
      <c r="L209" s="87">
        <f>(INDEX(Data!400:400,1,$U$1-1)+INDEX(Data!865:865,1,$U$1-1)-INDEX(Data!1508:1508,1,$U$1-1))/1000000</f>
        <v>10.632838</v>
      </c>
      <c r="M209" s="88">
        <f t="shared" si="145"/>
        <v>21.170869</v>
      </c>
      <c r="N209" s="89">
        <f>(INDEX(Data!400:400,1,$U$1)+INDEX(Data!865:865,1,$U$1)-INDEX(Data!1508:1508,1,$U$1))/1000000</f>
        <v>10.197782</v>
      </c>
      <c r="O209" s="90">
        <f>(INDEX(Data!400:400,1,$U$1+1)+INDEX(Data!865:865,1,$U$1+1)-INDEX(Data!1508:1508,1,$U$1+1))/1000000</f>
        <v>10.197779000000001</v>
      </c>
      <c r="P209" s="88">
        <f t="shared" si="146"/>
        <v>20.395561000000001</v>
      </c>
      <c r="Q209" s="86">
        <f t="shared" si="147"/>
        <v>-0.775307999999999</v>
      </c>
      <c r="R209" s="447">
        <f t="shared" si="124"/>
        <v>-3.6621453753268182E-2</v>
      </c>
      <c r="S209" s="453">
        <f t="shared" si="149"/>
        <v>1.3721234439915278E-3</v>
      </c>
      <c r="T209" s="453">
        <f t="shared" si="116"/>
        <v>1</v>
      </c>
    </row>
    <row r="210" spans="1:20" hidden="1" outlineLevel="1">
      <c r="A210" s="79" t="s">
        <v>128</v>
      </c>
      <c r="B210" s="86">
        <f>(INDEX(Data!349:349,1,$U$1-2)+INDEX(Data!866:866,1,$U$1-2)-INDEX(Data!1352:1352,1,$U$1-2))/1000000</f>
        <v>15.846918000000001</v>
      </c>
      <c r="C210" s="87">
        <f>(INDEX(Data!349:349,1,$U$1-1)+INDEX(Data!866:866,1,$U$1-1)-INDEX(Data!1352:1352,1,$U$1-1))/1000000</f>
        <v>15.928648000000001</v>
      </c>
      <c r="D210" s="88">
        <f t="shared" si="142"/>
        <v>31.775566000000001</v>
      </c>
      <c r="E210" s="89">
        <f>(INDEX(Data!349:349,1,$U$1)+INDEX(Data!866:866,1,$U$1)-INDEX(Data!1352:1352,1,$U$1))/1000000</f>
        <v>15.214594999999999</v>
      </c>
      <c r="F210" s="90">
        <f>(INDEX(Data!349:349,1,$U$1+1)+INDEX(Data!866:866,1,$U$1+1)-INDEX(Data!1352:1352,1,$U$1+1))/1000000</f>
        <v>15.214593000000001</v>
      </c>
      <c r="G210" s="88">
        <f t="shared" si="143"/>
        <v>30.429188</v>
      </c>
      <c r="H210" s="86">
        <f t="shared" si="144"/>
        <v>-1.3463780000000014</v>
      </c>
      <c r="I210" s="447">
        <f t="shared" si="120"/>
        <v>-4.2371487576334639E-2</v>
      </c>
      <c r="J210" s="453">
        <f t="shared" si="148"/>
        <v>1.2656317246382187E-3</v>
      </c>
      <c r="K210" s="91">
        <f>(INDEX(Data!401:401,1,$U$1-2)+INDEX(Data!866:866,1,$U$1-2)-INDEX(Data!1509:1509,1,$U$1-2))/1000000</f>
        <v>15.846918000000001</v>
      </c>
      <c r="L210" s="87">
        <f>(INDEX(Data!401:401,1,$U$1-1)+INDEX(Data!866:866,1,$U$1-1)-INDEX(Data!1509:1509,1,$U$1-1))/1000000</f>
        <v>15.928648000000001</v>
      </c>
      <c r="M210" s="88">
        <f t="shared" si="145"/>
        <v>31.775566000000001</v>
      </c>
      <c r="N210" s="89">
        <f>(INDEX(Data!401:401,1,$U$1)+INDEX(Data!866:866,1,$U$1)-INDEX(Data!1509:1509,1,$U$1))/1000000</f>
        <v>15.214594999999999</v>
      </c>
      <c r="O210" s="90">
        <f>(INDEX(Data!401:401,1,$U$1+1)+INDEX(Data!866:866,1,$U$1+1)-INDEX(Data!1509:1509,1,$U$1+1))/1000000</f>
        <v>15.214593000000001</v>
      </c>
      <c r="P210" s="88">
        <f t="shared" si="146"/>
        <v>30.429188</v>
      </c>
      <c r="Q210" s="86">
        <f t="shared" si="147"/>
        <v>-1.3463780000000014</v>
      </c>
      <c r="R210" s="447">
        <f t="shared" si="124"/>
        <v>-4.2371487576334639E-2</v>
      </c>
      <c r="S210" s="453">
        <f t="shared" si="149"/>
        <v>2.0471416420673925E-3</v>
      </c>
      <c r="T210" s="453">
        <f t="shared" si="116"/>
        <v>1</v>
      </c>
    </row>
    <row r="211" spans="1:20" hidden="1" outlineLevel="1">
      <c r="A211" s="79" t="s">
        <v>1405</v>
      </c>
      <c r="B211" s="86">
        <f>(INDEX(Data!350:350,1,$U$1-2)+INDEX(Data!867:867,1,$U$1-2)-INDEX(Data!1353:1353,1,$U$1-2))/1000000</f>
        <v>12.475358999999999</v>
      </c>
      <c r="C211" s="87">
        <f>(INDEX(Data!350:350,1,$U$1-1)+INDEX(Data!867:867,1,$U$1-1)-INDEX(Data!1353:1353,1,$U$1-1))/1000000</f>
        <v>12.551194000000001</v>
      </c>
      <c r="D211" s="88">
        <f t="shared" si="142"/>
        <v>25.026553</v>
      </c>
      <c r="E211" s="89">
        <f>(INDEX(Data!350:350,1,$U$1)+INDEX(Data!867:867,1,$U$1)-INDEX(Data!1353:1353,1,$U$1))/1000000</f>
        <v>13.442019999999999</v>
      </c>
      <c r="F211" s="90">
        <f>(INDEX(Data!350:350,1,$U$1+1)+INDEX(Data!867:867,1,$U$1+1)-INDEX(Data!1353:1353,1,$U$1+1))/1000000</f>
        <v>13.442019999999999</v>
      </c>
      <c r="G211" s="88">
        <f t="shared" si="143"/>
        <v>26.884039999999999</v>
      </c>
      <c r="H211" s="86">
        <f t="shared" si="144"/>
        <v>1.857486999999999</v>
      </c>
      <c r="I211" s="447">
        <f t="shared" si="120"/>
        <v>7.4220648764534172E-2</v>
      </c>
      <c r="J211" s="453">
        <f t="shared" si="148"/>
        <v>1.1181794897202927E-3</v>
      </c>
      <c r="K211" s="91">
        <f>(INDEX(Data!402:402,1,$U$1-2)+INDEX(Data!867:867,1,$U$1-2)-INDEX(Data!1510:1510,1,$U$1-2))/1000000</f>
        <v>12.475358999999999</v>
      </c>
      <c r="L211" s="87">
        <f>(INDEX(Data!402:402,1,$U$1-1)+INDEX(Data!867:867,1,$U$1-1)-INDEX(Data!1510:1510,1,$U$1-1))/1000000</f>
        <v>12.551194000000001</v>
      </c>
      <c r="M211" s="88">
        <f t="shared" si="145"/>
        <v>25.026553</v>
      </c>
      <c r="N211" s="89">
        <f>(INDEX(Data!402:402,1,$U$1)+INDEX(Data!867:867,1,$U$1)-INDEX(Data!1510:1510,1,$U$1))/1000000</f>
        <v>13.442019999999999</v>
      </c>
      <c r="O211" s="90">
        <f>(INDEX(Data!402:402,1,$U$1+1)+INDEX(Data!867:867,1,$U$1+1)-INDEX(Data!1510:1510,1,$U$1+1))/1000000</f>
        <v>13.442019999999999</v>
      </c>
      <c r="P211" s="88">
        <f t="shared" si="146"/>
        <v>26.884039999999999</v>
      </c>
      <c r="Q211" s="86">
        <f t="shared" si="147"/>
        <v>1.857486999999999</v>
      </c>
      <c r="R211" s="447">
        <f t="shared" si="124"/>
        <v>7.4220648764534172E-2</v>
      </c>
      <c r="S211" s="453">
        <f t="shared" si="149"/>
        <v>1.8086397110236873E-3</v>
      </c>
      <c r="T211" s="453">
        <f t="shared" si="116"/>
        <v>1</v>
      </c>
    </row>
    <row r="212" spans="1:20" hidden="1" outlineLevel="1">
      <c r="A212" s="79" t="s">
        <v>1413</v>
      </c>
      <c r="B212" s="86">
        <f>(INDEX(Data!351:351,1,$U$1-2)+INDEX(Data!868:868,1,$U$1-2)-INDEX(Data!1354:1354,1,$U$1-2))/1000000</f>
        <v>5.735125</v>
      </c>
      <c r="C212" s="87">
        <f>(INDEX(Data!351:351,1,$U$1-1)+INDEX(Data!868:868,1,$U$1-1)-INDEX(Data!1354:1354,1,$U$1-1))/1000000</f>
        <v>5.7807709999999997</v>
      </c>
      <c r="D212" s="88">
        <f t="shared" si="142"/>
        <v>11.515896</v>
      </c>
      <c r="E212" s="89">
        <f>(INDEX(Data!351:351,1,$U$1)+INDEX(Data!868:868,1,$U$1)-INDEX(Data!1354:1354,1,$U$1))/1000000</f>
        <v>6.00197</v>
      </c>
      <c r="F212" s="90">
        <f>(INDEX(Data!351:351,1,$U$1+1)+INDEX(Data!868:868,1,$U$1+1)-INDEX(Data!1354:1354,1,$U$1+1))/1000000</f>
        <v>6.0019689999999999</v>
      </c>
      <c r="G212" s="88">
        <f t="shared" si="143"/>
        <v>12.003938999999999</v>
      </c>
      <c r="H212" s="86">
        <f t="shared" si="144"/>
        <v>0.48804299999999934</v>
      </c>
      <c r="I212" s="447">
        <f t="shared" si="120"/>
        <v>4.237994160419644E-2</v>
      </c>
      <c r="J212" s="453">
        <f t="shared" si="148"/>
        <v>4.9927609041102165E-4</v>
      </c>
      <c r="K212" s="91">
        <f>(INDEX(Data!403:403,1,$U$1-2)+INDEX(Data!868:868,1,$U$1-2)-INDEX(Data!1511:1511,1,$U$1-2))/1000000</f>
        <v>5.735125</v>
      </c>
      <c r="L212" s="87">
        <f>(INDEX(Data!403:403,1,$U$1-1)+INDEX(Data!868:868,1,$U$1-1)-INDEX(Data!1511:1511,1,$U$1-1))/1000000</f>
        <v>5.7807709999999997</v>
      </c>
      <c r="M212" s="88">
        <f t="shared" si="145"/>
        <v>11.515896</v>
      </c>
      <c r="N212" s="89">
        <f>(INDEX(Data!403:403,1,$U$1)+INDEX(Data!868:868,1,$U$1)-INDEX(Data!1511:1511,1,$U$1))/1000000</f>
        <v>6.00197</v>
      </c>
      <c r="O212" s="90">
        <f>(INDEX(Data!403:403,1,$U$1+1)+INDEX(Data!868:868,1,$U$1+1)-INDEX(Data!1511:1511,1,$U$1+1))/1000000</f>
        <v>6.0019689999999999</v>
      </c>
      <c r="P212" s="88">
        <f t="shared" si="146"/>
        <v>12.003938999999999</v>
      </c>
      <c r="Q212" s="86">
        <f t="shared" si="147"/>
        <v>0.48804299999999934</v>
      </c>
      <c r="R212" s="447">
        <f t="shared" si="124"/>
        <v>4.237994160419644E-2</v>
      </c>
      <c r="S212" s="453">
        <f t="shared" si="149"/>
        <v>8.0757210464297668E-4</v>
      </c>
      <c r="T212" s="453">
        <f t="shared" si="116"/>
        <v>1</v>
      </c>
    </row>
    <row r="213" spans="1:20" hidden="1" outlineLevel="1">
      <c r="A213" s="79" t="s">
        <v>131</v>
      </c>
      <c r="B213" s="86">
        <f>(INDEX(Data!352:352,1,$U$1-2)+INDEX(Data!869:869,1,$U$1-2)-INDEX(Data!1355:1355,1,$U$1-2))/1000000</f>
        <v>10.538130000000001</v>
      </c>
      <c r="C213" s="87">
        <f>(INDEX(Data!352:352,1,$U$1-1)+INDEX(Data!869:869,1,$U$1-1)-INDEX(Data!1355:1355,1,$U$1-1))/1000000</f>
        <v>10.636872</v>
      </c>
      <c r="D213" s="88">
        <f t="shared" si="142"/>
        <v>21.175001999999999</v>
      </c>
      <c r="E213" s="89">
        <f>(INDEX(Data!352:352,1,$U$1)+INDEX(Data!869:869,1,$U$1)-INDEX(Data!1355:1355,1,$U$1))/1000000</f>
        <v>11.87876</v>
      </c>
      <c r="F213" s="90">
        <f>(INDEX(Data!352:352,1,$U$1+1)+INDEX(Data!869:869,1,$U$1+1)-INDEX(Data!1355:1355,1,$U$1+1))/1000000</f>
        <v>11.878759000000001</v>
      </c>
      <c r="G213" s="88">
        <f t="shared" si="143"/>
        <v>23.757519000000002</v>
      </c>
      <c r="H213" s="86">
        <f t="shared" si="144"/>
        <v>2.5825170000000028</v>
      </c>
      <c r="I213" s="447">
        <f t="shared" si="120"/>
        <v>0.12196064963771919</v>
      </c>
      <c r="J213" s="453">
        <f t="shared" si="148"/>
        <v>9.8813907703009527E-4</v>
      </c>
      <c r="K213" s="91">
        <f>(INDEX(Data!404:404,1,$U$1-2)+INDEX(Data!869:869,1,$U$1-2)-INDEX(Data!1512:1512,1,$U$1-2))/1000000</f>
        <v>10.538130000000001</v>
      </c>
      <c r="L213" s="87">
        <f>(INDEX(Data!404:404,1,$U$1-1)+INDEX(Data!869:869,1,$U$1-1)-INDEX(Data!1512:1512,1,$U$1-1))/1000000</f>
        <v>10.636872</v>
      </c>
      <c r="M213" s="88">
        <f t="shared" si="145"/>
        <v>21.175001999999999</v>
      </c>
      <c r="N213" s="89">
        <f>(INDEX(Data!404:404,1,$U$1)+INDEX(Data!869:869,1,$U$1)-INDEX(Data!1512:1512,1,$U$1))/1000000</f>
        <v>11.87876</v>
      </c>
      <c r="O213" s="90">
        <f>(INDEX(Data!404:404,1,$U$1+1)+INDEX(Data!869:869,1,$U$1+1)-INDEX(Data!1512:1512,1,$U$1+1))/1000000</f>
        <v>11.878759000000001</v>
      </c>
      <c r="P213" s="88">
        <f t="shared" si="146"/>
        <v>23.757519000000002</v>
      </c>
      <c r="Q213" s="86">
        <f t="shared" si="147"/>
        <v>2.5825170000000028</v>
      </c>
      <c r="R213" s="447">
        <f t="shared" si="124"/>
        <v>0.12196064963771919</v>
      </c>
      <c r="S213" s="453">
        <f t="shared" si="149"/>
        <v>1.5983011593049172E-3</v>
      </c>
      <c r="T213" s="453">
        <f t="shared" si="116"/>
        <v>1</v>
      </c>
    </row>
    <row r="214" spans="1:20" hidden="1" outlineLevel="1">
      <c r="A214" s="79" t="s">
        <v>132</v>
      </c>
      <c r="B214" s="86">
        <f>(INDEX(Data!353:353,1,$U$1-2)+INDEX(Data!870:870,1,$U$1-2)-INDEX(Data!1356:1356,1,$U$1-2))/1000000</f>
        <v>6.0406459999999997</v>
      </c>
      <c r="C214" s="87">
        <f>(INDEX(Data!353:353,1,$U$1-1)+INDEX(Data!870:870,1,$U$1-1)-INDEX(Data!1356:1356,1,$U$1-1))/1000000</f>
        <v>6.0846830000000001</v>
      </c>
      <c r="D214" s="88">
        <f t="shared" si="142"/>
        <v>12.125329000000001</v>
      </c>
      <c r="E214" s="89">
        <f>(INDEX(Data!353:353,1,$U$1)+INDEX(Data!870:870,1,$U$1)-INDEX(Data!1356:1356,1,$U$1))/1000000</f>
        <v>5.8595689999999996</v>
      </c>
      <c r="F214" s="90">
        <f>(INDEX(Data!353:353,1,$U$1+1)+INDEX(Data!870:870,1,$U$1+1)-INDEX(Data!1356:1356,1,$U$1+1))/1000000</f>
        <v>5.8595680000000003</v>
      </c>
      <c r="G214" s="88">
        <f t="shared" si="143"/>
        <v>11.719137</v>
      </c>
      <c r="H214" s="86">
        <f t="shared" si="144"/>
        <v>-0.40619200000000077</v>
      </c>
      <c r="I214" s="447">
        <f t="shared" si="120"/>
        <v>-3.349946215892375E-2</v>
      </c>
      <c r="J214" s="453">
        <f t="shared" si="148"/>
        <v>4.8743040966395691E-4</v>
      </c>
      <c r="K214" s="91">
        <f>(INDEX(Data!405:405,1,$U$1-2)+INDEX(Data!870:870,1,$U$1-2)-INDEX(Data!1513:1513,1,$U$1-2))/1000000</f>
        <v>6.0406459999999997</v>
      </c>
      <c r="L214" s="87">
        <f>(INDEX(Data!405:405,1,$U$1-1)+INDEX(Data!870:870,1,$U$1-1)-INDEX(Data!1513:1513,1,$U$1-1))/1000000</f>
        <v>6.0846830000000001</v>
      </c>
      <c r="M214" s="88">
        <f t="shared" si="145"/>
        <v>12.125329000000001</v>
      </c>
      <c r="N214" s="89">
        <f>(INDEX(Data!405:405,1,$U$1)+INDEX(Data!870:870,1,$U$1)-INDEX(Data!1513:1513,1,$U$1))/1000000</f>
        <v>5.8595689999999996</v>
      </c>
      <c r="O214" s="90">
        <f>(INDEX(Data!405:405,1,$U$1+1)+INDEX(Data!870:870,1,$U$1+1)-INDEX(Data!1513:1513,1,$U$1+1))/1000000</f>
        <v>5.8595680000000003</v>
      </c>
      <c r="P214" s="88">
        <f t="shared" si="146"/>
        <v>11.719137</v>
      </c>
      <c r="Q214" s="86">
        <f t="shared" si="147"/>
        <v>-0.40619200000000077</v>
      </c>
      <c r="R214" s="447">
        <f t="shared" si="124"/>
        <v>-3.349946215892375E-2</v>
      </c>
      <c r="S214" s="453">
        <f t="shared" si="149"/>
        <v>7.8841188144069879E-4</v>
      </c>
      <c r="T214" s="453">
        <f t="shared" si="116"/>
        <v>1</v>
      </c>
    </row>
    <row r="215" spans="1:20" hidden="1" outlineLevel="1">
      <c r="A215" s="79" t="s">
        <v>133</v>
      </c>
      <c r="B215" s="86">
        <f>(INDEX(Data!354:354,1,$U$1-2)+INDEX(Data!871:871,1,$U$1-2)-INDEX(Data!1357:1357,1,$U$1-2))/1000000</f>
        <v>9.1338010000000001</v>
      </c>
      <c r="C215" s="87">
        <f>(INDEX(Data!354:354,1,$U$1-1)+INDEX(Data!871:871,1,$U$1-1)-INDEX(Data!1357:1357,1,$U$1-1))/1000000</f>
        <v>9.193918</v>
      </c>
      <c r="D215" s="88">
        <f t="shared" si="142"/>
        <v>18.327719000000002</v>
      </c>
      <c r="E215" s="89">
        <f>(INDEX(Data!354:354,1,$U$1)+INDEX(Data!871:871,1,$U$1)-INDEX(Data!1357:1357,1,$U$1))/1000000</f>
        <v>9.3037150000000004</v>
      </c>
      <c r="F215" s="90">
        <f>(INDEX(Data!354:354,1,$U$1+1)+INDEX(Data!871:871,1,$U$1+1)-INDEX(Data!1357:1357,1,$U$1+1))/1000000</f>
        <v>9.3037130000000001</v>
      </c>
      <c r="G215" s="88">
        <f t="shared" si="143"/>
        <v>18.607427999999999</v>
      </c>
      <c r="H215" s="86">
        <f t="shared" si="144"/>
        <v>0.27970899999999688</v>
      </c>
      <c r="I215" s="447">
        <f t="shared" si="120"/>
        <v>1.5261528180347856E-2</v>
      </c>
      <c r="J215" s="453">
        <f t="shared" si="148"/>
        <v>7.7393294854668745E-4</v>
      </c>
      <c r="K215" s="91">
        <f>(INDEX(Data!406:406,1,$U$1-2)+INDEX(Data!871:871,1,$U$1-2)-INDEX(Data!1514:1514,1,$U$1-2))/1000000</f>
        <v>9.1338010000000001</v>
      </c>
      <c r="L215" s="87">
        <f>(INDEX(Data!406:406,1,$U$1-1)+INDEX(Data!871:871,1,$U$1-1)-INDEX(Data!1514:1514,1,$U$1-1))/1000000</f>
        <v>9.193918</v>
      </c>
      <c r="M215" s="88">
        <f t="shared" si="145"/>
        <v>18.327719000000002</v>
      </c>
      <c r="N215" s="89">
        <f>(INDEX(Data!406:406,1,$U$1)+INDEX(Data!871:871,1,$U$1)-INDEX(Data!1514:1514,1,$U$1))/1000000</f>
        <v>9.3037150000000004</v>
      </c>
      <c r="O215" s="90">
        <f>(INDEX(Data!406:406,1,$U$1+1)+INDEX(Data!871:871,1,$U$1+1)-INDEX(Data!1514:1514,1,$U$1+1))/1000000</f>
        <v>9.3037130000000001</v>
      </c>
      <c r="P215" s="88">
        <f t="shared" si="146"/>
        <v>18.607427999999999</v>
      </c>
      <c r="Q215" s="86">
        <f t="shared" si="147"/>
        <v>0.27970899999999688</v>
      </c>
      <c r="R215" s="447">
        <f t="shared" si="124"/>
        <v>1.5261528180347856E-2</v>
      </c>
      <c r="S215" s="453">
        <f t="shared" si="149"/>
        <v>1.2518257375310432E-3</v>
      </c>
      <c r="T215" s="453">
        <f t="shared" si="116"/>
        <v>1</v>
      </c>
    </row>
    <row r="216" spans="1:20" hidden="1" outlineLevel="1">
      <c r="A216" s="79" t="s">
        <v>134</v>
      </c>
      <c r="B216" s="86">
        <f>(INDEX(Data!355:355,1,$U$1-2)+INDEX(Data!872:872,1,$U$1-2)-INDEX(Data!1358:1358,1,$U$1-2))/1000000</f>
        <v>4.388738</v>
      </c>
      <c r="C216" s="87">
        <f>(INDEX(Data!355:355,1,$U$1-1)+INDEX(Data!872:872,1,$U$1-1)-INDEX(Data!1358:1358,1,$U$1-1))/1000000</f>
        <v>4.4111260000000003</v>
      </c>
      <c r="D216" s="88">
        <f t="shared" si="142"/>
        <v>8.7998639999999995</v>
      </c>
      <c r="E216" s="89">
        <f>(INDEX(Data!355:355,1,$U$1)+INDEX(Data!872:872,1,$U$1)-INDEX(Data!1358:1358,1,$U$1))/1000000</f>
        <v>4.3703529999999997</v>
      </c>
      <c r="F216" s="90">
        <f>(INDEX(Data!355:355,1,$U$1+1)+INDEX(Data!872:872,1,$U$1+1)-INDEX(Data!1358:1358,1,$U$1+1))/1000000</f>
        <v>4.3703519999999996</v>
      </c>
      <c r="G216" s="88">
        <f t="shared" si="143"/>
        <v>8.7407049999999984</v>
      </c>
      <c r="H216" s="86">
        <f t="shared" si="144"/>
        <v>-5.9159000000001072E-2</v>
      </c>
      <c r="I216" s="447">
        <f t="shared" si="120"/>
        <v>-6.7227175329074487E-3</v>
      </c>
      <c r="J216" s="453">
        <f t="shared" si="148"/>
        <v>3.6354941655702082E-4</v>
      </c>
      <c r="K216" s="91">
        <f>(INDEX(Data!407:407,1,$U$1-2)+INDEX(Data!872:872,1,$U$1-2)-INDEX(Data!1515:1515,1,$U$1-2))/1000000</f>
        <v>4.388738</v>
      </c>
      <c r="L216" s="87">
        <f>(INDEX(Data!407:407,1,$U$1-1)+INDEX(Data!872:872,1,$U$1-1)-INDEX(Data!1515:1515,1,$U$1-1))/1000000</f>
        <v>4.4111260000000003</v>
      </c>
      <c r="M216" s="88">
        <f t="shared" si="145"/>
        <v>8.7998639999999995</v>
      </c>
      <c r="N216" s="89">
        <f>(INDEX(Data!407:407,1,$U$1)+INDEX(Data!872:872,1,$U$1)-INDEX(Data!1515:1515,1,$U$1))/1000000</f>
        <v>4.3703529999999997</v>
      </c>
      <c r="O216" s="90">
        <f>(INDEX(Data!407:407,1,$U$1+1)+INDEX(Data!872:872,1,$U$1+1)-INDEX(Data!1515:1515,1,$U$1+1))/1000000</f>
        <v>4.3703519999999996</v>
      </c>
      <c r="P216" s="88">
        <f t="shared" si="146"/>
        <v>8.7407049999999984</v>
      </c>
      <c r="Q216" s="86">
        <f t="shared" si="147"/>
        <v>-5.9159000000001072E-2</v>
      </c>
      <c r="R216" s="447">
        <f t="shared" si="124"/>
        <v>-6.7227175329074487E-3</v>
      </c>
      <c r="S216" s="453">
        <f t="shared" si="149"/>
        <v>5.8803610489135179E-4</v>
      </c>
      <c r="T216" s="453">
        <f t="shared" si="116"/>
        <v>1</v>
      </c>
    </row>
    <row r="217" spans="1:20" hidden="1" outlineLevel="1">
      <c r="A217" s="79" t="s">
        <v>1414</v>
      </c>
      <c r="B217" s="86">
        <f>(INDEX(Data!356:356,1,$U$1-2)+INDEX(Data!873:873,1,$U$1-2)-INDEX(Data!1359:1359,1,$U$1-2))/1000000</f>
        <v>46.842978000000002</v>
      </c>
      <c r="C217" s="87">
        <f>(INDEX(Data!356:356,1,$U$1-1)+INDEX(Data!873:873,1,$U$1-1)-INDEX(Data!1359:1359,1,$U$1-1))/1000000</f>
        <v>47.209961999999997</v>
      </c>
      <c r="D217" s="88">
        <f t="shared" si="142"/>
        <v>94.052940000000007</v>
      </c>
      <c r="E217" s="89">
        <f>(INDEX(Data!356:356,1,$U$1)+INDEX(Data!873:873,1,$U$1)-INDEX(Data!1359:1359,1,$U$1))/1000000</f>
        <v>50.394660999999999</v>
      </c>
      <c r="F217" s="90">
        <f>(INDEX(Data!356:356,1,$U$1+1)+INDEX(Data!873:873,1,$U$1+1)-INDEX(Data!1359:1359,1,$U$1+1))/1000000</f>
        <v>50.394660999999999</v>
      </c>
      <c r="G217" s="88">
        <f t="shared" si="143"/>
        <v>100.789322</v>
      </c>
      <c r="H217" s="86">
        <f t="shared" si="144"/>
        <v>6.7363819999999919</v>
      </c>
      <c r="I217" s="447">
        <f t="shared" si="120"/>
        <v>7.1623300664498013E-2</v>
      </c>
      <c r="J217" s="453">
        <f t="shared" si="148"/>
        <v>4.1920988305036849E-3</v>
      </c>
      <c r="K217" s="91">
        <f>(INDEX(Data!408:408,1,$U$1-2)+INDEX(Data!873:873,1,$U$1-2)-INDEX(Data!1516:1516,1,$U$1-2))/1000000</f>
        <v>46.842978000000002</v>
      </c>
      <c r="L217" s="87">
        <f>(INDEX(Data!408:408,1,$U$1-1)+INDEX(Data!873:873,1,$U$1-1)-INDEX(Data!1516:1516,1,$U$1-1))/1000000</f>
        <v>47.209961999999997</v>
      </c>
      <c r="M217" s="88">
        <f t="shared" si="145"/>
        <v>94.052940000000007</v>
      </c>
      <c r="N217" s="89">
        <f>(INDEX(Data!408:408,1,$U$1)+INDEX(Data!873:873,1,$U$1)-INDEX(Data!1516:1516,1,$U$1))/1000000</f>
        <v>50.394660999999999</v>
      </c>
      <c r="O217" s="90">
        <f>(INDEX(Data!408:408,1,$U$1+1)+INDEX(Data!873:873,1,$U$1+1)-INDEX(Data!1516:1516,1,$U$1+1))/1000000</f>
        <v>50.394660999999999</v>
      </c>
      <c r="P217" s="88">
        <f t="shared" si="146"/>
        <v>100.789322</v>
      </c>
      <c r="Q217" s="86">
        <f t="shared" si="147"/>
        <v>6.7363819999999919</v>
      </c>
      <c r="R217" s="447">
        <f t="shared" si="124"/>
        <v>7.1623300664498013E-2</v>
      </c>
      <c r="S217" s="453">
        <f t="shared" si="149"/>
        <v>6.7806613223441638E-3</v>
      </c>
      <c r="T217" s="453">
        <f t="shared" si="116"/>
        <v>1</v>
      </c>
    </row>
    <row r="218" spans="1:20" hidden="1" outlineLevel="1">
      <c r="A218" s="79" t="s">
        <v>136</v>
      </c>
      <c r="B218" s="86">
        <f>(INDEX(Data!357:357,1,$U$1-2)+INDEX(Data!874:874,1,$U$1-2)-INDEX(Data!1360:1360,1,$U$1-2))/1000000</f>
        <v>17.209064999999999</v>
      </c>
      <c r="C218" s="87">
        <f>(INDEX(Data!357:357,1,$U$1-1)+INDEX(Data!874:874,1,$U$1-1)-INDEX(Data!1360:1360,1,$U$1-1))/1000000</f>
        <v>17.37311</v>
      </c>
      <c r="D218" s="88">
        <f t="shared" si="142"/>
        <v>34.582174999999999</v>
      </c>
      <c r="E218" s="89">
        <f>(INDEX(Data!357:357,1,$U$1)+INDEX(Data!874:874,1,$U$1)-INDEX(Data!1360:1360,1,$U$1))/1000000</f>
        <v>17.104444999999998</v>
      </c>
      <c r="F218" s="90">
        <f>(INDEX(Data!357:357,1,$U$1+1)+INDEX(Data!874:874,1,$U$1+1)-INDEX(Data!1360:1360,1,$U$1+1))/1000000</f>
        <v>17.104444000000001</v>
      </c>
      <c r="G218" s="88">
        <f t="shared" si="143"/>
        <v>34.208888999999999</v>
      </c>
      <c r="H218" s="86">
        <f t="shared" si="144"/>
        <v>-0.37328600000000023</v>
      </c>
      <c r="I218" s="447">
        <f t="shared" si="120"/>
        <v>-1.0794173587982833E-2</v>
      </c>
      <c r="J218" s="453">
        <f t="shared" si="148"/>
        <v>1.4228396493204943E-3</v>
      </c>
      <c r="K218" s="91">
        <f>(INDEX(Data!409:409,1,$U$1-2)+INDEX(Data!874:874,1,$U$1-2)-INDEX(Data!1517:1517,1,$U$1-2))/1000000</f>
        <v>17.209064999999999</v>
      </c>
      <c r="L218" s="87">
        <f>(INDEX(Data!409:409,1,$U$1-1)+INDEX(Data!874:874,1,$U$1-1)-INDEX(Data!1517:1517,1,$U$1-1))/1000000</f>
        <v>17.37311</v>
      </c>
      <c r="M218" s="88">
        <f t="shared" si="145"/>
        <v>34.582174999999999</v>
      </c>
      <c r="N218" s="89">
        <f>(INDEX(Data!409:409,1,$U$1)+INDEX(Data!874:874,1,$U$1)-INDEX(Data!1517:1517,1,$U$1))/1000000</f>
        <v>17.104444999999998</v>
      </c>
      <c r="O218" s="90">
        <f>(INDEX(Data!409:409,1,$U$1+1)+INDEX(Data!874:874,1,$U$1+1)-INDEX(Data!1517:1517,1,$U$1+1))/1000000</f>
        <v>17.104444000000001</v>
      </c>
      <c r="P218" s="88">
        <f t="shared" si="146"/>
        <v>34.208888999999999</v>
      </c>
      <c r="Q218" s="86">
        <f t="shared" si="147"/>
        <v>-0.37328600000000023</v>
      </c>
      <c r="R218" s="447">
        <f t="shared" si="124"/>
        <v>-1.0794173587982833E-2</v>
      </c>
      <c r="S218" s="453">
        <f t="shared" si="149"/>
        <v>2.3014232650822347E-3</v>
      </c>
      <c r="T218" s="453">
        <f t="shared" si="116"/>
        <v>1</v>
      </c>
    </row>
    <row r="219" spans="1:20" hidden="1" outlineLevel="1">
      <c r="A219" s="79" t="s">
        <v>137</v>
      </c>
      <c r="B219" s="86">
        <f>(INDEX(Data!358:358,1,$U$1-2)+INDEX(Data!875:875,1,$U$1-2)-INDEX(Data!1361:1361,1,$U$1-2))/1000000</f>
        <v>45.633423000000001</v>
      </c>
      <c r="C219" s="87">
        <f>(INDEX(Data!358:358,1,$U$1-1)+INDEX(Data!875:875,1,$U$1-1)-INDEX(Data!1361:1361,1,$U$1-1))/1000000</f>
        <v>45.879697999999998</v>
      </c>
      <c r="D219" s="88">
        <f t="shared" si="142"/>
        <v>91.513120999999998</v>
      </c>
      <c r="E219" s="89">
        <f>(INDEX(Data!358:358,1,$U$1)+INDEX(Data!875:875,1,$U$1)-INDEX(Data!1361:1361,1,$U$1))/1000000</f>
        <v>47.751868000000002</v>
      </c>
      <c r="F219" s="90">
        <f>(INDEX(Data!358:358,1,$U$1+1)+INDEX(Data!875:875,1,$U$1+1)-INDEX(Data!1361:1361,1,$U$1+1))/1000000</f>
        <v>47.751866</v>
      </c>
      <c r="G219" s="88">
        <f t="shared" si="143"/>
        <v>95.503734000000009</v>
      </c>
      <c r="H219" s="86">
        <f t="shared" si="144"/>
        <v>3.9906130000000104</v>
      </c>
      <c r="I219" s="447">
        <f t="shared" si="120"/>
        <v>4.3607003633938025E-2</v>
      </c>
      <c r="J219" s="453">
        <f t="shared" si="148"/>
        <v>3.9722570175651645E-3</v>
      </c>
      <c r="K219" s="91">
        <f>(INDEX(Data!410:410,1,$U$1-2)+INDEX(Data!875:875,1,$U$1-2)-INDEX(Data!1518:1518,1,$U$1-2))/1000000</f>
        <v>45.633423000000001</v>
      </c>
      <c r="L219" s="87">
        <f>(INDEX(Data!410:410,1,$U$1-1)+INDEX(Data!875:875,1,$U$1-1)-INDEX(Data!1518:1518,1,$U$1-1))/1000000</f>
        <v>45.879697999999998</v>
      </c>
      <c r="M219" s="88">
        <f t="shared" si="145"/>
        <v>91.513120999999998</v>
      </c>
      <c r="N219" s="89">
        <f>(INDEX(Data!410:410,1,$U$1)+INDEX(Data!875:875,1,$U$1)-INDEX(Data!1518:1518,1,$U$1))/1000000</f>
        <v>47.751868000000002</v>
      </c>
      <c r="O219" s="90">
        <f>(INDEX(Data!410:410,1,$U$1+1)+INDEX(Data!875:875,1,$U$1+1)-INDEX(Data!1518:1518,1,$U$1+1))/1000000</f>
        <v>47.751866</v>
      </c>
      <c r="P219" s="88">
        <f t="shared" si="146"/>
        <v>95.503734000000009</v>
      </c>
      <c r="Q219" s="86">
        <f t="shared" si="147"/>
        <v>3.9906130000000104</v>
      </c>
      <c r="R219" s="447">
        <f t="shared" si="124"/>
        <v>4.3607003633938025E-2</v>
      </c>
      <c r="S219" s="453">
        <f t="shared" si="149"/>
        <v>6.4250702596575192E-3</v>
      </c>
      <c r="T219" s="453">
        <f t="shared" si="116"/>
        <v>1</v>
      </c>
    </row>
    <row r="220" spans="1:20" hidden="1" outlineLevel="1">
      <c r="A220" s="79" t="s">
        <v>138</v>
      </c>
      <c r="B220" s="86">
        <f>(INDEX(Data!359:359,1,$U$1-2)+INDEX(Data!876:876,1,$U$1-2)-INDEX(Data!1362:1362,1,$U$1-2))/1000000</f>
        <v>8.9607569999999992</v>
      </c>
      <c r="C220" s="87">
        <f>(INDEX(Data!359:359,1,$U$1-1)+INDEX(Data!876:876,1,$U$1-1)-INDEX(Data!1362:1362,1,$U$1-1))/1000000</f>
        <v>9.0287469999999992</v>
      </c>
      <c r="D220" s="88">
        <f t="shared" si="142"/>
        <v>17.989503999999997</v>
      </c>
      <c r="E220" s="89">
        <f>(INDEX(Data!359:359,1,$U$1)+INDEX(Data!876:876,1,$U$1)-INDEX(Data!1362:1362,1,$U$1))/1000000</f>
        <v>10.003183</v>
      </c>
      <c r="F220" s="90">
        <f>(INDEX(Data!359:359,1,$U$1+1)+INDEX(Data!876:876,1,$U$1+1)-INDEX(Data!1362:1362,1,$U$1+1))/1000000</f>
        <v>10.003182000000001</v>
      </c>
      <c r="G220" s="88">
        <f t="shared" si="143"/>
        <v>20.006365000000002</v>
      </c>
      <c r="H220" s="86">
        <f t="shared" si="144"/>
        <v>2.0168610000000058</v>
      </c>
      <c r="I220" s="447">
        <f t="shared" si="120"/>
        <v>0.11211320779049863</v>
      </c>
      <c r="J220" s="453">
        <f t="shared" si="148"/>
        <v>8.3211849881408928E-4</v>
      </c>
      <c r="K220" s="91">
        <f>(INDEX(Data!411:411,1,$U$1-2)+INDEX(Data!876:876,1,$U$1-2)-INDEX(Data!1519:1519,1,$U$1-2))/1000000</f>
        <v>8.9607569999999992</v>
      </c>
      <c r="L220" s="87">
        <f>(INDEX(Data!411:411,1,$U$1-1)+INDEX(Data!876:876,1,$U$1-1)-INDEX(Data!1519:1519,1,$U$1-1))/1000000</f>
        <v>9.0287469999999992</v>
      </c>
      <c r="M220" s="88">
        <f t="shared" si="145"/>
        <v>17.989503999999997</v>
      </c>
      <c r="N220" s="89">
        <f>(INDEX(Data!411:411,1,$U$1)+INDEX(Data!876:876,1,$U$1)-INDEX(Data!1519:1519,1,$U$1))/1000000</f>
        <v>10.003183</v>
      </c>
      <c r="O220" s="90">
        <f>(INDEX(Data!411:411,1,$U$1+1)+INDEX(Data!876:876,1,$U$1+1)-INDEX(Data!1519:1519,1,$U$1+1))/1000000</f>
        <v>10.003182000000001</v>
      </c>
      <c r="P220" s="88">
        <f t="shared" si="146"/>
        <v>20.006365000000002</v>
      </c>
      <c r="Q220" s="86">
        <f t="shared" si="147"/>
        <v>2.0168610000000058</v>
      </c>
      <c r="R220" s="447">
        <f t="shared" si="124"/>
        <v>0.11211320779049863</v>
      </c>
      <c r="S220" s="453">
        <f t="shared" si="149"/>
        <v>1.34594005261986E-3</v>
      </c>
      <c r="T220" s="453">
        <f t="shared" si="116"/>
        <v>1</v>
      </c>
    </row>
    <row r="221" spans="1:20" hidden="1" outlineLevel="1">
      <c r="A221" s="79" t="s">
        <v>1408</v>
      </c>
      <c r="B221" s="86">
        <f>(INDEX(Data!360:360,1,$U$1-2)+INDEX(Data!877:877,1,$U$1-2)-INDEX(Data!1363:1363,1,$U$1-2))/1000000</f>
        <v>69.056405999999996</v>
      </c>
      <c r="C221" s="87">
        <f>(INDEX(Data!360:360,1,$U$1-1)+INDEX(Data!877:877,1,$U$1-1)-INDEX(Data!1363:1363,1,$U$1-1))/1000000</f>
        <v>69.680858000000001</v>
      </c>
      <c r="D221" s="88">
        <f t="shared" si="142"/>
        <v>138.73726399999998</v>
      </c>
      <c r="E221" s="89">
        <f>(INDEX(Data!360:360,1,$U$1)+INDEX(Data!877:877,1,$U$1)-INDEX(Data!1363:1363,1,$U$1))/1000000</f>
        <v>70.979769000000005</v>
      </c>
      <c r="F221" s="90">
        <f>(INDEX(Data!360:360,1,$U$1+1)+INDEX(Data!877:877,1,$U$1+1)-INDEX(Data!1363:1363,1,$U$1+1))/1000000</f>
        <v>70.979768000000007</v>
      </c>
      <c r="G221" s="88">
        <f t="shared" si="143"/>
        <v>141.95953700000001</v>
      </c>
      <c r="H221" s="86">
        <f t="shared" si="144"/>
        <v>3.2222730000000297</v>
      </c>
      <c r="I221" s="447">
        <f t="shared" si="120"/>
        <v>2.322572110114576E-2</v>
      </c>
      <c r="J221" s="453">
        <f t="shared" si="148"/>
        <v>5.904478740679937E-3</v>
      </c>
      <c r="K221" s="91">
        <f>(INDEX(Data!412:412,1,$U$1-2)+INDEX(Data!877:877,1,$U$1-2)-INDEX(Data!1520:1520,1,$U$1-2))/1000000</f>
        <v>69.056405999999996</v>
      </c>
      <c r="L221" s="87">
        <f>(INDEX(Data!412:412,1,$U$1-1)+INDEX(Data!877:877,1,$U$1-1)-INDEX(Data!1520:1520,1,$U$1-1))/1000000</f>
        <v>69.680858000000001</v>
      </c>
      <c r="M221" s="88">
        <f t="shared" si="145"/>
        <v>138.73726399999998</v>
      </c>
      <c r="N221" s="89">
        <f>(INDEX(Data!412:412,1,$U$1)+INDEX(Data!877:877,1,$U$1)-INDEX(Data!1520:1520,1,$U$1))/1000000</f>
        <v>70.979769000000005</v>
      </c>
      <c r="O221" s="90">
        <f>(INDEX(Data!412:412,1,$U$1+1)+INDEX(Data!877:877,1,$U$1+1)-INDEX(Data!1520:1520,1,$U$1+1))/1000000</f>
        <v>70.979768000000007</v>
      </c>
      <c r="P221" s="88">
        <f t="shared" si="146"/>
        <v>141.95953700000001</v>
      </c>
      <c r="Q221" s="86">
        <f t="shared" si="147"/>
        <v>3.2222730000000297</v>
      </c>
      <c r="R221" s="447">
        <f t="shared" si="124"/>
        <v>2.322572110114576E-2</v>
      </c>
      <c r="S221" s="453">
        <f t="shared" si="149"/>
        <v>9.5504119163911556E-3</v>
      </c>
      <c r="T221" s="453">
        <f t="shared" si="116"/>
        <v>1</v>
      </c>
    </row>
    <row r="222" spans="1:20" hidden="1" outlineLevel="1">
      <c r="A222" s="79" t="s">
        <v>1409</v>
      </c>
      <c r="B222" s="86">
        <f>(INDEX(Data!361:361,1,$U$1-2)+INDEX(Data!878:878,1,$U$1-2)-INDEX(Data!1364:1364,1,$U$1-2))/1000000</f>
        <v>8.6257269999999995</v>
      </c>
      <c r="C222" s="87">
        <f>(INDEX(Data!361:361,1,$U$1-1)+INDEX(Data!878:878,1,$U$1-1)-INDEX(Data!1364:1364,1,$U$1-1))/1000000</f>
        <v>8.6965489999999992</v>
      </c>
      <c r="D222" s="88">
        <f t="shared" si="142"/>
        <v>17.322275999999999</v>
      </c>
      <c r="E222" s="89">
        <f>(INDEX(Data!361:361,1,$U$1)+INDEX(Data!878:878,1,$U$1)-INDEX(Data!1364:1364,1,$U$1))/1000000</f>
        <v>8.6270810000000004</v>
      </c>
      <c r="F222" s="90">
        <f>(INDEX(Data!361:361,1,$U$1+1)+INDEX(Data!878:878,1,$U$1+1)-INDEX(Data!1364:1364,1,$U$1+1))/1000000</f>
        <v>8.6270790000000002</v>
      </c>
      <c r="G222" s="88">
        <f t="shared" si="143"/>
        <v>17.254159999999999</v>
      </c>
      <c r="H222" s="86">
        <f t="shared" si="144"/>
        <v>-6.8115999999999843E-2</v>
      </c>
      <c r="I222" s="447">
        <f t="shared" si="120"/>
        <v>-3.93227772147262E-3</v>
      </c>
      <c r="J222" s="453">
        <f t="shared" si="148"/>
        <v>7.176468947506508E-4</v>
      </c>
      <c r="K222" s="91">
        <f>(INDEX(Data!413:413,1,$U$1-2)+INDEX(Data!878:878,1,$U$1-2)-INDEX(Data!1521:1521,1,$U$1-2))/1000000</f>
        <v>8.6257269999999995</v>
      </c>
      <c r="L222" s="87">
        <f>(INDEX(Data!413:413,1,$U$1-1)+INDEX(Data!878:878,1,$U$1-1)-INDEX(Data!1521:1521,1,$U$1-1))/1000000</f>
        <v>8.6965489999999992</v>
      </c>
      <c r="M222" s="88">
        <f t="shared" si="145"/>
        <v>17.322275999999999</v>
      </c>
      <c r="N222" s="89">
        <f>(INDEX(Data!413:413,1,$U$1)+INDEX(Data!878:878,1,$U$1)-INDEX(Data!1521:1521,1,$U$1))/1000000</f>
        <v>8.6270810000000004</v>
      </c>
      <c r="O222" s="90">
        <f>(INDEX(Data!413:413,1,$U$1+1)+INDEX(Data!878:878,1,$U$1+1)-INDEX(Data!1521:1521,1,$U$1+1))/1000000</f>
        <v>8.6270790000000002</v>
      </c>
      <c r="P222" s="88">
        <f t="shared" si="146"/>
        <v>17.254159999999999</v>
      </c>
      <c r="Q222" s="86">
        <f t="shared" si="147"/>
        <v>-6.8115999999999843E-2</v>
      </c>
      <c r="R222" s="447">
        <f t="shared" si="124"/>
        <v>-3.93227772147262E-3</v>
      </c>
      <c r="S222" s="453">
        <f t="shared" si="149"/>
        <v>1.1607838314612114E-3</v>
      </c>
      <c r="T222" s="453">
        <f t="shared" si="116"/>
        <v>1</v>
      </c>
    </row>
    <row r="223" spans="1:20" hidden="1" outlineLevel="1">
      <c r="A223" s="79" t="s">
        <v>141</v>
      </c>
      <c r="B223" s="86">
        <f>(INDEX(Data!362:362,1,$U$1-2)+INDEX(Data!879:879,1,$U$1-2)-INDEX(Data!1365:1365,1,$U$1-2))/1000000</f>
        <v>8.7633489999999998</v>
      </c>
      <c r="C223" s="87">
        <f>(INDEX(Data!362:362,1,$U$1-1)+INDEX(Data!879:879,1,$U$1-1)-INDEX(Data!1365:1365,1,$U$1-1))/1000000</f>
        <v>8.8346029999999995</v>
      </c>
      <c r="D223" s="88">
        <f t="shared" si="142"/>
        <v>17.597951999999999</v>
      </c>
      <c r="E223" s="89">
        <f>(INDEX(Data!362:362,1,$U$1)+INDEX(Data!879:879,1,$U$1)-INDEX(Data!1365:1365,1,$U$1))/1000000</f>
        <v>9.0988410000000002</v>
      </c>
      <c r="F223" s="90">
        <f>(INDEX(Data!362:362,1,$U$1+1)+INDEX(Data!879:879,1,$U$1+1)-INDEX(Data!1365:1365,1,$U$1+1))/1000000</f>
        <v>9.0988389999999999</v>
      </c>
      <c r="G223" s="88">
        <f t="shared" si="143"/>
        <v>18.197679999999998</v>
      </c>
      <c r="H223" s="86">
        <f t="shared" si="144"/>
        <v>0.59972799999999893</v>
      </c>
      <c r="I223" s="447">
        <f t="shared" si="120"/>
        <v>3.4079420150708389E-2</v>
      </c>
      <c r="J223" s="453">
        <f t="shared" si="148"/>
        <v>7.5689042779631245E-4</v>
      </c>
      <c r="K223" s="91">
        <f>(INDEX(Data!414:414,1,$U$1-2)+INDEX(Data!879:879,1,$U$1-2)-INDEX(Data!1522:1522,1,$U$1-2))/1000000</f>
        <v>8.7633489999999998</v>
      </c>
      <c r="L223" s="87">
        <f>(INDEX(Data!414:414,1,$U$1-1)+INDEX(Data!879:879,1,$U$1-1)-INDEX(Data!1522:1522,1,$U$1-1))/1000000</f>
        <v>8.8346029999999995</v>
      </c>
      <c r="M223" s="88">
        <f t="shared" si="145"/>
        <v>17.597951999999999</v>
      </c>
      <c r="N223" s="89">
        <f>(INDEX(Data!414:414,1,$U$1)+INDEX(Data!879:879,1,$U$1)-INDEX(Data!1522:1522,1,$U$1))/1000000</f>
        <v>9.0988410000000002</v>
      </c>
      <c r="O223" s="90">
        <f>(INDEX(Data!414:414,1,$U$1+1)+INDEX(Data!879:879,1,$U$1+1)-INDEX(Data!1522:1522,1,$U$1+1))/1000000</f>
        <v>9.0988389999999999</v>
      </c>
      <c r="P223" s="88">
        <f t="shared" si="146"/>
        <v>18.197679999999998</v>
      </c>
      <c r="Q223" s="86">
        <f t="shared" si="147"/>
        <v>0.59972799999999893</v>
      </c>
      <c r="R223" s="447">
        <f t="shared" si="124"/>
        <v>3.4079420150708389E-2</v>
      </c>
      <c r="S223" s="453">
        <f t="shared" si="149"/>
        <v>1.2242596981890197E-3</v>
      </c>
      <c r="T223" s="453">
        <f t="shared" si="116"/>
        <v>1</v>
      </c>
    </row>
    <row r="224" spans="1:20" hidden="1" outlineLevel="1">
      <c r="A224" s="79" t="s">
        <v>142</v>
      </c>
      <c r="B224" s="86">
        <f>(INDEX(Data!363:363,1,$U$1-2)+INDEX(Data!880:880,1,$U$1-2)-INDEX(Data!1366:1366,1,$U$1-2))/1000000</f>
        <v>7.3890890000000002</v>
      </c>
      <c r="C224" s="87">
        <f>(INDEX(Data!363:363,1,$U$1-1)+INDEX(Data!880:880,1,$U$1-1)-INDEX(Data!1366:1366,1,$U$1-1))/1000000</f>
        <v>7.4870729999999996</v>
      </c>
      <c r="D224" s="88">
        <f t="shared" si="142"/>
        <v>14.876162000000001</v>
      </c>
      <c r="E224" s="89">
        <f>(INDEX(Data!363:363,1,$U$1)+INDEX(Data!880:880,1,$U$1)-INDEX(Data!1366:1366,1,$U$1))/1000000</f>
        <v>9.2688229999999994</v>
      </c>
      <c r="F224" s="90">
        <f>(INDEX(Data!363:363,1,$U$1+1)+INDEX(Data!880:880,1,$U$1+1)-INDEX(Data!1366:1366,1,$U$1+1))/1000000</f>
        <v>9.2688210000000009</v>
      </c>
      <c r="G224" s="88">
        <f t="shared" si="143"/>
        <v>18.537644</v>
      </c>
      <c r="H224" s="86">
        <f t="shared" si="144"/>
        <v>3.6614819999999995</v>
      </c>
      <c r="I224" s="447">
        <f t="shared" si="120"/>
        <v>0.24613082325938634</v>
      </c>
      <c r="J224" s="453">
        <f t="shared" si="148"/>
        <v>7.7103044440256924E-4</v>
      </c>
      <c r="K224" s="91">
        <f>(INDEX(Data!415:415,1,$U$1-2)+INDEX(Data!880:880,1,$U$1-2)-INDEX(Data!1523:1523,1,$U$1-2))/1000000</f>
        <v>7.3890890000000002</v>
      </c>
      <c r="L224" s="87">
        <f>(INDEX(Data!415:415,1,$U$1-1)+INDEX(Data!880:880,1,$U$1-1)-INDEX(Data!1523:1523,1,$U$1-1))/1000000</f>
        <v>7.4870729999999996</v>
      </c>
      <c r="M224" s="88">
        <f t="shared" si="145"/>
        <v>14.876162000000001</v>
      </c>
      <c r="N224" s="89">
        <f>(INDEX(Data!415:415,1,$U$1)+INDEX(Data!880:880,1,$U$1)-INDEX(Data!1523:1523,1,$U$1))/1000000</f>
        <v>9.2688229999999994</v>
      </c>
      <c r="O224" s="90">
        <f>(INDEX(Data!415:415,1,$U$1+1)+INDEX(Data!880:880,1,$U$1+1)-INDEX(Data!1523:1523,1,$U$1+1))/1000000</f>
        <v>9.2688210000000009</v>
      </c>
      <c r="P224" s="88">
        <f t="shared" si="146"/>
        <v>18.537644</v>
      </c>
      <c r="Q224" s="86">
        <f t="shared" si="147"/>
        <v>3.6614819999999995</v>
      </c>
      <c r="R224" s="447">
        <f t="shared" si="124"/>
        <v>0.24613082325938634</v>
      </c>
      <c r="S224" s="453">
        <f t="shared" si="149"/>
        <v>1.247130977606788E-3</v>
      </c>
      <c r="T224" s="453">
        <f t="shared" si="116"/>
        <v>1</v>
      </c>
    </row>
    <row r="225" spans="1:22" hidden="1" outlineLevel="1">
      <c r="A225" s="79" t="s">
        <v>143</v>
      </c>
      <c r="B225" s="86">
        <f>(INDEX(Data!364:364,1,$U$1-2)+INDEX(Data!881:881,1,$U$1-2)-INDEX(Data!1367:1367,1,$U$1-2))/1000000</f>
        <v>13.713770999999999</v>
      </c>
      <c r="C225" s="87">
        <f>(INDEX(Data!364:364,1,$U$1-1)+INDEX(Data!881:881,1,$U$1-1)-INDEX(Data!1367:1367,1,$U$1-1))/1000000</f>
        <v>13.803912</v>
      </c>
      <c r="D225" s="88">
        <f t="shared" si="142"/>
        <v>27.517682999999998</v>
      </c>
      <c r="E225" s="89">
        <f>(INDEX(Data!364:364,1,$U$1)+INDEX(Data!881:881,1,$U$1)-INDEX(Data!1367:1367,1,$U$1))/1000000</f>
        <v>13.969124000000001</v>
      </c>
      <c r="F225" s="90">
        <f>(INDEX(Data!364:364,1,$U$1+1)+INDEX(Data!881:881,1,$U$1+1)-INDEX(Data!1367:1367,1,$U$1+1))/1000000</f>
        <v>13.969123</v>
      </c>
      <c r="G225" s="88">
        <f t="shared" si="143"/>
        <v>27.938247</v>
      </c>
      <c r="H225" s="86">
        <f t="shared" si="144"/>
        <v>0.42056400000000238</v>
      </c>
      <c r="I225" s="447">
        <f t="shared" si="120"/>
        <v>1.5283408853863256E-2</v>
      </c>
      <c r="J225" s="453">
        <f t="shared" si="148"/>
        <v>1.162026792630107E-3</v>
      </c>
      <c r="K225" s="91">
        <f>(INDEX(Data!416:416,1,$U$1-2)+INDEX(Data!881:881,1,$U$1-2)-INDEX(Data!1524:1524,1,$U$1-2))/1000000</f>
        <v>13.713770999999999</v>
      </c>
      <c r="L225" s="87">
        <f>(INDEX(Data!416:416,1,$U$1-1)+INDEX(Data!881:881,1,$U$1-1)-INDEX(Data!1524:1524,1,$U$1-1))/1000000</f>
        <v>13.803912</v>
      </c>
      <c r="M225" s="88">
        <f t="shared" si="145"/>
        <v>27.517682999999998</v>
      </c>
      <c r="N225" s="89">
        <f>(INDEX(Data!416:416,1,$U$1)+INDEX(Data!881:881,1,$U$1)-INDEX(Data!1524:1524,1,$U$1))/1000000</f>
        <v>13.969124000000001</v>
      </c>
      <c r="O225" s="90">
        <f>(INDEX(Data!416:416,1,$U$1+1)+INDEX(Data!881:881,1,$U$1+1)-INDEX(Data!1524:1524,1,$U$1+1))/1000000</f>
        <v>13.969123</v>
      </c>
      <c r="P225" s="88">
        <f t="shared" si="146"/>
        <v>27.938247</v>
      </c>
      <c r="Q225" s="86">
        <f t="shared" si="147"/>
        <v>0.42056400000000238</v>
      </c>
      <c r="R225" s="447">
        <f t="shared" si="124"/>
        <v>1.5283408853863256E-2</v>
      </c>
      <c r="S225" s="453">
        <f t="shared" si="149"/>
        <v>1.8795621112224355E-3</v>
      </c>
      <c r="T225" s="453">
        <f t="shared" si="116"/>
        <v>1</v>
      </c>
    </row>
    <row r="226" spans="1:22" hidden="1" outlineLevel="1">
      <c r="A226" s="79" t="s">
        <v>144</v>
      </c>
      <c r="B226" s="86">
        <f>(INDEX(Data!365:365,1,$U$1-2)+INDEX(Data!882:882,1,$U$1-2)-INDEX(Data!1368:1368,1,$U$1-2))/1000000</f>
        <v>20.527726999999999</v>
      </c>
      <c r="C226" s="87">
        <f>(INDEX(Data!365:365,1,$U$1-1)+INDEX(Data!882:882,1,$U$1-1)-INDEX(Data!1368:1368,1,$U$1-1))/1000000</f>
        <v>20.698891</v>
      </c>
      <c r="D226" s="88">
        <f t="shared" si="142"/>
        <v>41.226618000000002</v>
      </c>
      <c r="E226" s="89">
        <f>(INDEX(Data!365:365,1,$U$1)+INDEX(Data!882:882,1,$U$1)-INDEX(Data!1368:1368,1,$U$1))/1000000</f>
        <v>21.959427000000002</v>
      </c>
      <c r="F226" s="90">
        <f>(INDEX(Data!365:365,1,$U$1+1)+INDEX(Data!882:882,1,$U$1+1)-INDEX(Data!1368:1368,1,$U$1+1))/1000000</f>
        <v>21.959425</v>
      </c>
      <c r="G226" s="88">
        <f t="shared" si="143"/>
        <v>43.918852000000001</v>
      </c>
      <c r="H226" s="86">
        <f t="shared" si="144"/>
        <v>2.6922339999999991</v>
      </c>
      <c r="I226" s="447">
        <f t="shared" si="120"/>
        <v>6.5303295070189823E-2</v>
      </c>
      <c r="J226" s="453">
        <f t="shared" si="148"/>
        <v>1.826703111528664E-3</v>
      </c>
      <c r="K226" s="91">
        <f>(INDEX(Data!417:417,1,$U$1-2)+INDEX(Data!882:882,1,$U$1-2)-INDEX(Data!1525:1525,1,$U$1-2))/1000000</f>
        <v>20.527726999999999</v>
      </c>
      <c r="L226" s="87">
        <f>(INDEX(Data!417:417,1,$U$1-1)+INDEX(Data!882:882,1,$U$1-1)-INDEX(Data!1525:1525,1,$U$1-1))/1000000</f>
        <v>20.698891</v>
      </c>
      <c r="M226" s="88">
        <f t="shared" si="145"/>
        <v>41.226618000000002</v>
      </c>
      <c r="N226" s="89">
        <f>(INDEX(Data!417:417,1,$U$1)+INDEX(Data!882:882,1,$U$1)-INDEX(Data!1525:1525,1,$U$1))/1000000</f>
        <v>21.959427000000002</v>
      </c>
      <c r="O226" s="90">
        <f>(INDEX(Data!417:417,1,$U$1+1)+INDEX(Data!882:882,1,$U$1+1)-INDEX(Data!1525:1525,1,$U$1+1))/1000000</f>
        <v>21.959425</v>
      </c>
      <c r="P226" s="88">
        <f t="shared" si="146"/>
        <v>43.918852000000001</v>
      </c>
      <c r="Q226" s="86">
        <f t="shared" si="147"/>
        <v>2.6922339999999991</v>
      </c>
      <c r="R226" s="447">
        <f t="shared" si="124"/>
        <v>6.5303295070189823E-2</v>
      </c>
      <c r="S226" s="453">
        <f t="shared" si="149"/>
        <v>2.954666775892764E-3</v>
      </c>
      <c r="T226" s="453">
        <f t="shared" si="116"/>
        <v>1</v>
      </c>
    </row>
    <row r="227" spans="1:22" hidden="1" outlineLevel="1">
      <c r="A227" s="79" t="s">
        <v>180</v>
      </c>
      <c r="B227" s="86">
        <f>(INDEX(Data!366:366,1,$U$1-2)+INDEX(Data!883:883,1,$U$1-2)-INDEX(Data!1369:1369,1,$U$1-2))/1000000</f>
        <v>6.752764</v>
      </c>
      <c r="C227" s="87">
        <f>(INDEX(Data!366:366,1,$U$1-1)+INDEX(Data!883:883,1,$U$1-1)-INDEX(Data!1369:1369,1,$U$1-1))/1000000</f>
        <v>6.8055269999999997</v>
      </c>
      <c r="D227" s="88">
        <f t="shared" si="142"/>
        <v>13.558291000000001</v>
      </c>
      <c r="E227" s="89">
        <f>(INDEX(Data!366:366,1,$U$1)+INDEX(Data!883:883,1,$U$1)-INDEX(Data!1369:1369,1,$U$1))/1000000</f>
        <v>6.5339099999999997</v>
      </c>
      <c r="F227" s="90">
        <f>(INDEX(Data!366:366,1,$U$1+1)+INDEX(Data!883:883,1,$U$1+1)-INDEX(Data!1369:1369,1,$U$1+1))/1000000</f>
        <v>6.5339090000000004</v>
      </c>
      <c r="G227" s="88">
        <f t="shared" si="143"/>
        <v>13.067819</v>
      </c>
      <c r="H227" s="86">
        <f t="shared" si="144"/>
        <v>-0.49047200000000046</v>
      </c>
      <c r="I227" s="447">
        <f t="shared" si="120"/>
        <v>-3.6175060706397325E-2</v>
      </c>
      <c r="J227" s="453">
        <f t="shared" si="148"/>
        <v>5.4352571939251496E-4</v>
      </c>
      <c r="K227" s="91">
        <f>(INDEX(Data!418:418,1,$U$1-2)+INDEX(Data!883:883,1,$U$1-2)-INDEX(Data!1526:1526,1,$U$1-2))/1000000</f>
        <v>6.752764</v>
      </c>
      <c r="L227" s="87">
        <f>(INDEX(Data!418:418,1,$U$1-1)+INDEX(Data!883:883,1,$U$1-1)-INDEX(Data!1526:1526,1,$U$1-1))/1000000</f>
        <v>6.8055269999999997</v>
      </c>
      <c r="M227" s="88">
        <f t="shared" si="145"/>
        <v>13.558291000000001</v>
      </c>
      <c r="N227" s="89">
        <f>(INDEX(Data!418:418,1,$U$1)+INDEX(Data!883:883,1,$U$1)-INDEX(Data!1526:1526,1,$U$1))/1000000</f>
        <v>6.5339099999999997</v>
      </c>
      <c r="O227" s="90">
        <f>(INDEX(Data!418:418,1,$U$1+1)+INDEX(Data!883:883,1,$U$1+1)-INDEX(Data!1526:1526,1,$U$1+1))/1000000</f>
        <v>6.5339090000000004</v>
      </c>
      <c r="P227" s="88">
        <f t="shared" si="146"/>
        <v>13.067819</v>
      </c>
      <c r="Q227" s="86">
        <f t="shared" si="147"/>
        <v>-0.49047200000000046</v>
      </c>
      <c r="R227" s="447">
        <f t="shared" si="124"/>
        <v>-3.6175060706397325E-2</v>
      </c>
      <c r="S227" s="453">
        <f t="shared" si="149"/>
        <v>8.7914526164482171E-4</v>
      </c>
      <c r="T227" s="453">
        <f t="shared" si="116"/>
        <v>1</v>
      </c>
    </row>
    <row r="228" spans="1:22" hidden="1" outlineLevel="1">
      <c r="A228" s="79" t="s">
        <v>146</v>
      </c>
      <c r="B228" s="86">
        <f>(INDEX(Data!367:367,1,$U$1-2)+INDEX(Data!884:884,1,$U$1-2)-INDEX(Data!1370:1370,1,$U$1-2))/1000000</f>
        <v>7.1182249999999998</v>
      </c>
      <c r="C228" s="87">
        <f>(INDEX(Data!367:367,1,$U$1-1)+INDEX(Data!884:884,1,$U$1-1)-INDEX(Data!1370:1370,1,$U$1-1))/1000000</f>
        <v>7.1863349999999997</v>
      </c>
      <c r="D228" s="88">
        <f t="shared" si="142"/>
        <v>14.304559999999999</v>
      </c>
      <c r="E228" s="89">
        <f>(INDEX(Data!367:367,1,$U$1)+INDEX(Data!884:884,1,$U$1)-INDEX(Data!1370:1370,1,$U$1))/1000000</f>
        <v>7.0782429999999996</v>
      </c>
      <c r="F228" s="90">
        <f>(INDEX(Data!367:367,1,$U$1+1)+INDEX(Data!884:884,1,$U$1+1)-INDEX(Data!1370:1370,1,$U$1+1))/1000000</f>
        <v>7.0782410000000002</v>
      </c>
      <c r="G228" s="88">
        <f t="shared" si="143"/>
        <v>14.156483999999999</v>
      </c>
      <c r="H228" s="86">
        <f t="shared" si="144"/>
        <v>-0.14807599999999965</v>
      </c>
      <c r="I228" s="447">
        <f t="shared" si="120"/>
        <v>-1.0351664084739389E-2</v>
      </c>
      <c r="J228" s="453">
        <f t="shared" si="148"/>
        <v>5.8880622314776685E-4</v>
      </c>
      <c r="K228" s="91">
        <f>(INDEX(Data!419:419,1,$U$1-2)+INDEX(Data!884:884,1,$U$1-2)-INDEX(Data!1527:1527,1,$U$1-2))/1000000</f>
        <v>7.1182249999999998</v>
      </c>
      <c r="L228" s="87">
        <f>(INDEX(Data!419:419,1,$U$1-1)+INDEX(Data!884:884,1,$U$1-1)-INDEX(Data!1527:1527,1,$U$1-1))/1000000</f>
        <v>7.1863349999999997</v>
      </c>
      <c r="M228" s="88">
        <f t="shared" si="145"/>
        <v>14.304559999999999</v>
      </c>
      <c r="N228" s="89">
        <f>(INDEX(Data!419:419,1,$U$1)+INDEX(Data!884:884,1,$U$1)-INDEX(Data!1527:1527,1,$U$1))/1000000</f>
        <v>7.0782429999999996</v>
      </c>
      <c r="O228" s="90">
        <f>(INDEX(Data!419:419,1,$U$1+1)+INDEX(Data!884:884,1,$U$1+1)-INDEX(Data!1527:1527,1,$U$1+1))/1000000</f>
        <v>7.0782410000000002</v>
      </c>
      <c r="P228" s="88">
        <f t="shared" si="146"/>
        <v>14.156483999999999</v>
      </c>
      <c r="Q228" s="86">
        <f t="shared" si="147"/>
        <v>-0.14807599999999965</v>
      </c>
      <c r="R228" s="447">
        <f t="shared" si="124"/>
        <v>-1.0351664084739389E-2</v>
      </c>
      <c r="S228" s="453">
        <f t="shared" si="149"/>
        <v>9.5238584419869384E-4</v>
      </c>
      <c r="T228" s="453">
        <f t="shared" si="116"/>
        <v>1</v>
      </c>
    </row>
    <row r="229" spans="1:22" hidden="1" outlineLevel="1">
      <c r="A229" s="79" t="s">
        <v>147</v>
      </c>
      <c r="B229" s="86">
        <f>(INDEX(Data!368:368,1,$U$1-2)+INDEX(Data!885:885,1,$U$1-2)-INDEX(Data!1371:1371,1,$U$1-2))/1000000</f>
        <v>10.148091000000001</v>
      </c>
      <c r="C229" s="87">
        <f>(INDEX(Data!368:368,1,$U$1-1)+INDEX(Data!885:885,1,$U$1-1)-INDEX(Data!1371:1371,1,$U$1-1))/1000000</f>
        <v>10.224883</v>
      </c>
      <c r="D229" s="88">
        <f t="shared" si="142"/>
        <v>20.372973999999999</v>
      </c>
      <c r="E229" s="89">
        <f>(INDEX(Data!368:368,1,$U$1)+INDEX(Data!885:885,1,$U$1)-INDEX(Data!1371:1371,1,$U$1))/1000000</f>
        <v>10.799559</v>
      </c>
      <c r="F229" s="90">
        <f>(INDEX(Data!368:368,1,$U$1+1)+INDEX(Data!885:885,1,$U$1+1)-INDEX(Data!1371:1371,1,$U$1+1))/1000000</f>
        <v>10.799559</v>
      </c>
      <c r="G229" s="88">
        <f t="shared" si="143"/>
        <v>21.599118000000001</v>
      </c>
      <c r="H229" s="86">
        <f t="shared" si="144"/>
        <v>1.2261440000000015</v>
      </c>
      <c r="I229" s="447">
        <f t="shared" si="120"/>
        <v>6.0184831139528355E-2</v>
      </c>
      <c r="J229" s="453">
        <f t="shared" si="148"/>
        <v>8.9836537751202547E-4</v>
      </c>
      <c r="K229" s="91">
        <f>(INDEX(Data!420:420,1,$U$1-2)+INDEX(Data!885:885,1,$U$1-2)-INDEX(Data!1528:1528,1,$U$1-2))/1000000</f>
        <v>10.148091000000001</v>
      </c>
      <c r="L229" s="87">
        <f>(INDEX(Data!420:420,1,$U$1-1)+INDEX(Data!885:885,1,$U$1-1)-INDEX(Data!1528:1528,1,$U$1-1))/1000000</f>
        <v>10.224883</v>
      </c>
      <c r="M229" s="88">
        <f t="shared" si="145"/>
        <v>20.372973999999999</v>
      </c>
      <c r="N229" s="89">
        <f>(INDEX(Data!420:420,1,$U$1)+INDEX(Data!885:885,1,$U$1)-INDEX(Data!1528:1528,1,$U$1))/1000000</f>
        <v>10.799559</v>
      </c>
      <c r="O229" s="90">
        <f>(INDEX(Data!420:420,1,$U$1+1)+INDEX(Data!885:885,1,$U$1+1)-INDEX(Data!1528:1528,1,$U$1+1))/1000000</f>
        <v>10.799559</v>
      </c>
      <c r="P229" s="88">
        <f t="shared" si="146"/>
        <v>21.599118000000001</v>
      </c>
      <c r="Q229" s="86">
        <f t="shared" si="147"/>
        <v>1.2261440000000015</v>
      </c>
      <c r="R229" s="447">
        <f t="shared" si="124"/>
        <v>6.0184831139528355E-2</v>
      </c>
      <c r="S229" s="453">
        <f t="shared" si="149"/>
        <v>1.4530934538814304E-3</v>
      </c>
      <c r="T229" s="453">
        <f t="shared" si="116"/>
        <v>1</v>
      </c>
    </row>
    <row r="230" spans="1:22" hidden="1" outlineLevel="1">
      <c r="A230" s="79" t="s">
        <v>148</v>
      </c>
      <c r="B230" s="86">
        <f>(INDEX(Data!369:369,1,$U$1-2)+INDEX(Data!886:886,1,$U$1-2)-INDEX(Data!1372:1372,1,$U$1-2))/1000000</f>
        <v>4.6621610000000002</v>
      </c>
      <c r="C230" s="87">
        <f>(INDEX(Data!369:369,1,$U$1-1)+INDEX(Data!886:886,1,$U$1-1)-INDEX(Data!1372:1372,1,$U$1-1))/1000000</f>
        <v>4.6975519999999999</v>
      </c>
      <c r="D230" s="88">
        <f t="shared" si="142"/>
        <v>9.3597129999999993</v>
      </c>
      <c r="E230" s="89">
        <f>(INDEX(Data!369:369,1,$U$1)+INDEX(Data!886:886,1,$U$1)-INDEX(Data!1372:1372,1,$U$1))/1000000</f>
        <v>4.7317239999999998</v>
      </c>
      <c r="F230" s="90">
        <f>(INDEX(Data!369:369,1,$U$1+1)+INDEX(Data!886:886,1,$U$1+1)-INDEX(Data!1372:1372,1,$U$1+1))/1000000</f>
        <v>4.7317229999999997</v>
      </c>
      <c r="G230" s="88">
        <f t="shared" si="143"/>
        <v>9.4634469999999986</v>
      </c>
      <c r="H230" s="86">
        <f t="shared" si="144"/>
        <v>0.10373399999999933</v>
      </c>
      <c r="I230" s="447">
        <f t="shared" si="120"/>
        <v>1.1083032139981144E-2</v>
      </c>
      <c r="J230" s="453">
        <f t="shared" si="148"/>
        <v>3.936101991164659E-4</v>
      </c>
      <c r="K230" s="91">
        <f>(INDEX(Data!421:421,1,$U$1-2)+INDEX(Data!886:886,1,$U$1-2)-INDEX(Data!1529:1529,1,$U$1-2))/1000000</f>
        <v>4.6621610000000002</v>
      </c>
      <c r="L230" s="87">
        <f>(INDEX(Data!421:421,1,$U$1-1)+INDEX(Data!886:886,1,$U$1-1)-INDEX(Data!1529:1529,1,$U$1-1))/1000000</f>
        <v>4.6975519999999999</v>
      </c>
      <c r="M230" s="88">
        <f t="shared" si="145"/>
        <v>9.3597129999999993</v>
      </c>
      <c r="N230" s="89">
        <f>(INDEX(Data!421:421,1,$U$1)+INDEX(Data!886:886,1,$U$1)-INDEX(Data!1529:1529,1,$U$1))/1000000</f>
        <v>4.7317239999999998</v>
      </c>
      <c r="O230" s="90">
        <f>(INDEX(Data!421:421,1,$U$1+1)+INDEX(Data!886:886,1,$U$1+1)-INDEX(Data!1529:1529,1,$U$1+1))/1000000</f>
        <v>4.7317229999999997</v>
      </c>
      <c r="P230" s="88">
        <f t="shared" si="146"/>
        <v>9.4634469999999986</v>
      </c>
      <c r="Q230" s="86">
        <f t="shared" si="147"/>
        <v>0.10373399999999933</v>
      </c>
      <c r="R230" s="447">
        <f t="shared" si="124"/>
        <v>1.1083032139981144E-2</v>
      </c>
      <c r="S230" s="453">
        <f t="shared" si="149"/>
        <v>6.3665900093021655E-4</v>
      </c>
      <c r="T230" s="453">
        <f t="shared" si="116"/>
        <v>1</v>
      </c>
    </row>
    <row r="231" spans="1:22" hidden="1" outlineLevel="1">
      <c r="A231" s="79" t="s">
        <v>149</v>
      </c>
      <c r="B231" s="86">
        <f>(INDEX(Data!370:370,1,$U$1-2)+INDEX(Data!887:887,1,$U$1-2)-INDEX(Data!1373:1373,1,$U$1-2))/1000000</f>
        <v>11.343149</v>
      </c>
      <c r="C231" s="87">
        <f>(INDEX(Data!370:370,1,$U$1-1)+INDEX(Data!887:887,1,$U$1-1)-INDEX(Data!1373:1373,1,$U$1-1))/1000000</f>
        <v>11.432873000000001</v>
      </c>
      <c r="D231" s="88">
        <f t="shared" si="142"/>
        <v>22.776022000000001</v>
      </c>
      <c r="E231" s="89">
        <f>(INDEX(Data!370:370,1,$U$1)+INDEX(Data!887:887,1,$U$1)-INDEX(Data!1373:1373,1,$U$1))/1000000</f>
        <v>11.678103</v>
      </c>
      <c r="F231" s="90">
        <f>(INDEX(Data!370:370,1,$U$1+1)+INDEX(Data!887:887,1,$U$1+1)-INDEX(Data!1373:1373,1,$U$1+1))/1000000</f>
        <v>11.678102000000001</v>
      </c>
      <c r="G231" s="88">
        <f t="shared" si="143"/>
        <v>23.356205000000003</v>
      </c>
      <c r="H231" s="86">
        <f t="shared" si="144"/>
        <v>0.58018300000000167</v>
      </c>
      <c r="I231" s="447">
        <f t="shared" si="120"/>
        <v>2.5473412345667811E-2</v>
      </c>
      <c r="J231" s="453">
        <f t="shared" si="148"/>
        <v>9.7144734901088363E-4</v>
      </c>
      <c r="K231" s="91">
        <f>(INDEX(Data!422:422,1,$U$1-2)+INDEX(Data!887:887,1,$U$1-2)-INDEX(Data!1530:1530,1,$U$1-2))/1000000</f>
        <v>11.343149</v>
      </c>
      <c r="L231" s="87">
        <f>(INDEX(Data!422:422,1,$U$1-1)+INDEX(Data!887:887,1,$U$1-1)-INDEX(Data!1530:1530,1,$U$1-1))/1000000</f>
        <v>11.432873000000001</v>
      </c>
      <c r="M231" s="88">
        <f t="shared" si="145"/>
        <v>22.776022000000001</v>
      </c>
      <c r="N231" s="89">
        <f>(INDEX(Data!422:422,1,$U$1)+INDEX(Data!887:887,1,$U$1)-INDEX(Data!1530:1530,1,$U$1))/1000000</f>
        <v>11.678103</v>
      </c>
      <c r="O231" s="90">
        <f>(INDEX(Data!422:422,1,$U$1+1)+INDEX(Data!887:887,1,$U$1+1)-INDEX(Data!1530:1530,1,$U$1+1))/1000000</f>
        <v>11.678102000000001</v>
      </c>
      <c r="P231" s="88">
        <f t="shared" si="146"/>
        <v>23.356205000000003</v>
      </c>
      <c r="Q231" s="86">
        <f t="shared" si="147"/>
        <v>0.58018300000000167</v>
      </c>
      <c r="R231" s="447">
        <f t="shared" si="124"/>
        <v>2.5473412345667811E-2</v>
      </c>
      <c r="S231" s="453">
        <f t="shared" si="149"/>
        <v>1.5713025223072876E-3</v>
      </c>
      <c r="T231" s="453">
        <f t="shared" si="116"/>
        <v>1</v>
      </c>
    </row>
    <row r="232" spans="1:22" collapsed="1">
      <c r="A232" s="113" t="s">
        <v>77</v>
      </c>
      <c r="B232" s="105">
        <f>SUM(B182:B231)</f>
        <v>1077.946882</v>
      </c>
      <c r="C232" s="106">
        <f>SUM(C182:C231)</f>
        <v>1081.512232</v>
      </c>
      <c r="D232" s="119">
        <f t="shared" si="142"/>
        <v>2159.4591140000002</v>
      </c>
      <c r="E232" s="105">
        <f>SUM(E182:E231)</f>
        <v>1120.2886530000003</v>
      </c>
      <c r="F232" s="106">
        <f>SUM(F182:F231)</f>
        <v>1115.591805</v>
      </c>
      <c r="G232" s="107">
        <f t="shared" si="143"/>
        <v>2235.8804580000005</v>
      </c>
      <c r="H232" s="105">
        <f t="shared" si="119"/>
        <v>76.421344000000317</v>
      </c>
      <c r="I232" s="449">
        <f t="shared" si="120"/>
        <v>3.538911364635372E-2</v>
      </c>
      <c r="J232" s="454">
        <f t="shared" si="148"/>
        <v>9.2996278446320385E-2</v>
      </c>
      <c r="K232" s="405">
        <f>SUM(K182:K231)</f>
        <v>1077.946882</v>
      </c>
      <c r="L232" s="106">
        <f>SUM(L182:L231)</f>
        <v>1081.512232</v>
      </c>
      <c r="M232" s="119">
        <f t="shared" si="145"/>
        <v>2159.4591140000002</v>
      </c>
      <c r="N232" s="105">
        <f>SUM(N182:N231)</f>
        <v>1120.2886530000003</v>
      </c>
      <c r="O232" s="106">
        <f>SUM(O182:O231)</f>
        <v>1115.591805</v>
      </c>
      <c r="P232" s="107">
        <f t="shared" si="146"/>
        <v>2235.8804580000005</v>
      </c>
      <c r="Q232" s="105">
        <f t="shared" si="123"/>
        <v>76.421344000000317</v>
      </c>
      <c r="R232" s="449">
        <f t="shared" si="124"/>
        <v>3.538911364635372E-2</v>
      </c>
      <c r="S232" s="454">
        <f t="shared" si="149"/>
        <v>0.15042018184174072</v>
      </c>
      <c r="T232" s="454">
        <f t="shared" si="116"/>
        <v>1</v>
      </c>
    </row>
    <row r="233" spans="1:22" hidden="1" outlineLevel="1">
      <c r="A233" s="120" t="s">
        <v>27</v>
      </c>
      <c r="B233" s="86"/>
      <c r="C233" s="87"/>
      <c r="D233" s="88"/>
      <c r="E233" s="89"/>
      <c r="F233" s="90"/>
      <c r="G233" s="88"/>
      <c r="H233" s="86"/>
      <c r="I233" s="447"/>
      <c r="J233" s="453"/>
      <c r="K233" s="91"/>
      <c r="L233" s="87"/>
      <c r="M233" s="88"/>
      <c r="N233" s="89"/>
      <c r="O233" s="90"/>
      <c r="P233" s="88"/>
      <c r="Q233" s="86"/>
      <c r="R233" s="447"/>
      <c r="S233" s="453"/>
      <c r="T233" s="453"/>
    </row>
    <row r="234" spans="1:22" hidden="1" outlineLevel="1">
      <c r="A234" s="92" t="s">
        <v>790</v>
      </c>
      <c r="B234" s="86">
        <f>(INDEX(Data!989:989,1,$U$1-2)-INDEX(Data!1253:1253,1,$U$1-2))/1000000</f>
        <v>14.817841</v>
      </c>
      <c r="C234" s="87">
        <f>(INDEX(Data!989:989,1,$U$1-1)-INDEX(Data!1253:1253,1,$U$1-1))/1000000</f>
        <v>14.567888999999999</v>
      </c>
      <c r="D234" s="88">
        <f t="shared" ref="D234:D244" si="150">B234+C234</f>
        <v>29.385729999999999</v>
      </c>
      <c r="E234" s="89">
        <f>(INDEX(Data!989:989,1,$U$1)-INDEX(Data!1253:1253,1,$U$1))/1000000</f>
        <v>15.48521</v>
      </c>
      <c r="F234" s="90">
        <f>(INDEX(Data!989:989,1,$U$1+1)-INDEX(Data!1253:1253,1,$U$1+1))/1000000</f>
        <v>15.49596</v>
      </c>
      <c r="G234" s="88">
        <f t="shared" ref="G234:G244" si="151">E234+F234</f>
        <v>30.981169999999999</v>
      </c>
      <c r="H234" s="86">
        <f t="shared" si="119"/>
        <v>1.59544</v>
      </c>
      <c r="I234" s="447">
        <f t="shared" si="120"/>
        <v>5.4293019094642195E-2</v>
      </c>
      <c r="J234" s="453">
        <f>IFERROR(G234/G$254,"")</f>
        <v>1.2885901397832187E-3</v>
      </c>
      <c r="K234" s="91">
        <f>(INDEX(Data!1125:1125,1,$U$1-2)-INDEX(Data!1410:1410,1,$U$1-2))/1000000</f>
        <v>7.7577660000000002</v>
      </c>
      <c r="L234" s="87">
        <f>(INDEX(Data!1125:1125,1,$U$1-1)-INDEX(Data!1410:1410,1,$U$1-1))/1000000</f>
        <v>7.5078139999999998</v>
      </c>
      <c r="M234" s="88">
        <f t="shared" ref="M234:M244" si="152">K234+L234</f>
        <v>15.26558</v>
      </c>
      <c r="N234" s="89">
        <f>(INDEX(Data!1125:1125,1,$U$1)-INDEX(Data!1410:1410,1,$U$1))/1000000</f>
        <v>7.1961940000000002</v>
      </c>
      <c r="O234" s="90">
        <f>(INDEX(Data!1125:1125,1,$U$1+1)-INDEX(Data!1410:1410,1,$U$1+1))/1000000</f>
        <v>7.1961940000000002</v>
      </c>
      <c r="P234" s="88">
        <f t="shared" ref="P234:P244" si="153">N234+O234</f>
        <v>14.392388</v>
      </c>
      <c r="Q234" s="86">
        <f t="shared" si="123"/>
        <v>-0.87319199999999952</v>
      </c>
      <c r="R234" s="447">
        <f t="shared" si="124"/>
        <v>-5.720005397764117E-2</v>
      </c>
      <c r="S234" s="453">
        <f>IFERROR(P234/P$254,"")</f>
        <v>9.6825642549485823E-4</v>
      </c>
      <c r="T234" s="453">
        <f t="shared" si="116"/>
        <v>0.46455275898231091</v>
      </c>
    </row>
    <row r="235" spans="1:22" hidden="1" outlineLevel="1">
      <c r="A235" s="92" t="s">
        <v>791</v>
      </c>
      <c r="B235" s="86">
        <f>(INDEX(Data!1020:1020,1,$U$1-2)-INDEX(Data!1254:1254,1,$U$1-2))/1000000</f>
        <v>563.25071700000001</v>
      </c>
      <c r="C235" s="87">
        <f>(INDEX(Data!1020:1020,1,$U$1-1)-INDEX(Data!1254:1254,1,$U$1-1))/1000000</f>
        <v>542.64809600000001</v>
      </c>
      <c r="D235" s="88">
        <f t="shared" si="150"/>
        <v>1105.898813</v>
      </c>
      <c r="E235" s="89">
        <f>(INDEX(Data!1020:1020,1,$U$1)-INDEX(Data!1254:1254,1,$U$1))/1000000</f>
        <v>585.56209799999999</v>
      </c>
      <c r="F235" s="90">
        <f>(INDEX(Data!1020:1020,1,$U$1+1)-INDEX(Data!1254:1254,1,$U$1+1))/1000000</f>
        <v>584.29209800000001</v>
      </c>
      <c r="G235" s="88">
        <f t="shared" si="151"/>
        <v>1169.854196</v>
      </c>
      <c r="H235" s="86">
        <f t="shared" si="119"/>
        <v>63.955382999999983</v>
      </c>
      <c r="I235" s="447">
        <f t="shared" si="120"/>
        <v>5.7831134501814485E-2</v>
      </c>
      <c r="J235" s="453">
        <f>IFERROR(G235/G$254,"")</f>
        <v>4.8657380658949451E-2</v>
      </c>
      <c r="K235" s="91">
        <f>(INDEX(Data!1154:1154,1,$U$1-2)-INDEX(Data!1411:1411,1,$U$1-2))/1000000</f>
        <v>547.74375099999997</v>
      </c>
      <c r="L235" s="87">
        <f>(INDEX(Data!1154:1154,1,$U$1-1)-INDEX(Data!1411:1411,1,$U$1-1))/1000000</f>
        <v>539.49165600000003</v>
      </c>
      <c r="M235" s="88">
        <f t="shared" si="152"/>
        <v>1087.2354070000001</v>
      </c>
      <c r="N235" s="89">
        <f>(INDEX(Data!1154:1154,1,$U$1)-INDEX(Data!1411:1411,1,$U$1))/1000000</f>
        <v>584.30969800000003</v>
      </c>
      <c r="O235" s="90">
        <f>(INDEX(Data!1154:1154,1,$U$1+1)-INDEX(Data!1411:1411,1,$U$1+1))/1000000</f>
        <v>584.03969800000004</v>
      </c>
      <c r="P235" s="88">
        <f t="shared" si="153"/>
        <v>1168.3493960000001</v>
      </c>
      <c r="Q235" s="86">
        <f t="shared" si="123"/>
        <v>81.113988999999947</v>
      </c>
      <c r="R235" s="447">
        <f t="shared" si="124"/>
        <v>7.4605727957128554E-2</v>
      </c>
      <c r="S235" s="453">
        <f>IFERROR(P235/P$254,"")</f>
        <v>7.8601397481782492E-2</v>
      </c>
      <c r="T235" s="453">
        <f t="shared" si="116"/>
        <v>0.9987136858549166</v>
      </c>
    </row>
    <row r="236" spans="1:22" s="1044" customFormat="1" hidden="1" outlineLevel="1">
      <c r="A236" s="92" t="s">
        <v>1873</v>
      </c>
      <c r="B236" s="86">
        <f>(INDEX(Data!1028:1028,1,$U$1-2)-INDEX(Data!1255:1255,1,$U$1-2))/1000000</f>
        <v>3.3250000000000002</v>
      </c>
      <c r="C236" s="87">
        <f>(INDEX(Data!1028:1028,1,$U$1-1)-INDEX(Data!1255:1255,1,$U$1-1))/1000000</f>
        <v>3.3250000000000002</v>
      </c>
      <c r="D236" s="88">
        <f t="shared" ref="D236" si="154">B236+C236</f>
        <v>6.65</v>
      </c>
      <c r="E236" s="89">
        <f>(INDEX(Data!1028:1028,1,$U$1)-INDEX(Data!1255:1255,1,$U$1))/1000000</f>
        <v>4.0679999999999996</v>
      </c>
      <c r="F236" s="90">
        <f>(INDEX(Data!1028:1028,1,$U$1+1)-INDEX(Data!1255:1255,1,$U$1+1))/1000000</f>
        <v>3.7679999999999998</v>
      </c>
      <c r="G236" s="88">
        <f t="shared" ref="G236" si="155">E236+F236</f>
        <v>7.8359999999999994</v>
      </c>
      <c r="H236" s="86">
        <f t="shared" ref="H236" si="156">G236-D236</f>
        <v>1.1859999999999991</v>
      </c>
      <c r="I236" s="447">
        <f t="shared" ref="I236" si="157">IFERROR(H236/D236,"")</f>
        <v>0.17834586466165397</v>
      </c>
      <c r="J236" s="453">
        <f>IFERROR(G236/G$254,"")</f>
        <v>3.25920303698708E-4</v>
      </c>
      <c r="K236" s="91">
        <f>(INDEX(Data!1163:1163,1,$U$1-2)-INDEX(Data!1412:1412,1,$U$1-2))/1000000</f>
        <v>3.3250000000000002</v>
      </c>
      <c r="L236" s="87">
        <f>(INDEX(Data!1163:1163,1,$U$1-1)-INDEX(Data!1412:1412,1,$U$1-1))/1000000</f>
        <v>3.3250000000000002</v>
      </c>
      <c r="M236" s="88">
        <f t="shared" ref="M236" si="158">K236+L236</f>
        <v>6.65</v>
      </c>
      <c r="N236" s="89">
        <f>(INDEX(Data!1163:1163,1,$U$1)-INDEX(Data!1412:1412,1,$U$1))/1000000</f>
        <v>4.0679999999999996</v>
      </c>
      <c r="O236" s="90">
        <f>(INDEX(Data!1163:1163,1,$U$1+1)-INDEX(Data!1412:1412,1,$U$1+1))/1000000</f>
        <v>3.7679999999999998</v>
      </c>
      <c r="P236" s="88">
        <f t="shared" ref="P236" si="159">N236+O236</f>
        <v>7.8359999999999994</v>
      </c>
      <c r="Q236" s="86">
        <f t="shared" ref="Q236" si="160">P236-M236</f>
        <v>1.1859999999999991</v>
      </c>
      <c r="R236" s="447">
        <f t="shared" ref="R236" si="161">IFERROR(Q236/M236,"")</f>
        <v>0.17834586466165397</v>
      </c>
      <c r="S236" s="453">
        <f>IFERROR(P236/P$254,"")</f>
        <v>5.2717154027376886E-4</v>
      </c>
      <c r="T236" s="453">
        <f t="shared" ref="T236" si="162">IFERROR(P236/G236,"")</f>
        <v>1</v>
      </c>
      <c r="U236" s="67"/>
      <c r="V236" s="67"/>
    </row>
    <row r="237" spans="1:22" hidden="1" outlineLevel="1">
      <c r="A237" s="92" t="s">
        <v>792</v>
      </c>
      <c r="B237" s="86">
        <f>(INDEX(Data!1034:1034,1,$U$1-2)-INDEX(Data!1255:1255,1,$U$1-2))/1000000</f>
        <v>21.4</v>
      </c>
      <c r="C237" s="87">
        <f>(INDEX(Data!1034:1034,1,$U$1-1)-INDEX(Data!1255:1255,1,$U$1-1))/1000000</f>
        <v>21.4</v>
      </c>
      <c r="D237" s="88">
        <f t="shared" si="150"/>
        <v>42.8</v>
      </c>
      <c r="E237" s="89">
        <f>(INDEX(Data!1034:1034,1,$U$1)-INDEX(Data!1255:1255,1,$U$1))/1000000</f>
        <v>21.4</v>
      </c>
      <c r="F237" s="90">
        <f>(INDEX(Data!1034:1034,1,$U$1+1)-INDEX(Data!1255:1255,1,$U$1+1))/1000000</f>
        <v>21.4</v>
      </c>
      <c r="G237" s="88">
        <f t="shared" si="151"/>
        <v>42.8</v>
      </c>
      <c r="H237" s="86">
        <f t="shared" si="119"/>
        <v>0</v>
      </c>
      <c r="I237" s="447">
        <f t="shared" si="120"/>
        <v>0</v>
      </c>
      <c r="J237" s="453">
        <f t="shared" ref="J237:J254" si="163">IFERROR(G237/G$254,"")</f>
        <v>1.7801670492987114E-3</v>
      </c>
      <c r="K237" s="91">
        <f>(INDEX(Data!1175:1175,1,$U$1-2)-INDEX(Data!1412:1412,1,$U$1-2))/1000000</f>
        <v>21.4</v>
      </c>
      <c r="L237" s="87">
        <f>(INDEX(Data!1175:1175,1,$U$1-1)-INDEX(Data!1412:1412,1,$U$1-1))/1000000</f>
        <v>21.4</v>
      </c>
      <c r="M237" s="88">
        <f t="shared" si="152"/>
        <v>42.8</v>
      </c>
      <c r="N237" s="89">
        <f>(INDEX(Data!1175:1175,1,$U$1)-INDEX(Data!1412:1412,1,$U$1))/1000000</f>
        <v>21.4</v>
      </c>
      <c r="O237" s="90">
        <f>(INDEX(Data!1175:1175,1,$U$1+1)-INDEX(Data!1412:1412,1,$U$1+1))/1000000</f>
        <v>21.4</v>
      </c>
      <c r="P237" s="88">
        <f t="shared" si="153"/>
        <v>42.8</v>
      </c>
      <c r="Q237" s="86">
        <f t="shared" si="123"/>
        <v>0</v>
      </c>
      <c r="R237" s="447">
        <f t="shared" si="124"/>
        <v>0</v>
      </c>
      <c r="S237" s="453">
        <f t="shared" ref="S237:S254" si="164">IFERROR(P237/P$254,"")</f>
        <v>2.8793953450379417E-3</v>
      </c>
      <c r="T237" s="453">
        <f t="shared" si="116"/>
        <v>1</v>
      </c>
    </row>
    <row r="238" spans="1:22" hidden="1" outlineLevel="1">
      <c r="A238" s="92" t="s">
        <v>793</v>
      </c>
      <c r="B238" s="86">
        <f>(INDEX(Data!1061:1061,1,$U$1-2)-INDEX(Data!1256:1256,1,$U$1-2)-INDEX(Data!1036:1036,1,$U$1-2)-INDEX(Data!1037:1037,1,$U$1-2))/1000000</f>
        <v>94.919293999999994</v>
      </c>
      <c r="C238" s="87">
        <f>(INDEX(Data!1061:1061,1,$U$1-1)-INDEX(Data!1256:1256,1,$U$1-1)-INDEX(Data!1036:1036,1,$U$1-1)-INDEX(Data!1037:1037,1,$U$1-1))/1000000</f>
        <v>84.512500000000003</v>
      </c>
      <c r="D238" s="88">
        <f t="shared" si="150"/>
        <v>179.431794</v>
      </c>
      <c r="E238" s="87">
        <f>(INDEX(Data!1061:1061,1,$U$1)-INDEX(Data!1256:1256,1,$U$1)-INDEX(Data!1036:1036,1,$U$1)-INDEX(Data!1037:1037,1,$U$1))/1000000</f>
        <v>174.71564599999999</v>
      </c>
      <c r="F238" s="87">
        <f>(INDEX(Data!1061:1061,1,$U$1+1)-INDEX(Data!1256:1256,1,$U$1+1)-INDEX(Data!1036:1036,1,$U$1+1)-INDEX(Data!1037:1037,1,$U$1+1))/1000000</f>
        <v>164.11098899999999</v>
      </c>
      <c r="G238" s="88">
        <f t="shared" si="151"/>
        <v>338.82663500000001</v>
      </c>
      <c r="H238" s="86">
        <f t="shared" si="119"/>
        <v>159.39484100000001</v>
      </c>
      <c r="I238" s="447">
        <f t="shared" si="120"/>
        <v>0.88833108919370229</v>
      </c>
      <c r="J238" s="453">
        <f t="shared" si="163"/>
        <v>1.4092710538592559E-2</v>
      </c>
      <c r="K238" s="91">
        <f>(INDEX(Data!1201:1201,1,$U$1-2)-INDEX(Data!1413:1413,1,$U$1-2)-INDEX(Data!1177:1177,1,$U$1-2)-INDEX(Data!1178:1178,1,$U$1-2))/1000000</f>
        <v>69.119293999999996</v>
      </c>
      <c r="L238" s="87">
        <f>(INDEX(Data!1201:1201,1,$U$1-1)-INDEX(Data!1413:1413,1,$U$1-1)-INDEX(Data!1177:1177,1,$U$1-1)-INDEX(Data!1178:1178,1,$U$1-1))/1000000</f>
        <v>58.712499999999999</v>
      </c>
      <c r="M238" s="88">
        <f t="shared" si="152"/>
        <v>127.831794</v>
      </c>
      <c r="N238" s="87">
        <f>(INDEX(Data!1201:1201,1,$U$1)-INDEX(Data!1413:1413,1,$U$1)-INDEX(Data!1177:1177,1,$U$1)-INDEX(Data!1178:1178,1,$U$1))/1000000</f>
        <v>148.37056799999999</v>
      </c>
      <c r="O238" s="87">
        <f>(INDEX(Data!1201:1201,1,$U$1+1)-INDEX(Data!1413:1413,1,$U$1+1)-INDEX(Data!1177:1177,1,$U$1+1)-INDEX(Data!1178:1178,1,$U$1+1))/1000000</f>
        <v>138.16377399999999</v>
      </c>
      <c r="P238" s="88">
        <f t="shared" si="153"/>
        <v>286.53434199999998</v>
      </c>
      <c r="Q238" s="86">
        <f t="shared" si="123"/>
        <v>158.70254799999998</v>
      </c>
      <c r="R238" s="447">
        <f t="shared" si="124"/>
        <v>1.2414951166217691</v>
      </c>
      <c r="S238" s="453">
        <f t="shared" si="164"/>
        <v>1.9276767536175455E-2</v>
      </c>
      <c r="T238" s="453">
        <f t="shared" si="116"/>
        <v>0.84566652205485549</v>
      </c>
    </row>
    <row r="239" spans="1:22" hidden="1" outlineLevel="1">
      <c r="A239" s="92" t="s">
        <v>1287</v>
      </c>
      <c r="B239" s="86"/>
      <c r="C239" s="87"/>
      <c r="D239" s="88">
        <f t="shared" si="150"/>
        <v>0</v>
      </c>
      <c r="E239" s="89"/>
      <c r="F239" s="90"/>
      <c r="G239" s="88">
        <f t="shared" si="151"/>
        <v>0</v>
      </c>
      <c r="H239" s="86">
        <f t="shared" si="119"/>
        <v>0</v>
      </c>
      <c r="I239" s="447" t="str">
        <f t="shared" si="120"/>
        <v/>
      </c>
      <c r="J239" s="453">
        <f t="shared" si="163"/>
        <v>0</v>
      </c>
      <c r="K239" s="91"/>
      <c r="L239" s="87"/>
      <c r="M239" s="88">
        <f t="shared" si="152"/>
        <v>0</v>
      </c>
      <c r="N239" s="89"/>
      <c r="O239" s="90"/>
      <c r="P239" s="88">
        <f t="shared" si="153"/>
        <v>0</v>
      </c>
      <c r="Q239" s="86">
        <f t="shared" si="123"/>
        <v>0</v>
      </c>
      <c r="R239" s="447" t="str">
        <f t="shared" si="124"/>
        <v/>
      </c>
      <c r="S239" s="453">
        <f t="shared" si="164"/>
        <v>0</v>
      </c>
      <c r="T239" s="453" t="str">
        <f t="shared" si="116"/>
        <v/>
      </c>
    </row>
    <row r="240" spans="1:22" hidden="1" outlineLevel="1">
      <c r="A240" s="92" t="s">
        <v>794</v>
      </c>
      <c r="B240" s="86">
        <f>(INDEX(Data!1084:1084,1,$U$1-2)-INDEX(Data!1258:1258,1,$U$1-2))/1000000</f>
        <v>0</v>
      </c>
      <c r="C240" s="87">
        <f>(INDEX(Data!1084:1084,1,$U$1-1)-INDEX(Data!1258:1258,1,$U$1-1))/1000000</f>
        <v>0</v>
      </c>
      <c r="D240" s="88">
        <f t="shared" si="150"/>
        <v>0</v>
      </c>
      <c r="E240" s="89">
        <f>(INDEX(Data!1084:1084,1,$U$1)-INDEX(Data!1258:1258,1,$U$1))/1000000</f>
        <v>0</v>
      </c>
      <c r="F240" s="90">
        <f>(INDEX(Data!1084:1084,1,$U$1+1)-INDEX(Data!1258:1258,1,$U$1+1))/1000000</f>
        <v>0</v>
      </c>
      <c r="G240" s="88">
        <f t="shared" si="151"/>
        <v>0</v>
      </c>
      <c r="H240" s="86">
        <f t="shared" si="119"/>
        <v>0</v>
      </c>
      <c r="I240" s="447" t="str">
        <f t="shared" si="120"/>
        <v/>
      </c>
      <c r="J240" s="453">
        <f t="shared" si="163"/>
        <v>0</v>
      </c>
      <c r="K240" s="91">
        <f>(INDEX(Data!1221:1221,1,$U$1-2)-INDEX(Data!1415:1415,1,$U$1-2))/1000000</f>
        <v>0</v>
      </c>
      <c r="L240" s="87">
        <f>(INDEX(Data!1221:1221,1,$U$1-1)-INDEX(Data!1415:1415,1,$U$1-1))/1000000</f>
        <v>0</v>
      </c>
      <c r="M240" s="88">
        <f t="shared" si="152"/>
        <v>0</v>
      </c>
      <c r="N240" s="89">
        <f>(INDEX(Data!1221:1221,1,$U$1)-INDEX(Data!1415:1415,1,$U$1))/1000000</f>
        <v>0</v>
      </c>
      <c r="O240" s="90">
        <f>(INDEX(Data!1221:1221,1,$U$1+1)-INDEX(Data!1415:1415,1,$U$1+1))/1000000</f>
        <v>0</v>
      </c>
      <c r="P240" s="88">
        <f t="shared" si="153"/>
        <v>0</v>
      </c>
      <c r="Q240" s="86">
        <f t="shared" si="123"/>
        <v>0</v>
      </c>
      <c r="R240" s="447" t="str">
        <f t="shared" si="124"/>
        <v/>
      </c>
      <c r="S240" s="453">
        <f t="shared" si="164"/>
        <v>0</v>
      </c>
      <c r="T240" s="453" t="str">
        <f t="shared" si="116"/>
        <v/>
      </c>
    </row>
    <row r="241" spans="1:20" hidden="1" outlineLevel="1">
      <c r="A241" s="92" t="s">
        <v>1988</v>
      </c>
      <c r="B241" s="86">
        <f>(INDEX(Data!1096:1096,1,$U$1-2)-INDEX(Data!1259:1259,1,$U$1-2))/1000000</f>
        <v>38.710087999999999</v>
      </c>
      <c r="C241" s="87">
        <f>(INDEX(Data!1096:1096,1,$U$1-1)-INDEX(Data!1259:1259,1,$U$1-1))/1000000</f>
        <v>33.807203999999999</v>
      </c>
      <c r="D241" s="88">
        <f t="shared" si="150"/>
        <v>72.517291999999998</v>
      </c>
      <c r="E241" s="89">
        <f>(INDEX(Data!1096:1096,1,$U$1)-INDEX(Data!1259:1259,1,$U$1))/1000000</f>
        <v>32.193908</v>
      </c>
      <c r="F241" s="90">
        <f>(INDEX(Data!1096:1096,1,$U$1+1)-INDEX(Data!1259:1259,1,$U$1+1))/1000000</f>
        <v>36.153249000000002</v>
      </c>
      <c r="G241" s="88">
        <f t="shared" si="151"/>
        <v>68.34715700000001</v>
      </c>
      <c r="H241" s="86">
        <f t="shared" si="119"/>
        <v>-4.1701349999999877</v>
      </c>
      <c r="I241" s="447">
        <f t="shared" si="120"/>
        <v>-5.7505387818397681E-2</v>
      </c>
      <c r="J241" s="453">
        <f t="shared" si="163"/>
        <v>2.8427419814169579E-3</v>
      </c>
      <c r="K241" s="91">
        <f>(INDEX(Data!1170:1170,1,$U$1-2)-INDEX(Data!1416:1416,1,$U$1-2))/1000000</f>
        <v>5.875</v>
      </c>
      <c r="L241" s="87">
        <f>(INDEX(Data!1170:1170,1,$U$1-1)-INDEX(Data!1416:1416,1,$U$1-1))/1000000</f>
        <v>5.875</v>
      </c>
      <c r="M241" s="88">
        <f t="shared" ref="M241" si="165">K241+L241</f>
        <v>11.75</v>
      </c>
      <c r="N241" s="89">
        <f>(INDEX(Data!1170:1170,1,$U$1)-INDEX(Data!1416:1416,1,$U$1))/1000000</f>
        <v>4.762003</v>
      </c>
      <c r="O241" s="90">
        <f>(INDEX(Data!1170:1170,1,$U$1+1)-INDEX(Data!1416:1416,1,$U$1+1))/1000000</f>
        <v>8.7213440000000002</v>
      </c>
      <c r="P241" s="88">
        <f t="shared" ref="P241" si="166">N241+O241</f>
        <v>13.483347</v>
      </c>
      <c r="Q241" s="86">
        <f t="shared" ref="Q241" si="167">P241-M241</f>
        <v>1.7333470000000002</v>
      </c>
      <c r="R241" s="447">
        <f t="shared" ref="R241" si="168">IFERROR(Q241/M241,"")</f>
        <v>0.14751889361702128</v>
      </c>
      <c r="S241" s="453">
        <f t="shared" si="164"/>
        <v>9.0710015390960976E-4</v>
      </c>
      <c r="T241" s="453">
        <f t="shared" si="116"/>
        <v>0.19727736444106955</v>
      </c>
    </row>
    <row r="242" spans="1:20" hidden="1" outlineLevel="1">
      <c r="A242" s="92" t="s">
        <v>796</v>
      </c>
      <c r="B242" s="86">
        <f>(INDEX(Data!1102:1102,1,$U$1-2)-INDEX(Data!1260:1260,1,$U$1-2)-INDEX(Data!1100:1100,1,$U$1-2)-INDEX(Data!1101:1101,1,$U$1-2))/1000000</f>
        <v>9.3926639999999999</v>
      </c>
      <c r="C242" s="87">
        <f>(INDEX(Data!1102:1102,1,$U$1-1)-INDEX(Data!1260:1260,1,$U$1-1)-INDEX(Data!1100:1100,1,$U$1-1)-INDEX(Data!1101:1101,1,$U$1-1))/1000000</f>
        <v>9.3926639999999999</v>
      </c>
      <c r="D242" s="88">
        <f t="shared" si="150"/>
        <v>18.785328</v>
      </c>
      <c r="E242" s="87">
        <f>(INDEX(Data!1102:1102,1,$U$1)-INDEX(Data!1260:1260,1,$U$1)-INDEX(Data!1100:1100,1,$U$1)-INDEX(Data!1101:1101,1,$U$1))/1000000</f>
        <v>2.950361</v>
      </c>
      <c r="F242" s="87">
        <f>(INDEX(Data!1102:1102,1,$U$1+1)-INDEX(Data!1260:1260,1,$U$1+1)-INDEX(Data!1100:1100,1,$U$1+1)-INDEX(Data!1101:1101,1,$U$1+1))/1000000</f>
        <v>2.950361</v>
      </c>
      <c r="G242" s="88">
        <f t="shared" si="151"/>
        <v>5.900722</v>
      </c>
      <c r="H242" s="86">
        <f t="shared" si="119"/>
        <v>-12.884606</v>
      </c>
      <c r="I242" s="447">
        <f t="shared" si="120"/>
        <v>-0.68588666644521723</v>
      </c>
      <c r="J242" s="453">
        <f t="shared" si="163"/>
        <v>2.4542688952037362E-4</v>
      </c>
      <c r="K242" s="91"/>
      <c r="L242" s="87"/>
      <c r="M242" s="88">
        <f t="shared" si="152"/>
        <v>0</v>
      </c>
      <c r="N242" s="89"/>
      <c r="O242" s="90"/>
      <c r="P242" s="88">
        <f t="shared" si="153"/>
        <v>0</v>
      </c>
      <c r="Q242" s="86">
        <f t="shared" si="123"/>
        <v>0</v>
      </c>
      <c r="R242" s="447" t="str">
        <f t="shared" si="124"/>
        <v/>
      </c>
      <c r="S242" s="453">
        <f t="shared" si="164"/>
        <v>0</v>
      </c>
      <c r="T242" s="453">
        <f t="shared" si="116"/>
        <v>0</v>
      </c>
    </row>
    <row r="243" spans="1:20" hidden="1" outlineLevel="1">
      <c r="A243" s="92" t="s">
        <v>260</v>
      </c>
      <c r="B243" s="86">
        <f>(INDEX(Data!1108:1108,1,$U$1-2)-INDEX(Data!1261:1261,1,$U$1-2))/1000000</f>
        <v>12.913619000000001</v>
      </c>
      <c r="C243" s="87">
        <f>(INDEX(Data!1108:1108,1,$U$1-1)-INDEX(Data!1261:1261,1,$U$1-1))/1000000</f>
        <v>12.879351</v>
      </c>
      <c r="D243" s="88">
        <f t="shared" si="150"/>
        <v>25.79297</v>
      </c>
      <c r="E243" s="89">
        <f>(INDEX(Data!1108:1108,1,$U$1)-INDEX(Data!1261:1261,1,$U$1))/1000000</f>
        <v>13.768121000000001</v>
      </c>
      <c r="F243" s="90">
        <f>(INDEX(Data!1108:1108,1,$U$1+1)-INDEX(Data!1261:1261,1,$U$1+1))/1000000</f>
        <v>13.938877</v>
      </c>
      <c r="G243" s="88">
        <f t="shared" si="151"/>
        <v>27.706997999999999</v>
      </c>
      <c r="H243" s="86">
        <f t="shared" si="119"/>
        <v>1.9140279999999983</v>
      </c>
      <c r="I243" s="447">
        <f t="shared" si="120"/>
        <v>7.4207351848197323E-2</v>
      </c>
      <c r="J243" s="453">
        <f t="shared" si="163"/>
        <v>1.1524085251071333E-3</v>
      </c>
      <c r="K243" s="91">
        <f>(INDEX(Data!1227:1227,1,$U$1-2)-INDEX(Data!1418:1418,1,$U$1-2))/1000000</f>
        <v>6.9184400000000004</v>
      </c>
      <c r="L243" s="87">
        <f>(INDEX(Data!1227:1227,1,$U$1-1)-INDEX(Data!1418:1418,1,$U$1-1))/1000000</f>
        <v>6.9184390000000002</v>
      </c>
      <c r="M243" s="88">
        <f t="shared" si="152"/>
        <v>13.836879</v>
      </c>
      <c r="N243" s="89">
        <f>(INDEX(Data!1227:1227,1,$U$1)-INDEX(Data!1418:1418,1,$U$1))/1000000</f>
        <v>7.3924149999999997</v>
      </c>
      <c r="O243" s="90">
        <f>(INDEX(Data!1227:1227,1,$U$1+1)-INDEX(Data!1418:1418,1,$U$1+1))/1000000</f>
        <v>7.542414</v>
      </c>
      <c r="P243" s="88">
        <f t="shared" si="153"/>
        <v>14.934829000000001</v>
      </c>
      <c r="Q243" s="86">
        <f t="shared" si="123"/>
        <v>1.0979500000000009</v>
      </c>
      <c r="R243" s="447">
        <f t="shared" si="124"/>
        <v>7.9349541179047745E-2</v>
      </c>
      <c r="S243" s="453">
        <f t="shared" si="164"/>
        <v>1.0047494649891976E-3</v>
      </c>
      <c r="T243" s="453">
        <f t="shared" si="116"/>
        <v>0.53902732443262169</v>
      </c>
    </row>
    <row r="244" spans="1:20" hidden="1" outlineLevel="1">
      <c r="A244" s="92" t="s">
        <v>797</v>
      </c>
      <c r="B244" s="86">
        <f>(INDEX(Data!1262:1262,1,$U$1-2))/1000000</f>
        <v>0</v>
      </c>
      <c r="C244" s="87">
        <f>(INDEX(Data!1262:1262,1,$U$1-1))/1000000</f>
        <v>0</v>
      </c>
      <c r="D244" s="88">
        <f t="shared" si="150"/>
        <v>0</v>
      </c>
      <c r="E244" s="89">
        <f>(INDEX(Data!1262:1262,1,$U$1))/1000000</f>
        <v>0</v>
      </c>
      <c r="F244" s="90">
        <f>(INDEX(Data!1262:1262,1,$U$1+1))/1000000</f>
        <v>0</v>
      </c>
      <c r="G244" s="88">
        <f t="shared" si="151"/>
        <v>0</v>
      </c>
      <c r="H244" s="86">
        <f t="shared" si="119"/>
        <v>0</v>
      </c>
      <c r="I244" s="447" t="str">
        <f t="shared" si="120"/>
        <v/>
      </c>
      <c r="J244" s="453">
        <f t="shared" si="163"/>
        <v>0</v>
      </c>
      <c r="K244" s="91"/>
      <c r="L244" s="87"/>
      <c r="M244" s="88">
        <f t="shared" si="152"/>
        <v>0</v>
      </c>
      <c r="N244" s="89"/>
      <c r="O244" s="90"/>
      <c r="P244" s="88">
        <f t="shared" si="153"/>
        <v>0</v>
      </c>
      <c r="Q244" s="86">
        <f t="shared" si="123"/>
        <v>0</v>
      </c>
      <c r="R244" s="447" t="str">
        <f t="shared" si="124"/>
        <v/>
      </c>
      <c r="S244" s="453">
        <f t="shared" si="164"/>
        <v>0</v>
      </c>
      <c r="T244" s="453" t="str">
        <f t="shared" si="116"/>
        <v/>
      </c>
    </row>
    <row r="245" spans="1:20" collapsed="1">
      <c r="A245" s="113" t="s">
        <v>27</v>
      </c>
      <c r="B245" s="105">
        <f t="shared" ref="B245:H245" si="169">SUM(B234:B244)</f>
        <v>758.72922300000016</v>
      </c>
      <c r="C245" s="106">
        <f t="shared" si="169"/>
        <v>722.53270400000008</v>
      </c>
      <c r="D245" s="119">
        <f t="shared" si="169"/>
        <v>1481.261927</v>
      </c>
      <c r="E245" s="114">
        <f t="shared" si="169"/>
        <v>850.14334399999996</v>
      </c>
      <c r="F245" s="115">
        <f t="shared" si="169"/>
        <v>842.10953400000005</v>
      </c>
      <c r="G245" s="107">
        <f t="shared" si="169"/>
        <v>1692.2528780000002</v>
      </c>
      <c r="H245" s="105">
        <f t="shared" si="169"/>
        <v>210.99095100000002</v>
      </c>
      <c r="I245" s="449">
        <f t="shared" ref="I245:I254" si="170">IFERROR(H245/D245,"")</f>
        <v>0.14244000142994293</v>
      </c>
      <c r="J245" s="454">
        <f t="shared" si="163"/>
        <v>7.0385346086367123E-2</v>
      </c>
      <c r="K245" s="405">
        <f t="shared" ref="K245:Q245" si="171">SUM(K234:K244)</f>
        <v>662.13925099999994</v>
      </c>
      <c r="L245" s="106">
        <f t="shared" si="171"/>
        <v>643.23040900000012</v>
      </c>
      <c r="M245" s="119">
        <f t="shared" si="171"/>
        <v>1305.3696600000001</v>
      </c>
      <c r="N245" s="114">
        <f t="shared" si="171"/>
        <v>777.4988780000001</v>
      </c>
      <c r="O245" s="115">
        <f t="shared" si="171"/>
        <v>770.83142400000008</v>
      </c>
      <c r="P245" s="107">
        <f t="shared" si="171"/>
        <v>1548.3303020000001</v>
      </c>
      <c r="Q245" s="105">
        <f t="shared" si="171"/>
        <v>242.96064199999992</v>
      </c>
      <c r="R245" s="449">
        <f t="shared" ref="R245:R254" si="172">IFERROR(Q245/M245,"")</f>
        <v>0.18612401486334523</v>
      </c>
      <c r="S245" s="454">
        <f t="shared" si="164"/>
        <v>0.10416483794766333</v>
      </c>
      <c r="T245" s="454">
        <f t="shared" si="116"/>
        <v>0.91495208672943962</v>
      </c>
    </row>
    <row r="246" spans="1:20" ht="25.5" hidden="1" outlineLevel="1">
      <c r="A246" s="92" t="s">
        <v>798</v>
      </c>
      <c r="B246" s="86">
        <f>(INDEX(Data!500:500,1,$U$1-2))/1000000</f>
        <v>0</v>
      </c>
      <c r="C246" s="87">
        <f>(INDEX(Data!500:500,1,$U$1-1))/1000000</f>
        <v>0</v>
      </c>
      <c r="D246" s="88">
        <f t="shared" ref="D246:D252" si="173">B246+C246</f>
        <v>0</v>
      </c>
      <c r="E246" s="89">
        <f>(INDEX(Data!500:500,1,$U$1))/1000000</f>
        <v>0</v>
      </c>
      <c r="F246" s="90">
        <f>(INDEX(Data!500:500,1,$U$1+1))/1000000</f>
        <v>0</v>
      </c>
      <c r="G246" s="88">
        <f t="shared" ref="G246:G252" si="174">E246+F246</f>
        <v>0</v>
      </c>
      <c r="H246" s="86">
        <f t="shared" ref="H246:H252" si="175">G246-D246</f>
        <v>0</v>
      </c>
      <c r="I246" s="447" t="str">
        <f t="shared" si="170"/>
        <v/>
      </c>
      <c r="J246" s="453">
        <f t="shared" si="163"/>
        <v>0</v>
      </c>
      <c r="K246" s="91">
        <f>(INDEX(Data!500:500,1,$U$1-2))/1000000</f>
        <v>0</v>
      </c>
      <c r="L246" s="87">
        <f>(INDEX(Data!500:500,1,$U$1-1))/1000000</f>
        <v>0</v>
      </c>
      <c r="M246" s="88">
        <f t="shared" ref="M246:M248" si="176">K246+L246</f>
        <v>0</v>
      </c>
      <c r="N246" s="89">
        <f>(INDEX(Data!500:500,1,$U$1))/1000000</f>
        <v>0</v>
      </c>
      <c r="O246" s="90">
        <f>(INDEX(Data!500:500,1,$U$1+1))/1000000</f>
        <v>0</v>
      </c>
      <c r="P246" s="88">
        <f t="shared" ref="P246:P248" si="177">N246+O246</f>
        <v>0</v>
      </c>
      <c r="Q246" s="86">
        <f t="shared" ref="Q246:Q248" si="178">P246-M246</f>
        <v>0</v>
      </c>
      <c r="R246" s="447" t="str">
        <f t="shared" si="172"/>
        <v/>
      </c>
      <c r="S246" s="453">
        <f t="shared" si="164"/>
        <v>0</v>
      </c>
      <c r="T246" s="453" t="str">
        <f t="shared" si="116"/>
        <v/>
      </c>
    </row>
    <row r="247" spans="1:20" ht="25.5" hidden="1" outlineLevel="1">
      <c r="A247" s="92" t="s">
        <v>799</v>
      </c>
      <c r="B247" s="86">
        <f>(INDEX(Data!501:501,1,$U$1-2))/1000000</f>
        <v>0</v>
      </c>
      <c r="C247" s="87">
        <f>(INDEX(Data!501:501,1,$U$1-1))/1000000</f>
        <v>0</v>
      </c>
      <c r="D247" s="88">
        <f t="shared" si="173"/>
        <v>0</v>
      </c>
      <c r="E247" s="89">
        <f>(INDEX(Data!501:501,1,$U$1))/1000000</f>
        <v>0</v>
      </c>
      <c r="F247" s="90">
        <f>(INDEX(Data!501:501,1,$U$1+1))/1000000</f>
        <v>0</v>
      </c>
      <c r="G247" s="88">
        <f t="shared" si="174"/>
        <v>0</v>
      </c>
      <c r="H247" s="86">
        <f t="shared" si="175"/>
        <v>0</v>
      </c>
      <c r="I247" s="447" t="str">
        <f t="shared" si="170"/>
        <v/>
      </c>
      <c r="J247" s="453">
        <f t="shared" si="163"/>
        <v>0</v>
      </c>
      <c r="K247" s="91">
        <f>(INDEX(Data!501:501,1,$U$1-2))/1000000</f>
        <v>0</v>
      </c>
      <c r="L247" s="87">
        <f>(INDEX(Data!501:501,1,$U$1-1))/1000000</f>
        <v>0</v>
      </c>
      <c r="M247" s="88">
        <f t="shared" si="176"/>
        <v>0</v>
      </c>
      <c r="N247" s="89">
        <f>(INDEX(Data!501:501,1,$U$1))/1000000</f>
        <v>0</v>
      </c>
      <c r="O247" s="90">
        <f>(INDEX(Data!501:501,1,$U$1+1))/1000000</f>
        <v>0</v>
      </c>
      <c r="P247" s="88">
        <f t="shared" si="177"/>
        <v>0</v>
      </c>
      <c r="Q247" s="86">
        <f t="shared" si="178"/>
        <v>0</v>
      </c>
      <c r="R247" s="447" t="str">
        <f t="shared" si="172"/>
        <v/>
      </c>
      <c r="S247" s="453">
        <f t="shared" si="164"/>
        <v>0</v>
      </c>
      <c r="T247" s="453" t="str">
        <f t="shared" si="116"/>
        <v/>
      </c>
    </row>
    <row r="248" spans="1:20" hidden="1" outlineLevel="1">
      <c r="A248" s="92" t="s">
        <v>717</v>
      </c>
      <c r="B248" s="86">
        <f>(INDEX(Data!39:39,1,$U$1-2))/1000000</f>
        <v>393.75</v>
      </c>
      <c r="C248" s="87">
        <f>(INDEX(Data!39:39,1,$U$1-1))/1000000</f>
        <v>393.75</v>
      </c>
      <c r="D248" s="88">
        <f t="shared" si="173"/>
        <v>787.5</v>
      </c>
      <c r="E248" s="89">
        <f>(INDEX(Data!39:39,1,$U$1))/1000000</f>
        <v>393.75</v>
      </c>
      <c r="F248" s="90">
        <f>(INDEX(Data!39:39,1,$U$1+1))/1000000</f>
        <v>393.75</v>
      </c>
      <c r="G248" s="88">
        <f t="shared" si="174"/>
        <v>787.5</v>
      </c>
      <c r="H248" s="86">
        <f t="shared" si="175"/>
        <v>0</v>
      </c>
      <c r="I248" s="447">
        <f t="shared" si="170"/>
        <v>0</v>
      </c>
      <c r="J248" s="453">
        <f t="shared" si="163"/>
        <v>3.2754241853334941E-2</v>
      </c>
      <c r="K248" s="91">
        <f>(INDEX(Data!140:140,1,$U$1-2))/1000000</f>
        <v>393.75</v>
      </c>
      <c r="L248" s="87">
        <f>(INDEX(Data!140:140,1,$U$1-1))/1000000</f>
        <v>393.75</v>
      </c>
      <c r="M248" s="88">
        <f t="shared" si="176"/>
        <v>787.5</v>
      </c>
      <c r="N248" s="89">
        <f>(INDEX(Data!140:140,1,$U$1))/1000000</f>
        <v>393.75</v>
      </c>
      <c r="O248" s="90">
        <f>(INDEX(Data!140:140,1,$U$1+1))/1000000</f>
        <v>393.75</v>
      </c>
      <c r="P248" s="88">
        <f t="shared" si="177"/>
        <v>787.5</v>
      </c>
      <c r="Q248" s="86">
        <f t="shared" si="178"/>
        <v>0</v>
      </c>
      <c r="R248" s="447">
        <f t="shared" si="172"/>
        <v>0</v>
      </c>
      <c r="S248" s="453">
        <f t="shared" si="164"/>
        <v>5.2979528836854653E-2</v>
      </c>
      <c r="T248" s="453">
        <f t="shared" si="116"/>
        <v>1</v>
      </c>
    </row>
    <row r="249" spans="1:20" hidden="1" outlineLevel="1">
      <c r="A249" s="92" t="s">
        <v>29</v>
      </c>
      <c r="B249" s="86">
        <f>(INDEX(Data!41:41,1,$U$1-2))/1000000</f>
        <v>889.72945300000003</v>
      </c>
      <c r="C249" s="87">
        <f>(INDEX(Data!41:41,1,$U$1-1))/1000000</f>
        <v>910.81852000000003</v>
      </c>
      <c r="D249" s="88">
        <f t="shared" si="173"/>
        <v>1800.5479730000002</v>
      </c>
      <c r="E249" s="89">
        <f>(INDEX(Data!41:41,1,$U$1))/1000000</f>
        <v>1167.6379999999999</v>
      </c>
      <c r="F249" s="90">
        <f>(INDEX(Data!41:41,1,$U$1+1))/1000000</f>
        <v>1217.095</v>
      </c>
      <c r="G249" s="88">
        <f t="shared" si="174"/>
        <v>2384.7330000000002</v>
      </c>
      <c r="H249" s="86">
        <f t="shared" si="175"/>
        <v>584.18502699999999</v>
      </c>
      <c r="I249" s="447">
        <f t="shared" si="170"/>
        <v>0.32444846555610207</v>
      </c>
      <c r="J249" s="453">
        <f t="shared" si="163"/>
        <v>9.9187455793814591E-2</v>
      </c>
      <c r="K249" s="91">
        <f>(INDEX(Data!218:218,1,$U$1-2))/1000000</f>
        <v>0</v>
      </c>
      <c r="L249" s="87">
        <f>(INDEX(Data!218:218,1,$U$1-1))/1000000</f>
        <v>0</v>
      </c>
      <c r="M249" s="88">
        <f t="shared" ref="M249:M251" si="179">K249+L249</f>
        <v>0</v>
      </c>
      <c r="N249" s="89">
        <f>(INDEX(Data!218:218,1,$U$1))/1000000</f>
        <v>0</v>
      </c>
      <c r="O249" s="90">
        <f>(INDEX(Data!218:218,1,$U$1+1))/1000000</f>
        <v>0</v>
      </c>
      <c r="P249" s="88">
        <f t="shared" ref="P249:P251" si="180">N249+O249</f>
        <v>0</v>
      </c>
      <c r="Q249" s="86">
        <f t="shared" ref="Q249:Q251" si="181">P249-M249</f>
        <v>0</v>
      </c>
      <c r="R249" s="447" t="str">
        <f t="shared" ref="R249:R251" si="182">IFERROR(Q249/M249,"")</f>
        <v/>
      </c>
      <c r="S249" s="453">
        <f t="shared" si="164"/>
        <v>0</v>
      </c>
      <c r="T249" s="453">
        <f t="shared" si="116"/>
        <v>0</v>
      </c>
    </row>
    <row r="250" spans="1:20" ht="25.5" hidden="1" outlineLevel="1">
      <c r="A250" s="92" t="s">
        <v>800</v>
      </c>
      <c r="B250" s="86">
        <f>(INDEX(Data!42:42,1,$U$1-2))/1000000</f>
        <v>23.016947999999999</v>
      </c>
      <c r="C250" s="87">
        <f>(INDEX(Data!42:42,1,$U$1-1))/1000000</f>
        <v>23.309712999999999</v>
      </c>
      <c r="D250" s="88">
        <f t="shared" ref="D250" si="183">B250+C250</f>
        <v>46.326661000000001</v>
      </c>
      <c r="E250" s="89">
        <f>(INDEX(Data!42:42,1,$U$1))/1000000</f>
        <v>24.680472000000002</v>
      </c>
      <c r="F250" s="90">
        <f>(INDEX(Data!42:42,1,$U$1+1))/1000000</f>
        <v>25.545062000000001</v>
      </c>
      <c r="G250" s="88">
        <f t="shared" ref="G250" si="184">E250+F250</f>
        <v>50.225534000000003</v>
      </c>
      <c r="H250" s="86">
        <f t="shared" ref="H250" si="185">G250-D250</f>
        <v>3.8988730000000018</v>
      </c>
      <c r="I250" s="447">
        <f t="shared" ref="I250" si="186">IFERROR(H250/D250,"")</f>
        <v>8.4160457840896444E-2</v>
      </c>
      <c r="J250" s="453">
        <f t="shared" si="163"/>
        <v>2.0890149686970121E-3</v>
      </c>
      <c r="K250" s="91"/>
      <c r="L250" s="87"/>
      <c r="M250" s="88"/>
      <c r="N250" s="89"/>
      <c r="O250" s="90"/>
      <c r="P250" s="88"/>
      <c r="Q250" s="86"/>
      <c r="R250" s="447"/>
      <c r="S250" s="453">
        <f t="shared" si="164"/>
        <v>0</v>
      </c>
      <c r="T250" s="453">
        <f t="shared" si="116"/>
        <v>0</v>
      </c>
    </row>
    <row r="251" spans="1:20" ht="25.5" hidden="1" outlineLevel="1">
      <c r="A251" s="112" t="s">
        <v>1666</v>
      </c>
      <c r="B251" s="86">
        <f>(INDEX(Data!43:43,1,$U$1-2))/1000000</f>
        <v>23.620829000000001</v>
      </c>
      <c r="C251" s="87">
        <f>(INDEX(Data!43:43,1,$U$1-1))/1000000</f>
        <v>23.639676999999999</v>
      </c>
      <c r="D251" s="88">
        <f t="shared" ref="D251" si="187">B251+C251</f>
        <v>47.260505999999999</v>
      </c>
      <c r="E251" s="89">
        <f>(INDEX(Data!43:43,1,$U$1))/1000000</f>
        <v>23.832436000000001</v>
      </c>
      <c r="F251" s="90">
        <f>(INDEX(Data!43:43,1,$U$1+1))/1000000</f>
        <v>24.004638</v>
      </c>
      <c r="G251" s="88">
        <f t="shared" ref="G251" si="188">E251+F251</f>
        <v>47.837074000000001</v>
      </c>
      <c r="H251" s="86">
        <f t="shared" ref="H251" si="189">G251-D251</f>
        <v>0.57656800000000175</v>
      </c>
      <c r="I251" s="447">
        <f t="shared" ref="I251" si="190">IFERROR(H251/D251,"")</f>
        <v>1.2199784742042367E-2</v>
      </c>
      <c r="J251" s="453">
        <f t="shared" si="163"/>
        <v>1.9896724969547691E-3</v>
      </c>
      <c r="K251" s="91">
        <f>(INDEX(Data!142:142,1,$U$1-2))/1000000</f>
        <v>15</v>
      </c>
      <c r="L251" s="87">
        <f>(INDEX(Data!142:142,1,$U$1-1))/1000000</f>
        <v>15</v>
      </c>
      <c r="M251" s="88">
        <f t="shared" si="179"/>
        <v>30</v>
      </c>
      <c r="N251" s="89">
        <f>(INDEX(Data!142:142,1,$U$1))/1000000</f>
        <v>15</v>
      </c>
      <c r="O251" s="90">
        <f>(INDEX(Data!142:142,1,$U$1+1))/1000000</f>
        <v>15</v>
      </c>
      <c r="P251" s="88">
        <f t="shared" si="180"/>
        <v>30</v>
      </c>
      <c r="Q251" s="86">
        <f t="shared" si="181"/>
        <v>0</v>
      </c>
      <c r="R251" s="447">
        <f t="shared" si="182"/>
        <v>0</v>
      </c>
      <c r="S251" s="453">
        <f t="shared" si="164"/>
        <v>2.0182677652135104E-3</v>
      </c>
      <c r="T251" s="453">
        <f t="shared" ref="T251" si="191">IFERROR(P251/G251,"")</f>
        <v>0.62712865757633918</v>
      </c>
    </row>
    <row r="252" spans="1:20" hidden="1" outlineLevel="1">
      <c r="A252" s="224" t="s">
        <v>1226</v>
      </c>
      <c r="B252" s="86">
        <f>(INDEX(Data!128:128,1,$U$1-2))/1000000*-1</f>
        <v>-53.821272999999998</v>
      </c>
      <c r="C252" s="87">
        <f>(INDEX(Data!128:128,1,$U$1-1))/1000000*-1</f>
        <v>-54.520704000000002</v>
      </c>
      <c r="D252" s="88">
        <f t="shared" si="173"/>
        <v>-108.341977</v>
      </c>
      <c r="E252" s="89">
        <f>(INDEX(Data!128:128,1,$U$1))/1000000*-1</f>
        <v>-58.375427999999999</v>
      </c>
      <c r="F252" s="90">
        <f>(INDEX(Data!128:128,1,$U$1+1))/1000000*-1</f>
        <v>-58.672504000000004</v>
      </c>
      <c r="G252" s="88">
        <f t="shared" si="174"/>
        <v>-117.047932</v>
      </c>
      <c r="H252" s="86">
        <f t="shared" si="175"/>
        <v>-8.705955000000003</v>
      </c>
      <c r="I252" s="447">
        <f t="shared" si="170"/>
        <v>8.0356250098703688E-2</v>
      </c>
      <c r="J252" s="453">
        <f t="shared" si="163"/>
        <v>-4.8683381246485101E-3</v>
      </c>
      <c r="K252" s="91"/>
      <c r="L252" s="87"/>
      <c r="M252" s="88"/>
      <c r="N252" s="89"/>
      <c r="O252" s="90"/>
      <c r="P252" s="88"/>
      <c r="Q252" s="86"/>
      <c r="R252" s="447" t="str">
        <f t="shared" ref="R252" si="192">IFERROR(Q252/M252,"")</f>
        <v/>
      </c>
      <c r="S252" s="453">
        <f t="shared" si="164"/>
        <v>0</v>
      </c>
      <c r="T252" s="453">
        <f t="shared" si="116"/>
        <v>0</v>
      </c>
    </row>
    <row r="253" spans="1:20" collapsed="1">
      <c r="A253" s="113" t="s">
        <v>715</v>
      </c>
      <c r="B253" s="105">
        <f>SUM(B246:B252)</f>
        <v>1276.2959569999998</v>
      </c>
      <c r="C253" s="106">
        <f t="shared" ref="C253:H253" si="193">SUM(C246:C252)</f>
        <v>1296.997206</v>
      </c>
      <c r="D253" s="119">
        <f t="shared" si="193"/>
        <v>2573.2931630000003</v>
      </c>
      <c r="E253" s="114">
        <f t="shared" si="193"/>
        <v>1551.5254799999998</v>
      </c>
      <c r="F253" s="115">
        <f t="shared" si="193"/>
        <v>1601.7221959999997</v>
      </c>
      <c r="G253" s="107">
        <f t="shared" si="193"/>
        <v>3153.2476760000004</v>
      </c>
      <c r="H253" s="105">
        <f t="shared" si="193"/>
        <v>579.95451299999991</v>
      </c>
      <c r="I253" s="449">
        <f t="shared" si="170"/>
        <v>0.2253744428885345</v>
      </c>
      <c r="J253" s="454">
        <f t="shared" si="163"/>
        <v>0.1311520469881528</v>
      </c>
      <c r="K253" s="405">
        <f t="shared" ref="K253:Q253" si="194">SUM(K246:K252)</f>
        <v>408.75</v>
      </c>
      <c r="L253" s="106">
        <f t="shared" si="194"/>
        <v>408.75</v>
      </c>
      <c r="M253" s="119">
        <f t="shared" si="194"/>
        <v>817.5</v>
      </c>
      <c r="N253" s="114">
        <f t="shared" si="194"/>
        <v>408.75</v>
      </c>
      <c r="O253" s="115">
        <f t="shared" si="194"/>
        <v>408.75</v>
      </c>
      <c r="P253" s="107">
        <f t="shared" si="194"/>
        <v>817.5</v>
      </c>
      <c r="Q253" s="105">
        <f t="shared" si="194"/>
        <v>0</v>
      </c>
      <c r="R253" s="449">
        <f t="shared" si="172"/>
        <v>0</v>
      </c>
      <c r="S253" s="454">
        <f t="shared" si="164"/>
        <v>5.4997796602068161E-2</v>
      </c>
      <c r="T253" s="454">
        <f t="shared" si="116"/>
        <v>0.25925651391806492</v>
      </c>
    </row>
    <row r="254" spans="1:20" ht="13.5" thickBot="1">
      <c r="A254" s="95" t="s">
        <v>1229</v>
      </c>
      <c r="B254" s="96">
        <f t="shared" ref="B254:G254" si="195">B139+B146+B160+B169+B177+B181+B232+B245+B253</f>
        <v>9492.0967070000006</v>
      </c>
      <c r="C254" s="97">
        <f t="shared" si="195"/>
        <v>9503.4509199999993</v>
      </c>
      <c r="D254" s="98">
        <f t="shared" si="195"/>
        <v>18995.547627</v>
      </c>
      <c r="E254" s="96">
        <f t="shared" si="195"/>
        <v>11709.274239</v>
      </c>
      <c r="F254" s="97">
        <f t="shared" si="195"/>
        <v>12333.413225</v>
      </c>
      <c r="G254" s="98">
        <f t="shared" si="195"/>
        <v>24042.687463999999</v>
      </c>
      <c r="H254" s="96">
        <f>H139+H146+H160+H169+H177+H181+H232+H245+H246+H247+H248+H249+H252</f>
        <v>5042.6643959999992</v>
      </c>
      <c r="I254" s="451">
        <f t="shared" si="170"/>
        <v>0.26546559725566576</v>
      </c>
      <c r="J254" s="455">
        <f t="shared" si="163"/>
        <v>1</v>
      </c>
      <c r="K254" s="100">
        <f t="shared" ref="K254:P254" si="196">K139+K146+K160+K169+K177+K181+K232+K245+K253</f>
        <v>6919.3085419999998</v>
      </c>
      <c r="L254" s="97">
        <f t="shared" si="196"/>
        <v>6915.4789709999986</v>
      </c>
      <c r="M254" s="98">
        <f t="shared" si="196"/>
        <v>13834.787512999999</v>
      </c>
      <c r="N254" s="96">
        <f t="shared" si="196"/>
        <v>7471.6177272312625</v>
      </c>
      <c r="O254" s="97">
        <f t="shared" si="196"/>
        <v>7392.6141239999988</v>
      </c>
      <c r="P254" s="98">
        <f t="shared" si="196"/>
        <v>14864.231851231261</v>
      </c>
      <c r="Q254" s="96">
        <f>Q139+Q146+Q160+Q169+Q177+Q181+Q232+Q245+Q246+Q247+Q248+Q249+Q252</f>
        <v>1029.4443382312622</v>
      </c>
      <c r="R254" s="451">
        <f t="shared" si="172"/>
        <v>7.4409840936402849E-2</v>
      </c>
      <c r="S254" s="455">
        <f t="shared" si="164"/>
        <v>1</v>
      </c>
      <c r="T254" s="455">
        <f t="shared" si="116"/>
        <v>0.61824335875463265</v>
      </c>
    </row>
    <row r="255" spans="1:20">
      <c r="E255" s="118"/>
      <c r="F255" s="118"/>
      <c r="T255" s="1180"/>
    </row>
    <row r="256" spans="1:20">
      <c r="T256" s="410"/>
    </row>
    <row r="257" spans="20:20">
      <c r="T257" s="410"/>
    </row>
    <row r="258" spans="20:20">
      <c r="T258" s="410"/>
    </row>
    <row r="259" spans="20:20">
      <c r="T259" s="410"/>
    </row>
    <row r="260" spans="20:20">
      <c r="T260" s="410"/>
    </row>
    <row r="261" spans="20:20">
      <c r="T261" s="410"/>
    </row>
    <row r="262" spans="20:20">
      <c r="T262" s="410"/>
    </row>
    <row r="263" spans="20:20">
      <c r="T263" s="410"/>
    </row>
    <row r="264" spans="20:20">
      <c r="T264" s="410"/>
    </row>
    <row r="265" spans="20:20">
      <c r="T265" s="410"/>
    </row>
    <row r="266" spans="20:20">
      <c r="T266" s="410"/>
    </row>
    <row r="267" spans="20:20">
      <c r="T267" s="410"/>
    </row>
    <row r="268" spans="20:20">
      <c r="T268" s="410"/>
    </row>
    <row r="269" spans="20:20">
      <c r="T269" s="410"/>
    </row>
    <row r="270" spans="20:20">
      <c r="T270" s="410"/>
    </row>
    <row r="271" spans="20:20">
      <c r="T271" s="410"/>
    </row>
    <row r="272" spans="20:20">
      <c r="T272" s="410"/>
    </row>
    <row r="273" spans="1:20">
      <c r="J273" s="411"/>
      <c r="T273" s="411"/>
    </row>
    <row r="274" spans="1:20" ht="13.5" thickBot="1">
      <c r="T274" s="1179"/>
    </row>
    <row r="275" spans="1:20" ht="13.5" customHeight="1" thickBot="1">
      <c r="A275" s="536" t="s">
        <v>1829</v>
      </c>
      <c r="B275" s="537"/>
      <c r="C275" s="537"/>
      <c r="D275" s="537"/>
      <c r="E275" s="537"/>
      <c r="F275" s="537"/>
      <c r="G275" s="537"/>
      <c r="H275" s="537"/>
      <c r="I275" s="537"/>
      <c r="J275" s="537"/>
      <c r="K275" s="537"/>
      <c r="L275" s="537"/>
      <c r="M275" s="537"/>
      <c r="N275" s="537"/>
      <c r="O275" s="537"/>
      <c r="P275" s="537"/>
      <c r="Q275" s="537"/>
      <c r="R275" s="537"/>
      <c r="S275" s="537"/>
      <c r="T275" s="538"/>
    </row>
    <row r="276" spans="1:20" ht="13.5" thickBot="1">
      <c r="A276" s="535" t="s">
        <v>1318</v>
      </c>
      <c r="B276" s="1292" t="s">
        <v>2</v>
      </c>
      <c r="C276" s="1293"/>
      <c r="D276" s="1293"/>
      <c r="E276" s="1293"/>
      <c r="F276" s="1293"/>
      <c r="G276" s="1293"/>
      <c r="H276" s="1293"/>
      <c r="I276" s="1293"/>
      <c r="J276" s="1294"/>
      <c r="K276" s="1295" t="s">
        <v>764</v>
      </c>
      <c r="L276" s="1295"/>
      <c r="M276" s="1295"/>
      <c r="N276" s="1295"/>
      <c r="O276" s="1295"/>
      <c r="P276" s="1295"/>
      <c r="Q276" s="1295"/>
      <c r="R276" s="1295"/>
      <c r="S276" s="1295"/>
      <c r="T276" s="1296"/>
    </row>
    <row r="277" spans="1:20" ht="25.5">
      <c r="A277" s="73" t="s">
        <v>772</v>
      </c>
      <c r="B277" s="74">
        <f>E277-2</f>
        <v>2018</v>
      </c>
      <c r="C277" s="75">
        <f>B277+1</f>
        <v>2019</v>
      </c>
      <c r="D277" s="76" t="str">
        <f>B277&amp;"-"&amp;C277</f>
        <v>2018-2019</v>
      </c>
      <c r="E277" s="74" t="str">
        <f>$T$1</f>
        <v>2020</v>
      </c>
      <c r="F277" s="75">
        <f>E277+1</f>
        <v>2021</v>
      </c>
      <c r="G277" s="76" t="str">
        <f>E277&amp;"-"&amp;F277</f>
        <v>2020-2021</v>
      </c>
      <c r="H277" s="74" t="s">
        <v>767</v>
      </c>
      <c r="I277" s="75" t="s">
        <v>768</v>
      </c>
      <c r="J277" s="77" t="s">
        <v>769</v>
      </c>
      <c r="K277" s="77">
        <f>N277-2</f>
        <v>2018</v>
      </c>
      <c r="L277" s="75">
        <f>K277+1</f>
        <v>2019</v>
      </c>
      <c r="M277" s="76" t="str">
        <f>K277&amp;"-"&amp;L277</f>
        <v>2018-2019</v>
      </c>
      <c r="N277" s="74" t="str">
        <f>$T$1</f>
        <v>2020</v>
      </c>
      <c r="O277" s="75">
        <f>N277+1</f>
        <v>2021</v>
      </c>
      <c r="P277" s="76" t="str">
        <f>N277&amp;"-"&amp;O277</f>
        <v>2020-2021</v>
      </c>
      <c r="Q277" s="74" t="s">
        <v>767</v>
      </c>
      <c r="R277" s="75" t="s">
        <v>768</v>
      </c>
      <c r="S277" s="78" t="s">
        <v>769</v>
      </c>
      <c r="T277" s="78" t="s">
        <v>770</v>
      </c>
    </row>
    <row r="278" spans="1:20" ht="25.5">
      <c r="A278" s="677" t="s">
        <v>1428</v>
      </c>
      <c r="B278" s="83">
        <f>SUM(B100:B109,B140)</f>
        <v>1344.3642770000001</v>
      </c>
      <c r="C278" s="81">
        <f>SUM(C100:C109,C140)</f>
        <v>1344.5716590000002</v>
      </c>
      <c r="D278" s="82">
        <f>B278+C278</f>
        <v>2688.9359360000003</v>
      </c>
      <c r="E278" s="102">
        <f>SUM(E100:E109,E140)</f>
        <v>1400.2385980000001</v>
      </c>
      <c r="F278" s="103">
        <f>SUM(F100:F109,F140)</f>
        <v>1390.4879380000002</v>
      </c>
      <c r="G278" s="82">
        <f t="shared" ref="G278:G284" si="197">E278+F278</f>
        <v>2790.7265360000001</v>
      </c>
      <c r="H278" s="83">
        <f t="shared" ref="H278:H284" si="198">G278-D278</f>
        <v>101.79059999999981</v>
      </c>
      <c r="I278" s="447">
        <f>IFERROR(H278/D278,"")</f>
        <v>3.7855345914793788E-2</v>
      </c>
      <c r="J278" s="453">
        <f t="shared" ref="J278:J285" si="199">IFERROR(G278/G$285,"")</f>
        <v>0.34026619829302596</v>
      </c>
      <c r="K278" s="409">
        <f>SUM(K100:K109,K140)</f>
        <v>943.77219300000002</v>
      </c>
      <c r="L278" s="81">
        <f>SUM(L100:L109,L140)</f>
        <v>940.78275199999985</v>
      </c>
      <c r="M278" s="82">
        <f>K278+L278</f>
        <v>1884.5549449999999</v>
      </c>
      <c r="N278" s="102">
        <f>SUM(N100:N109,N140)</f>
        <v>998.51874823126218</v>
      </c>
      <c r="O278" s="103">
        <f>SUM(O100:O109,O140)</f>
        <v>987.83799600000009</v>
      </c>
      <c r="P278" s="82">
        <f>N278+O278</f>
        <v>1986.3567442312624</v>
      </c>
      <c r="Q278" s="83">
        <f>P278-M278</f>
        <v>101.80179923126252</v>
      </c>
      <c r="R278" s="447">
        <f>IFERROR(Q278/M278,"")</f>
        <v>5.4019013614518163E-2</v>
      </c>
      <c r="S278" s="453">
        <f t="shared" ref="S278:S285" si="200">IFERROR(P278/P$285,"")</f>
        <v>0.33042934154662756</v>
      </c>
      <c r="T278" s="453">
        <f t="shared" ref="T278:T285" si="201">IFERROR(P278/G278,"")</f>
        <v>0.71177047217186107</v>
      </c>
    </row>
    <row r="279" spans="1:20" ht="25.5">
      <c r="A279" s="677" t="s">
        <v>1429</v>
      </c>
      <c r="B279" s="86">
        <f>SUM(B110:B121,B141)</f>
        <v>1000.398923</v>
      </c>
      <c r="C279" s="87">
        <f>SUM(C110:C121,C141)</f>
        <v>1005.6440670000002</v>
      </c>
      <c r="D279" s="88">
        <f t="shared" ref="D279:D284" si="202">B279+C279</f>
        <v>2006.0429900000001</v>
      </c>
      <c r="E279" s="89">
        <f>SUM(E110:E121,E141)</f>
        <v>1065.3142970000001</v>
      </c>
      <c r="F279" s="90">
        <f>SUM(F110:F121,F141)</f>
        <v>1065.2815210000001</v>
      </c>
      <c r="G279" s="88">
        <f t="shared" si="197"/>
        <v>2130.5958180000002</v>
      </c>
      <c r="H279" s="86">
        <f t="shared" si="198"/>
        <v>124.55282800000009</v>
      </c>
      <c r="I279" s="447">
        <f t="shared" ref="I279:I285" si="203">IFERROR(H279/D279,"")</f>
        <v>6.208881296207918E-2</v>
      </c>
      <c r="J279" s="453">
        <f t="shared" si="199"/>
        <v>0.25977813653106707</v>
      </c>
      <c r="K279" s="91">
        <f>SUM(K110:K121,K141)</f>
        <v>744.92652099999998</v>
      </c>
      <c r="L279" s="87">
        <f>SUM(L110:L121,L141)</f>
        <v>748.1374390000002</v>
      </c>
      <c r="M279" s="88">
        <f t="shared" ref="M279:M284" si="204">K279+L279</f>
        <v>1493.0639600000002</v>
      </c>
      <c r="N279" s="89">
        <f>SUM(N110:N121,N141)</f>
        <v>811.43257599999993</v>
      </c>
      <c r="O279" s="90">
        <f>SUM(O110:O121,O141)</f>
        <v>810.90736700000002</v>
      </c>
      <c r="P279" s="88">
        <f t="shared" ref="P279:P284" si="205">N279+O279</f>
        <v>1622.3399429999999</v>
      </c>
      <c r="Q279" s="86">
        <f t="shared" ref="Q279:Q284" si="206">P279-M279</f>
        <v>129.27598299999977</v>
      </c>
      <c r="R279" s="447">
        <f t="shared" ref="R279:R285" si="207">IFERROR(Q279/M279,"")</f>
        <v>8.6584357042547425E-2</v>
      </c>
      <c r="S279" s="453">
        <f t="shared" si="200"/>
        <v>0.26987534876961217</v>
      </c>
      <c r="T279" s="453">
        <f t="shared" si="201"/>
        <v>0.76144894742302538</v>
      </c>
    </row>
    <row r="280" spans="1:20" ht="25.5">
      <c r="A280" s="677" t="s">
        <v>1430</v>
      </c>
      <c r="B280" s="86">
        <f>SUM(B122:B125,B142)</f>
        <v>420.67419300000006</v>
      </c>
      <c r="C280" s="87">
        <f>SUM(C122:C125,C142)</f>
        <v>421.849649</v>
      </c>
      <c r="D280" s="88">
        <f t="shared" si="202"/>
        <v>842.52384200000006</v>
      </c>
      <c r="E280" s="89">
        <f>SUM(E122:E125,E142)</f>
        <v>478.24270799999994</v>
      </c>
      <c r="F280" s="90">
        <f>SUM(F122:F125,F142)</f>
        <v>433.30897600000003</v>
      </c>
      <c r="G280" s="88">
        <f t="shared" si="197"/>
        <v>911.55168400000002</v>
      </c>
      <c r="H280" s="86">
        <f t="shared" si="198"/>
        <v>69.027841999999964</v>
      </c>
      <c r="I280" s="447">
        <f t="shared" si="203"/>
        <v>8.1929838135073166E-2</v>
      </c>
      <c r="J280" s="453">
        <f t="shared" si="199"/>
        <v>0.11114318155545919</v>
      </c>
      <c r="K280" s="91">
        <f>SUM(K122:K125,K142)</f>
        <v>298.04091499999998</v>
      </c>
      <c r="L280" s="87">
        <f>SUM(L122:L125,L142)</f>
        <v>298.17074300000002</v>
      </c>
      <c r="M280" s="88">
        <f t="shared" si="204"/>
        <v>596.21165799999994</v>
      </c>
      <c r="N280" s="89">
        <f>SUM(N122:N125,N142)</f>
        <v>358.91678100000001</v>
      </c>
      <c r="O280" s="90">
        <f>SUM(O122:O125,O142)</f>
        <v>313.76687900000002</v>
      </c>
      <c r="P280" s="88">
        <f t="shared" si="205"/>
        <v>672.68366000000003</v>
      </c>
      <c r="Q280" s="86">
        <f t="shared" si="206"/>
        <v>76.472002000000089</v>
      </c>
      <c r="R280" s="447">
        <f t="shared" si="207"/>
        <v>0.12826317797361839</v>
      </c>
      <c r="S280" s="453">
        <f t="shared" si="200"/>
        <v>0.11190055335654102</v>
      </c>
      <c r="T280" s="453">
        <f t="shared" si="201"/>
        <v>0.73795449211193609</v>
      </c>
    </row>
    <row r="281" spans="1:20" ht="25.5">
      <c r="A281" s="677" t="s">
        <v>1431</v>
      </c>
      <c r="B281" s="86">
        <f>SUM(B127:B128,B143)</f>
        <v>220.60636500000001</v>
      </c>
      <c r="C281" s="87">
        <f>SUM(C127:C128,C143)</f>
        <v>221.97419399999998</v>
      </c>
      <c r="D281" s="88">
        <f t="shared" si="202"/>
        <v>442.58055899999999</v>
      </c>
      <c r="E281" s="89">
        <f>SUM(E127:E128,E143)</f>
        <v>232.84099900000001</v>
      </c>
      <c r="F281" s="90">
        <f>SUM(F127:F128,F143)</f>
        <v>232.858341</v>
      </c>
      <c r="G281" s="88">
        <f t="shared" si="197"/>
        <v>465.69934000000001</v>
      </c>
      <c r="H281" s="86">
        <f t="shared" si="198"/>
        <v>23.118781000000013</v>
      </c>
      <c r="I281" s="447">
        <f t="shared" si="203"/>
        <v>5.2236322924432865E-2</v>
      </c>
      <c r="J281" s="453">
        <f t="shared" si="199"/>
        <v>5.6781537683909887E-2</v>
      </c>
      <c r="K281" s="91">
        <f>SUM(K127:K128,K143)</f>
        <v>153.755752</v>
      </c>
      <c r="L281" s="87">
        <f>SUM(L127:L128,L143)</f>
        <v>154.61347299999997</v>
      </c>
      <c r="M281" s="88">
        <f t="shared" si="204"/>
        <v>308.36922499999997</v>
      </c>
      <c r="N281" s="89">
        <f>SUM(N127:N128,N143)</f>
        <v>161.02973399999999</v>
      </c>
      <c r="O281" s="90">
        <f>SUM(O127:O128,O143)</f>
        <v>161.02524</v>
      </c>
      <c r="P281" s="88">
        <f t="shared" si="205"/>
        <v>322.05497400000002</v>
      </c>
      <c r="Q281" s="86">
        <f t="shared" si="206"/>
        <v>13.685749000000044</v>
      </c>
      <c r="R281" s="447">
        <f t="shared" si="207"/>
        <v>4.4381046779230465E-2</v>
      </c>
      <c r="S281" s="453">
        <f t="shared" si="200"/>
        <v>5.357366611495578E-2</v>
      </c>
      <c r="T281" s="453">
        <f t="shared" si="201"/>
        <v>0.69155127855667564</v>
      </c>
    </row>
    <row r="282" spans="1:20" ht="25.5">
      <c r="A282" s="677" t="s">
        <v>1432</v>
      </c>
      <c r="B282" s="86">
        <f>SUM(B131:B132,B144)</f>
        <v>283.625092</v>
      </c>
      <c r="C282" s="87">
        <f>SUM(C131:C132,C144)</f>
        <v>286.90063600000002</v>
      </c>
      <c r="D282" s="88">
        <f t="shared" si="202"/>
        <v>570.52572800000007</v>
      </c>
      <c r="E282" s="89">
        <f>SUM(E131:E132,E144)</f>
        <v>297.87184000000002</v>
      </c>
      <c r="F282" s="90">
        <f>SUM(F131:F132,F144)</f>
        <v>300.220057</v>
      </c>
      <c r="G282" s="88">
        <f t="shared" si="197"/>
        <v>598.09189700000002</v>
      </c>
      <c r="H282" s="86">
        <f t="shared" si="198"/>
        <v>27.566168999999945</v>
      </c>
      <c r="I282" s="447">
        <f t="shared" si="203"/>
        <v>4.8317135664738928E-2</v>
      </c>
      <c r="J282" s="453">
        <f t="shared" si="199"/>
        <v>7.2923825891500413E-2</v>
      </c>
      <c r="K282" s="91">
        <f>SUM(K131:K132,K144)</f>
        <v>207.88819899999999</v>
      </c>
      <c r="L282" s="87">
        <f>SUM(L131:L132,L144)</f>
        <v>210.53909400000001</v>
      </c>
      <c r="M282" s="88">
        <f t="shared" si="204"/>
        <v>418.42729299999996</v>
      </c>
      <c r="N282" s="89">
        <f>SUM(N131:N132,N144)</f>
        <v>225.56823499999999</v>
      </c>
      <c r="O282" s="90">
        <f>SUM(O131:O132,O144)</f>
        <v>227.770512</v>
      </c>
      <c r="P282" s="88">
        <f t="shared" si="205"/>
        <v>453.33874700000001</v>
      </c>
      <c r="Q282" s="86">
        <f t="shared" si="206"/>
        <v>34.911454000000049</v>
      </c>
      <c r="R282" s="447">
        <f t="shared" si="207"/>
        <v>8.3434935015102019E-2</v>
      </c>
      <c r="S282" s="453">
        <f t="shared" si="200"/>
        <v>7.5412648862707543E-2</v>
      </c>
      <c r="T282" s="453">
        <f t="shared" si="201"/>
        <v>0.75797506917235491</v>
      </c>
    </row>
    <row r="283" spans="1:20">
      <c r="A283" s="677" t="s">
        <v>60</v>
      </c>
      <c r="B283" s="86">
        <f>SUM(B134:B138,B145)</f>
        <v>371.58337</v>
      </c>
      <c r="C283" s="87">
        <f>SUM(C134:C138,C145)</f>
        <v>370.30157700000001</v>
      </c>
      <c r="D283" s="88">
        <f t="shared" si="202"/>
        <v>741.88494700000001</v>
      </c>
      <c r="E283" s="89">
        <f>SUM(E134:E138,E145)</f>
        <v>386.26994000000002</v>
      </c>
      <c r="F283" s="90">
        <f>SUM(F134:F138,F145)</f>
        <v>383.15910200000002</v>
      </c>
      <c r="G283" s="88">
        <f t="shared" si="197"/>
        <v>769.42904199999998</v>
      </c>
      <c r="H283" s="86">
        <f t="shared" si="198"/>
        <v>27.54409499999997</v>
      </c>
      <c r="I283" s="447">
        <f t="shared" si="203"/>
        <v>3.7127178697157162E-2</v>
      </c>
      <c r="J283" s="453">
        <f t="shared" si="199"/>
        <v>9.3814528797523486E-2</v>
      </c>
      <c r="K283" s="91">
        <f>SUM(K134:K138,K145)</f>
        <v>265.96306700000002</v>
      </c>
      <c r="L283" s="87">
        <f>SUM(L134:L138,L145)</f>
        <v>264.22844400000002</v>
      </c>
      <c r="M283" s="88">
        <f t="shared" si="204"/>
        <v>530.19151099999999</v>
      </c>
      <c r="N283" s="89">
        <f>SUM(N134:N138,N145)</f>
        <v>281.308224</v>
      </c>
      <c r="O283" s="90">
        <f>SUM(O134:O138,O145)</f>
        <v>280.452674</v>
      </c>
      <c r="P283" s="88">
        <f t="shared" si="205"/>
        <v>561.760898</v>
      </c>
      <c r="Q283" s="86">
        <f t="shared" si="206"/>
        <v>31.569387000000006</v>
      </c>
      <c r="R283" s="447">
        <f t="shared" si="207"/>
        <v>5.9543365642457463E-2</v>
      </c>
      <c r="S283" s="453">
        <f t="shared" si="200"/>
        <v>9.3448613483888401E-2</v>
      </c>
      <c r="T283" s="453">
        <f t="shared" si="201"/>
        <v>0.73010098051380812</v>
      </c>
    </row>
    <row r="284" spans="1:20">
      <c r="A284" s="79" t="s">
        <v>801</v>
      </c>
      <c r="B284" s="86">
        <f>SUM(B126,B129,B130,B133)</f>
        <v>264.46361999999999</v>
      </c>
      <c r="C284" s="87">
        <f>SUM(C126,C129,C130,C133)</f>
        <v>266.052775</v>
      </c>
      <c r="D284" s="88">
        <f t="shared" si="202"/>
        <v>530.51639499999999</v>
      </c>
      <c r="E284" s="89">
        <f>SUM(E126,E129,E130,E133)</f>
        <v>268.31573300000002</v>
      </c>
      <c r="F284" s="90">
        <f>SUM(F126,F129,F130,F133)</f>
        <v>267.18784599999998</v>
      </c>
      <c r="G284" s="88">
        <f t="shared" si="197"/>
        <v>535.50357899999995</v>
      </c>
      <c r="H284" s="86">
        <f t="shared" si="198"/>
        <v>4.9871839999999565</v>
      </c>
      <c r="I284" s="447">
        <f t="shared" si="203"/>
        <v>9.4006218224414288E-3</v>
      </c>
      <c r="J284" s="453">
        <f t="shared" si="199"/>
        <v>6.5292591247514145E-2</v>
      </c>
      <c r="K284" s="91">
        <f>SUM(K126,K129,K130,K133)</f>
        <v>195.34384299999999</v>
      </c>
      <c r="L284" s="87">
        <f>SUM(L126,L129,L130,L133)</f>
        <v>196.47506100000001</v>
      </c>
      <c r="M284" s="88">
        <f t="shared" si="204"/>
        <v>391.81890399999997</v>
      </c>
      <c r="N284" s="89">
        <f>SUM(N126,N129,N130,N133)</f>
        <v>197.07879500000001</v>
      </c>
      <c r="O284" s="90">
        <f>SUM(O126,O129,O130,O133)</f>
        <v>195.82800399999999</v>
      </c>
      <c r="P284" s="88">
        <f t="shared" si="205"/>
        <v>392.90679899999998</v>
      </c>
      <c r="Q284" s="86">
        <f t="shared" si="206"/>
        <v>1.0878950000000032</v>
      </c>
      <c r="R284" s="447">
        <f t="shared" si="207"/>
        <v>2.7765250448457263E-3</v>
      </c>
      <c r="S284" s="453">
        <f t="shared" si="200"/>
        <v>6.5359827865667547E-2</v>
      </c>
      <c r="T284" s="453">
        <f t="shared" si="201"/>
        <v>0.73371460884297846</v>
      </c>
    </row>
    <row r="285" spans="1:20" ht="13.5" thickBot="1">
      <c r="A285" s="95" t="s">
        <v>280</v>
      </c>
      <c r="B285" s="96">
        <f t="shared" ref="B285:H285" si="208">SUM(B278:B284)</f>
        <v>3905.7158399999998</v>
      </c>
      <c r="C285" s="97">
        <f t="shared" si="208"/>
        <v>3917.2945570000002</v>
      </c>
      <c r="D285" s="98">
        <f t="shared" si="208"/>
        <v>7823.0103970000009</v>
      </c>
      <c r="E285" s="116">
        <f t="shared" si="208"/>
        <v>4129.0941150000008</v>
      </c>
      <c r="F285" s="117">
        <f t="shared" si="208"/>
        <v>4072.5037810000003</v>
      </c>
      <c r="G285" s="98">
        <f t="shared" si="208"/>
        <v>8201.5978959999993</v>
      </c>
      <c r="H285" s="96">
        <f t="shared" si="208"/>
        <v>378.58749899999975</v>
      </c>
      <c r="I285" s="451">
        <f t="shared" si="203"/>
        <v>4.8394093806289964E-2</v>
      </c>
      <c r="J285" s="455">
        <f t="shared" si="199"/>
        <v>1</v>
      </c>
      <c r="K285" s="100">
        <f t="shared" ref="K285:Q285" si="209">SUM(K278:K284)</f>
        <v>2809.6904900000004</v>
      </c>
      <c r="L285" s="97">
        <f t="shared" si="209"/>
        <v>2812.9470060000003</v>
      </c>
      <c r="M285" s="98">
        <f t="shared" si="209"/>
        <v>5622.6374960000003</v>
      </c>
      <c r="N285" s="116">
        <f t="shared" si="209"/>
        <v>3033.8530932312624</v>
      </c>
      <c r="O285" s="117">
        <f t="shared" si="209"/>
        <v>2977.5886719999999</v>
      </c>
      <c r="P285" s="98">
        <f t="shared" si="209"/>
        <v>6011.4417652312623</v>
      </c>
      <c r="Q285" s="96">
        <f t="shared" si="209"/>
        <v>388.80426923126248</v>
      </c>
      <c r="R285" s="451">
        <f t="shared" si="207"/>
        <v>6.9149801940434838E-2</v>
      </c>
      <c r="S285" s="455">
        <f t="shared" si="200"/>
        <v>1</v>
      </c>
      <c r="T285" s="455">
        <f t="shared" si="201"/>
        <v>0.73295982581188257</v>
      </c>
    </row>
    <row r="286" spans="1:20">
      <c r="T286" s="1180"/>
    </row>
    <row r="287" spans="1:20">
      <c r="T287" s="410"/>
    </row>
    <row r="288" spans="1:20">
      <c r="T288" s="410"/>
    </row>
    <row r="289" spans="10:20">
      <c r="T289" s="410"/>
    </row>
    <row r="290" spans="10:20">
      <c r="T290" s="410"/>
    </row>
    <row r="291" spans="10:20">
      <c r="T291" s="410"/>
    </row>
    <row r="292" spans="10:20">
      <c r="T292" s="410"/>
    </row>
    <row r="293" spans="10:20">
      <c r="T293" s="410"/>
    </row>
    <row r="294" spans="10:20">
      <c r="T294" s="410"/>
    </row>
    <row r="295" spans="10:20">
      <c r="T295" s="410"/>
    </row>
    <row r="296" spans="10:20">
      <c r="T296" s="410"/>
    </row>
    <row r="297" spans="10:20">
      <c r="T297" s="410"/>
    </row>
    <row r="298" spans="10:20">
      <c r="T298" s="410"/>
    </row>
    <row r="299" spans="10:20">
      <c r="T299" s="410"/>
    </row>
    <row r="300" spans="10:20">
      <c r="T300" s="410"/>
    </row>
    <row r="301" spans="10:20">
      <c r="T301" s="410"/>
    </row>
    <row r="302" spans="10:20">
      <c r="T302" s="410"/>
    </row>
    <row r="303" spans="10:20">
      <c r="T303" s="410"/>
    </row>
    <row r="304" spans="10:20">
      <c r="J304" s="411"/>
      <c r="T304" s="411"/>
    </row>
    <row r="305" spans="1:20" ht="13.5" thickBot="1">
      <c r="T305" s="1179"/>
    </row>
    <row r="306" spans="1:20" ht="13.5" customHeight="1" thickBot="1">
      <c r="A306" s="536" t="s">
        <v>1253</v>
      </c>
      <c r="B306" s="537"/>
      <c r="C306" s="537"/>
      <c r="D306" s="537"/>
      <c r="E306" s="537"/>
      <c r="F306" s="537"/>
      <c r="G306" s="537"/>
      <c r="H306" s="537"/>
      <c r="I306" s="537"/>
      <c r="J306" s="537"/>
      <c r="K306" s="537"/>
      <c r="L306" s="537"/>
      <c r="M306" s="537"/>
      <c r="N306" s="537"/>
      <c r="O306" s="537"/>
      <c r="P306" s="537"/>
      <c r="Q306" s="537"/>
      <c r="R306" s="537"/>
      <c r="S306" s="537"/>
      <c r="T306" s="538"/>
    </row>
    <row r="307" spans="1:20" ht="13.5" thickBot="1">
      <c r="A307" s="535" t="s">
        <v>1318</v>
      </c>
      <c r="B307" s="1292" t="s">
        <v>2</v>
      </c>
      <c r="C307" s="1293"/>
      <c r="D307" s="1293"/>
      <c r="E307" s="1293"/>
      <c r="F307" s="1293"/>
      <c r="G307" s="1293"/>
      <c r="H307" s="1293"/>
      <c r="I307" s="1293"/>
      <c r="J307" s="1294"/>
      <c r="K307" s="1295" t="s">
        <v>764</v>
      </c>
      <c r="L307" s="1295"/>
      <c r="M307" s="1295"/>
      <c r="N307" s="1295"/>
      <c r="O307" s="1295"/>
      <c r="P307" s="1295"/>
      <c r="Q307" s="1295"/>
      <c r="R307" s="1295"/>
      <c r="S307" s="1295"/>
      <c r="T307" s="1296"/>
    </row>
    <row r="308" spans="1:20" ht="25.5">
      <c r="A308" s="73" t="s">
        <v>772</v>
      </c>
      <c r="B308" s="74">
        <f>E308-2</f>
        <v>2018</v>
      </c>
      <c r="C308" s="75">
        <f>B308+1</f>
        <v>2019</v>
      </c>
      <c r="D308" s="76" t="str">
        <f>B308&amp;"-"&amp;C308</f>
        <v>2018-2019</v>
      </c>
      <c r="E308" s="74" t="str">
        <f>$T$1</f>
        <v>2020</v>
      </c>
      <c r="F308" s="75">
        <f>E308+1</f>
        <v>2021</v>
      </c>
      <c r="G308" s="76" t="str">
        <f>E308&amp;"-"&amp;F308</f>
        <v>2020-2021</v>
      </c>
      <c r="H308" s="74" t="s">
        <v>767</v>
      </c>
      <c r="I308" s="75" t="s">
        <v>768</v>
      </c>
      <c r="J308" s="77" t="s">
        <v>769</v>
      </c>
      <c r="K308" s="77">
        <f>N308-2</f>
        <v>2018</v>
      </c>
      <c r="L308" s="75">
        <f>K308+1</f>
        <v>2019</v>
      </c>
      <c r="M308" s="76" t="str">
        <f>K308&amp;"-"&amp;L308</f>
        <v>2018-2019</v>
      </c>
      <c r="N308" s="74" t="str">
        <f>$T$1</f>
        <v>2020</v>
      </c>
      <c r="O308" s="75">
        <f>N308+1</f>
        <v>2021</v>
      </c>
      <c r="P308" s="76" t="str">
        <f>N308&amp;"-"&amp;O308</f>
        <v>2020-2021</v>
      </c>
      <c r="Q308" s="74" t="s">
        <v>767</v>
      </c>
      <c r="R308" s="75" t="s">
        <v>768</v>
      </c>
      <c r="S308" s="78" t="s">
        <v>769</v>
      </c>
      <c r="T308" s="78" t="s">
        <v>770</v>
      </c>
    </row>
    <row r="309" spans="1:20" hidden="1" outlineLevel="1">
      <c r="A309" s="79" t="s">
        <v>754</v>
      </c>
      <c r="B309" s="83">
        <f t="shared" ref="B309:C312" si="210">B100</f>
        <v>195.40721099999999</v>
      </c>
      <c r="C309" s="81">
        <f t="shared" si="210"/>
        <v>196.40831600000001</v>
      </c>
      <c r="D309" s="82">
        <f>B309+C309</f>
        <v>391.81552699999997</v>
      </c>
      <c r="E309" s="83">
        <f t="shared" ref="E309:F312" si="211">E100</f>
        <v>209.01399000000001</v>
      </c>
      <c r="F309" s="81">
        <f t="shared" si="211"/>
        <v>209.033142</v>
      </c>
      <c r="G309" s="82">
        <f t="shared" ref="G309:G320" si="212">E309+F309</f>
        <v>418.04713200000003</v>
      </c>
      <c r="H309" s="83">
        <f t="shared" ref="H309:H320" si="213">G309-D309</f>
        <v>26.231605000000059</v>
      </c>
      <c r="I309" s="84">
        <f>IFERROR(H309/D309,"")</f>
        <v>6.6948865454227041E-2</v>
      </c>
      <c r="J309" s="412">
        <f t="shared" ref="J309:J321" si="214">IFERROR(G309/G$321,"")</f>
        <v>5.3696760847359588E-2</v>
      </c>
      <c r="K309" s="409">
        <f t="shared" ref="K309:L312" si="215">K100</f>
        <v>118.75055500000001</v>
      </c>
      <c r="L309" s="81">
        <f t="shared" si="215"/>
        <v>119.673317</v>
      </c>
      <c r="M309" s="82">
        <f>K309+L309</f>
        <v>238.42387200000002</v>
      </c>
      <c r="N309" s="83">
        <f t="shared" ref="N309:O312" si="216">N100</f>
        <v>137.374528</v>
      </c>
      <c r="O309" s="81">
        <f t="shared" si="216"/>
        <v>137.27680799999999</v>
      </c>
      <c r="P309" s="82">
        <f>N309+O309</f>
        <v>274.65133600000001</v>
      </c>
      <c r="Q309" s="83">
        <f>P309-M309</f>
        <v>36.227463999999998</v>
      </c>
      <c r="R309" s="84">
        <f>IFERROR(Q309/M309,"")</f>
        <v>0.15194562396839187</v>
      </c>
      <c r="S309" s="85">
        <f t="shared" ref="S309:S321" si="217">IFERROR(P309/P$321,"")</f>
        <v>4.8442195421329486E-2</v>
      </c>
      <c r="T309" s="85">
        <f t="shared" ref="T309:T321" si="218">IFERROR(P309/G309,"")</f>
        <v>0.65698653327921885</v>
      </c>
    </row>
    <row r="310" spans="1:20" hidden="1" outlineLevel="1">
      <c r="A310" s="79" t="s">
        <v>749</v>
      </c>
      <c r="B310" s="86">
        <f t="shared" si="210"/>
        <v>443.30257</v>
      </c>
      <c r="C310" s="87">
        <f t="shared" si="210"/>
        <v>438.98857500000003</v>
      </c>
      <c r="D310" s="88">
        <f t="shared" ref="D310:D320" si="219">B310+C310</f>
        <v>882.29114500000003</v>
      </c>
      <c r="E310" s="86">
        <f t="shared" si="211"/>
        <v>454.29967099999999</v>
      </c>
      <c r="F310" s="87">
        <f t="shared" si="211"/>
        <v>445.117819</v>
      </c>
      <c r="G310" s="88">
        <f t="shared" si="212"/>
        <v>899.41749000000004</v>
      </c>
      <c r="H310" s="86">
        <f t="shared" si="213"/>
        <v>17.126345000000015</v>
      </c>
      <c r="I310" s="84">
        <f t="shared" ref="I310:I321" si="220">IFERROR(H310/D310,"")</f>
        <v>1.9411217144200188E-2</v>
      </c>
      <c r="J310" s="412">
        <f t="shared" si="214"/>
        <v>0.11552717903220165</v>
      </c>
      <c r="K310" s="91">
        <f t="shared" si="215"/>
        <v>324.84100000000001</v>
      </c>
      <c r="L310" s="87">
        <f t="shared" si="215"/>
        <v>319.21714600000001</v>
      </c>
      <c r="M310" s="88">
        <f t="shared" ref="M310:M320" si="221">K310+L310</f>
        <v>644.05814600000008</v>
      </c>
      <c r="N310" s="86">
        <f t="shared" si="216"/>
        <v>332.6017282312622</v>
      </c>
      <c r="O310" s="87">
        <f t="shared" si="216"/>
        <v>323.05674800000003</v>
      </c>
      <c r="P310" s="88">
        <f t="shared" ref="P310:P320" si="222">N310+O310</f>
        <v>655.65847623126228</v>
      </c>
      <c r="Q310" s="86">
        <f t="shared" ref="Q310:Q320" si="223">P310-M310</f>
        <v>11.600330231262205</v>
      </c>
      <c r="R310" s="84">
        <f t="shared" ref="R310:R321" si="224">IFERROR(Q310/M310,"")</f>
        <v>1.801130892188452E-2</v>
      </c>
      <c r="S310" s="85">
        <f t="shared" si="217"/>
        <v>0.11564311500471244</v>
      </c>
      <c r="T310" s="85">
        <f t="shared" si="218"/>
        <v>0.72898123899198608</v>
      </c>
    </row>
    <row r="311" spans="1:20" hidden="1" outlineLevel="1">
      <c r="A311" s="79" t="s">
        <v>755</v>
      </c>
      <c r="B311" s="86">
        <f t="shared" si="210"/>
        <v>173.30713600000001</v>
      </c>
      <c r="C311" s="87">
        <f t="shared" si="210"/>
        <v>174.17601199999999</v>
      </c>
      <c r="D311" s="88">
        <f t="shared" si="219"/>
        <v>347.48314800000003</v>
      </c>
      <c r="E311" s="86">
        <f t="shared" si="211"/>
        <v>181.74652699999999</v>
      </c>
      <c r="F311" s="87">
        <f t="shared" si="211"/>
        <v>181.77148399999999</v>
      </c>
      <c r="G311" s="88">
        <f t="shared" si="212"/>
        <v>363.518011</v>
      </c>
      <c r="H311" s="86">
        <f t="shared" si="213"/>
        <v>16.034862999999973</v>
      </c>
      <c r="I311" s="84">
        <f t="shared" si="220"/>
        <v>4.6145728482924794E-2</v>
      </c>
      <c r="J311" s="412">
        <f t="shared" si="214"/>
        <v>4.6692676988332578E-2</v>
      </c>
      <c r="K311" s="91">
        <f t="shared" si="215"/>
        <v>98.661207000000005</v>
      </c>
      <c r="L311" s="87">
        <f t="shared" si="215"/>
        <v>98.389178999999999</v>
      </c>
      <c r="M311" s="88">
        <f t="shared" si="221"/>
        <v>197.050386</v>
      </c>
      <c r="N311" s="86">
        <f t="shared" si="216"/>
        <v>107.875072</v>
      </c>
      <c r="O311" s="87">
        <f t="shared" si="216"/>
        <v>107.613671</v>
      </c>
      <c r="P311" s="88">
        <f t="shared" si="222"/>
        <v>215.488743</v>
      </c>
      <c r="Q311" s="86">
        <f t="shared" si="223"/>
        <v>18.438356999999996</v>
      </c>
      <c r="R311" s="84">
        <f t="shared" si="224"/>
        <v>9.3571788283632162E-2</v>
      </c>
      <c r="S311" s="85">
        <f t="shared" si="217"/>
        <v>3.8007271151605265E-2</v>
      </c>
      <c r="T311" s="85">
        <f t="shared" si="218"/>
        <v>0.59278697747936349</v>
      </c>
    </row>
    <row r="312" spans="1:20" hidden="1" outlineLevel="1">
      <c r="A312" s="79" t="s">
        <v>756</v>
      </c>
      <c r="B312" s="86">
        <f t="shared" si="210"/>
        <v>127.317708</v>
      </c>
      <c r="C312" s="87">
        <f t="shared" si="210"/>
        <v>128.18694099999999</v>
      </c>
      <c r="D312" s="88">
        <f t="shared" si="219"/>
        <v>255.50464899999997</v>
      </c>
      <c r="E312" s="86">
        <f t="shared" si="211"/>
        <v>137.54253800000001</v>
      </c>
      <c r="F312" s="87">
        <f t="shared" si="211"/>
        <v>137.559223</v>
      </c>
      <c r="G312" s="88">
        <f t="shared" si="212"/>
        <v>275.10176100000001</v>
      </c>
      <c r="H312" s="86">
        <f t="shared" si="213"/>
        <v>19.597112000000038</v>
      </c>
      <c r="I312" s="84">
        <f t="shared" si="220"/>
        <v>7.6699629837263902E-2</v>
      </c>
      <c r="J312" s="412">
        <f t="shared" si="214"/>
        <v>3.5335904347513797E-2</v>
      </c>
      <c r="K312" s="91">
        <f t="shared" si="215"/>
        <v>95.816158000000001</v>
      </c>
      <c r="L312" s="87">
        <f t="shared" si="215"/>
        <v>96.497136999999995</v>
      </c>
      <c r="M312" s="88">
        <f t="shared" si="221"/>
        <v>192.31329499999998</v>
      </c>
      <c r="N312" s="86">
        <f t="shared" si="216"/>
        <v>102.319586</v>
      </c>
      <c r="O312" s="87">
        <f t="shared" si="216"/>
        <v>102.26517800000001</v>
      </c>
      <c r="P312" s="88">
        <f t="shared" si="222"/>
        <v>204.58476400000001</v>
      </c>
      <c r="Q312" s="86">
        <f t="shared" si="223"/>
        <v>12.271469000000025</v>
      </c>
      <c r="R312" s="84">
        <f t="shared" si="224"/>
        <v>6.3809779765876429E-2</v>
      </c>
      <c r="S312" s="85">
        <f t="shared" si="217"/>
        <v>3.6084059383255915E-2</v>
      </c>
      <c r="T312" s="85">
        <f t="shared" si="218"/>
        <v>0.74366940893555389</v>
      </c>
    </row>
    <row r="313" spans="1:20" hidden="1" outlineLevel="1">
      <c r="A313" s="79" t="s">
        <v>757</v>
      </c>
      <c r="B313" s="86">
        <f>B108</f>
        <v>156.025868</v>
      </c>
      <c r="C313" s="87">
        <f>C108</f>
        <v>156.996745</v>
      </c>
      <c r="D313" s="88">
        <f t="shared" si="219"/>
        <v>313.02261299999998</v>
      </c>
      <c r="E313" s="86">
        <f>E108</f>
        <v>170.52093500000001</v>
      </c>
      <c r="F313" s="87">
        <f>F108</f>
        <v>170.53234599999999</v>
      </c>
      <c r="G313" s="88">
        <f t="shared" si="212"/>
        <v>341.05328099999997</v>
      </c>
      <c r="H313" s="86">
        <f t="shared" si="213"/>
        <v>28.030667999999991</v>
      </c>
      <c r="I313" s="84">
        <f t="shared" si="220"/>
        <v>8.9548380327398244E-2</v>
      </c>
      <c r="J313" s="412">
        <f t="shared" si="214"/>
        <v>4.3807157289777375E-2</v>
      </c>
      <c r="K313" s="91">
        <f>K108</f>
        <v>113.74079399999999</v>
      </c>
      <c r="L313" s="87">
        <f>L108</f>
        <v>114.43764</v>
      </c>
      <c r="M313" s="88">
        <f t="shared" si="221"/>
        <v>228.17843399999998</v>
      </c>
      <c r="N313" s="86">
        <f>N108</f>
        <v>127.500894</v>
      </c>
      <c r="O313" s="87">
        <f>O108</f>
        <v>127.46518</v>
      </c>
      <c r="P313" s="88">
        <f t="shared" si="222"/>
        <v>254.96607399999999</v>
      </c>
      <c r="Q313" s="86">
        <f t="shared" si="223"/>
        <v>26.78764000000001</v>
      </c>
      <c r="R313" s="84">
        <f t="shared" si="224"/>
        <v>0.11739777300776817</v>
      </c>
      <c r="S313" s="85">
        <f t="shared" si="217"/>
        <v>4.4970166766336625E-2</v>
      </c>
      <c r="T313" s="85">
        <f t="shared" si="218"/>
        <v>0.74758428727738879</v>
      </c>
    </row>
    <row r="314" spans="1:20" hidden="1" outlineLevel="1">
      <c r="A314" s="79" t="s">
        <v>751</v>
      </c>
      <c r="B314" s="86">
        <f>B110</f>
        <v>455.55527699999999</v>
      </c>
      <c r="C314" s="87">
        <f>C110</f>
        <v>458.02820400000002</v>
      </c>
      <c r="D314" s="88">
        <f t="shared" si="219"/>
        <v>913.58348100000001</v>
      </c>
      <c r="E314" s="86">
        <f>E110</f>
        <v>512.78780800000004</v>
      </c>
      <c r="F314" s="87">
        <f>F110</f>
        <v>512.81185600000003</v>
      </c>
      <c r="G314" s="88">
        <f t="shared" si="212"/>
        <v>1025.5996640000001</v>
      </c>
      <c r="H314" s="86">
        <f t="shared" si="213"/>
        <v>112.01618300000007</v>
      </c>
      <c r="I314" s="84">
        <f t="shared" si="220"/>
        <v>0.12261187437122681</v>
      </c>
      <c r="J314" s="412">
        <f t="shared" si="214"/>
        <v>0.13173485874540183</v>
      </c>
      <c r="K314" s="91">
        <f>K110</f>
        <v>331.12218300000001</v>
      </c>
      <c r="L314" s="87">
        <f>L110</f>
        <v>332.55377099999998</v>
      </c>
      <c r="M314" s="88">
        <f t="shared" si="221"/>
        <v>663.67595400000005</v>
      </c>
      <c r="N314" s="86">
        <f>N110</f>
        <v>381.15291400000001</v>
      </c>
      <c r="O314" s="87">
        <f>O110</f>
        <v>380.87777899999998</v>
      </c>
      <c r="P314" s="88">
        <f t="shared" si="222"/>
        <v>762.03069299999993</v>
      </c>
      <c r="Q314" s="86">
        <f t="shared" si="223"/>
        <v>98.354738999999881</v>
      </c>
      <c r="R314" s="84">
        <f t="shared" si="224"/>
        <v>0.14819693015426</v>
      </c>
      <c r="S314" s="85">
        <f t="shared" si="217"/>
        <v>0.13440473396188807</v>
      </c>
      <c r="T314" s="85">
        <f t="shared" si="218"/>
        <v>0.74300988948061886</v>
      </c>
    </row>
    <row r="315" spans="1:20" hidden="1" outlineLevel="1">
      <c r="A315" s="79" t="s">
        <v>726</v>
      </c>
      <c r="B315" s="86">
        <f>B122</f>
        <v>258.98486000000003</v>
      </c>
      <c r="C315" s="87">
        <f>C122</f>
        <v>260.19834400000002</v>
      </c>
      <c r="D315" s="88">
        <f t="shared" si="219"/>
        <v>519.18320400000005</v>
      </c>
      <c r="E315" s="86">
        <f>E122</f>
        <v>321.317655</v>
      </c>
      <c r="F315" s="87">
        <f>F122</f>
        <v>276.34026799999998</v>
      </c>
      <c r="G315" s="88">
        <f t="shared" si="212"/>
        <v>597.65792299999998</v>
      </c>
      <c r="H315" s="86">
        <f t="shared" si="213"/>
        <v>78.474718999999936</v>
      </c>
      <c r="I315" s="84">
        <f t="shared" si="220"/>
        <v>0.1511503422980531</v>
      </c>
      <c r="J315" s="412">
        <f t="shared" si="214"/>
        <v>7.6767168348521639E-2</v>
      </c>
      <c r="K315" s="91">
        <f>K122</f>
        <v>176.106696</v>
      </c>
      <c r="L315" s="87">
        <f>L122</f>
        <v>176.63423599999999</v>
      </c>
      <c r="M315" s="88">
        <f t="shared" si="221"/>
        <v>352.74093199999999</v>
      </c>
      <c r="N315" s="86">
        <f>N122</f>
        <v>238.684966</v>
      </c>
      <c r="O315" s="87">
        <f>O122</f>
        <v>193.55328399999999</v>
      </c>
      <c r="P315" s="88">
        <f t="shared" si="222"/>
        <v>432.23824999999999</v>
      </c>
      <c r="Q315" s="86">
        <f t="shared" si="223"/>
        <v>79.497318000000007</v>
      </c>
      <c r="R315" s="84">
        <f t="shared" si="224"/>
        <v>0.22537026692439541</v>
      </c>
      <c r="S315" s="85">
        <f t="shared" si="217"/>
        <v>7.6236912152043812E-2</v>
      </c>
      <c r="T315" s="85">
        <f t="shared" si="218"/>
        <v>0.72322014544764934</v>
      </c>
    </row>
    <row r="316" spans="1:20" hidden="1" outlineLevel="1">
      <c r="A316" s="79" t="s">
        <v>731</v>
      </c>
      <c r="B316" s="86">
        <f>B127</f>
        <v>180.98003700000001</v>
      </c>
      <c r="C316" s="87">
        <f>C127</f>
        <v>182.10563099999999</v>
      </c>
      <c r="D316" s="88">
        <f t="shared" si="219"/>
        <v>363.085668</v>
      </c>
      <c r="E316" s="86">
        <f>E127</f>
        <v>192.699242</v>
      </c>
      <c r="F316" s="87">
        <f>F127</f>
        <v>192.720438</v>
      </c>
      <c r="G316" s="88">
        <f t="shared" si="212"/>
        <v>385.41967999999997</v>
      </c>
      <c r="H316" s="86">
        <f t="shared" si="213"/>
        <v>22.334011999999973</v>
      </c>
      <c r="I316" s="84">
        <f t="shared" si="220"/>
        <v>6.1511687098593969E-2</v>
      </c>
      <c r="J316" s="412">
        <f t="shared" si="214"/>
        <v>4.9505873377994752E-2</v>
      </c>
      <c r="K316" s="91">
        <f>K127</f>
        <v>120.30679600000001</v>
      </c>
      <c r="L316" s="87">
        <f>L127</f>
        <v>120.926053</v>
      </c>
      <c r="M316" s="88">
        <f t="shared" si="221"/>
        <v>241.23284899999999</v>
      </c>
      <c r="N316" s="86">
        <f>N127</f>
        <v>127.815112</v>
      </c>
      <c r="O316" s="87">
        <f>O127</f>
        <v>127.815112</v>
      </c>
      <c r="P316" s="88">
        <f t="shared" si="222"/>
        <v>255.630224</v>
      </c>
      <c r="Q316" s="86">
        <f t="shared" si="223"/>
        <v>14.397375000000011</v>
      </c>
      <c r="R316" s="84">
        <f t="shared" si="224"/>
        <v>5.9682481302536089E-2</v>
      </c>
      <c r="S316" s="85">
        <f t="shared" si="217"/>
        <v>4.5087307591346396E-2</v>
      </c>
      <c r="T316" s="85">
        <f t="shared" si="218"/>
        <v>0.66325161185334391</v>
      </c>
    </row>
    <row r="317" spans="1:20" hidden="1" outlineLevel="1">
      <c r="A317" s="79" t="s">
        <v>735</v>
      </c>
      <c r="B317" s="86">
        <f>B131</f>
        <v>235.943737</v>
      </c>
      <c r="C317" s="87">
        <f>C131</f>
        <v>240.366232</v>
      </c>
      <c r="D317" s="88">
        <f t="shared" si="219"/>
        <v>476.30996900000002</v>
      </c>
      <c r="E317" s="86">
        <f>E131</f>
        <v>249.44336000000001</v>
      </c>
      <c r="F317" s="87">
        <f>F131</f>
        <v>251.80846</v>
      </c>
      <c r="G317" s="88">
        <f t="shared" si="212"/>
        <v>501.25182000000001</v>
      </c>
      <c r="H317" s="86">
        <f t="shared" si="213"/>
        <v>24.941850999999986</v>
      </c>
      <c r="I317" s="84">
        <f t="shared" si="220"/>
        <v>5.2364746957458672E-2</v>
      </c>
      <c r="J317" s="412">
        <f t="shared" si="214"/>
        <v>6.4384125718254498E-2</v>
      </c>
      <c r="K317" s="91">
        <f>K131</f>
        <v>173.61519899999999</v>
      </c>
      <c r="L317" s="87">
        <f>L131</f>
        <v>177.519553</v>
      </c>
      <c r="M317" s="88">
        <f t="shared" si="221"/>
        <v>351.13475199999999</v>
      </c>
      <c r="N317" s="86">
        <f>N131</f>
        <v>188.82926900000001</v>
      </c>
      <c r="O317" s="87">
        <f>O131</f>
        <v>191.069276</v>
      </c>
      <c r="P317" s="88">
        <f t="shared" si="222"/>
        <v>379.89854500000001</v>
      </c>
      <c r="Q317" s="86">
        <f t="shared" si="223"/>
        <v>28.763793000000021</v>
      </c>
      <c r="R317" s="84">
        <f t="shared" si="224"/>
        <v>8.1916679668322945E-2</v>
      </c>
      <c r="S317" s="85">
        <f t="shared" si="217"/>
        <v>6.7005388814743411E-2</v>
      </c>
      <c r="T317" s="85">
        <f t="shared" si="218"/>
        <v>0.75789958228979604</v>
      </c>
    </row>
    <row r="318" spans="1:20" hidden="1" outlineLevel="1">
      <c r="A318" s="79" t="s">
        <v>1094</v>
      </c>
      <c r="B318" s="86">
        <f>B136</f>
        <v>174.634434</v>
      </c>
      <c r="C318" s="87">
        <f>C136</f>
        <v>174.20974899999999</v>
      </c>
      <c r="D318" s="88">
        <f t="shared" si="219"/>
        <v>348.84418299999999</v>
      </c>
      <c r="E318" s="86">
        <f>E136</f>
        <v>184.86297099999999</v>
      </c>
      <c r="F318" s="87">
        <f>F136</f>
        <v>184.27696499999999</v>
      </c>
      <c r="G318" s="88">
        <f t="shared" si="212"/>
        <v>369.13993599999998</v>
      </c>
      <c r="H318" s="86">
        <f t="shared" si="213"/>
        <v>20.295752999999991</v>
      </c>
      <c r="I318" s="84">
        <f t="shared" si="220"/>
        <v>5.8179995508195102E-2</v>
      </c>
      <c r="J318" s="412">
        <f t="shared" si="214"/>
        <v>4.7414794517957902E-2</v>
      </c>
      <c r="K318" s="91">
        <f>K136</f>
        <v>123.323623</v>
      </c>
      <c r="L318" s="87">
        <f>L136</f>
        <v>122.764306</v>
      </c>
      <c r="M318" s="88">
        <f t="shared" si="221"/>
        <v>246.087929</v>
      </c>
      <c r="N318" s="86">
        <f>N136</f>
        <v>135.33426800000001</v>
      </c>
      <c r="O318" s="87">
        <f>O136</f>
        <v>134.734227</v>
      </c>
      <c r="P318" s="88">
        <f t="shared" si="222"/>
        <v>270.06849499999998</v>
      </c>
      <c r="Q318" s="86">
        <f t="shared" si="223"/>
        <v>23.980565999999982</v>
      </c>
      <c r="R318" s="84">
        <f t="shared" si="224"/>
        <v>9.7447144593589483E-2</v>
      </c>
      <c r="S318" s="85">
        <f t="shared" si="217"/>
        <v>4.7633887395087504E-2</v>
      </c>
      <c r="T318" s="85">
        <f t="shared" si="218"/>
        <v>0.73161548957953981</v>
      </c>
    </row>
    <row r="319" spans="1:20" collapsed="1">
      <c r="A319" s="113" t="s">
        <v>802</v>
      </c>
      <c r="B319" s="105">
        <f>SUM(B309:B318)</f>
        <v>2401.458838</v>
      </c>
      <c r="C319" s="106">
        <f t="shared" ref="C319:H319" si="225">SUM(C309:C318)</f>
        <v>2409.664749</v>
      </c>
      <c r="D319" s="107">
        <f t="shared" si="225"/>
        <v>4811.123587</v>
      </c>
      <c r="E319" s="114">
        <f t="shared" si="225"/>
        <v>2614.2346970000003</v>
      </c>
      <c r="F319" s="115">
        <f t="shared" si="225"/>
        <v>2561.9720010000001</v>
      </c>
      <c r="G319" s="107">
        <f t="shared" si="225"/>
        <v>5176.206698</v>
      </c>
      <c r="H319" s="105">
        <f t="shared" si="225"/>
        <v>365.08311100000003</v>
      </c>
      <c r="I319" s="449">
        <f t="shared" si="220"/>
        <v>7.5883128836365943E-2</v>
      </c>
      <c r="J319" s="450">
        <f t="shared" si="214"/>
        <v>0.66486649921331564</v>
      </c>
      <c r="K319" s="405">
        <f t="shared" ref="K319:Q319" si="226">SUM(K309:K318)</f>
        <v>1676.2842110000001</v>
      </c>
      <c r="L319" s="106">
        <f t="shared" si="226"/>
        <v>1678.6123379999997</v>
      </c>
      <c r="M319" s="107">
        <f t="shared" si="226"/>
        <v>3354.8965490000001</v>
      </c>
      <c r="N319" s="114">
        <f t="shared" si="226"/>
        <v>1879.4883372312622</v>
      </c>
      <c r="O319" s="115">
        <f t="shared" si="226"/>
        <v>1825.727263</v>
      </c>
      <c r="P319" s="107">
        <f t="shared" si="226"/>
        <v>3705.2156002312618</v>
      </c>
      <c r="Q319" s="105">
        <f t="shared" si="226"/>
        <v>350.31905123126216</v>
      </c>
      <c r="R319" s="449">
        <f t="shared" si="224"/>
        <v>0.10442022462233072</v>
      </c>
      <c r="S319" s="454">
        <f t="shared" si="217"/>
        <v>0.65351503764234886</v>
      </c>
      <c r="T319" s="488">
        <f t="shared" si="218"/>
        <v>0.71581677788541465</v>
      </c>
    </row>
    <row r="320" spans="1:20">
      <c r="A320" s="79" t="s">
        <v>803</v>
      </c>
      <c r="B320" s="86">
        <f>SUM(B105,B106,B107,B109,B111,B112,B113,B114,B115,B116,B117,B118,B119,B120,B121,B123,B124,B125,B126,B128,B129,B130,B132,B133,B134,B135,B137,B138)</f>
        <v>1286.8981650000003</v>
      </c>
      <c r="C320" s="87">
        <f>SUM(C105,C106,C107,C109,C111,C112,C113,C114,C115,C116,C117,C118,C119,C120,C121,C123,C124,C125,C126,C128,C129,C130,C132,C133,C134,C135,C137,C138)</f>
        <v>1290.4261579999998</v>
      </c>
      <c r="D320" s="88">
        <f t="shared" si="219"/>
        <v>2577.3243229999998</v>
      </c>
      <c r="E320" s="86">
        <f>SUM(E105,E106,E107,E109,E111,E112,E113,E114,E115,E116,E117,E118,E119,E120,E121,E123,E124,E125,E126,E128,E129,E130,E132,E133,E134,E135,E137,E138)</f>
        <v>1306.424006</v>
      </c>
      <c r="F320" s="87">
        <f>SUM(F105,F106,F107,F109,F111,F112,F113,F114,F115,F116,F117,F118,F119,F120,F121,F123,F124,F125,F126,F128,F129,F130,F132,F133,F134,F135,F137,F138)</f>
        <v>1302.7016959999999</v>
      </c>
      <c r="G320" s="88">
        <f t="shared" si="212"/>
        <v>2609.1257019999998</v>
      </c>
      <c r="H320" s="86">
        <f t="shared" si="213"/>
        <v>31.801378999999997</v>
      </c>
      <c r="I320" s="447">
        <f t="shared" si="220"/>
        <v>1.2338912381420148E-2</v>
      </c>
      <c r="J320" s="448">
        <f t="shared" si="214"/>
        <v>0.33513350078668447</v>
      </c>
      <c r="K320" s="91">
        <f>SUM(K105,K106,K107,K109,K111,K112,K113,K114,K115,K116,K117,K118,K119,K120,K121,K123,K124,K125,K126,K128,K129,K130,K132,K133,K134,K135,K137,K138)</f>
        <v>953.14589999999998</v>
      </c>
      <c r="L320" s="87">
        <f>SUM(L105,L106,L107,L109,L111,L112,L113,L114,L115,L116,L117,L118,L119,L120,L121,L123,L124,L125,L126,L128,L129,L130,L132,L133,L134,L135,L137,L138)</f>
        <v>954.30783299999985</v>
      </c>
      <c r="M320" s="88">
        <f t="shared" si="221"/>
        <v>1907.4537329999998</v>
      </c>
      <c r="N320" s="86">
        <f>SUM(N105,N106,N107,N109,N111,N112,N113,N114,N115,N116,N117,N118,N119,N120,N121,N123,N124,N125,N126,N128,N129,N130,N132,N133,N134,N135,N137,N138)</f>
        <v>983.16895999999997</v>
      </c>
      <c r="O320" s="87">
        <f>SUM(O105,O106,O107,O109,O111,O112,O113,O114,O115,O116,O117,O118,O119,O120,O121,O123,O124,O125,O126,O128,O129,O130,O132,O133,O134,O135,O137,O138)</f>
        <v>981.28696500000024</v>
      </c>
      <c r="P320" s="88">
        <f t="shared" si="222"/>
        <v>1964.4559250000002</v>
      </c>
      <c r="Q320" s="86">
        <f t="shared" si="223"/>
        <v>57.002192000000377</v>
      </c>
      <c r="R320" s="447">
        <f t="shared" si="224"/>
        <v>2.9883918552692037E-2</v>
      </c>
      <c r="S320" s="453">
        <f t="shared" si="217"/>
        <v>0.34648496235765108</v>
      </c>
      <c r="T320" s="489">
        <f t="shared" si="218"/>
        <v>0.75291731766475101</v>
      </c>
    </row>
    <row r="321" spans="1:20" ht="13.5" thickBot="1">
      <c r="A321" s="95" t="s">
        <v>280</v>
      </c>
      <c r="B321" s="96">
        <f>B319+B320</f>
        <v>3688.3570030000001</v>
      </c>
      <c r="C321" s="97">
        <f t="shared" ref="C321:H321" si="227">C319+C320</f>
        <v>3700.0909069999998</v>
      </c>
      <c r="D321" s="98">
        <f t="shared" si="227"/>
        <v>7388.4479099999999</v>
      </c>
      <c r="E321" s="116">
        <f t="shared" si="227"/>
        <v>3920.6587030000001</v>
      </c>
      <c r="F321" s="117">
        <f t="shared" si="227"/>
        <v>3864.6736970000002</v>
      </c>
      <c r="G321" s="98">
        <f t="shared" si="227"/>
        <v>7785.3323999999993</v>
      </c>
      <c r="H321" s="96">
        <f t="shared" si="227"/>
        <v>396.88449000000003</v>
      </c>
      <c r="I321" s="451">
        <f t="shared" si="220"/>
        <v>5.3716896273008984E-2</v>
      </c>
      <c r="J321" s="452">
        <f t="shared" si="214"/>
        <v>1</v>
      </c>
      <c r="K321" s="100">
        <f t="shared" ref="K321:Q321" si="228">K319+K320</f>
        <v>2629.4301110000001</v>
      </c>
      <c r="L321" s="97">
        <f t="shared" si="228"/>
        <v>2632.9201709999998</v>
      </c>
      <c r="M321" s="98">
        <f t="shared" si="228"/>
        <v>5262.3502819999994</v>
      </c>
      <c r="N321" s="116">
        <f t="shared" si="228"/>
        <v>2862.6572972312624</v>
      </c>
      <c r="O321" s="117">
        <f t="shared" si="228"/>
        <v>2807.014228</v>
      </c>
      <c r="P321" s="98">
        <f t="shared" si="228"/>
        <v>5669.6715252312624</v>
      </c>
      <c r="Q321" s="96">
        <f t="shared" si="228"/>
        <v>407.32124323126254</v>
      </c>
      <c r="R321" s="451">
        <f t="shared" si="224"/>
        <v>7.740291341390082E-2</v>
      </c>
      <c r="S321" s="455">
        <f t="shared" si="217"/>
        <v>1</v>
      </c>
      <c r="T321" s="490">
        <f t="shared" si="218"/>
        <v>0.72825041166273941</v>
      </c>
    </row>
    <row r="322" spans="1:20">
      <c r="T322" s="1180"/>
    </row>
    <row r="323" spans="1:20">
      <c r="T323" s="410"/>
    </row>
    <row r="324" spans="1:20">
      <c r="T324" s="410"/>
    </row>
    <row r="325" spans="1:20">
      <c r="T325" s="410"/>
    </row>
    <row r="326" spans="1:20">
      <c r="T326" s="410"/>
    </row>
    <row r="327" spans="1:20">
      <c r="T327" s="410"/>
    </row>
    <row r="328" spans="1:20">
      <c r="T328" s="410"/>
    </row>
    <row r="329" spans="1:20">
      <c r="T329" s="410"/>
    </row>
    <row r="330" spans="1:20">
      <c r="T330" s="410"/>
    </row>
    <row r="331" spans="1:20">
      <c r="T331" s="410"/>
    </row>
    <row r="332" spans="1:20">
      <c r="T332" s="410"/>
    </row>
    <row r="333" spans="1:20">
      <c r="T333" s="410"/>
    </row>
    <row r="334" spans="1:20">
      <c r="T334" s="410"/>
    </row>
    <row r="335" spans="1:20">
      <c r="T335" s="410"/>
    </row>
    <row r="336" spans="1:20">
      <c r="T336" s="410"/>
    </row>
    <row r="337" spans="1:20">
      <c r="T337" s="410"/>
    </row>
    <row r="338" spans="1:20">
      <c r="T338" s="410"/>
    </row>
    <row r="339" spans="1:20">
      <c r="T339" s="410"/>
    </row>
    <row r="340" spans="1:20">
      <c r="J340" s="411"/>
      <c r="T340" s="411"/>
    </row>
    <row r="341" spans="1:20" ht="13.5" thickBot="1">
      <c r="T341" s="1179"/>
    </row>
    <row r="342" spans="1:20" ht="13.5" customHeight="1" thickBot="1">
      <c r="A342" s="536" t="s">
        <v>1252</v>
      </c>
      <c r="B342" s="537"/>
      <c r="C342" s="537"/>
      <c r="D342" s="537"/>
      <c r="E342" s="537"/>
      <c r="F342" s="537"/>
      <c r="G342" s="537"/>
      <c r="H342" s="537"/>
      <c r="I342" s="537"/>
      <c r="J342" s="537"/>
      <c r="K342" s="537"/>
      <c r="L342" s="537"/>
      <c r="M342" s="537"/>
      <c r="N342" s="537"/>
      <c r="O342" s="537"/>
      <c r="P342" s="537"/>
      <c r="Q342" s="537"/>
      <c r="R342" s="537"/>
      <c r="S342" s="537"/>
      <c r="T342" s="538"/>
    </row>
    <row r="343" spans="1:20" ht="13.5" thickBot="1">
      <c r="A343" s="535" t="s">
        <v>1318</v>
      </c>
      <c r="B343" s="1292" t="s">
        <v>2</v>
      </c>
      <c r="C343" s="1293"/>
      <c r="D343" s="1293"/>
      <c r="E343" s="1293"/>
      <c r="F343" s="1293"/>
      <c r="G343" s="1293"/>
      <c r="H343" s="1293"/>
      <c r="I343" s="1293"/>
      <c r="J343" s="1294"/>
      <c r="K343" s="1295" t="s">
        <v>764</v>
      </c>
      <c r="L343" s="1295"/>
      <c r="M343" s="1295"/>
      <c r="N343" s="1295"/>
      <c r="O343" s="1295"/>
      <c r="P343" s="1295"/>
      <c r="Q343" s="1295"/>
      <c r="R343" s="1295"/>
      <c r="S343" s="1295"/>
      <c r="T343" s="1296"/>
    </row>
    <row r="344" spans="1:20" ht="25.5">
      <c r="A344" s="73" t="s">
        <v>772</v>
      </c>
      <c r="B344" s="74">
        <f>E344-2</f>
        <v>2018</v>
      </c>
      <c r="C344" s="75">
        <f>B344+1</f>
        <v>2019</v>
      </c>
      <c r="D344" s="76" t="str">
        <f>B344&amp;"-"&amp;C344</f>
        <v>2018-2019</v>
      </c>
      <c r="E344" s="74" t="str">
        <f>$T$1</f>
        <v>2020</v>
      </c>
      <c r="F344" s="75">
        <f>E344+1</f>
        <v>2021</v>
      </c>
      <c r="G344" s="76" t="str">
        <f>E344&amp;"-"&amp;F344</f>
        <v>2020-2021</v>
      </c>
      <c r="H344" s="74" t="s">
        <v>767</v>
      </c>
      <c r="I344" s="75" t="s">
        <v>768</v>
      </c>
      <c r="J344" s="77" t="s">
        <v>769</v>
      </c>
      <c r="K344" s="77">
        <f>N344-2</f>
        <v>2018</v>
      </c>
      <c r="L344" s="75">
        <f>K344+1</f>
        <v>2019</v>
      </c>
      <c r="M344" s="76" t="str">
        <f>K344&amp;"-"&amp;L344</f>
        <v>2018-2019</v>
      </c>
      <c r="N344" s="74" t="str">
        <f>$T$1</f>
        <v>2020</v>
      </c>
      <c r="O344" s="75">
        <f>N344+1</f>
        <v>2021</v>
      </c>
      <c r="P344" s="76" t="str">
        <f>N344&amp;"-"&amp;O344</f>
        <v>2020-2021</v>
      </c>
      <c r="Q344" s="74" t="s">
        <v>767</v>
      </c>
      <c r="R344" s="75" t="s">
        <v>768</v>
      </c>
      <c r="S344" s="78" t="s">
        <v>769</v>
      </c>
      <c r="T344" s="78" t="s">
        <v>770</v>
      </c>
    </row>
    <row r="345" spans="1:20" hidden="1" outlineLevel="1">
      <c r="A345" s="79" t="s">
        <v>756</v>
      </c>
      <c r="B345" s="83">
        <f t="shared" ref="B345:C348" si="229">B103</f>
        <v>127.317708</v>
      </c>
      <c r="C345" s="81">
        <f t="shared" si="229"/>
        <v>128.18694099999999</v>
      </c>
      <c r="D345" s="82">
        <f>B345+C345</f>
        <v>255.50464899999997</v>
      </c>
      <c r="E345" s="83">
        <f t="shared" ref="E345:F348" si="230">E103</f>
        <v>137.54253800000001</v>
      </c>
      <c r="F345" s="81">
        <f t="shared" si="230"/>
        <v>137.559223</v>
      </c>
      <c r="G345" s="82">
        <f t="shared" ref="G345:G355" si="231">E345+F345</f>
        <v>275.10176100000001</v>
      </c>
      <c r="H345" s="83">
        <f t="shared" ref="H345:H355" si="232">G345-D345</f>
        <v>19.597112000000038</v>
      </c>
      <c r="I345" s="84">
        <f>IFERROR(H345/D345,"")</f>
        <v>7.6699629837263902E-2</v>
      </c>
      <c r="J345" s="412">
        <f t="shared" ref="J345:J358" si="233">IFERROR(G345/G$358,"")</f>
        <v>3.4068198224321791E-2</v>
      </c>
      <c r="K345" s="409">
        <f t="shared" ref="K345:L348" si="234">K103</f>
        <v>95.816158000000001</v>
      </c>
      <c r="L345" s="81">
        <f t="shared" si="234"/>
        <v>96.497136999999995</v>
      </c>
      <c r="M345" s="82">
        <f>K345+L345</f>
        <v>192.31329499999998</v>
      </c>
      <c r="N345" s="83">
        <f t="shared" ref="N345:O348" si="235">N103</f>
        <v>102.319586</v>
      </c>
      <c r="O345" s="81">
        <f t="shared" si="235"/>
        <v>102.26517800000001</v>
      </c>
      <c r="P345" s="82">
        <f>N345+O345</f>
        <v>204.58476400000001</v>
      </c>
      <c r="Q345" s="83">
        <f>P345-M345</f>
        <v>12.271469000000025</v>
      </c>
      <c r="R345" s="84">
        <f>IFERROR(Q345/M345,"")</f>
        <v>6.3809779765876429E-2</v>
      </c>
      <c r="S345" s="85">
        <f t="shared" ref="S345:S358" si="236">IFERROR(P345/P$358,"")</f>
        <v>3.4749538836936593E-2</v>
      </c>
      <c r="T345" s="85">
        <f t="shared" ref="T345:T358" si="237">IFERROR(P345/G345,"")</f>
        <v>0.74366940893555389</v>
      </c>
    </row>
    <row r="346" spans="1:20" ht="15" hidden="1" customHeight="1" outlineLevel="1">
      <c r="A346" s="79" t="s">
        <v>1667</v>
      </c>
      <c r="B346" s="86">
        <f t="shared" si="229"/>
        <v>143.941395</v>
      </c>
      <c r="C346" s="87">
        <f t="shared" si="229"/>
        <v>144.93999099999999</v>
      </c>
      <c r="D346" s="88">
        <f t="shared" ref="D346" si="238">B346+C346</f>
        <v>288.88138600000002</v>
      </c>
      <c r="E346" s="86">
        <f t="shared" si="230"/>
        <v>144.845471</v>
      </c>
      <c r="F346" s="87">
        <f t="shared" si="230"/>
        <v>144.853253</v>
      </c>
      <c r="G346" s="88">
        <f t="shared" ref="G346" si="239">E346+F346</f>
        <v>289.69872399999997</v>
      </c>
      <c r="H346" s="86">
        <f t="shared" ref="H346" si="240">G346-D346</f>
        <v>0.81733799999994972</v>
      </c>
      <c r="I346" s="84">
        <f t="shared" ref="I346" si="241">IFERROR(H346/D346,"")</f>
        <v>2.829320404880464E-3</v>
      </c>
      <c r="J346" s="412">
        <f t="shared" si="233"/>
        <v>3.5875864693447335E-2</v>
      </c>
      <c r="K346" s="91">
        <f t="shared" si="234"/>
        <v>108.078175</v>
      </c>
      <c r="L346" s="87">
        <f t="shared" si="234"/>
        <v>108.998414</v>
      </c>
      <c r="M346" s="88">
        <f t="shared" ref="M346" si="242">K346+L346</f>
        <v>217.07658900000001</v>
      </c>
      <c r="N346" s="86">
        <f t="shared" si="235"/>
        <v>108.873093</v>
      </c>
      <c r="O346" s="87">
        <f t="shared" si="235"/>
        <v>108.864851</v>
      </c>
      <c r="P346" s="88">
        <f t="shared" ref="P346" si="243">N346+O346</f>
        <v>217.737944</v>
      </c>
      <c r="Q346" s="86">
        <f t="shared" ref="Q346" si="244">P346-M346</f>
        <v>0.66135499999998615</v>
      </c>
      <c r="R346" s="84">
        <f t="shared" ref="R346" si="245">IFERROR(Q346/M346,"")</f>
        <v>3.0466435972972936E-3</v>
      </c>
      <c r="S346" s="85">
        <f t="shared" si="236"/>
        <v>3.69836589654483E-2</v>
      </c>
      <c r="T346" s="85">
        <f t="shared" ref="T346" si="246">IFERROR(P346/G346,"")</f>
        <v>0.75160132220672127</v>
      </c>
    </row>
    <row r="347" spans="1:20" hidden="1" outlineLevel="1">
      <c r="A347" s="79" t="s">
        <v>1356</v>
      </c>
      <c r="B347" s="86">
        <f t="shared" si="229"/>
        <v>0</v>
      </c>
      <c r="C347" s="87">
        <f t="shared" si="229"/>
        <v>0</v>
      </c>
      <c r="D347" s="88">
        <f t="shared" ref="D347:D355" si="247">B347+C347</f>
        <v>0</v>
      </c>
      <c r="E347" s="86">
        <f t="shared" si="230"/>
        <v>0</v>
      </c>
      <c r="F347" s="87">
        <f t="shared" si="230"/>
        <v>0</v>
      </c>
      <c r="G347" s="88">
        <f t="shared" si="231"/>
        <v>0</v>
      </c>
      <c r="H347" s="86">
        <f t="shared" si="232"/>
        <v>0</v>
      </c>
      <c r="I347" s="84" t="str">
        <f t="shared" ref="I347:I358" si="248">IFERROR(H347/D347,"")</f>
        <v/>
      </c>
      <c r="J347" s="412">
        <f t="shared" si="233"/>
        <v>0</v>
      </c>
      <c r="K347" s="91">
        <f t="shared" si="234"/>
        <v>0</v>
      </c>
      <c r="L347" s="87">
        <f t="shared" si="234"/>
        <v>0</v>
      </c>
      <c r="M347" s="88">
        <f t="shared" ref="M347:M355" si="249">K347+L347</f>
        <v>0</v>
      </c>
      <c r="N347" s="86">
        <f t="shared" si="235"/>
        <v>0</v>
      </c>
      <c r="O347" s="87">
        <f t="shared" si="235"/>
        <v>0</v>
      </c>
      <c r="P347" s="88">
        <f t="shared" ref="P347:P355" si="250">N347+O347</f>
        <v>0</v>
      </c>
      <c r="Q347" s="86">
        <f t="shared" ref="Q347:Q355" si="251">P347-M347</f>
        <v>0</v>
      </c>
      <c r="R347" s="84" t="str">
        <f t="shared" ref="R347:R358" si="252">IFERROR(Q347/M347,"")</f>
        <v/>
      </c>
      <c r="S347" s="85">
        <f t="shared" si="236"/>
        <v>0</v>
      </c>
      <c r="T347" s="85" t="str">
        <f t="shared" si="237"/>
        <v/>
      </c>
    </row>
    <row r="348" spans="1:20" hidden="1" outlineLevel="1">
      <c r="A348" s="79" t="s">
        <v>1357</v>
      </c>
      <c r="B348" s="86">
        <f t="shared" si="229"/>
        <v>0</v>
      </c>
      <c r="C348" s="87">
        <f t="shared" si="229"/>
        <v>0</v>
      </c>
      <c r="D348" s="88">
        <f t="shared" si="247"/>
        <v>0</v>
      </c>
      <c r="E348" s="86">
        <f t="shared" si="230"/>
        <v>0</v>
      </c>
      <c r="F348" s="87">
        <f t="shared" si="230"/>
        <v>0</v>
      </c>
      <c r="G348" s="88">
        <f t="shared" si="231"/>
        <v>0</v>
      </c>
      <c r="H348" s="86">
        <f t="shared" si="232"/>
        <v>0</v>
      </c>
      <c r="I348" s="84" t="str">
        <f t="shared" si="248"/>
        <v/>
      </c>
      <c r="J348" s="412">
        <f t="shared" si="233"/>
        <v>0</v>
      </c>
      <c r="K348" s="91">
        <f t="shared" si="234"/>
        <v>0</v>
      </c>
      <c r="L348" s="87">
        <f t="shared" si="234"/>
        <v>0</v>
      </c>
      <c r="M348" s="88">
        <f t="shared" si="249"/>
        <v>0</v>
      </c>
      <c r="N348" s="86">
        <f t="shared" si="235"/>
        <v>0</v>
      </c>
      <c r="O348" s="87">
        <f t="shared" si="235"/>
        <v>0</v>
      </c>
      <c r="P348" s="88">
        <f t="shared" si="250"/>
        <v>0</v>
      </c>
      <c r="Q348" s="86">
        <f t="shared" si="251"/>
        <v>0</v>
      </c>
      <c r="R348" s="84" t="str">
        <f t="shared" si="252"/>
        <v/>
      </c>
      <c r="S348" s="85">
        <f t="shared" si="236"/>
        <v>0</v>
      </c>
      <c r="T348" s="85" t="str">
        <f t="shared" si="237"/>
        <v/>
      </c>
    </row>
    <row r="349" spans="1:20" hidden="1" outlineLevel="1">
      <c r="A349" s="79" t="s">
        <v>757</v>
      </c>
      <c r="B349" s="86">
        <f>B108</f>
        <v>156.025868</v>
      </c>
      <c r="C349" s="87">
        <f>C108</f>
        <v>156.996745</v>
      </c>
      <c r="D349" s="88">
        <f t="shared" si="247"/>
        <v>313.02261299999998</v>
      </c>
      <c r="E349" s="86">
        <f>E108</f>
        <v>170.52093500000001</v>
      </c>
      <c r="F349" s="87">
        <f>F108</f>
        <v>170.53234599999999</v>
      </c>
      <c r="G349" s="88">
        <f t="shared" si="231"/>
        <v>341.05328099999997</v>
      </c>
      <c r="H349" s="86">
        <f t="shared" si="232"/>
        <v>28.030667999999991</v>
      </c>
      <c r="I349" s="84">
        <f t="shared" si="248"/>
        <v>8.9548380327398244E-2</v>
      </c>
      <c r="J349" s="412">
        <f t="shared" si="233"/>
        <v>4.2235537642244747E-2</v>
      </c>
      <c r="K349" s="91">
        <f>K108</f>
        <v>113.74079399999999</v>
      </c>
      <c r="L349" s="87">
        <f>L108</f>
        <v>114.43764</v>
      </c>
      <c r="M349" s="88">
        <f t="shared" si="249"/>
        <v>228.17843399999998</v>
      </c>
      <c r="N349" s="86">
        <f>N108</f>
        <v>127.500894</v>
      </c>
      <c r="O349" s="87">
        <f>O108</f>
        <v>127.46518</v>
      </c>
      <c r="P349" s="88">
        <f t="shared" si="250"/>
        <v>254.96607399999999</v>
      </c>
      <c r="Q349" s="86">
        <f t="shared" si="251"/>
        <v>26.78764000000001</v>
      </c>
      <c r="R349" s="84">
        <f t="shared" si="252"/>
        <v>0.11739777300776817</v>
      </c>
      <c r="S349" s="85">
        <f t="shared" si="236"/>
        <v>4.3307005455031092E-2</v>
      </c>
      <c r="T349" s="85">
        <f t="shared" si="237"/>
        <v>0.74758428727738879</v>
      </c>
    </row>
    <row r="350" spans="1:20" hidden="1" outlineLevel="1">
      <c r="A350" s="79" t="s">
        <v>1211</v>
      </c>
      <c r="B350" s="86">
        <f t="shared" ref="B350:C353" si="253">B115</f>
        <v>66.426437000000007</v>
      </c>
      <c r="C350" s="87">
        <f t="shared" si="253"/>
        <v>66.582165000000003</v>
      </c>
      <c r="D350" s="88">
        <f t="shared" si="247"/>
        <v>133.008602</v>
      </c>
      <c r="E350" s="86">
        <f t="shared" ref="E350:F353" si="254">E115</f>
        <v>74.762637999999995</v>
      </c>
      <c r="F350" s="87">
        <f t="shared" si="254"/>
        <v>74.739177999999995</v>
      </c>
      <c r="G350" s="88">
        <f t="shared" si="231"/>
        <v>149.50181599999999</v>
      </c>
      <c r="H350" s="86">
        <f t="shared" si="232"/>
        <v>16.493213999999995</v>
      </c>
      <c r="I350" s="84">
        <f t="shared" si="248"/>
        <v>0.1240011078381231</v>
      </c>
      <c r="J350" s="412">
        <f t="shared" si="233"/>
        <v>1.8514085420136887E-2</v>
      </c>
      <c r="K350" s="91">
        <f t="shared" ref="K350:L353" si="255">K115</f>
        <v>48.971494</v>
      </c>
      <c r="L350" s="87">
        <f t="shared" si="255"/>
        <v>49.097157000000003</v>
      </c>
      <c r="M350" s="88">
        <f t="shared" si="249"/>
        <v>98.068651000000003</v>
      </c>
      <c r="N350" s="86">
        <f t="shared" ref="N350:O353" si="256">N115</f>
        <v>56.983125999999999</v>
      </c>
      <c r="O350" s="87">
        <f t="shared" si="256"/>
        <v>56.950887999999999</v>
      </c>
      <c r="P350" s="88">
        <f t="shared" si="250"/>
        <v>113.93401399999999</v>
      </c>
      <c r="Q350" s="86">
        <f t="shared" si="251"/>
        <v>15.865362999999988</v>
      </c>
      <c r="R350" s="84">
        <f t="shared" si="252"/>
        <v>0.16177813030180244</v>
      </c>
      <c r="S350" s="85">
        <f t="shared" si="236"/>
        <v>1.9352147085308254E-2</v>
      </c>
      <c r="T350" s="85">
        <f t="shared" si="237"/>
        <v>0.76209117085239952</v>
      </c>
    </row>
    <row r="351" spans="1:20" hidden="1" outlineLevel="1">
      <c r="A351" s="79" t="s">
        <v>1212</v>
      </c>
      <c r="B351" s="86">
        <f t="shared" si="253"/>
        <v>66.949173999999999</v>
      </c>
      <c r="C351" s="87">
        <f t="shared" si="253"/>
        <v>67.341262999999998</v>
      </c>
      <c r="D351" s="88">
        <f t="shared" si="247"/>
        <v>134.290437</v>
      </c>
      <c r="E351" s="86">
        <f t="shared" si="254"/>
        <v>59.819181999999998</v>
      </c>
      <c r="F351" s="87">
        <f t="shared" si="254"/>
        <v>59.823886000000002</v>
      </c>
      <c r="G351" s="88">
        <f t="shared" si="231"/>
        <v>119.643068</v>
      </c>
      <c r="H351" s="86">
        <f t="shared" si="232"/>
        <v>-14.647368999999998</v>
      </c>
      <c r="I351" s="84">
        <f t="shared" si="248"/>
        <v>-0.10907231614712817</v>
      </c>
      <c r="J351" s="412">
        <f t="shared" si="233"/>
        <v>1.4816421901385105E-2</v>
      </c>
      <c r="K351" s="91">
        <f t="shared" si="255"/>
        <v>43.292532000000001</v>
      </c>
      <c r="L351" s="87">
        <f t="shared" si="255"/>
        <v>43.252544999999998</v>
      </c>
      <c r="M351" s="88">
        <f t="shared" si="249"/>
        <v>86.545076999999992</v>
      </c>
      <c r="N351" s="86">
        <f t="shared" si="256"/>
        <v>44.032224999999997</v>
      </c>
      <c r="O351" s="87">
        <f t="shared" si="256"/>
        <v>43.979492</v>
      </c>
      <c r="P351" s="88">
        <f t="shared" si="250"/>
        <v>88.011717000000004</v>
      </c>
      <c r="Q351" s="86">
        <f t="shared" si="251"/>
        <v>1.4666400000000124</v>
      </c>
      <c r="R351" s="84">
        <f t="shared" si="252"/>
        <v>1.694654451575579E-2</v>
      </c>
      <c r="S351" s="85">
        <f t="shared" si="236"/>
        <v>1.4949141461956436E-2</v>
      </c>
      <c r="T351" s="85">
        <f t="shared" si="237"/>
        <v>0.73561902474784424</v>
      </c>
    </row>
    <row r="352" spans="1:20" hidden="1" outlineLevel="1">
      <c r="A352" s="79" t="s">
        <v>1213</v>
      </c>
      <c r="B352" s="86">
        <f t="shared" si="253"/>
        <v>36.063222000000003</v>
      </c>
      <c r="C352" s="87">
        <f t="shared" si="253"/>
        <v>36.163125000000001</v>
      </c>
      <c r="D352" s="88">
        <f t="shared" si="247"/>
        <v>72.226347000000004</v>
      </c>
      <c r="E352" s="86">
        <f t="shared" si="254"/>
        <v>40.776656000000003</v>
      </c>
      <c r="F352" s="87">
        <f t="shared" si="254"/>
        <v>40.780451999999997</v>
      </c>
      <c r="G352" s="88">
        <f t="shared" si="231"/>
        <v>81.557107999999999</v>
      </c>
      <c r="H352" s="86">
        <f t="shared" si="232"/>
        <v>9.3307609999999954</v>
      </c>
      <c r="I352" s="84">
        <f t="shared" si="248"/>
        <v>0.12918777409578799</v>
      </c>
      <c r="J352" s="412">
        <f t="shared" si="233"/>
        <v>1.0099912526355731E-2</v>
      </c>
      <c r="K352" s="91">
        <f t="shared" si="255"/>
        <v>29.702981999999999</v>
      </c>
      <c r="L352" s="87">
        <f t="shared" si="255"/>
        <v>29.791228</v>
      </c>
      <c r="M352" s="88">
        <f t="shared" si="249"/>
        <v>59.494209999999995</v>
      </c>
      <c r="N352" s="86">
        <f t="shared" si="256"/>
        <v>33.498545999999997</v>
      </c>
      <c r="O352" s="87">
        <f t="shared" si="256"/>
        <v>33.499155000000002</v>
      </c>
      <c r="P352" s="88">
        <f t="shared" si="250"/>
        <v>66.997701000000006</v>
      </c>
      <c r="Q352" s="86">
        <f t="shared" si="251"/>
        <v>7.503491000000011</v>
      </c>
      <c r="R352" s="84">
        <f t="shared" si="252"/>
        <v>0.12612136542362715</v>
      </c>
      <c r="S352" s="85">
        <f t="shared" si="236"/>
        <v>1.1379826959572441E-2</v>
      </c>
      <c r="T352" s="85">
        <f t="shared" si="237"/>
        <v>0.82148205892734705</v>
      </c>
    </row>
    <row r="353" spans="1:20" hidden="1" outlineLevel="1">
      <c r="A353" s="79" t="s">
        <v>861</v>
      </c>
      <c r="B353" s="86">
        <f t="shared" si="253"/>
        <v>43.399819000000001</v>
      </c>
      <c r="C353" s="87">
        <f t="shared" si="253"/>
        <v>43.588262</v>
      </c>
      <c r="D353" s="88">
        <f t="shared" si="247"/>
        <v>86.988080999999994</v>
      </c>
      <c r="E353" s="86">
        <f t="shared" si="254"/>
        <v>44.965255999999997</v>
      </c>
      <c r="F353" s="87">
        <f t="shared" si="254"/>
        <v>44.952641</v>
      </c>
      <c r="G353" s="88">
        <f t="shared" si="231"/>
        <v>89.917896999999996</v>
      </c>
      <c r="H353" s="86">
        <f t="shared" si="232"/>
        <v>2.9298160000000024</v>
      </c>
      <c r="I353" s="84">
        <f t="shared" si="248"/>
        <v>3.3680660227462689E-2</v>
      </c>
      <c r="J353" s="412">
        <f t="shared" si="233"/>
        <v>1.1135300362218143E-2</v>
      </c>
      <c r="K353" s="91">
        <f t="shared" si="255"/>
        <v>34.128162000000003</v>
      </c>
      <c r="L353" s="87">
        <f t="shared" si="255"/>
        <v>34.283484000000001</v>
      </c>
      <c r="M353" s="88">
        <f t="shared" si="249"/>
        <v>68.411646000000005</v>
      </c>
      <c r="N353" s="86">
        <f t="shared" si="256"/>
        <v>34.938468</v>
      </c>
      <c r="O353" s="87">
        <f t="shared" si="256"/>
        <v>34.919893999999999</v>
      </c>
      <c r="P353" s="88">
        <f t="shared" si="250"/>
        <v>69.858362</v>
      </c>
      <c r="Q353" s="86">
        <f t="shared" si="251"/>
        <v>1.446715999999995</v>
      </c>
      <c r="R353" s="84">
        <f t="shared" si="252"/>
        <v>2.1147218121312195E-2</v>
      </c>
      <c r="S353" s="85">
        <f t="shared" si="236"/>
        <v>1.1865721649749906E-2</v>
      </c>
      <c r="T353" s="85">
        <f t="shared" si="237"/>
        <v>0.77691276520846575</v>
      </c>
    </row>
    <row r="354" spans="1:20" hidden="1" outlineLevel="1">
      <c r="A354" s="79" t="s">
        <v>859</v>
      </c>
      <c r="B354" s="86">
        <f>B137</f>
        <v>17.083282000000001</v>
      </c>
      <c r="C354" s="87">
        <f>C137</f>
        <v>16.025798000000002</v>
      </c>
      <c r="D354" s="88">
        <f t="shared" si="247"/>
        <v>33.109080000000006</v>
      </c>
      <c r="E354" s="86">
        <f>E137</f>
        <v>15.847272999999999</v>
      </c>
      <c r="F354" s="87">
        <f>F137</f>
        <v>15.810328</v>
      </c>
      <c r="G354" s="88">
        <f t="shared" si="231"/>
        <v>31.657601</v>
      </c>
      <c r="H354" s="86">
        <f t="shared" si="232"/>
        <v>-1.4514790000000062</v>
      </c>
      <c r="I354" s="84">
        <f t="shared" si="248"/>
        <v>-4.3839303296860137E-2</v>
      </c>
      <c r="J354" s="412">
        <f t="shared" si="233"/>
        <v>3.9204308334997813E-3</v>
      </c>
      <c r="K354" s="91">
        <f>K137</f>
        <v>14.412533</v>
      </c>
      <c r="L354" s="87">
        <f>L137</f>
        <v>13.347272</v>
      </c>
      <c r="M354" s="88">
        <f t="shared" si="249"/>
        <v>27.759805</v>
      </c>
      <c r="N354" s="86">
        <f>N137</f>
        <v>13.503615999999999</v>
      </c>
      <c r="O354" s="87">
        <f>O137</f>
        <v>13.464453000000001</v>
      </c>
      <c r="P354" s="88">
        <f t="shared" si="250"/>
        <v>26.968069</v>
      </c>
      <c r="Q354" s="86">
        <f t="shared" si="251"/>
        <v>-0.79173600000000022</v>
      </c>
      <c r="R354" s="84">
        <f t="shared" si="252"/>
        <v>-2.8520949624826264E-2</v>
      </c>
      <c r="S354" s="85">
        <f t="shared" si="236"/>
        <v>4.5806341721159926E-3</v>
      </c>
      <c r="T354" s="85">
        <f t="shared" si="237"/>
        <v>0.85186710768134322</v>
      </c>
    </row>
    <row r="355" spans="1:20" ht="25.5" hidden="1" outlineLevel="1">
      <c r="A355" s="79" t="s">
        <v>1427</v>
      </c>
      <c r="B355" s="86">
        <f>B138</f>
        <v>5.9851419999999997</v>
      </c>
      <c r="C355" s="87">
        <f>C138</f>
        <v>6.0051290000000002</v>
      </c>
      <c r="D355" s="88">
        <f t="shared" si="247"/>
        <v>11.990271</v>
      </c>
      <c r="E355" s="86">
        <f>E138</f>
        <v>6.1542589999999997</v>
      </c>
      <c r="F355" s="87">
        <f>F138</f>
        <v>6.1542979999999998</v>
      </c>
      <c r="G355" s="88">
        <f t="shared" si="231"/>
        <v>12.308557</v>
      </c>
      <c r="H355" s="86">
        <f t="shared" si="232"/>
        <v>0.31828600000000051</v>
      </c>
      <c r="I355" s="84">
        <f t="shared" si="248"/>
        <v>2.6545354979883317E-2</v>
      </c>
      <c r="J355" s="412">
        <f t="shared" si="233"/>
        <v>1.524273629536539E-3</v>
      </c>
      <c r="K355" s="91">
        <f>K138</f>
        <v>5.016591</v>
      </c>
      <c r="L355" s="87">
        <f>L138</f>
        <v>5.0355749999999997</v>
      </c>
      <c r="M355" s="88">
        <f t="shared" si="249"/>
        <v>10.052166</v>
      </c>
      <c r="N355" s="86">
        <f>N138</f>
        <v>5.3463729999999998</v>
      </c>
      <c r="O355" s="87">
        <f>O138</f>
        <v>5.3461699999999999</v>
      </c>
      <c r="P355" s="88">
        <f t="shared" si="250"/>
        <v>10.692543000000001</v>
      </c>
      <c r="Q355" s="86">
        <f t="shared" si="251"/>
        <v>0.64037700000000086</v>
      </c>
      <c r="R355" s="84">
        <f t="shared" si="252"/>
        <v>6.370537454315825E-2</v>
      </c>
      <c r="S355" s="85">
        <f t="shared" si="236"/>
        <v>1.8161711115697477E-3</v>
      </c>
      <c r="T355" s="85">
        <f t="shared" si="237"/>
        <v>0.86870808657749243</v>
      </c>
    </row>
    <row r="356" spans="1:20" collapsed="1">
      <c r="A356" s="113" t="s">
        <v>804</v>
      </c>
      <c r="B356" s="105">
        <f t="shared" ref="B356:H356" si="257">SUM(B345:B355)</f>
        <v>663.192047</v>
      </c>
      <c r="C356" s="106">
        <f t="shared" si="257"/>
        <v>665.82941900000014</v>
      </c>
      <c r="D356" s="107">
        <f t="shared" si="257"/>
        <v>1329.0214659999999</v>
      </c>
      <c r="E356" s="114">
        <f t="shared" si="257"/>
        <v>695.23420799999997</v>
      </c>
      <c r="F356" s="115">
        <f t="shared" si="257"/>
        <v>695.20560499999999</v>
      </c>
      <c r="G356" s="107">
        <f t="shared" si="257"/>
        <v>1390.4398130000002</v>
      </c>
      <c r="H356" s="105">
        <f t="shared" si="257"/>
        <v>61.418346999999969</v>
      </c>
      <c r="I356" s="449">
        <f t="shared" si="248"/>
        <v>4.6213209170242228E-2</v>
      </c>
      <c r="J356" s="450">
        <f t="shared" si="233"/>
        <v>0.17219002523314608</v>
      </c>
      <c r="K356" s="405">
        <f t="shared" ref="K356:Q356" si="258">SUM(K345:K355)</f>
        <v>493.15942100000007</v>
      </c>
      <c r="L356" s="106">
        <f t="shared" si="258"/>
        <v>494.74045199999989</v>
      </c>
      <c r="M356" s="107">
        <f t="shared" si="258"/>
        <v>987.89987300000007</v>
      </c>
      <c r="N356" s="114">
        <f t="shared" si="258"/>
        <v>526.99592699999994</v>
      </c>
      <c r="O356" s="115">
        <f t="shared" si="258"/>
        <v>526.75526100000013</v>
      </c>
      <c r="P356" s="107">
        <f t="shared" si="258"/>
        <v>1053.7511880000002</v>
      </c>
      <c r="Q356" s="105">
        <f t="shared" si="258"/>
        <v>65.851315000000028</v>
      </c>
      <c r="R356" s="449">
        <f t="shared" si="252"/>
        <v>6.665788386026042E-2</v>
      </c>
      <c r="S356" s="454">
        <f t="shared" si="236"/>
        <v>0.1789838456976888</v>
      </c>
      <c r="T356" s="454">
        <f t="shared" si="237"/>
        <v>0.75785458539657047</v>
      </c>
    </row>
    <row r="357" spans="1:20">
      <c r="A357" s="79" t="s">
        <v>803</v>
      </c>
      <c r="B357" s="86">
        <f>SUM(B100,B101,B102,B107,B109,B110,B111,B112,B113,B114,B119,B120,B121,B122,B123,B124,B125,B126,B127,B128,B129,B130,B131,B132,B133,B134,B135,B136)</f>
        <v>3169.1063510000004</v>
      </c>
      <c r="C357" s="87">
        <f>SUM(C100,C101,C102,C107,C109,C110,C111,C112,C113,C114,C119,C120,C121,C122,C123,C124,C125,C126,C127,C128,C129,C130,C131,C132,C133,C134,C135,C136)</f>
        <v>3179.2014789999994</v>
      </c>
      <c r="D357" s="88">
        <f t="shared" ref="D357" si="259">B357+C357</f>
        <v>6348.3078299999997</v>
      </c>
      <c r="E357" s="86">
        <f>SUM(E100,E101,E102,E107,E109,E110,E111,E112,E113,E114,E119,E120,E121,E122,E123,E124,E125,E126,E127,E128,E129,E130,E131,E132,E133,E134,E135,E136)</f>
        <v>3370.2699660000007</v>
      </c>
      <c r="F357" s="87">
        <f>SUM(F100,F101,F102,F107,F109,F110,F111,F112,F113,F114,F119,F120,F121,F122,F123,F124,F125,F126,F127,F128,F129,F130,F131,F132,F133,F134,F135,F136)</f>
        <v>3314.3213450000003</v>
      </c>
      <c r="G357" s="88">
        <f t="shared" ref="G357" si="260">E357+F357</f>
        <v>6684.591311000001</v>
      </c>
      <c r="H357" s="86">
        <f t="shared" ref="H357" si="261">G357-D357</f>
        <v>336.2834810000013</v>
      </c>
      <c r="I357" s="447">
        <f t="shared" si="248"/>
        <v>5.2972144704583633E-2</v>
      </c>
      <c r="J357" s="448">
        <f t="shared" si="233"/>
        <v>0.82780997476685392</v>
      </c>
      <c r="K357" s="91">
        <f>SUM(K100,K101,K102,K107,K109,K110,K111,K112,K113,K114,K119,K120,K121,K122,K123,K124,K125,K126,K127,K128,K129,K130,K131,K132,K133,K134,K135,K136)</f>
        <v>2244.3488649999999</v>
      </c>
      <c r="L357" s="87">
        <f>SUM(L100,L101,L102,L107,L109,L110,L111,L112,L113,L114,L119,L120,L121,L122,L123,L124,L125,L126,L127,L128,L129,L130,L131,L132,L133,L134,L135,L136)</f>
        <v>2247.1781329999999</v>
      </c>
      <c r="M357" s="88">
        <f t="shared" ref="M357" si="262">K357+L357</f>
        <v>4491.5269979999994</v>
      </c>
      <c r="N357" s="86">
        <f>SUM(N100,N101,N102,N107,N109,N110,N111,N112,N113,N114,N119,N120,N121,N122,N123,N124,N125,N126,N127,N128,N129,N130,N131,N132,N133,N134,N135,N136)</f>
        <v>2444.5344632312622</v>
      </c>
      <c r="O357" s="87">
        <f>SUM(O100,O101,O102,O107,O109,O110,O111,O112,O113,O114,O119,O120,O121,O122,O123,O124,O125,O126,O127,O128,O129,O130,O131,O132,O133,O134,O135,O136)</f>
        <v>2389.123818</v>
      </c>
      <c r="P357" s="88">
        <f t="shared" ref="P357" si="263">N357+O357</f>
        <v>4833.6582812312627</v>
      </c>
      <c r="Q357" s="86">
        <f t="shared" ref="Q357" si="264">P357-M357</f>
        <v>342.1312832312633</v>
      </c>
      <c r="R357" s="447">
        <f t="shared" si="252"/>
        <v>7.6172598624834831E-2</v>
      </c>
      <c r="S357" s="453">
        <f t="shared" si="236"/>
        <v>0.82101615430231123</v>
      </c>
      <c r="T357" s="453">
        <f t="shared" si="237"/>
        <v>0.72310453344800785</v>
      </c>
    </row>
    <row r="358" spans="1:20" ht="13.5" thickBot="1">
      <c r="A358" s="95" t="s">
        <v>280</v>
      </c>
      <c r="B358" s="96">
        <f>B356+B357</f>
        <v>3832.2983980000004</v>
      </c>
      <c r="C358" s="97">
        <f t="shared" ref="C358:H358" si="265">C356+C357</f>
        <v>3845.0308979999995</v>
      </c>
      <c r="D358" s="98">
        <f t="shared" si="265"/>
        <v>7677.3292959999999</v>
      </c>
      <c r="E358" s="116">
        <f t="shared" si="265"/>
        <v>4065.5041740000006</v>
      </c>
      <c r="F358" s="117">
        <f t="shared" si="265"/>
        <v>4009.5269500000004</v>
      </c>
      <c r="G358" s="98">
        <f t="shared" si="265"/>
        <v>8075.031124000001</v>
      </c>
      <c r="H358" s="96">
        <f t="shared" si="265"/>
        <v>397.70182800000129</v>
      </c>
      <c r="I358" s="451">
        <f t="shared" si="248"/>
        <v>5.1802106262031737E-2</v>
      </c>
      <c r="J358" s="452">
        <f t="shared" si="233"/>
        <v>1</v>
      </c>
      <c r="K358" s="100">
        <f t="shared" ref="K358:Q358" si="266">K356+K357</f>
        <v>2737.5082860000002</v>
      </c>
      <c r="L358" s="97">
        <f t="shared" si="266"/>
        <v>2741.9185849999999</v>
      </c>
      <c r="M358" s="98">
        <f t="shared" si="266"/>
        <v>5479.4268709999997</v>
      </c>
      <c r="N358" s="116">
        <f t="shared" si="266"/>
        <v>2971.5303902312621</v>
      </c>
      <c r="O358" s="117">
        <f t="shared" si="266"/>
        <v>2915.8790790000003</v>
      </c>
      <c r="P358" s="98">
        <f t="shared" si="266"/>
        <v>5887.4094692312628</v>
      </c>
      <c r="Q358" s="96">
        <f t="shared" si="266"/>
        <v>407.9825982312633</v>
      </c>
      <c r="R358" s="451">
        <f t="shared" si="252"/>
        <v>7.4457166385506687E-2</v>
      </c>
      <c r="S358" s="455">
        <f t="shared" si="236"/>
        <v>1</v>
      </c>
      <c r="T358" s="455">
        <f t="shared" si="237"/>
        <v>0.72908814576988401</v>
      </c>
    </row>
    <row r="359" spans="1:20">
      <c r="B359" s="118"/>
      <c r="T359" s="1180"/>
    </row>
    <row r="360" spans="1:20">
      <c r="T360" s="410"/>
    </row>
    <row r="361" spans="1:20">
      <c r="T361" s="410"/>
    </row>
    <row r="362" spans="1:20">
      <c r="T362" s="410"/>
    </row>
    <row r="363" spans="1:20">
      <c r="T363" s="410"/>
    </row>
    <row r="364" spans="1:20">
      <c r="T364" s="410"/>
    </row>
    <row r="365" spans="1:20">
      <c r="T365" s="410"/>
    </row>
    <row r="366" spans="1:20">
      <c r="T366" s="410"/>
    </row>
    <row r="367" spans="1:20">
      <c r="T367" s="410"/>
    </row>
    <row r="368" spans="1:20">
      <c r="T368" s="410"/>
    </row>
    <row r="369" spans="1:20">
      <c r="T369" s="410"/>
    </row>
    <row r="370" spans="1:20">
      <c r="T370" s="410"/>
    </row>
    <row r="371" spans="1:20">
      <c r="T371" s="410"/>
    </row>
    <row r="372" spans="1:20">
      <c r="T372" s="410"/>
    </row>
    <row r="373" spans="1:20">
      <c r="T373" s="410"/>
    </row>
    <row r="374" spans="1:20">
      <c r="T374" s="410"/>
    </row>
    <row r="375" spans="1:20">
      <c r="T375" s="410"/>
    </row>
    <row r="376" spans="1:20">
      <c r="T376" s="410"/>
    </row>
    <row r="377" spans="1:20">
      <c r="J377" s="411"/>
      <c r="T377" s="411"/>
    </row>
    <row r="378" spans="1:20" ht="13.5" thickBot="1">
      <c r="T378" s="1179"/>
    </row>
    <row r="379" spans="1:20" ht="13.5" customHeight="1" thickBot="1">
      <c r="A379" s="536" t="s">
        <v>2201</v>
      </c>
      <c r="B379" s="537"/>
      <c r="C379" s="537"/>
      <c r="D379" s="537"/>
      <c r="E379" s="537"/>
      <c r="F379" s="537"/>
      <c r="G379" s="537"/>
      <c r="H379" s="537"/>
      <c r="I379" s="537"/>
      <c r="J379" s="537"/>
      <c r="K379" s="537"/>
      <c r="L379" s="537"/>
      <c r="M379" s="537"/>
      <c r="N379" s="537"/>
      <c r="O379" s="537"/>
      <c r="P379" s="537"/>
      <c r="Q379" s="537"/>
      <c r="R379" s="537"/>
      <c r="S379" s="537"/>
      <c r="T379" s="538"/>
    </row>
    <row r="380" spans="1:20" ht="13.5" thickBot="1">
      <c r="A380" s="535" t="s">
        <v>1318</v>
      </c>
      <c r="B380" s="1292" t="s">
        <v>2</v>
      </c>
      <c r="C380" s="1293"/>
      <c r="D380" s="1293"/>
      <c r="E380" s="1293"/>
      <c r="F380" s="1293"/>
      <c r="G380" s="1293"/>
      <c r="H380" s="1293"/>
      <c r="I380" s="1293"/>
      <c r="J380" s="1294"/>
      <c r="K380" s="1295" t="s">
        <v>764</v>
      </c>
      <c r="L380" s="1295"/>
      <c r="M380" s="1295"/>
      <c r="N380" s="1295"/>
      <c r="O380" s="1295"/>
      <c r="P380" s="1295"/>
      <c r="Q380" s="1295"/>
      <c r="R380" s="1295"/>
      <c r="S380" s="1295"/>
      <c r="T380" s="1296"/>
    </row>
    <row r="381" spans="1:20" ht="25.5">
      <c r="A381" s="73" t="s">
        <v>766</v>
      </c>
      <c r="B381" s="74">
        <f>E381-2</f>
        <v>2018</v>
      </c>
      <c r="C381" s="75">
        <f>B381+1</f>
        <v>2019</v>
      </c>
      <c r="D381" s="76" t="str">
        <f>B381&amp;"-"&amp;C381</f>
        <v>2018-2019</v>
      </c>
      <c r="E381" s="74" t="str">
        <f>$T$1</f>
        <v>2020</v>
      </c>
      <c r="F381" s="75">
        <f>E381+1</f>
        <v>2021</v>
      </c>
      <c r="G381" s="76" t="str">
        <f>E381&amp;"-"&amp;F381</f>
        <v>2020-2021</v>
      </c>
      <c r="H381" s="74" t="s">
        <v>767</v>
      </c>
      <c r="I381" s="75" t="s">
        <v>768</v>
      </c>
      <c r="J381" s="77" t="s">
        <v>769</v>
      </c>
      <c r="K381" s="77">
        <f>N381-2</f>
        <v>2018</v>
      </c>
      <c r="L381" s="75">
        <f>K381+1</f>
        <v>2019</v>
      </c>
      <c r="M381" s="76" t="str">
        <f>K381&amp;"-"&amp;L381</f>
        <v>2018-2019</v>
      </c>
      <c r="N381" s="74" t="str">
        <f>$T$1</f>
        <v>2020</v>
      </c>
      <c r="O381" s="75">
        <f>N381+1</f>
        <v>2021</v>
      </c>
      <c r="P381" s="76" t="str">
        <f>N381&amp;"-"&amp;O381</f>
        <v>2020-2021</v>
      </c>
      <c r="Q381" s="74" t="s">
        <v>767</v>
      </c>
      <c r="R381" s="75" t="s">
        <v>768</v>
      </c>
      <c r="S381" s="78" t="s">
        <v>769</v>
      </c>
      <c r="T381" s="78" t="s">
        <v>770</v>
      </c>
    </row>
    <row r="382" spans="1:20" hidden="1" outlineLevel="1">
      <c r="A382" s="50" t="s">
        <v>754</v>
      </c>
      <c r="B382" s="83">
        <f>INDEX(Data!1559:1559,1,$U$1-2)/1000000</f>
        <v>2.7177730000000002</v>
      </c>
      <c r="C382" s="81">
        <f>INDEX(Data!1559:1559,1,$U$1-1)/1000000</f>
        <v>2.7177709999999999</v>
      </c>
      <c r="D382" s="82">
        <f t="shared" ref="D382:D420" si="267">B382+C382</f>
        <v>5.4355440000000002</v>
      </c>
      <c r="E382" s="83">
        <f>INDEX(Data!1559:1559,1,$U$1)/1000000</f>
        <v>4.4677730000000002</v>
      </c>
      <c r="F382" s="81">
        <f>INDEX(Data!1559:1559,1,$U$1+1)/1000000</f>
        <v>4.4677709999999999</v>
      </c>
      <c r="G382" s="82">
        <f t="shared" ref="G382:G420" si="268">E382+F382</f>
        <v>8.9355440000000002</v>
      </c>
      <c r="H382" s="83">
        <f>G382-D382</f>
        <v>3.5</v>
      </c>
      <c r="I382" s="84">
        <f>IFERROR(H382/D382,"")</f>
        <v>0.64390979081394606</v>
      </c>
      <c r="J382" s="412">
        <f t="shared" ref="J382:J413" si="269">IFERROR(G382/G$456,"")</f>
        <v>7.6737502777807932E-3</v>
      </c>
      <c r="K382" s="409">
        <f>B382</f>
        <v>2.7177730000000002</v>
      </c>
      <c r="L382" s="81">
        <f>C382</f>
        <v>2.7177709999999999</v>
      </c>
      <c r="M382" s="82">
        <f>K382+L382</f>
        <v>5.4355440000000002</v>
      </c>
      <c r="N382" s="83">
        <f>E382</f>
        <v>4.4677730000000002</v>
      </c>
      <c r="O382" s="81">
        <f>F382</f>
        <v>4.4677709999999999</v>
      </c>
      <c r="P382" s="82">
        <f>N382+O382</f>
        <v>8.9355440000000002</v>
      </c>
      <c r="Q382" s="83">
        <f>P382-M382</f>
        <v>3.5</v>
      </c>
      <c r="R382" s="84">
        <f>IFERROR(Q382/M382,"")</f>
        <v>0.64390979081394606</v>
      </c>
      <c r="S382" s="85">
        <f t="shared" ref="S382:S413" si="270">IFERROR(P382/P$456,"")</f>
        <v>7.6737502777807932E-3</v>
      </c>
      <c r="T382" s="85">
        <f t="shared" ref="T382:T448" si="271">IFERROR(P382/G382,"")</f>
        <v>1</v>
      </c>
    </row>
    <row r="383" spans="1:20" hidden="1" outlineLevel="1">
      <c r="A383" s="678" t="s">
        <v>749</v>
      </c>
      <c r="B383" s="86">
        <f>INDEX(Data!1578:1578,1,$U$1-2)/1000000</f>
        <v>20.468522</v>
      </c>
      <c r="C383" s="87">
        <f>INDEX(Data!1578:1578,1,$U$1-1)/1000000</f>
        <v>20.468516000000001</v>
      </c>
      <c r="D383" s="88">
        <f t="shared" si="267"/>
        <v>40.937038000000001</v>
      </c>
      <c r="E383" s="89">
        <f>INDEX(Data!1578:1578,1,$U$1)/1000000</f>
        <v>47.122247000000002</v>
      </c>
      <c r="F383" s="90">
        <f>INDEX(Data!1578:1578,1,$U$1+1)/1000000</f>
        <v>47.122244000000002</v>
      </c>
      <c r="G383" s="88">
        <f t="shared" si="268"/>
        <v>94.244491000000011</v>
      </c>
      <c r="H383" s="86">
        <f t="shared" ref="H383:H420" si="272">G383-D383</f>
        <v>53.30745300000001</v>
      </c>
      <c r="I383" s="84">
        <f t="shared" ref="I383:I449" si="273">IFERROR(H383/D383,"")</f>
        <v>1.3021814866038917</v>
      </c>
      <c r="J383" s="412">
        <f t="shared" si="269"/>
        <v>8.0936167847258045E-2</v>
      </c>
      <c r="K383" s="91">
        <f t="shared" ref="K383:L420" si="274">B383</f>
        <v>20.468522</v>
      </c>
      <c r="L383" s="87">
        <f t="shared" si="274"/>
        <v>20.468516000000001</v>
      </c>
      <c r="M383" s="88">
        <f t="shared" ref="M383:M420" si="275">K383+L383</f>
        <v>40.937038000000001</v>
      </c>
      <c r="N383" s="89">
        <f t="shared" ref="N383:O420" si="276">E383</f>
        <v>47.122247000000002</v>
      </c>
      <c r="O383" s="90">
        <f t="shared" si="276"/>
        <v>47.122244000000002</v>
      </c>
      <c r="P383" s="88">
        <f t="shared" ref="P383:P420" si="277">N383+O383</f>
        <v>94.244491000000011</v>
      </c>
      <c r="Q383" s="86">
        <f t="shared" ref="Q383:Q420" si="278">P383-M383</f>
        <v>53.30745300000001</v>
      </c>
      <c r="R383" s="84">
        <f t="shared" ref="R383:R449" si="279">IFERROR(Q383/M383,"")</f>
        <v>1.3021814866038917</v>
      </c>
      <c r="S383" s="85">
        <f t="shared" si="270"/>
        <v>8.0936167847258045E-2</v>
      </c>
      <c r="T383" s="85">
        <f t="shared" si="271"/>
        <v>1</v>
      </c>
    </row>
    <row r="384" spans="1:20" hidden="1" outlineLevel="1">
      <c r="A384" s="50" t="s">
        <v>755</v>
      </c>
      <c r="B384" s="86">
        <f>INDEX(Data!1587:1587,1,$U$1-2)/1000000</f>
        <v>1.8735949999999999</v>
      </c>
      <c r="C384" s="87">
        <f>INDEX(Data!1587:1587,1,$U$1-1)/1000000</f>
        <v>1.8735930000000001</v>
      </c>
      <c r="D384" s="88">
        <f t="shared" si="267"/>
        <v>3.747188</v>
      </c>
      <c r="E384" s="89">
        <f>INDEX(Data!1587:1587,1,$U$1)/1000000</f>
        <v>2.5920169999999998</v>
      </c>
      <c r="F384" s="90">
        <f>INDEX(Data!1587:1587,1,$U$1+1)/1000000</f>
        <v>2.592015</v>
      </c>
      <c r="G384" s="88">
        <f t="shared" si="268"/>
        <v>5.1840320000000002</v>
      </c>
      <c r="H384" s="86">
        <f t="shared" si="272"/>
        <v>1.4368440000000002</v>
      </c>
      <c r="I384" s="84">
        <f t="shared" si="273"/>
        <v>0.3834459333238685</v>
      </c>
      <c r="J384" s="412">
        <f t="shared" si="269"/>
        <v>4.4519916190916328E-3</v>
      </c>
      <c r="K384" s="91">
        <f t="shared" si="274"/>
        <v>1.8735949999999999</v>
      </c>
      <c r="L384" s="87">
        <f t="shared" si="274"/>
        <v>1.8735930000000001</v>
      </c>
      <c r="M384" s="88">
        <f t="shared" si="275"/>
        <v>3.747188</v>
      </c>
      <c r="N384" s="89">
        <f t="shared" si="276"/>
        <v>2.5920169999999998</v>
      </c>
      <c r="O384" s="90">
        <f t="shared" si="276"/>
        <v>2.592015</v>
      </c>
      <c r="P384" s="88">
        <f t="shared" si="277"/>
        <v>5.1840320000000002</v>
      </c>
      <c r="Q384" s="86">
        <f t="shared" si="278"/>
        <v>1.4368440000000002</v>
      </c>
      <c r="R384" s="84">
        <f t="shared" si="279"/>
        <v>0.3834459333238685</v>
      </c>
      <c r="S384" s="85">
        <f t="shared" si="270"/>
        <v>4.4519916190916328E-3</v>
      </c>
      <c r="T384" s="85">
        <f t="shared" si="271"/>
        <v>1</v>
      </c>
    </row>
    <row r="385" spans="1:20" hidden="1" outlineLevel="1">
      <c r="A385" s="50" t="s">
        <v>756</v>
      </c>
      <c r="B385" s="86">
        <f>INDEX(Data!1601:1601,1,$U$1-2)/1000000</f>
        <v>5.7459899999999999</v>
      </c>
      <c r="C385" s="87">
        <f>INDEX(Data!1601:1601,1,$U$1-1)/1000000</f>
        <v>5.7459850000000001</v>
      </c>
      <c r="D385" s="88">
        <f t="shared" si="267"/>
        <v>11.491975</v>
      </c>
      <c r="E385" s="89">
        <f>INDEX(Data!1601:1601,1,$U$1)/1000000</f>
        <v>6.6603079999999997</v>
      </c>
      <c r="F385" s="90">
        <f>INDEX(Data!1601:1601,1,$U$1+1)/1000000</f>
        <v>6.6603029999999999</v>
      </c>
      <c r="G385" s="88">
        <f t="shared" si="268"/>
        <v>13.320611</v>
      </c>
      <c r="H385" s="86">
        <f t="shared" si="272"/>
        <v>1.8286359999999995</v>
      </c>
      <c r="I385" s="84">
        <f t="shared" si="273"/>
        <v>0.15912286617400398</v>
      </c>
      <c r="J385" s="412">
        <f t="shared" si="269"/>
        <v>1.1439599241127332E-2</v>
      </c>
      <c r="K385" s="91">
        <f t="shared" si="274"/>
        <v>5.7459899999999999</v>
      </c>
      <c r="L385" s="87">
        <f t="shared" si="274"/>
        <v>5.7459850000000001</v>
      </c>
      <c r="M385" s="88">
        <f t="shared" si="275"/>
        <v>11.491975</v>
      </c>
      <c r="N385" s="89">
        <f t="shared" si="276"/>
        <v>6.6603079999999997</v>
      </c>
      <c r="O385" s="90">
        <f t="shared" si="276"/>
        <v>6.6603029999999999</v>
      </c>
      <c r="P385" s="88">
        <f t="shared" si="277"/>
        <v>13.320611</v>
      </c>
      <c r="Q385" s="86">
        <f t="shared" si="278"/>
        <v>1.8286359999999995</v>
      </c>
      <c r="R385" s="84">
        <f t="shared" si="279"/>
        <v>0.15912286617400398</v>
      </c>
      <c r="S385" s="85">
        <f t="shared" si="270"/>
        <v>1.1439599241127332E-2</v>
      </c>
      <c r="T385" s="85">
        <f t="shared" si="271"/>
        <v>1</v>
      </c>
    </row>
    <row r="386" spans="1:20" hidden="1" outlineLevel="1">
      <c r="A386" s="50" t="s">
        <v>1667</v>
      </c>
      <c r="B386" s="86">
        <f>INDEX(Data!1619:1619,1,$U$1-2)/1000000</f>
        <v>8.6721319999999995</v>
      </c>
      <c r="C386" s="87">
        <f>INDEX(Data!1619:1619,1,$U$1-1)/1000000</f>
        <v>8.6721260000000004</v>
      </c>
      <c r="D386" s="88">
        <f t="shared" ref="D386" si="280">B386+C386</f>
        <v>17.344258</v>
      </c>
      <c r="E386" s="89">
        <f>INDEX(Data!1619:1619,1,$U$1)/1000000</f>
        <v>10.735538</v>
      </c>
      <c r="F386" s="90">
        <f>INDEX(Data!1619:1619,1,$U$1+1)/1000000</f>
        <v>10.735531999999999</v>
      </c>
      <c r="G386" s="88">
        <f t="shared" ref="G386" si="281">E386+F386</f>
        <v>21.471069999999997</v>
      </c>
      <c r="H386" s="86">
        <f t="shared" ref="H386" si="282">G386-D386</f>
        <v>4.1268119999999975</v>
      </c>
      <c r="I386" s="84">
        <f t="shared" ref="I386" si="283">IFERROR(H386/D386,"")</f>
        <v>0.23793534436584127</v>
      </c>
      <c r="J386" s="412">
        <f t="shared" si="269"/>
        <v>1.8439126859735772E-2</v>
      </c>
      <c r="K386" s="91">
        <f t="shared" ref="K386" si="284">B386</f>
        <v>8.6721319999999995</v>
      </c>
      <c r="L386" s="87">
        <f t="shared" ref="L386" si="285">C386</f>
        <v>8.6721260000000004</v>
      </c>
      <c r="M386" s="88">
        <f t="shared" ref="M386" si="286">K386+L386</f>
        <v>17.344258</v>
      </c>
      <c r="N386" s="89">
        <f t="shared" ref="N386" si="287">E386</f>
        <v>10.735538</v>
      </c>
      <c r="O386" s="90">
        <f t="shared" ref="O386" si="288">F386</f>
        <v>10.735531999999999</v>
      </c>
      <c r="P386" s="88">
        <f t="shared" ref="P386" si="289">N386+O386</f>
        <v>21.471069999999997</v>
      </c>
      <c r="Q386" s="86">
        <f t="shared" ref="Q386" si="290">P386-M386</f>
        <v>4.1268119999999975</v>
      </c>
      <c r="R386" s="84">
        <f t="shared" ref="R386" si="291">IFERROR(Q386/M386,"")</f>
        <v>0.23793534436584127</v>
      </c>
      <c r="S386" s="85">
        <f t="shared" si="270"/>
        <v>1.8439126859735772E-2</v>
      </c>
      <c r="T386" s="85">
        <f t="shared" ref="T386" si="292">IFERROR(P386/G386,"")</f>
        <v>1</v>
      </c>
    </row>
    <row r="387" spans="1:20" hidden="1" outlineLevel="1">
      <c r="A387" s="50" t="s">
        <v>1356</v>
      </c>
      <c r="B387" s="86">
        <f>INDEX(Data!1633:1633,1,$U$1-2)/1000000</f>
        <v>0</v>
      </c>
      <c r="C387" s="87">
        <f>INDEX(Data!1633:1633,1,$U$1-1)/1000000</f>
        <v>0</v>
      </c>
      <c r="D387" s="88">
        <f t="shared" si="267"/>
        <v>0</v>
      </c>
      <c r="E387" s="89">
        <f>INDEX(Data!1633:1633,1,$U$1)/1000000</f>
        <v>0</v>
      </c>
      <c r="F387" s="90">
        <f>INDEX(Data!1633:1633,1,$U$1+1)/1000000</f>
        <v>0</v>
      </c>
      <c r="G387" s="88">
        <f t="shared" si="268"/>
        <v>0</v>
      </c>
      <c r="H387" s="86">
        <f t="shared" si="272"/>
        <v>0</v>
      </c>
      <c r="I387" s="84" t="str">
        <f t="shared" si="273"/>
        <v/>
      </c>
      <c r="J387" s="412">
        <f t="shared" si="269"/>
        <v>0</v>
      </c>
      <c r="K387" s="91">
        <f t="shared" si="274"/>
        <v>0</v>
      </c>
      <c r="L387" s="87">
        <f t="shared" si="274"/>
        <v>0</v>
      </c>
      <c r="M387" s="88">
        <f t="shared" si="275"/>
        <v>0</v>
      </c>
      <c r="N387" s="89">
        <f t="shared" si="276"/>
        <v>0</v>
      </c>
      <c r="O387" s="90">
        <f t="shared" si="276"/>
        <v>0</v>
      </c>
      <c r="P387" s="88">
        <f t="shared" si="277"/>
        <v>0</v>
      </c>
      <c r="Q387" s="86">
        <f t="shared" si="278"/>
        <v>0</v>
      </c>
      <c r="R387" s="84" t="str">
        <f t="shared" si="279"/>
        <v/>
      </c>
      <c r="S387" s="85">
        <f t="shared" si="270"/>
        <v>0</v>
      </c>
      <c r="T387" s="85" t="str">
        <f t="shared" si="271"/>
        <v/>
      </c>
    </row>
    <row r="388" spans="1:20" hidden="1" outlineLevel="1">
      <c r="A388" s="50" t="s">
        <v>1357</v>
      </c>
      <c r="B388" s="86">
        <f>INDEX(Data!1637:1637,1,$U$1-2)/1000000</f>
        <v>0</v>
      </c>
      <c r="C388" s="87">
        <f>INDEX(Data!1637:1637,1,$U$1-1)/1000000</f>
        <v>0</v>
      </c>
      <c r="D388" s="88">
        <f t="shared" si="267"/>
        <v>0</v>
      </c>
      <c r="E388" s="89">
        <f>INDEX(Data!1637:1637,1,$U$1)/1000000</f>
        <v>0</v>
      </c>
      <c r="F388" s="90">
        <f>INDEX(Data!1637:1637,1,$U$1+1)/1000000</f>
        <v>0</v>
      </c>
      <c r="G388" s="88">
        <f t="shared" si="268"/>
        <v>0</v>
      </c>
      <c r="H388" s="86">
        <f t="shared" si="272"/>
        <v>0</v>
      </c>
      <c r="I388" s="84" t="str">
        <f t="shared" si="273"/>
        <v/>
      </c>
      <c r="J388" s="412">
        <f t="shared" si="269"/>
        <v>0</v>
      </c>
      <c r="K388" s="91">
        <f t="shared" si="274"/>
        <v>0</v>
      </c>
      <c r="L388" s="87">
        <f t="shared" si="274"/>
        <v>0</v>
      </c>
      <c r="M388" s="88">
        <f t="shared" si="275"/>
        <v>0</v>
      </c>
      <c r="N388" s="89">
        <f t="shared" si="276"/>
        <v>0</v>
      </c>
      <c r="O388" s="90">
        <f t="shared" si="276"/>
        <v>0</v>
      </c>
      <c r="P388" s="88">
        <f t="shared" si="277"/>
        <v>0</v>
      </c>
      <c r="Q388" s="86">
        <f t="shared" si="278"/>
        <v>0</v>
      </c>
      <c r="R388" s="84" t="str">
        <f t="shared" si="279"/>
        <v/>
      </c>
      <c r="S388" s="85">
        <f t="shared" si="270"/>
        <v>0</v>
      </c>
      <c r="T388" s="85" t="str">
        <f t="shared" si="271"/>
        <v/>
      </c>
    </row>
    <row r="389" spans="1:20" hidden="1" outlineLevel="1">
      <c r="A389" s="50" t="s">
        <v>1358</v>
      </c>
      <c r="B389" s="86">
        <f>INDEX(Data!1647:1647,1,$U$1-2)/1000000</f>
        <v>8.1802589999999995</v>
      </c>
      <c r="C389" s="87">
        <f>INDEX(Data!1647:1647,1,$U$1-1)/1000000</f>
        <v>8.1802569999999992</v>
      </c>
      <c r="D389" s="88">
        <f t="shared" si="267"/>
        <v>16.360515999999997</v>
      </c>
      <c r="E389" s="89">
        <f>INDEX(Data!1647:1647,1,$U$1)/1000000</f>
        <v>9.9629980000000007</v>
      </c>
      <c r="F389" s="90">
        <f>INDEX(Data!1647:1647,1,$U$1+1)/1000000</f>
        <v>9.9629969999999997</v>
      </c>
      <c r="G389" s="88">
        <f t="shared" si="268"/>
        <v>19.925995</v>
      </c>
      <c r="H389" s="86">
        <f t="shared" si="272"/>
        <v>3.5654790000000034</v>
      </c>
      <c r="I389" s="84">
        <f t="shared" si="273"/>
        <v>0.21793194053292719</v>
      </c>
      <c r="J389" s="412">
        <f t="shared" si="269"/>
        <v>1.711223286084302E-2</v>
      </c>
      <c r="K389" s="91">
        <f t="shared" si="274"/>
        <v>8.1802589999999995</v>
      </c>
      <c r="L389" s="87">
        <f t="shared" si="274"/>
        <v>8.1802569999999992</v>
      </c>
      <c r="M389" s="88">
        <f t="shared" si="275"/>
        <v>16.360515999999997</v>
      </c>
      <c r="N389" s="89">
        <f t="shared" si="276"/>
        <v>9.9629980000000007</v>
      </c>
      <c r="O389" s="90">
        <f t="shared" si="276"/>
        <v>9.9629969999999997</v>
      </c>
      <c r="P389" s="88">
        <f t="shared" si="277"/>
        <v>19.925995</v>
      </c>
      <c r="Q389" s="86">
        <f t="shared" si="278"/>
        <v>3.5654790000000034</v>
      </c>
      <c r="R389" s="84">
        <f t="shared" si="279"/>
        <v>0.21793194053292719</v>
      </c>
      <c r="S389" s="85">
        <f t="shared" si="270"/>
        <v>1.711223286084302E-2</v>
      </c>
      <c r="T389" s="85">
        <f t="shared" si="271"/>
        <v>1</v>
      </c>
    </row>
    <row r="390" spans="1:20" hidden="1" outlineLevel="1">
      <c r="A390" s="50" t="s">
        <v>757</v>
      </c>
      <c r="B390" s="86">
        <f>INDEX(Data!1660:1660,1,$U$1-2)/1000000</f>
        <v>8.437856</v>
      </c>
      <c r="C390" s="87">
        <f>INDEX(Data!1660:1660,1,$U$1-1)/1000000</f>
        <v>8.4378499999999992</v>
      </c>
      <c r="D390" s="88">
        <f t="shared" si="267"/>
        <v>16.875706000000001</v>
      </c>
      <c r="E390" s="89">
        <f>INDEX(Data!1660:1660,1,$U$1)/1000000</f>
        <v>10.187856</v>
      </c>
      <c r="F390" s="90">
        <f>INDEX(Data!1660:1660,1,$U$1+1)/1000000</f>
        <v>10.187849999999999</v>
      </c>
      <c r="G390" s="88">
        <f t="shared" si="268"/>
        <v>20.375706000000001</v>
      </c>
      <c r="H390" s="86">
        <f t="shared" si="272"/>
        <v>3.5</v>
      </c>
      <c r="I390" s="84">
        <f t="shared" si="273"/>
        <v>0.20739873045903975</v>
      </c>
      <c r="J390" s="412">
        <f t="shared" si="269"/>
        <v>1.7498439891010527E-2</v>
      </c>
      <c r="K390" s="91">
        <f t="shared" si="274"/>
        <v>8.437856</v>
      </c>
      <c r="L390" s="87">
        <f t="shared" si="274"/>
        <v>8.4378499999999992</v>
      </c>
      <c r="M390" s="88">
        <f t="shared" si="275"/>
        <v>16.875706000000001</v>
      </c>
      <c r="N390" s="89">
        <f t="shared" si="276"/>
        <v>10.187856</v>
      </c>
      <c r="O390" s="90">
        <f t="shared" si="276"/>
        <v>10.187849999999999</v>
      </c>
      <c r="P390" s="88">
        <f t="shared" si="277"/>
        <v>20.375706000000001</v>
      </c>
      <c r="Q390" s="86">
        <f t="shared" si="278"/>
        <v>3.5</v>
      </c>
      <c r="R390" s="84">
        <f t="shared" si="279"/>
        <v>0.20739873045903975</v>
      </c>
      <c r="S390" s="85">
        <f t="shared" si="270"/>
        <v>1.7498439891010527E-2</v>
      </c>
      <c r="T390" s="85">
        <f t="shared" si="271"/>
        <v>1</v>
      </c>
    </row>
    <row r="391" spans="1:20" hidden="1" outlineLevel="1">
      <c r="A391" s="50" t="s">
        <v>1359</v>
      </c>
      <c r="B391" s="86">
        <f>INDEX(Data!1665:1665,1,$U$1-2)/1000000</f>
        <v>4.0041479999999998</v>
      </c>
      <c r="C391" s="87">
        <f>INDEX(Data!1665:1665,1,$U$1-1)/1000000</f>
        <v>4.0041460000000004</v>
      </c>
      <c r="D391" s="88">
        <f t="shared" si="267"/>
        <v>8.0082939999999994</v>
      </c>
      <c r="E391" s="89">
        <f>INDEX(Data!1665:1665,1,$U$1)/1000000</f>
        <v>3.929017</v>
      </c>
      <c r="F391" s="90">
        <f>INDEX(Data!1665:1665,1,$U$1+1)/1000000</f>
        <v>3.929017</v>
      </c>
      <c r="G391" s="88">
        <f t="shared" si="268"/>
        <v>7.858034</v>
      </c>
      <c r="H391" s="86">
        <f t="shared" si="272"/>
        <v>-0.15025999999999939</v>
      </c>
      <c r="I391" s="84">
        <f t="shared" si="273"/>
        <v>-1.8763047410596988E-2</v>
      </c>
      <c r="J391" s="412">
        <f t="shared" si="269"/>
        <v>6.7483961346182075E-3</v>
      </c>
      <c r="K391" s="91">
        <f t="shared" si="274"/>
        <v>4.0041479999999998</v>
      </c>
      <c r="L391" s="87">
        <f t="shared" si="274"/>
        <v>4.0041460000000004</v>
      </c>
      <c r="M391" s="88">
        <f t="shared" si="275"/>
        <v>8.0082939999999994</v>
      </c>
      <c r="N391" s="89">
        <f t="shared" si="276"/>
        <v>3.929017</v>
      </c>
      <c r="O391" s="90">
        <f t="shared" si="276"/>
        <v>3.929017</v>
      </c>
      <c r="P391" s="88">
        <f t="shared" si="277"/>
        <v>7.858034</v>
      </c>
      <c r="Q391" s="86">
        <f t="shared" si="278"/>
        <v>-0.15025999999999939</v>
      </c>
      <c r="R391" s="84">
        <f t="shared" si="279"/>
        <v>-1.8763047410596988E-2</v>
      </c>
      <c r="S391" s="85">
        <f t="shared" si="270"/>
        <v>6.7483961346182075E-3</v>
      </c>
      <c r="T391" s="85">
        <f t="shared" si="271"/>
        <v>1</v>
      </c>
    </row>
    <row r="392" spans="1:20" hidden="1" outlineLevel="1">
      <c r="A392" s="50" t="s">
        <v>751</v>
      </c>
      <c r="B392" s="86">
        <f>INDEX(Data!1675:1675,1,$U$1-2)/1000000</f>
        <v>1.214448</v>
      </c>
      <c r="C392" s="87">
        <f>INDEX(Data!1675:1675,1,$U$1-1)/1000000</f>
        <v>1.2144470000000001</v>
      </c>
      <c r="D392" s="88">
        <f t="shared" si="267"/>
        <v>2.4288949999999998</v>
      </c>
      <c r="E392" s="89">
        <f>INDEX(Data!1675:1675,1,$U$1)/1000000</f>
        <v>28.714448000000001</v>
      </c>
      <c r="F392" s="90">
        <f>INDEX(Data!1675:1675,1,$U$1+1)/1000000</f>
        <v>28.714447</v>
      </c>
      <c r="G392" s="88">
        <f t="shared" si="268"/>
        <v>57.428894999999997</v>
      </c>
      <c r="H392" s="86">
        <f t="shared" si="272"/>
        <v>55</v>
      </c>
      <c r="I392" s="84">
        <f t="shared" si="273"/>
        <v>22.644041837955122</v>
      </c>
      <c r="J392" s="412">
        <f t="shared" si="269"/>
        <v>4.9319325041530096E-2</v>
      </c>
      <c r="K392" s="91">
        <f t="shared" si="274"/>
        <v>1.214448</v>
      </c>
      <c r="L392" s="87">
        <f t="shared" si="274"/>
        <v>1.2144470000000001</v>
      </c>
      <c r="M392" s="88">
        <f t="shared" si="275"/>
        <v>2.4288949999999998</v>
      </c>
      <c r="N392" s="89">
        <f t="shared" si="276"/>
        <v>28.714448000000001</v>
      </c>
      <c r="O392" s="90">
        <f t="shared" si="276"/>
        <v>28.714447</v>
      </c>
      <c r="P392" s="88">
        <f t="shared" si="277"/>
        <v>57.428894999999997</v>
      </c>
      <c r="Q392" s="86">
        <f t="shared" si="278"/>
        <v>55</v>
      </c>
      <c r="R392" s="84">
        <f t="shared" si="279"/>
        <v>22.644041837955122</v>
      </c>
      <c r="S392" s="85">
        <f t="shared" si="270"/>
        <v>4.9319325041530096E-2</v>
      </c>
      <c r="T392" s="85">
        <f t="shared" si="271"/>
        <v>1</v>
      </c>
    </row>
    <row r="393" spans="1:20" hidden="1" outlineLevel="1">
      <c r="A393" s="50" t="s">
        <v>876</v>
      </c>
      <c r="B393" s="86">
        <f>INDEX(Data!1683:1683,1,$U$1-2)/1000000</f>
        <v>1.8904780000000001</v>
      </c>
      <c r="C393" s="87">
        <f>INDEX(Data!1683:1683,1,$U$1-1)/1000000</f>
        <v>1.8904749999999999</v>
      </c>
      <c r="D393" s="88">
        <f t="shared" si="267"/>
        <v>3.7809530000000002</v>
      </c>
      <c r="E393" s="89">
        <f>INDEX(Data!1683:1683,1,$U$1)/1000000</f>
        <v>1.920318</v>
      </c>
      <c r="F393" s="90">
        <f>INDEX(Data!1683:1683,1,$U$1+1)/1000000</f>
        <v>1.9203159999999999</v>
      </c>
      <c r="G393" s="88">
        <f t="shared" si="268"/>
        <v>3.8406339999999997</v>
      </c>
      <c r="H393" s="86">
        <f t="shared" si="272"/>
        <v>5.9680999999999429E-2</v>
      </c>
      <c r="I393" s="84">
        <f t="shared" si="273"/>
        <v>1.5784644770775891E-2</v>
      </c>
      <c r="J393" s="412">
        <f t="shared" si="269"/>
        <v>3.2982956856744653E-3</v>
      </c>
      <c r="K393" s="91">
        <f t="shared" si="274"/>
        <v>1.8904780000000001</v>
      </c>
      <c r="L393" s="87">
        <f t="shared" si="274"/>
        <v>1.8904749999999999</v>
      </c>
      <c r="M393" s="88">
        <f t="shared" si="275"/>
        <v>3.7809530000000002</v>
      </c>
      <c r="N393" s="89">
        <f t="shared" si="276"/>
        <v>1.920318</v>
      </c>
      <c r="O393" s="90">
        <f t="shared" si="276"/>
        <v>1.9203159999999999</v>
      </c>
      <c r="P393" s="88">
        <f t="shared" si="277"/>
        <v>3.8406339999999997</v>
      </c>
      <c r="Q393" s="86">
        <f t="shared" si="278"/>
        <v>5.9680999999999429E-2</v>
      </c>
      <c r="R393" s="84">
        <f t="shared" si="279"/>
        <v>1.5784644770775891E-2</v>
      </c>
      <c r="S393" s="85">
        <f t="shared" si="270"/>
        <v>3.2982956856744653E-3</v>
      </c>
      <c r="T393" s="85">
        <f t="shared" si="271"/>
        <v>1</v>
      </c>
    </row>
    <row r="394" spans="1:20" hidden="1" outlineLevel="1">
      <c r="A394" s="50" t="s">
        <v>750</v>
      </c>
      <c r="B394" s="86">
        <f>INDEX(Data!1694:1694,1,$U$1-2)/1000000</f>
        <v>19.029326999999999</v>
      </c>
      <c r="C394" s="87">
        <f>INDEX(Data!1694:1694,1,$U$1-1)/1000000</f>
        <v>19.029322000000001</v>
      </c>
      <c r="D394" s="88">
        <f t="shared" si="267"/>
        <v>38.058649000000003</v>
      </c>
      <c r="E394" s="89">
        <f>INDEX(Data!1694:1694,1,$U$1)/1000000</f>
        <v>23.827378</v>
      </c>
      <c r="F394" s="90">
        <f>INDEX(Data!1694:1694,1,$U$1+1)/1000000</f>
        <v>23.827372</v>
      </c>
      <c r="G394" s="88">
        <f t="shared" si="268"/>
        <v>47.65475</v>
      </c>
      <c r="H394" s="86">
        <f t="shared" si="272"/>
        <v>9.5961009999999973</v>
      </c>
      <c r="I394" s="84">
        <f t="shared" si="273"/>
        <v>0.25213982240935556</v>
      </c>
      <c r="J394" s="412">
        <f t="shared" si="269"/>
        <v>4.0925393132200373E-2</v>
      </c>
      <c r="K394" s="91">
        <f t="shared" si="274"/>
        <v>19.029326999999999</v>
      </c>
      <c r="L394" s="87">
        <f t="shared" si="274"/>
        <v>19.029322000000001</v>
      </c>
      <c r="M394" s="88">
        <f t="shared" si="275"/>
        <v>38.058649000000003</v>
      </c>
      <c r="N394" s="89">
        <f t="shared" si="276"/>
        <v>23.827378</v>
      </c>
      <c r="O394" s="90">
        <f t="shared" si="276"/>
        <v>23.827372</v>
      </c>
      <c r="P394" s="88">
        <f t="shared" si="277"/>
        <v>47.65475</v>
      </c>
      <c r="Q394" s="86">
        <f t="shared" si="278"/>
        <v>9.5961009999999973</v>
      </c>
      <c r="R394" s="84">
        <f t="shared" si="279"/>
        <v>0.25213982240935556</v>
      </c>
      <c r="S394" s="85">
        <f t="shared" si="270"/>
        <v>4.0925393132200373E-2</v>
      </c>
      <c r="T394" s="85">
        <f t="shared" si="271"/>
        <v>1</v>
      </c>
    </row>
    <row r="395" spans="1:20" hidden="1" outlineLevel="1">
      <c r="A395" s="50" t="s">
        <v>1209</v>
      </c>
      <c r="B395" s="86">
        <f>INDEX(Data!1703:1703,1,$U$1-2)/1000000</f>
        <v>3.5722260000000001</v>
      </c>
      <c r="C395" s="87">
        <f>INDEX(Data!1703:1703,1,$U$1-1)/1000000</f>
        <v>3.5722239999999998</v>
      </c>
      <c r="D395" s="88">
        <f t="shared" si="267"/>
        <v>7.14445</v>
      </c>
      <c r="E395" s="89">
        <f>INDEX(Data!1703:1703,1,$U$1)/1000000</f>
        <v>3.4649930000000002</v>
      </c>
      <c r="F395" s="90">
        <f>INDEX(Data!1703:1703,1,$U$1+1)/1000000</f>
        <v>3.4649920000000001</v>
      </c>
      <c r="G395" s="88">
        <f t="shared" si="268"/>
        <v>6.9299850000000003</v>
      </c>
      <c r="H395" s="86">
        <f t="shared" si="272"/>
        <v>-0.21446499999999968</v>
      </c>
      <c r="I395" s="84">
        <f t="shared" si="273"/>
        <v>-3.0018405895485264E-2</v>
      </c>
      <c r="J395" s="412">
        <f t="shared" si="269"/>
        <v>5.9513975107466019E-3</v>
      </c>
      <c r="K395" s="91">
        <f t="shared" si="274"/>
        <v>3.5722260000000001</v>
      </c>
      <c r="L395" s="87">
        <f t="shared" si="274"/>
        <v>3.5722239999999998</v>
      </c>
      <c r="M395" s="88">
        <f t="shared" si="275"/>
        <v>7.14445</v>
      </c>
      <c r="N395" s="89">
        <f t="shared" si="276"/>
        <v>3.4649930000000002</v>
      </c>
      <c r="O395" s="90">
        <f t="shared" si="276"/>
        <v>3.4649920000000001</v>
      </c>
      <c r="P395" s="88">
        <f t="shared" si="277"/>
        <v>6.9299850000000003</v>
      </c>
      <c r="Q395" s="86">
        <f t="shared" si="278"/>
        <v>-0.21446499999999968</v>
      </c>
      <c r="R395" s="84">
        <f t="shared" si="279"/>
        <v>-3.0018405895485264E-2</v>
      </c>
      <c r="S395" s="85">
        <f t="shared" si="270"/>
        <v>5.9513975107466019E-3</v>
      </c>
      <c r="T395" s="85">
        <f t="shared" si="271"/>
        <v>1</v>
      </c>
    </row>
    <row r="396" spans="1:20" hidden="1" outlineLevel="1">
      <c r="A396" s="50" t="s">
        <v>1210</v>
      </c>
      <c r="B396" s="86">
        <f>INDEX(Data!1707:1707,1,$U$1-2)/1000000</f>
        <v>4.6347899999999997</v>
      </c>
      <c r="C396" s="87">
        <f>INDEX(Data!1707:1707,1,$U$1-1)/1000000</f>
        <v>4.6347899999999997</v>
      </c>
      <c r="D396" s="88">
        <f t="shared" si="267"/>
        <v>9.2695799999999995</v>
      </c>
      <c r="E396" s="89">
        <f>INDEX(Data!1707:1707,1,$U$1)/1000000</f>
        <v>6.0824749999999996</v>
      </c>
      <c r="F396" s="90">
        <f>INDEX(Data!1707:1707,1,$U$1+1)/1000000</f>
        <v>6.0824749999999996</v>
      </c>
      <c r="G396" s="88">
        <f t="shared" si="268"/>
        <v>12.164949999999999</v>
      </c>
      <c r="H396" s="86">
        <f t="shared" si="272"/>
        <v>2.8953699999999998</v>
      </c>
      <c r="I396" s="84">
        <f t="shared" si="273"/>
        <v>0.31235180018943681</v>
      </c>
      <c r="J396" s="412">
        <f t="shared" si="269"/>
        <v>1.0447129849250303E-2</v>
      </c>
      <c r="K396" s="91">
        <f t="shared" si="274"/>
        <v>4.6347899999999997</v>
      </c>
      <c r="L396" s="87">
        <f t="shared" si="274"/>
        <v>4.6347899999999997</v>
      </c>
      <c r="M396" s="88">
        <f t="shared" si="275"/>
        <v>9.2695799999999995</v>
      </c>
      <c r="N396" s="89">
        <f t="shared" si="276"/>
        <v>6.0824749999999996</v>
      </c>
      <c r="O396" s="90">
        <f t="shared" si="276"/>
        <v>6.0824749999999996</v>
      </c>
      <c r="P396" s="88">
        <f t="shared" si="277"/>
        <v>12.164949999999999</v>
      </c>
      <c r="Q396" s="86">
        <f t="shared" si="278"/>
        <v>2.8953699999999998</v>
      </c>
      <c r="R396" s="84">
        <f t="shared" si="279"/>
        <v>0.31235180018943681</v>
      </c>
      <c r="S396" s="85">
        <f t="shared" si="270"/>
        <v>1.0447129849250303E-2</v>
      </c>
      <c r="T396" s="85">
        <f t="shared" si="271"/>
        <v>1</v>
      </c>
    </row>
    <row r="397" spans="1:20" hidden="1" outlineLevel="1">
      <c r="A397" s="678" t="s">
        <v>1211</v>
      </c>
      <c r="B397" s="86">
        <f>INDEX(Data!1719:1719,1,$U$1-2)/1000000</f>
        <v>12.122134000000001</v>
      </c>
      <c r="C397" s="87">
        <f>INDEX(Data!1719:1719,1,$U$1-1)/1000000</f>
        <v>12.122127000000001</v>
      </c>
      <c r="D397" s="88">
        <f t="shared" si="267"/>
        <v>24.244261000000002</v>
      </c>
      <c r="E397" s="89">
        <f>INDEX(Data!1719:1719,1,$U$1)/1000000</f>
        <v>13.032909</v>
      </c>
      <c r="F397" s="90">
        <f>INDEX(Data!1719:1719,1,$U$1+1)/1000000</f>
        <v>13.032902</v>
      </c>
      <c r="G397" s="88">
        <f t="shared" si="268"/>
        <v>26.065811</v>
      </c>
      <c r="H397" s="86">
        <f t="shared" si="272"/>
        <v>1.8215499999999984</v>
      </c>
      <c r="I397" s="84">
        <f t="shared" si="273"/>
        <v>7.5133244935780816E-2</v>
      </c>
      <c r="J397" s="412">
        <f t="shared" si="269"/>
        <v>2.2385041627217286E-2</v>
      </c>
      <c r="K397" s="91">
        <f t="shared" si="274"/>
        <v>12.122134000000001</v>
      </c>
      <c r="L397" s="87">
        <f t="shared" si="274"/>
        <v>12.122127000000001</v>
      </c>
      <c r="M397" s="88">
        <f t="shared" si="275"/>
        <v>24.244261000000002</v>
      </c>
      <c r="N397" s="89">
        <f t="shared" si="276"/>
        <v>13.032909</v>
      </c>
      <c r="O397" s="90">
        <f t="shared" si="276"/>
        <v>13.032902</v>
      </c>
      <c r="P397" s="88">
        <f t="shared" si="277"/>
        <v>26.065811</v>
      </c>
      <c r="Q397" s="86">
        <f t="shared" si="278"/>
        <v>1.8215499999999984</v>
      </c>
      <c r="R397" s="84">
        <f t="shared" si="279"/>
        <v>7.5133244935780816E-2</v>
      </c>
      <c r="S397" s="85">
        <f t="shared" si="270"/>
        <v>2.2385041627217286E-2</v>
      </c>
      <c r="T397" s="85">
        <f t="shared" si="271"/>
        <v>1</v>
      </c>
    </row>
    <row r="398" spans="1:20" hidden="1" outlineLevel="1">
      <c r="A398" s="678" t="s">
        <v>1212</v>
      </c>
      <c r="B398" s="86">
        <f>INDEX(Data!1730:1730,1,$U$1-2)/1000000</f>
        <v>5.0914669999999997</v>
      </c>
      <c r="C398" s="87">
        <f>INDEX(Data!1730:1730,1,$U$1-1)/1000000</f>
        <v>5.0914640000000002</v>
      </c>
      <c r="D398" s="88">
        <f t="shared" si="267"/>
        <v>10.182931</v>
      </c>
      <c r="E398" s="89">
        <f>INDEX(Data!1730:1730,1,$U$1)/1000000</f>
        <v>11.963559</v>
      </c>
      <c r="F398" s="90">
        <f>INDEX(Data!1730:1730,1,$U$1+1)/1000000</f>
        <v>11.963556000000001</v>
      </c>
      <c r="G398" s="88">
        <f t="shared" si="268"/>
        <v>23.927115000000001</v>
      </c>
      <c r="H398" s="86">
        <f t="shared" si="272"/>
        <v>13.744184000000001</v>
      </c>
      <c r="I398" s="84">
        <f t="shared" si="273"/>
        <v>1.3497276962791951</v>
      </c>
      <c r="J398" s="412">
        <f t="shared" si="269"/>
        <v>2.0548352218705764E-2</v>
      </c>
      <c r="K398" s="91">
        <f t="shared" si="274"/>
        <v>5.0914669999999997</v>
      </c>
      <c r="L398" s="87">
        <f t="shared" si="274"/>
        <v>5.0914640000000002</v>
      </c>
      <c r="M398" s="88">
        <f t="shared" si="275"/>
        <v>10.182931</v>
      </c>
      <c r="N398" s="89">
        <f t="shared" si="276"/>
        <v>11.963559</v>
      </c>
      <c r="O398" s="90">
        <f t="shared" si="276"/>
        <v>11.963556000000001</v>
      </c>
      <c r="P398" s="88">
        <f t="shared" si="277"/>
        <v>23.927115000000001</v>
      </c>
      <c r="Q398" s="86">
        <f t="shared" si="278"/>
        <v>13.744184000000001</v>
      </c>
      <c r="R398" s="84">
        <f t="shared" si="279"/>
        <v>1.3497276962791951</v>
      </c>
      <c r="S398" s="85">
        <f t="shared" si="270"/>
        <v>2.0548352218705764E-2</v>
      </c>
      <c r="T398" s="85">
        <f t="shared" si="271"/>
        <v>1</v>
      </c>
    </row>
    <row r="399" spans="1:20" hidden="1" outlineLevel="1">
      <c r="A399" s="678" t="s">
        <v>1213</v>
      </c>
      <c r="B399" s="86">
        <f>INDEX(Data!1734:1734,1,$U$1-2)/1000000</f>
        <v>7.698086</v>
      </c>
      <c r="C399" s="87">
        <f>INDEX(Data!1734:1734,1,$U$1-1)/1000000</f>
        <v>7.6980839999999997</v>
      </c>
      <c r="D399" s="88">
        <f t="shared" si="267"/>
        <v>15.39617</v>
      </c>
      <c r="E399" s="89">
        <f>INDEX(Data!1734:1734,1,$U$1)/1000000</f>
        <v>10.115748999999999</v>
      </c>
      <c r="F399" s="90">
        <f>INDEX(Data!1734:1734,1,$U$1+1)/1000000</f>
        <v>10.115748999999999</v>
      </c>
      <c r="G399" s="88">
        <f t="shared" si="268"/>
        <v>20.231497999999998</v>
      </c>
      <c r="H399" s="86">
        <f t="shared" si="272"/>
        <v>4.8353279999999987</v>
      </c>
      <c r="I399" s="84">
        <f t="shared" si="273"/>
        <v>0.31406044490285562</v>
      </c>
      <c r="J399" s="412">
        <f t="shared" si="269"/>
        <v>1.7374595592324491E-2</v>
      </c>
      <c r="K399" s="91">
        <f t="shared" si="274"/>
        <v>7.698086</v>
      </c>
      <c r="L399" s="87">
        <f t="shared" si="274"/>
        <v>7.6980839999999997</v>
      </c>
      <c r="M399" s="88">
        <f t="shared" si="275"/>
        <v>15.39617</v>
      </c>
      <c r="N399" s="89">
        <f t="shared" si="276"/>
        <v>10.115748999999999</v>
      </c>
      <c r="O399" s="90">
        <f t="shared" si="276"/>
        <v>10.115748999999999</v>
      </c>
      <c r="P399" s="88">
        <f t="shared" si="277"/>
        <v>20.231497999999998</v>
      </c>
      <c r="Q399" s="86">
        <f t="shared" si="278"/>
        <v>4.8353279999999987</v>
      </c>
      <c r="R399" s="84">
        <f t="shared" si="279"/>
        <v>0.31406044490285562</v>
      </c>
      <c r="S399" s="85">
        <f t="shared" si="270"/>
        <v>1.7374595592324491E-2</v>
      </c>
      <c r="T399" s="85">
        <f t="shared" si="271"/>
        <v>1</v>
      </c>
    </row>
    <row r="400" spans="1:20" hidden="1" outlineLevel="1">
      <c r="A400" s="678" t="s">
        <v>861</v>
      </c>
      <c r="B400" s="86">
        <f>INDEX(Data!1742:1742,1,$U$1-2)/1000000</f>
        <v>6.1372350000000004</v>
      </c>
      <c r="C400" s="87">
        <f>INDEX(Data!1742:1742,1,$U$1-1)/1000000</f>
        <v>6.1372299999999997</v>
      </c>
      <c r="D400" s="88">
        <f t="shared" si="267"/>
        <v>12.274464999999999</v>
      </c>
      <c r="E400" s="89">
        <f>INDEX(Data!1742:1742,1,$U$1)/1000000</f>
        <v>6.1372350000000004</v>
      </c>
      <c r="F400" s="90">
        <f>INDEX(Data!1742:1742,1,$U$1+1)/1000000</f>
        <v>6.1372299999999997</v>
      </c>
      <c r="G400" s="88">
        <f t="shared" si="268"/>
        <v>12.274464999999999</v>
      </c>
      <c r="H400" s="86">
        <f t="shared" si="272"/>
        <v>0</v>
      </c>
      <c r="I400" s="84">
        <f t="shared" si="273"/>
        <v>0</v>
      </c>
      <c r="J400" s="412">
        <f t="shared" si="269"/>
        <v>1.0541180168030129E-2</v>
      </c>
      <c r="K400" s="91">
        <f t="shared" si="274"/>
        <v>6.1372350000000004</v>
      </c>
      <c r="L400" s="87">
        <f t="shared" si="274"/>
        <v>6.1372299999999997</v>
      </c>
      <c r="M400" s="88">
        <f t="shared" si="275"/>
        <v>12.274464999999999</v>
      </c>
      <c r="N400" s="89">
        <f t="shared" si="276"/>
        <v>6.1372350000000004</v>
      </c>
      <c r="O400" s="90">
        <f t="shared" si="276"/>
        <v>6.1372299999999997</v>
      </c>
      <c r="P400" s="88">
        <f t="shared" si="277"/>
        <v>12.274464999999999</v>
      </c>
      <c r="Q400" s="86">
        <f t="shared" si="278"/>
        <v>0</v>
      </c>
      <c r="R400" s="84">
        <f t="shared" si="279"/>
        <v>0</v>
      </c>
      <c r="S400" s="85">
        <f t="shared" si="270"/>
        <v>1.0541180168030129E-2</v>
      </c>
      <c r="T400" s="85">
        <f t="shared" si="271"/>
        <v>1</v>
      </c>
    </row>
    <row r="401" spans="1:20" hidden="1" outlineLevel="1">
      <c r="A401" s="50" t="s">
        <v>871</v>
      </c>
      <c r="B401" s="86">
        <f>INDEX(Data!1753:1753,1,$U$1-2)/1000000</f>
        <v>4.2215930000000004</v>
      </c>
      <c r="C401" s="87">
        <f>INDEX(Data!1753:1753,1,$U$1-1)/1000000</f>
        <v>4.2215870000000004</v>
      </c>
      <c r="D401" s="88">
        <f t="shared" si="267"/>
        <v>8.4431800000000017</v>
      </c>
      <c r="E401" s="89">
        <f>INDEX(Data!1753:1753,1,$U$1)/1000000</f>
        <v>6.1923839999999997</v>
      </c>
      <c r="F401" s="90">
        <f>INDEX(Data!1753:1753,1,$U$1+1)/1000000</f>
        <v>6.1923789999999999</v>
      </c>
      <c r="G401" s="88">
        <f t="shared" si="268"/>
        <v>12.384763</v>
      </c>
      <c r="H401" s="86">
        <f t="shared" si="272"/>
        <v>3.9415829999999978</v>
      </c>
      <c r="I401" s="84">
        <f t="shared" si="273"/>
        <v>0.4668363104896493</v>
      </c>
      <c r="J401" s="412">
        <f t="shared" si="269"/>
        <v>1.0635902918893275E-2</v>
      </c>
      <c r="K401" s="91">
        <f t="shared" si="274"/>
        <v>4.2215930000000004</v>
      </c>
      <c r="L401" s="87">
        <f t="shared" si="274"/>
        <v>4.2215870000000004</v>
      </c>
      <c r="M401" s="88">
        <f t="shared" si="275"/>
        <v>8.4431800000000017</v>
      </c>
      <c r="N401" s="89">
        <f t="shared" si="276"/>
        <v>6.1923839999999997</v>
      </c>
      <c r="O401" s="90">
        <f t="shared" si="276"/>
        <v>6.1923789999999999</v>
      </c>
      <c r="P401" s="88">
        <f t="shared" si="277"/>
        <v>12.384763</v>
      </c>
      <c r="Q401" s="86">
        <f t="shared" si="278"/>
        <v>3.9415829999999978</v>
      </c>
      <c r="R401" s="84">
        <f t="shared" si="279"/>
        <v>0.4668363104896493</v>
      </c>
      <c r="S401" s="85">
        <f t="shared" si="270"/>
        <v>1.0635902918893275E-2</v>
      </c>
      <c r="T401" s="85">
        <f t="shared" si="271"/>
        <v>1</v>
      </c>
    </row>
    <row r="402" spans="1:20" hidden="1" outlineLevel="1">
      <c r="A402" s="50" t="s">
        <v>1361</v>
      </c>
      <c r="B402" s="86">
        <f>INDEX(Data!1759:1759,1,$U$1-2)/1000000</f>
        <v>2.5373169999999998</v>
      </c>
      <c r="C402" s="87">
        <f>INDEX(Data!1759:1759,1,$U$1-1)/1000000</f>
        <v>2.5373160000000001</v>
      </c>
      <c r="D402" s="88">
        <f t="shared" si="267"/>
        <v>5.0746330000000004</v>
      </c>
      <c r="E402" s="89">
        <f>INDEX(Data!1759:1759,1,$U$1)/1000000</f>
        <v>2.530046</v>
      </c>
      <c r="F402" s="90">
        <f>INDEX(Data!1759:1759,1,$U$1+1)/1000000</f>
        <v>2.530046</v>
      </c>
      <c r="G402" s="88">
        <f t="shared" si="268"/>
        <v>5.060092</v>
      </c>
      <c r="H402" s="86">
        <f t="shared" si="272"/>
        <v>-1.4541000000000359E-2</v>
      </c>
      <c r="I402" s="84">
        <f t="shared" si="273"/>
        <v>-2.8654288891433841E-3</v>
      </c>
      <c r="J402" s="412">
        <f t="shared" si="269"/>
        <v>4.3455532635278127E-3</v>
      </c>
      <c r="K402" s="91">
        <f t="shared" si="274"/>
        <v>2.5373169999999998</v>
      </c>
      <c r="L402" s="87">
        <f t="shared" si="274"/>
        <v>2.5373160000000001</v>
      </c>
      <c r="M402" s="88">
        <f t="shared" si="275"/>
        <v>5.0746330000000004</v>
      </c>
      <c r="N402" s="89">
        <f t="shared" si="276"/>
        <v>2.530046</v>
      </c>
      <c r="O402" s="90">
        <f t="shared" si="276"/>
        <v>2.530046</v>
      </c>
      <c r="P402" s="88">
        <f t="shared" si="277"/>
        <v>5.060092</v>
      </c>
      <c r="Q402" s="86">
        <f t="shared" si="278"/>
        <v>-1.4541000000000359E-2</v>
      </c>
      <c r="R402" s="84">
        <f t="shared" si="279"/>
        <v>-2.8654288891433841E-3</v>
      </c>
      <c r="S402" s="85">
        <f t="shared" si="270"/>
        <v>4.3455532635278127E-3</v>
      </c>
      <c r="T402" s="85">
        <f t="shared" si="271"/>
        <v>1</v>
      </c>
    </row>
    <row r="403" spans="1:20" hidden="1" outlineLevel="1">
      <c r="A403" s="678" t="s">
        <v>1425</v>
      </c>
      <c r="B403" s="86">
        <f>INDEX(Data!1768:1768,1,$U$1-2)/1000000</f>
        <v>4.3753149999999996</v>
      </c>
      <c r="C403" s="87">
        <f>INDEX(Data!1768:1768,1,$U$1-1)/1000000</f>
        <v>4.3753149999999996</v>
      </c>
      <c r="D403" s="88">
        <f t="shared" si="267"/>
        <v>8.7506299999999992</v>
      </c>
      <c r="E403" s="89">
        <f>INDEX(Data!1768:1768,1,$U$1)/1000000</f>
        <v>9.0120590000000007</v>
      </c>
      <c r="F403" s="90">
        <f>INDEX(Data!1768:1768,1,$U$1+1)/1000000</f>
        <v>9.0120579999999997</v>
      </c>
      <c r="G403" s="88">
        <f t="shared" si="268"/>
        <v>18.024117</v>
      </c>
      <c r="H403" s="86">
        <f t="shared" si="272"/>
        <v>9.2734870000000011</v>
      </c>
      <c r="I403" s="84">
        <f t="shared" si="273"/>
        <v>1.0597507836578626</v>
      </c>
      <c r="J403" s="412">
        <f t="shared" si="269"/>
        <v>1.5478920235354838E-2</v>
      </c>
      <c r="K403" s="91">
        <f t="shared" si="274"/>
        <v>4.3753149999999996</v>
      </c>
      <c r="L403" s="87">
        <f t="shared" si="274"/>
        <v>4.3753149999999996</v>
      </c>
      <c r="M403" s="88">
        <f t="shared" si="275"/>
        <v>8.7506299999999992</v>
      </c>
      <c r="N403" s="89">
        <f t="shared" si="276"/>
        <v>9.0120590000000007</v>
      </c>
      <c r="O403" s="90">
        <f t="shared" si="276"/>
        <v>9.0120579999999997</v>
      </c>
      <c r="P403" s="88">
        <f t="shared" si="277"/>
        <v>18.024117</v>
      </c>
      <c r="Q403" s="86">
        <f t="shared" si="278"/>
        <v>9.2734870000000011</v>
      </c>
      <c r="R403" s="84">
        <f t="shared" si="279"/>
        <v>1.0597507836578626</v>
      </c>
      <c r="S403" s="85">
        <f t="shared" si="270"/>
        <v>1.5478920235354838E-2</v>
      </c>
      <c r="T403" s="85">
        <f t="shared" si="271"/>
        <v>1</v>
      </c>
    </row>
    <row r="404" spans="1:20" hidden="1" outlineLevel="1">
      <c r="A404" s="50" t="s">
        <v>726</v>
      </c>
      <c r="B404" s="86">
        <f>INDEX(Data!1789:1789,1,$U$1-2)/1000000</f>
        <v>16.054805000000002</v>
      </c>
      <c r="C404" s="87">
        <f>INDEX(Data!1789:1789,1,$U$1-1)/1000000</f>
        <v>16.0548</v>
      </c>
      <c r="D404" s="88">
        <f t="shared" si="267"/>
        <v>32.109605000000002</v>
      </c>
      <c r="E404" s="89">
        <f>INDEX(Data!1789:1789,1,$U$1)/1000000</f>
        <v>76.961433</v>
      </c>
      <c r="F404" s="90">
        <f>INDEX(Data!1789:1789,1,$U$1+1)/1000000</f>
        <v>31.961428999999999</v>
      </c>
      <c r="G404" s="88">
        <f t="shared" si="268"/>
        <v>108.92286199999999</v>
      </c>
      <c r="H404" s="86">
        <f t="shared" si="272"/>
        <v>76.813256999999993</v>
      </c>
      <c r="I404" s="84">
        <f t="shared" si="273"/>
        <v>2.3922205520746824</v>
      </c>
      <c r="J404" s="412">
        <f t="shared" si="269"/>
        <v>9.3541796954855677E-2</v>
      </c>
      <c r="K404" s="91">
        <f t="shared" si="274"/>
        <v>16.054805000000002</v>
      </c>
      <c r="L404" s="87">
        <f t="shared" si="274"/>
        <v>16.0548</v>
      </c>
      <c r="M404" s="88">
        <f t="shared" si="275"/>
        <v>32.109605000000002</v>
      </c>
      <c r="N404" s="89">
        <f t="shared" si="276"/>
        <v>76.961433</v>
      </c>
      <c r="O404" s="90">
        <f t="shared" si="276"/>
        <v>31.961428999999999</v>
      </c>
      <c r="P404" s="88">
        <f t="shared" si="277"/>
        <v>108.92286199999999</v>
      </c>
      <c r="Q404" s="86">
        <f t="shared" si="278"/>
        <v>76.813256999999993</v>
      </c>
      <c r="R404" s="84">
        <f t="shared" si="279"/>
        <v>2.3922205520746824</v>
      </c>
      <c r="S404" s="85">
        <f t="shared" si="270"/>
        <v>9.3541796954855677E-2</v>
      </c>
      <c r="T404" s="85">
        <f t="shared" si="271"/>
        <v>1</v>
      </c>
    </row>
    <row r="405" spans="1:20" hidden="1" outlineLevel="1">
      <c r="A405" s="50" t="s">
        <v>1363</v>
      </c>
      <c r="B405" s="86">
        <f>INDEX(Data!1795:1795,1,$U$1-2)/1000000</f>
        <v>3.9975900000000002</v>
      </c>
      <c r="C405" s="87">
        <f>INDEX(Data!1795:1795,1,$U$1-1)/1000000</f>
        <v>3.9975879999999999</v>
      </c>
      <c r="D405" s="88">
        <f t="shared" si="267"/>
        <v>7.9951780000000001</v>
      </c>
      <c r="E405" s="89">
        <f>INDEX(Data!1795:1795,1,$U$1)/1000000</f>
        <v>8.2209099999999999</v>
      </c>
      <c r="F405" s="90">
        <f>INDEX(Data!1795:1795,1,$U$1+1)/1000000</f>
        <v>8.2209079999999997</v>
      </c>
      <c r="G405" s="88">
        <f t="shared" si="268"/>
        <v>16.441817999999998</v>
      </c>
      <c r="H405" s="86">
        <f t="shared" si="272"/>
        <v>8.4466399999999986</v>
      </c>
      <c r="I405" s="84">
        <f t="shared" si="273"/>
        <v>1.0564667853548724</v>
      </c>
      <c r="J405" s="412">
        <f t="shared" si="269"/>
        <v>1.4120058660639041E-2</v>
      </c>
      <c r="K405" s="91">
        <f t="shared" si="274"/>
        <v>3.9975900000000002</v>
      </c>
      <c r="L405" s="87">
        <f t="shared" si="274"/>
        <v>3.9975879999999999</v>
      </c>
      <c r="M405" s="88">
        <f t="shared" si="275"/>
        <v>7.9951780000000001</v>
      </c>
      <c r="N405" s="89">
        <f t="shared" si="276"/>
        <v>8.2209099999999999</v>
      </c>
      <c r="O405" s="90">
        <f t="shared" si="276"/>
        <v>8.2209079999999997</v>
      </c>
      <c r="P405" s="88">
        <f t="shared" si="277"/>
        <v>16.441817999999998</v>
      </c>
      <c r="Q405" s="86">
        <f t="shared" si="278"/>
        <v>8.4466399999999986</v>
      </c>
      <c r="R405" s="84">
        <f t="shared" si="279"/>
        <v>1.0564667853548724</v>
      </c>
      <c r="S405" s="85">
        <f t="shared" si="270"/>
        <v>1.4120058660639041E-2</v>
      </c>
      <c r="T405" s="85">
        <f t="shared" si="271"/>
        <v>1</v>
      </c>
    </row>
    <row r="406" spans="1:20" hidden="1" outlineLevel="1">
      <c r="A406" s="50" t="s">
        <v>1364</v>
      </c>
      <c r="B406" s="86">
        <f>INDEX(Data!1799:1799,1,$U$1-2)/1000000</f>
        <v>1.8786890000000001</v>
      </c>
      <c r="C406" s="87">
        <f>INDEX(Data!1799:1799,1,$U$1-1)/1000000</f>
        <v>1.878687</v>
      </c>
      <c r="D406" s="88">
        <f t="shared" si="267"/>
        <v>3.7573759999999998</v>
      </c>
      <c r="E406" s="89">
        <f>INDEX(Data!1799:1799,1,$U$1)/1000000</f>
        <v>1.9286890000000001</v>
      </c>
      <c r="F406" s="90">
        <f>INDEX(Data!1799:1799,1,$U$1+1)/1000000</f>
        <v>1.928687</v>
      </c>
      <c r="G406" s="88">
        <f t="shared" si="268"/>
        <v>3.8573760000000004</v>
      </c>
      <c r="H406" s="86">
        <f t="shared" si="272"/>
        <v>0.10000000000000053</v>
      </c>
      <c r="I406" s="84">
        <f t="shared" si="273"/>
        <v>2.6614318077296639E-2</v>
      </c>
      <c r="J406" s="412">
        <f t="shared" si="269"/>
        <v>3.3126735374483037E-3</v>
      </c>
      <c r="K406" s="91">
        <f t="shared" si="274"/>
        <v>1.8786890000000001</v>
      </c>
      <c r="L406" s="87">
        <f t="shared" si="274"/>
        <v>1.878687</v>
      </c>
      <c r="M406" s="88">
        <f t="shared" si="275"/>
        <v>3.7573759999999998</v>
      </c>
      <c r="N406" s="89">
        <f t="shared" si="276"/>
        <v>1.9286890000000001</v>
      </c>
      <c r="O406" s="90">
        <f t="shared" si="276"/>
        <v>1.928687</v>
      </c>
      <c r="P406" s="88">
        <f t="shared" si="277"/>
        <v>3.8573760000000004</v>
      </c>
      <c r="Q406" s="86">
        <f t="shared" si="278"/>
        <v>0.10000000000000053</v>
      </c>
      <c r="R406" s="84">
        <f t="shared" si="279"/>
        <v>2.6614318077296639E-2</v>
      </c>
      <c r="S406" s="85">
        <f t="shared" si="270"/>
        <v>3.3126735374483037E-3</v>
      </c>
      <c r="T406" s="85">
        <f t="shared" si="271"/>
        <v>1</v>
      </c>
    </row>
    <row r="407" spans="1:20" hidden="1" outlineLevel="1">
      <c r="A407" s="50" t="s">
        <v>1365</v>
      </c>
      <c r="B407" s="86">
        <f>INDEX(Data!1805:1805,1,$U$1-2)/1000000</f>
        <v>3.1861739999999998</v>
      </c>
      <c r="C407" s="87">
        <f>INDEX(Data!1805:1805,1,$U$1-1)/1000000</f>
        <v>3.1861709999999999</v>
      </c>
      <c r="D407" s="88">
        <f t="shared" si="267"/>
        <v>6.3723449999999993</v>
      </c>
      <c r="E407" s="89">
        <f>INDEX(Data!1805:1805,1,$U$1)/1000000</f>
        <v>4.11693</v>
      </c>
      <c r="F407" s="90">
        <f>INDEX(Data!1805:1805,1,$U$1+1)/1000000</f>
        <v>4.1169260000000003</v>
      </c>
      <c r="G407" s="88">
        <f t="shared" si="268"/>
        <v>8.2338559999999994</v>
      </c>
      <c r="H407" s="86">
        <f t="shared" si="272"/>
        <v>1.8615110000000001</v>
      </c>
      <c r="I407" s="84">
        <f t="shared" si="273"/>
        <v>0.29212338628872109</v>
      </c>
      <c r="J407" s="412">
        <f t="shared" si="269"/>
        <v>7.0711480764021808E-3</v>
      </c>
      <c r="K407" s="91">
        <f t="shared" si="274"/>
        <v>3.1861739999999998</v>
      </c>
      <c r="L407" s="87">
        <f t="shared" si="274"/>
        <v>3.1861709999999999</v>
      </c>
      <c r="M407" s="88">
        <f t="shared" si="275"/>
        <v>6.3723449999999993</v>
      </c>
      <c r="N407" s="89">
        <f t="shared" si="276"/>
        <v>4.11693</v>
      </c>
      <c r="O407" s="90">
        <f t="shared" si="276"/>
        <v>4.1169260000000003</v>
      </c>
      <c r="P407" s="88">
        <f t="shared" si="277"/>
        <v>8.2338559999999994</v>
      </c>
      <c r="Q407" s="86">
        <f t="shared" si="278"/>
        <v>1.8615110000000001</v>
      </c>
      <c r="R407" s="84">
        <f t="shared" si="279"/>
        <v>0.29212338628872109</v>
      </c>
      <c r="S407" s="85">
        <f t="shared" si="270"/>
        <v>7.0711480764021808E-3</v>
      </c>
      <c r="T407" s="85">
        <f t="shared" si="271"/>
        <v>1</v>
      </c>
    </row>
    <row r="408" spans="1:20" hidden="1" outlineLevel="1">
      <c r="A408" s="50" t="s">
        <v>730</v>
      </c>
      <c r="B408" s="86">
        <f>INDEX(Data!1809:1809,1,$U$1-2)/1000000</f>
        <v>1.7361089999999999</v>
      </c>
      <c r="C408" s="87">
        <f>INDEX(Data!1809:1809,1,$U$1-1)/1000000</f>
        <v>1.736108</v>
      </c>
      <c r="D408" s="88">
        <f t="shared" si="267"/>
        <v>3.4722169999999997</v>
      </c>
      <c r="E408" s="89">
        <f>INDEX(Data!1809:1809,1,$U$1)/1000000</f>
        <v>1.9160550000000001</v>
      </c>
      <c r="F408" s="90">
        <f>INDEX(Data!1809:1809,1,$U$1+1)/1000000</f>
        <v>1.9160539999999999</v>
      </c>
      <c r="G408" s="88">
        <f t="shared" si="268"/>
        <v>3.832109</v>
      </c>
      <c r="H408" s="86">
        <f t="shared" si="272"/>
        <v>0.35989200000000032</v>
      </c>
      <c r="I408" s="84">
        <f t="shared" si="273"/>
        <v>0.10364905188817414</v>
      </c>
      <c r="J408" s="412">
        <f t="shared" si="269"/>
        <v>3.2909745062232672E-3</v>
      </c>
      <c r="K408" s="91">
        <f t="shared" si="274"/>
        <v>1.7361089999999999</v>
      </c>
      <c r="L408" s="87">
        <f t="shared" si="274"/>
        <v>1.736108</v>
      </c>
      <c r="M408" s="88">
        <f t="shared" si="275"/>
        <v>3.4722169999999997</v>
      </c>
      <c r="N408" s="89">
        <f t="shared" si="276"/>
        <v>1.9160550000000001</v>
      </c>
      <c r="O408" s="90">
        <f t="shared" si="276"/>
        <v>1.9160539999999999</v>
      </c>
      <c r="P408" s="88">
        <f t="shared" si="277"/>
        <v>3.832109</v>
      </c>
      <c r="Q408" s="86">
        <f t="shared" si="278"/>
        <v>0.35989200000000032</v>
      </c>
      <c r="R408" s="84">
        <f t="shared" si="279"/>
        <v>0.10364905188817414</v>
      </c>
      <c r="S408" s="85">
        <f t="shared" si="270"/>
        <v>3.2909745062232672E-3</v>
      </c>
      <c r="T408" s="85">
        <f t="shared" si="271"/>
        <v>1</v>
      </c>
    </row>
    <row r="409" spans="1:20" hidden="1" outlineLevel="1">
      <c r="A409" s="50" t="s">
        <v>731</v>
      </c>
      <c r="B409" s="86">
        <f>INDEX(Data!1817:1817,1,$U$1-2)/1000000</f>
        <v>2.0666669999999998</v>
      </c>
      <c r="C409" s="87">
        <f>INDEX(Data!1817:1817,1,$U$1-1)/1000000</f>
        <v>2.0666630000000001</v>
      </c>
      <c r="D409" s="88">
        <f t="shared" si="267"/>
        <v>4.1333299999999999</v>
      </c>
      <c r="E409" s="89">
        <f>INDEX(Data!1817:1817,1,$U$1)/1000000</f>
        <v>8.3657459999999997</v>
      </c>
      <c r="F409" s="90">
        <f>INDEX(Data!1817:1817,1,$U$1+1)/1000000</f>
        <v>8.3657430000000002</v>
      </c>
      <c r="G409" s="88">
        <f t="shared" si="268"/>
        <v>16.731489</v>
      </c>
      <c r="H409" s="86">
        <f t="shared" si="272"/>
        <v>12.598158999999999</v>
      </c>
      <c r="I409" s="84">
        <f t="shared" si="273"/>
        <v>3.0479441515678638</v>
      </c>
      <c r="J409" s="412">
        <f t="shared" si="269"/>
        <v>1.4368825038681057E-2</v>
      </c>
      <c r="K409" s="91">
        <f t="shared" si="274"/>
        <v>2.0666669999999998</v>
      </c>
      <c r="L409" s="87">
        <f t="shared" si="274"/>
        <v>2.0666630000000001</v>
      </c>
      <c r="M409" s="88">
        <f t="shared" si="275"/>
        <v>4.1333299999999999</v>
      </c>
      <c r="N409" s="89">
        <f t="shared" si="276"/>
        <v>8.3657459999999997</v>
      </c>
      <c r="O409" s="90">
        <f t="shared" si="276"/>
        <v>8.3657430000000002</v>
      </c>
      <c r="P409" s="88">
        <f t="shared" si="277"/>
        <v>16.731489</v>
      </c>
      <c r="Q409" s="86">
        <f t="shared" si="278"/>
        <v>12.598158999999999</v>
      </c>
      <c r="R409" s="84">
        <f t="shared" si="279"/>
        <v>3.0479441515678638</v>
      </c>
      <c r="S409" s="85">
        <f t="shared" si="270"/>
        <v>1.4368825038681057E-2</v>
      </c>
      <c r="T409" s="85">
        <f t="shared" si="271"/>
        <v>1</v>
      </c>
    </row>
    <row r="410" spans="1:20" hidden="1" outlineLevel="1">
      <c r="A410" s="50" t="s">
        <v>1453</v>
      </c>
      <c r="B410" s="86">
        <f>INDEX(Data!1822:1822,1,$U$1-2)/1000000</f>
        <v>5.9873450000000004</v>
      </c>
      <c r="C410" s="87">
        <f>INDEX(Data!1822:1822,1,$U$1-1)/1000000</f>
        <v>5.9873430000000001</v>
      </c>
      <c r="D410" s="88">
        <f t="shared" si="267"/>
        <v>11.974688</v>
      </c>
      <c r="E410" s="89">
        <f>INDEX(Data!1822:1822,1,$U$1)/1000000</f>
        <v>6.4236899999999997</v>
      </c>
      <c r="F410" s="90">
        <f>INDEX(Data!1822:1822,1,$U$1+1)/1000000</f>
        <v>6.4236890000000004</v>
      </c>
      <c r="G410" s="88">
        <f t="shared" si="268"/>
        <v>12.847379</v>
      </c>
      <c r="H410" s="86">
        <f t="shared" si="272"/>
        <v>0.87269099999999966</v>
      </c>
      <c r="I410" s="84">
        <f t="shared" si="273"/>
        <v>7.2877973939696764E-2</v>
      </c>
      <c r="J410" s="412">
        <f t="shared" si="269"/>
        <v>1.1033192625989546E-2</v>
      </c>
      <c r="K410" s="91">
        <f t="shared" si="274"/>
        <v>5.9873450000000004</v>
      </c>
      <c r="L410" s="87">
        <f t="shared" si="274"/>
        <v>5.9873430000000001</v>
      </c>
      <c r="M410" s="88">
        <f t="shared" si="275"/>
        <v>11.974688</v>
      </c>
      <c r="N410" s="89">
        <f t="shared" si="276"/>
        <v>6.4236899999999997</v>
      </c>
      <c r="O410" s="90">
        <f t="shared" si="276"/>
        <v>6.4236890000000004</v>
      </c>
      <c r="P410" s="88">
        <f t="shared" si="277"/>
        <v>12.847379</v>
      </c>
      <c r="Q410" s="86">
        <f t="shared" si="278"/>
        <v>0.87269099999999966</v>
      </c>
      <c r="R410" s="84">
        <f t="shared" si="279"/>
        <v>7.2877973939696764E-2</v>
      </c>
      <c r="S410" s="85">
        <f t="shared" si="270"/>
        <v>1.1033192625989546E-2</v>
      </c>
      <c r="T410" s="85">
        <f t="shared" si="271"/>
        <v>1</v>
      </c>
    </row>
    <row r="411" spans="1:20" hidden="1" outlineLevel="1">
      <c r="A411" s="678" t="s">
        <v>1426</v>
      </c>
      <c r="B411" s="86">
        <f>INDEX(Data!1830:1830,1,$U$1-2)/1000000</f>
        <v>4.0678910000000004</v>
      </c>
      <c r="C411" s="87">
        <f>INDEX(Data!1830:1830,1,$U$1-1)/1000000</f>
        <v>4.0678879999999999</v>
      </c>
      <c r="D411" s="88">
        <f t="shared" si="267"/>
        <v>8.1357789999999994</v>
      </c>
      <c r="E411" s="89">
        <f>INDEX(Data!1830:1830,1,$U$1)/1000000</f>
        <v>4.0378489999999996</v>
      </c>
      <c r="F411" s="90">
        <f>INDEX(Data!1830:1830,1,$U$1+1)/1000000</f>
        <v>4.0378470000000002</v>
      </c>
      <c r="G411" s="88">
        <f t="shared" si="268"/>
        <v>8.0756960000000007</v>
      </c>
      <c r="H411" s="86">
        <f t="shared" si="272"/>
        <v>-6.0082999999998776E-2</v>
      </c>
      <c r="I411" s="84">
        <f t="shared" si="273"/>
        <v>-7.3850334430174145E-3</v>
      </c>
      <c r="J411" s="412">
        <f t="shared" si="269"/>
        <v>6.9353219483081546E-3</v>
      </c>
      <c r="K411" s="91">
        <f t="shared" si="274"/>
        <v>4.0678910000000004</v>
      </c>
      <c r="L411" s="87">
        <f t="shared" si="274"/>
        <v>4.0678879999999999</v>
      </c>
      <c r="M411" s="88">
        <f t="shared" si="275"/>
        <v>8.1357789999999994</v>
      </c>
      <c r="N411" s="89">
        <f t="shared" si="276"/>
        <v>4.0378489999999996</v>
      </c>
      <c r="O411" s="90">
        <f t="shared" si="276"/>
        <v>4.0378470000000002</v>
      </c>
      <c r="P411" s="88">
        <f t="shared" si="277"/>
        <v>8.0756960000000007</v>
      </c>
      <c r="Q411" s="86">
        <f t="shared" si="278"/>
        <v>-6.0082999999998776E-2</v>
      </c>
      <c r="R411" s="84">
        <f t="shared" si="279"/>
        <v>-7.3850334430174145E-3</v>
      </c>
      <c r="S411" s="85">
        <f t="shared" si="270"/>
        <v>6.9353219483081546E-3</v>
      </c>
      <c r="T411" s="85">
        <f t="shared" si="271"/>
        <v>1</v>
      </c>
    </row>
    <row r="412" spans="1:20" hidden="1" outlineLevel="1">
      <c r="A412" s="50" t="s">
        <v>733</v>
      </c>
      <c r="B412" s="86">
        <f>INDEX(Data!1841:1841,1,$U$1-2)/1000000</f>
        <v>17.152557999999999</v>
      </c>
      <c r="C412" s="87">
        <f>INDEX(Data!1841:1841,1,$U$1-1)/1000000</f>
        <v>17.151553</v>
      </c>
      <c r="D412" s="88">
        <f t="shared" si="267"/>
        <v>34.304110999999999</v>
      </c>
      <c r="E412" s="89">
        <f>INDEX(Data!1841:1841,1,$U$1)/1000000</f>
        <v>19.986453000000001</v>
      </c>
      <c r="F412" s="90">
        <f>INDEX(Data!1841:1841,1,$U$1+1)/1000000</f>
        <v>19.986447999999999</v>
      </c>
      <c r="G412" s="88">
        <f t="shared" si="268"/>
        <v>39.972901</v>
      </c>
      <c r="H412" s="86">
        <f t="shared" si="272"/>
        <v>5.6687900000000013</v>
      </c>
      <c r="I412" s="84">
        <f t="shared" si="273"/>
        <v>0.16525103944538896</v>
      </c>
      <c r="J412" s="412">
        <f t="shared" si="269"/>
        <v>3.4328302804222569E-2</v>
      </c>
      <c r="K412" s="91">
        <f t="shared" si="274"/>
        <v>17.152557999999999</v>
      </c>
      <c r="L412" s="87">
        <f t="shared" si="274"/>
        <v>17.151553</v>
      </c>
      <c r="M412" s="88">
        <f t="shared" si="275"/>
        <v>34.304110999999999</v>
      </c>
      <c r="N412" s="89">
        <f t="shared" si="276"/>
        <v>19.986453000000001</v>
      </c>
      <c r="O412" s="90">
        <f t="shared" si="276"/>
        <v>19.986447999999999</v>
      </c>
      <c r="P412" s="88">
        <f t="shared" si="277"/>
        <v>39.972901</v>
      </c>
      <c r="Q412" s="86">
        <f t="shared" si="278"/>
        <v>5.6687900000000013</v>
      </c>
      <c r="R412" s="84">
        <f t="shared" si="279"/>
        <v>0.16525103944538896</v>
      </c>
      <c r="S412" s="85">
        <f t="shared" si="270"/>
        <v>3.4328302804222569E-2</v>
      </c>
      <c r="T412" s="85">
        <f t="shared" si="271"/>
        <v>1</v>
      </c>
    </row>
    <row r="413" spans="1:20" hidden="1" outlineLevel="1">
      <c r="A413" s="50" t="s">
        <v>735</v>
      </c>
      <c r="B413" s="86">
        <f>INDEX(Data!1856:1856,1,$U$1-2)/1000000</f>
        <v>10.252447</v>
      </c>
      <c r="C413" s="87">
        <f>INDEX(Data!1856:1856,1,$U$1-1)/1000000</f>
        <v>13.025105</v>
      </c>
      <c r="D413" s="88">
        <f t="shared" si="267"/>
        <v>23.277552</v>
      </c>
      <c r="E413" s="89">
        <f>INDEX(Data!1856:1856,1,$U$1)/1000000</f>
        <v>17.160025999999998</v>
      </c>
      <c r="F413" s="90">
        <f>INDEX(Data!1856:1856,1,$U$1+1)/1000000</f>
        <v>19.510021999999999</v>
      </c>
      <c r="G413" s="88">
        <f t="shared" si="268"/>
        <v>36.670047999999994</v>
      </c>
      <c r="H413" s="86">
        <f t="shared" si="272"/>
        <v>13.392495999999994</v>
      </c>
      <c r="I413" s="84">
        <f t="shared" si="273"/>
        <v>0.57533953742214794</v>
      </c>
      <c r="J413" s="412">
        <f t="shared" si="269"/>
        <v>3.149184772927479E-2</v>
      </c>
      <c r="K413" s="91">
        <f t="shared" si="274"/>
        <v>10.252447</v>
      </c>
      <c r="L413" s="87">
        <f t="shared" si="274"/>
        <v>13.025105</v>
      </c>
      <c r="M413" s="88">
        <f t="shared" si="275"/>
        <v>23.277552</v>
      </c>
      <c r="N413" s="89">
        <f t="shared" si="276"/>
        <v>17.160025999999998</v>
      </c>
      <c r="O413" s="90">
        <f t="shared" si="276"/>
        <v>19.510021999999999</v>
      </c>
      <c r="P413" s="88">
        <f t="shared" si="277"/>
        <v>36.670047999999994</v>
      </c>
      <c r="Q413" s="86">
        <f t="shared" si="278"/>
        <v>13.392495999999994</v>
      </c>
      <c r="R413" s="84">
        <f t="shared" si="279"/>
        <v>0.57533953742214794</v>
      </c>
      <c r="S413" s="85">
        <f t="shared" si="270"/>
        <v>3.149184772927479E-2</v>
      </c>
      <c r="T413" s="85">
        <f t="shared" si="271"/>
        <v>1</v>
      </c>
    </row>
    <row r="414" spans="1:20" hidden="1" outlineLevel="1">
      <c r="A414" s="50" t="s">
        <v>855</v>
      </c>
      <c r="B414" s="86">
        <f>INDEX(Data!1866:1866,1,$U$1-2)/1000000</f>
        <v>5.7377989999999999</v>
      </c>
      <c r="C414" s="87">
        <f>INDEX(Data!1866:1866,1,$U$1-1)/1000000</f>
        <v>5.7377950000000002</v>
      </c>
      <c r="D414" s="88">
        <f t="shared" si="267"/>
        <v>11.475594000000001</v>
      </c>
      <c r="E414" s="89">
        <f>INDEX(Data!1866:1866,1,$U$1)/1000000</f>
        <v>7.7332400000000003</v>
      </c>
      <c r="F414" s="90">
        <f>INDEX(Data!1866:1866,1,$U$1+1)/1000000</f>
        <v>7.7332359999999998</v>
      </c>
      <c r="G414" s="88">
        <f t="shared" si="268"/>
        <v>15.466476</v>
      </c>
      <c r="H414" s="86">
        <f t="shared" si="272"/>
        <v>3.9908819999999992</v>
      </c>
      <c r="I414" s="84">
        <f t="shared" si="273"/>
        <v>0.34777127876779179</v>
      </c>
      <c r="J414" s="412">
        <f t="shared" ref="J414:J446" si="293">IFERROR(G414/G$456,"")</f>
        <v>1.3282445310692888E-2</v>
      </c>
      <c r="K414" s="91">
        <f t="shared" si="274"/>
        <v>5.7377989999999999</v>
      </c>
      <c r="L414" s="87">
        <f t="shared" si="274"/>
        <v>5.7377950000000002</v>
      </c>
      <c r="M414" s="88">
        <f t="shared" si="275"/>
        <v>11.475594000000001</v>
      </c>
      <c r="N414" s="89">
        <f t="shared" si="276"/>
        <v>7.7332400000000003</v>
      </c>
      <c r="O414" s="90">
        <f t="shared" si="276"/>
        <v>7.7332359999999998</v>
      </c>
      <c r="P414" s="88">
        <f t="shared" si="277"/>
        <v>15.466476</v>
      </c>
      <c r="Q414" s="86">
        <f t="shared" si="278"/>
        <v>3.9908819999999992</v>
      </c>
      <c r="R414" s="84">
        <f t="shared" si="279"/>
        <v>0.34777127876779179</v>
      </c>
      <c r="S414" s="85">
        <f t="shared" ref="S414:S446" si="294">IFERROR(P414/P$456,"")</f>
        <v>1.3282445310692888E-2</v>
      </c>
      <c r="T414" s="85">
        <f t="shared" si="271"/>
        <v>1</v>
      </c>
    </row>
    <row r="415" spans="1:20" hidden="1" outlineLevel="1">
      <c r="A415" s="50" t="s">
        <v>737</v>
      </c>
      <c r="B415" s="86">
        <f>INDEX(Data!1873:1873,1,$U$1-2)/1000000</f>
        <v>7.5449000000000002</v>
      </c>
      <c r="C415" s="87">
        <f>INDEX(Data!1873:1873,1,$U$1-1)/1000000</f>
        <v>7.5448959999999996</v>
      </c>
      <c r="D415" s="88">
        <f t="shared" si="267"/>
        <v>15.089796</v>
      </c>
      <c r="E415" s="89">
        <f>INDEX(Data!1873:1873,1,$U$1)/1000000</f>
        <v>14.002927</v>
      </c>
      <c r="F415" s="90">
        <f>INDEX(Data!1873:1873,1,$U$1+1)/1000000</f>
        <v>14.002926</v>
      </c>
      <c r="G415" s="88">
        <f t="shared" si="268"/>
        <v>28.005853000000002</v>
      </c>
      <c r="H415" s="86">
        <f t="shared" si="272"/>
        <v>12.916057000000002</v>
      </c>
      <c r="I415" s="84">
        <f t="shared" si="273"/>
        <v>0.85594642896431483</v>
      </c>
      <c r="J415" s="412">
        <f t="shared" si="293"/>
        <v>2.4051129090544243E-2</v>
      </c>
      <c r="K415" s="91">
        <f t="shared" si="274"/>
        <v>7.5449000000000002</v>
      </c>
      <c r="L415" s="87">
        <f t="shared" si="274"/>
        <v>7.5448959999999996</v>
      </c>
      <c r="M415" s="88">
        <f t="shared" si="275"/>
        <v>15.089796</v>
      </c>
      <c r="N415" s="89">
        <f t="shared" si="276"/>
        <v>14.002927</v>
      </c>
      <c r="O415" s="90">
        <f t="shared" si="276"/>
        <v>14.002926</v>
      </c>
      <c r="P415" s="88">
        <f t="shared" si="277"/>
        <v>28.005853000000002</v>
      </c>
      <c r="Q415" s="86">
        <f t="shared" si="278"/>
        <v>12.916057000000002</v>
      </c>
      <c r="R415" s="84">
        <f t="shared" si="279"/>
        <v>0.85594642896431483</v>
      </c>
      <c r="S415" s="85">
        <f t="shared" si="294"/>
        <v>2.4051129090544243E-2</v>
      </c>
      <c r="T415" s="85">
        <f t="shared" si="271"/>
        <v>1</v>
      </c>
    </row>
    <row r="416" spans="1:20" hidden="1" outlineLevel="1">
      <c r="A416" s="50" t="s">
        <v>738</v>
      </c>
      <c r="B416" s="86">
        <f>INDEX(Data!1885:1885,1,$U$1-2)/1000000</f>
        <v>3.507673</v>
      </c>
      <c r="C416" s="87">
        <f>INDEX(Data!1885:1885,1,$U$1-1)/1000000</f>
        <v>3.5076670000000001</v>
      </c>
      <c r="D416" s="88">
        <f t="shared" si="267"/>
        <v>7.0153400000000001</v>
      </c>
      <c r="E416" s="89">
        <f>INDEX(Data!1885:1885,1,$U$1)/1000000</f>
        <v>7.4641979999999997</v>
      </c>
      <c r="F416" s="90">
        <f>INDEX(Data!1885:1885,1,$U$1+1)/1000000</f>
        <v>7.4641909999999996</v>
      </c>
      <c r="G416" s="88">
        <f t="shared" si="268"/>
        <v>14.928388999999999</v>
      </c>
      <c r="H416" s="86">
        <f t="shared" si="272"/>
        <v>7.9130489999999991</v>
      </c>
      <c r="I416" s="84">
        <f t="shared" si="273"/>
        <v>1.1279637195061107</v>
      </c>
      <c r="J416" s="412">
        <f t="shared" si="293"/>
        <v>1.2820341910416392E-2</v>
      </c>
      <c r="K416" s="91">
        <f t="shared" si="274"/>
        <v>3.507673</v>
      </c>
      <c r="L416" s="87">
        <f t="shared" si="274"/>
        <v>3.5076670000000001</v>
      </c>
      <c r="M416" s="88">
        <f t="shared" si="275"/>
        <v>7.0153400000000001</v>
      </c>
      <c r="N416" s="89">
        <f t="shared" si="276"/>
        <v>7.4641979999999997</v>
      </c>
      <c r="O416" s="90">
        <f t="shared" si="276"/>
        <v>7.4641909999999996</v>
      </c>
      <c r="P416" s="88">
        <f t="shared" si="277"/>
        <v>14.928388999999999</v>
      </c>
      <c r="Q416" s="86">
        <f t="shared" si="278"/>
        <v>7.9130489999999991</v>
      </c>
      <c r="R416" s="84">
        <f t="shared" si="279"/>
        <v>1.1279637195061107</v>
      </c>
      <c r="S416" s="85">
        <f t="shared" si="294"/>
        <v>1.2820341910416392E-2</v>
      </c>
      <c r="T416" s="85">
        <f t="shared" si="271"/>
        <v>1</v>
      </c>
    </row>
    <row r="417" spans="1:20" hidden="1" outlineLevel="1">
      <c r="A417" s="50" t="s">
        <v>1367</v>
      </c>
      <c r="B417" s="86">
        <f>INDEX(Data!1896:1896,1,$U$1-2)/1000000</f>
        <v>8.1760750000000009</v>
      </c>
      <c r="C417" s="87">
        <f>INDEX(Data!1896:1896,1,$U$1-1)/1000000</f>
        <v>8.1760710000000003</v>
      </c>
      <c r="D417" s="88">
        <f t="shared" si="267"/>
        <v>16.352146000000001</v>
      </c>
      <c r="E417" s="89">
        <f>INDEX(Data!1896:1896,1,$U$1)/1000000</f>
        <v>10.337835</v>
      </c>
      <c r="F417" s="90">
        <f>INDEX(Data!1896:1896,1,$U$1+1)/1000000</f>
        <v>8.0178320000000003</v>
      </c>
      <c r="G417" s="88">
        <f t="shared" si="268"/>
        <v>18.355667</v>
      </c>
      <c r="H417" s="86">
        <f t="shared" si="272"/>
        <v>2.0035209999999992</v>
      </c>
      <c r="I417" s="84">
        <f t="shared" si="273"/>
        <v>0.12252342903494129</v>
      </c>
      <c r="J417" s="412">
        <f t="shared" si="293"/>
        <v>1.5763651853776529E-2</v>
      </c>
      <c r="K417" s="91">
        <f t="shared" si="274"/>
        <v>8.1760750000000009</v>
      </c>
      <c r="L417" s="87">
        <f t="shared" si="274"/>
        <v>8.1760710000000003</v>
      </c>
      <c r="M417" s="88">
        <f t="shared" si="275"/>
        <v>16.352146000000001</v>
      </c>
      <c r="N417" s="89">
        <f t="shared" si="276"/>
        <v>10.337835</v>
      </c>
      <c r="O417" s="90">
        <f t="shared" si="276"/>
        <v>8.0178320000000003</v>
      </c>
      <c r="P417" s="88">
        <f t="shared" si="277"/>
        <v>18.355667</v>
      </c>
      <c r="Q417" s="86">
        <f t="shared" si="278"/>
        <v>2.0035209999999992</v>
      </c>
      <c r="R417" s="84">
        <f t="shared" si="279"/>
        <v>0.12252342903494129</v>
      </c>
      <c r="S417" s="85">
        <f t="shared" si="294"/>
        <v>1.5763651853776529E-2</v>
      </c>
      <c r="T417" s="85">
        <f t="shared" si="271"/>
        <v>1</v>
      </c>
    </row>
    <row r="418" spans="1:20" hidden="1" outlineLevel="1">
      <c r="A418" s="50" t="s">
        <v>1094</v>
      </c>
      <c r="B418" s="86">
        <f>INDEX(Data!1910:1910,1,$U$1-2)/1000000</f>
        <v>5.4745650000000001</v>
      </c>
      <c r="C418" s="87">
        <f>INDEX(Data!1910:1910,1,$U$1-1)/1000000</f>
        <v>5.4745619999999997</v>
      </c>
      <c r="D418" s="88">
        <f t="shared" si="267"/>
        <v>10.949127000000001</v>
      </c>
      <c r="E418" s="89">
        <f>INDEX(Data!1910:1910,1,$U$1)/1000000</f>
        <v>12.02829</v>
      </c>
      <c r="F418" s="90">
        <f>INDEX(Data!1910:1910,1,$U$1+1)/1000000</f>
        <v>12.028288999999999</v>
      </c>
      <c r="G418" s="88">
        <f t="shared" si="268"/>
        <v>24.056578999999999</v>
      </c>
      <c r="H418" s="86">
        <f t="shared" si="272"/>
        <v>13.107451999999999</v>
      </c>
      <c r="I418" s="84">
        <f t="shared" si="273"/>
        <v>1.1971230217715072</v>
      </c>
      <c r="J418" s="412">
        <f t="shared" si="293"/>
        <v>2.0659534526796083E-2</v>
      </c>
      <c r="K418" s="91">
        <f t="shared" si="274"/>
        <v>5.4745650000000001</v>
      </c>
      <c r="L418" s="87">
        <f t="shared" si="274"/>
        <v>5.4745619999999997</v>
      </c>
      <c r="M418" s="88">
        <f t="shared" si="275"/>
        <v>10.949127000000001</v>
      </c>
      <c r="N418" s="89">
        <f t="shared" si="276"/>
        <v>12.02829</v>
      </c>
      <c r="O418" s="90">
        <f t="shared" si="276"/>
        <v>12.028288999999999</v>
      </c>
      <c r="P418" s="88">
        <f t="shared" si="277"/>
        <v>24.056578999999999</v>
      </c>
      <c r="Q418" s="86">
        <f t="shared" si="278"/>
        <v>13.107451999999999</v>
      </c>
      <c r="R418" s="84">
        <f t="shared" si="279"/>
        <v>1.1971230217715072</v>
      </c>
      <c r="S418" s="85">
        <f t="shared" si="294"/>
        <v>2.0659534526796083E-2</v>
      </c>
      <c r="T418" s="85">
        <f t="shared" si="271"/>
        <v>1</v>
      </c>
    </row>
    <row r="419" spans="1:20" hidden="1" outlineLevel="1">
      <c r="A419" s="678" t="s">
        <v>859</v>
      </c>
      <c r="B419" s="86">
        <f>INDEX(Data!1921:1921,1,$U$1-2)/1000000</f>
        <v>2.8770720000000001</v>
      </c>
      <c r="C419" s="87">
        <f>INDEX(Data!1921:1921,1,$U$1-1)/1000000</f>
        <v>2.8770699999999998</v>
      </c>
      <c r="D419" s="88">
        <f t="shared" si="267"/>
        <v>5.7541419999999999</v>
      </c>
      <c r="E419" s="89">
        <f>INDEX(Data!1921:1921,1,$U$1)/1000000</f>
        <v>3.4662160000000002</v>
      </c>
      <c r="F419" s="90">
        <f>INDEX(Data!1921:1921,1,$U$1+1)/1000000</f>
        <v>3.4662139999999999</v>
      </c>
      <c r="G419" s="88">
        <f t="shared" si="268"/>
        <v>6.9324300000000001</v>
      </c>
      <c r="H419" s="86">
        <f t="shared" si="272"/>
        <v>1.1782880000000002</v>
      </c>
      <c r="I419" s="84">
        <f t="shared" si="273"/>
        <v>0.20477214500441598</v>
      </c>
      <c r="J419" s="412">
        <f t="shared" si="293"/>
        <v>5.9534972507768865E-3</v>
      </c>
      <c r="K419" s="91">
        <f t="shared" si="274"/>
        <v>2.8770720000000001</v>
      </c>
      <c r="L419" s="87">
        <f t="shared" si="274"/>
        <v>2.8770699999999998</v>
      </c>
      <c r="M419" s="88">
        <f t="shared" si="275"/>
        <v>5.7541419999999999</v>
      </c>
      <c r="N419" s="89">
        <f t="shared" si="276"/>
        <v>3.4662160000000002</v>
      </c>
      <c r="O419" s="90">
        <f t="shared" si="276"/>
        <v>3.4662139999999999</v>
      </c>
      <c r="P419" s="88">
        <f t="shared" si="277"/>
        <v>6.9324300000000001</v>
      </c>
      <c r="Q419" s="86">
        <f t="shared" si="278"/>
        <v>1.1782880000000002</v>
      </c>
      <c r="R419" s="84">
        <f t="shared" si="279"/>
        <v>0.20477214500441598</v>
      </c>
      <c r="S419" s="85">
        <f t="shared" si="294"/>
        <v>5.9534972507768865E-3</v>
      </c>
      <c r="T419" s="85">
        <f t="shared" si="271"/>
        <v>1</v>
      </c>
    </row>
    <row r="420" spans="1:20" hidden="1" outlineLevel="1">
      <c r="A420" s="50" t="s">
        <v>1427</v>
      </c>
      <c r="B420" s="86">
        <f>INDEX(Data!1926:1926,1,$U$1-2)/1000000</f>
        <v>1.81131</v>
      </c>
      <c r="C420" s="87">
        <f>INDEX(Data!1926:1926,1,$U$1-1)/1000000</f>
        <v>1.8113090000000001</v>
      </c>
      <c r="D420" s="88">
        <f t="shared" si="267"/>
        <v>3.6226190000000003</v>
      </c>
      <c r="E420" s="89">
        <f>INDEX(Data!1926:1926,1,$U$1)/1000000</f>
        <v>1.98681</v>
      </c>
      <c r="F420" s="90">
        <f>INDEX(Data!1926:1926,1,$U$1+1)/1000000</f>
        <v>1.986809</v>
      </c>
      <c r="G420" s="88">
        <f t="shared" si="268"/>
        <v>3.9736190000000002</v>
      </c>
      <c r="H420" s="86">
        <f t="shared" si="272"/>
        <v>0.35099999999999998</v>
      </c>
      <c r="I420" s="84">
        <f t="shared" si="273"/>
        <v>9.6891227037676317E-2</v>
      </c>
      <c r="J420" s="412">
        <f t="shared" si="293"/>
        <v>3.4125017911662723E-3</v>
      </c>
      <c r="K420" s="91">
        <f t="shared" si="274"/>
        <v>1.81131</v>
      </c>
      <c r="L420" s="87">
        <f t="shared" si="274"/>
        <v>1.8113090000000001</v>
      </c>
      <c r="M420" s="88">
        <f t="shared" si="275"/>
        <v>3.6226190000000003</v>
      </c>
      <c r="N420" s="89">
        <f t="shared" si="276"/>
        <v>1.98681</v>
      </c>
      <c r="O420" s="90">
        <f t="shared" si="276"/>
        <v>1.986809</v>
      </c>
      <c r="P420" s="88">
        <f t="shared" si="277"/>
        <v>3.9736190000000002</v>
      </c>
      <c r="Q420" s="86">
        <f t="shared" si="278"/>
        <v>0.35099999999999998</v>
      </c>
      <c r="R420" s="84">
        <f t="shared" si="279"/>
        <v>9.6891227037676317E-2</v>
      </c>
      <c r="S420" s="85">
        <f t="shared" si="294"/>
        <v>3.4125017911662723E-3</v>
      </c>
      <c r="T420" s="85">
        <f t="shared" si="271"/>
        <v>1</v>
      </c>
    </row>
    <row r="421" spans="1:20" collapsed="1">
      <c r="A421" s="113" t="s">
        <v>805</v>
      </c>
      <c r="B421" s="105">
        <f>SUM(B382:B420)</f>
        <v>234.13435999999999</v>
      </c>
      <c r="C421" s="106">
        <f t="shared" ref="C421:H421" si="295">SUM(C382:C420)</f>
        <v>236.90590100000006</v>
      </c>
      <c r="D421" s="107">
        <f t="shared" si="295"/>
        <v>471.04026099999999</v>
      </c>
      <c r="E421" s="114">
        <f t="shared" si="295"/>
        <v>424.78860400000008</v>
      </c>
      <c r="F421" s="115">
        <f t="shared" si="295"/>
        <v>379.81850099999991</v>
      </c>
      <c r="G421" s="107">
        <f t="shared" si="295"/>
        <v>804.60710500000005</v>
      </c>
      <c r="H421" s="105">
        <f t="shared" si="295"/>
        <v>333.566844</v>
      </c>
      <c r="I421" s="449">
        <f t="shared" si="273"/>
        <v>0.70814932738838643</v>
      </c>
      <c r="J421" s="454">
        <f t="shared" si="293"/>
        <v>0.69098803559113464</v>
      </c>
      <c r="K421" s="405">
        <f t="shared" ref="K421:Q421" si="296">SUM(K382:K420)</f>
        <v>234.13435999999999</v>
      </c>
      <c r="L421" s="106">
        <f t="shared" si="296"/>
        <v>236.90590100000006</v>
      </c>
      <c r="M421" s="107">
        <f t="shared" si="296"/>
        <v>471.04026099999999</v>
      </c>
      <c r="N421" s="114">
        <f t="shared" si="296"/>
        <v>424.78860400000008</v>
      </c>
      <c r="O421" s="115">
        <f t="shared" si="296"/>
        <v>379.81850099999991</v>
      </c>
      <c r="P421" s="107">
        <f t="shared" si="296"/>
        <v>804.60710500000005</v>
      </c>
      <c r="Q421" s="105">
        <f t="shared" si="296"/>
        <v>333.566844</v>
      </c>
      <c r="R421" s="449">
        <f t="shared" si="279"/>
        <v>0.70814932738838643</v>
      </c>
      <c r="S421" s="454">
        <f t="shared" si="294"/>
        <v>0.69098803559113464</v>
      </c>
      <c r="T421" s="454">
        <f t="shared" si="271"/>
        <v>1</v>
      </c>
    </row>
    <row r="422" spans="1:20" ht="25.5" hidden="1" outlineLevel="1">
      <c r="A422" s="79" t="s">
        <v>1429</v>
      </c>
      <c r="B422" s="86">
        <f>INDEX(Data!1929:1929,1,$U$1-2)/1000000</f>
        <v>0</v>
      </c>
      <c r="C422" s="87">
        <f>INDEX(Data!1929:1929,1,$U$1-1)/1000000</f>
        <v>0</v>
      </c>
      <c r="D422" s="88">
        <f>B422+C422</f>
        <v>0</v>
      </c>
      <c r="E422" s="89">
        <f>INDEX(Data!1929:1929,1,$U$1)/1000000</f>
        <v>0.57025999999999999</v>
      </c>
      <c r="F422" s="90">
        <f>INDEX(Data!1929:1929,1,$U$1+1)/1000000</f>
        <v>0.57025899999999996</v>
      </c>
      <c r="G422" s="88">
        <f>E422+F422</f>
        <v>1.1405189999999998</v>
      </c>
      <c r="H422" s="86">
        <f t="shared" ref="H422:H424" si="297">G422-D422</f>
        <v>1.1405189999999998</v>
      </c>
      <c r="I422" s="447" t="str">
        <f t="shared" si="273"/>
        <v/>
      </c>
      <c r="J422" s="453">
        <f t="shared" si="293"/>
        <v>9.7946560310869396E-4</v>
      </c>
      <c r="K422" s="91">
        <f t="shared" ref="K422:L424" si="298">B422</f>
        <v>0</v>
      </c>
      <c r="L422" s="87">
        <f t="shared" si="298"/>
        <v>0</v>
      </c>
      <c r="M422" s="88">
        <f t="shared" ref="M422:M424" si="299">K422+L422</f>
        <v>0</v>
      </c>
      <c r="N422" s="89">
        <f t="shared" ref="N422:O424" si="300">E422</f>
        <v>0.57025999999999999</v>
      </c>
      <c r="O422" s="90">
        <f t="shared" si="300"/>
        <v>0.57025899999999996</v>
      </c>
      <c r="P422" s="88">
        <f t="shared" ref="P422:P424" si="301">N422+O422</f>
        <v>1.1405189999999998</v>
      </c>
      <c r="Q422" s="86">
        <f t="shared" ref="Q422:Q424" si="302">P422-M422</f>
        <v>1.1405189999999998</v>
      </c>
      <c r="R422" s="447" t="str">
        <f t="shared" si="279"/>
        <v/>
      </c>
      <c r="S422" s="453">
        <f t="shared" si="294"/>
        <v>9.7946560310869396E-4</v>
      </c>
      <c r="T422" s="453">
        <f t="shared" si="271"/>
        <v>1</v>
      </c>
    </row>
    <row r="423" spans="1:20" ht="25.5" hidden="1" outlineLevel="1">
      <c r="A423" s="79" t="s">
        <v>1430</v>
      </c>
      <c r="B423" s="86">
        <f>INDEX(Data!1931:1931,1,$U$1-2)/1000000</f>
        <v>0.47453200000000001</v>
      </c>
      <c r="C423" s="87">
        <f>INDEX(Data!1931:1931,1,$U$1-1)/1000000</f>
        <v>0.47453099999999998</v>
      </c>
      <c r="D423" s="88">
        <f>B423+C423</f>
        <v>0.94906299999999999</v>
      </c>
      <c r="E423" s="89">
        <f>INDEX(Data!1931:1931,1,$U$1)/1000000</f>
        <v>0</v>
      </c>
      <c r="F423" s="90">
        <f>INDEX(Data!1931:1931,1,$U$1+1)/1000000</f>
        <v>0</v>
      </c>
      <c r="G423" s="88">
        <f>E423+F423</f>
        <v>0</v>
      </c>
      <c r="H423" s="86">
        <f t="shared" si="297"/>
        <v>-0.94906299999999999</v>
      </c>
      <c r="I423" s="447">
        <f t="shared" si="273"/>
        <v>-1</v>
      </c>
      <c r="J423" s="453">
        <f t="shared" si="293"/>
        <v>0</v>
      </c>
      <c r="K423" s="91">
        <f t="shared" si="298"/>
        <v>0.47453200000000001</v>
      </c>
      <c r="L423" s="87">
        <f t="shared" si="298"/>
        <v>0.47453099999999998</v>
      </c>
      <c r="M423" s="88">
        <f t="shared" si="299"/>
        <v>0.94906299999999999</v>
      </c>
      <c r="N423" s="89">
        <f t="shared" si="300"/>
        <v>0</v>
      </c>
      <c r="O423" s="90">
        <f t="shared" si="300"/>
        <v>0</v>
      </c>
      <c r="P423" s="88">
        <f t="shared" si="301"/>
        <v>0</v>
      </c>
      <c r="Q423" s="86">
        <f t="shared" si="302"/>
        <v>-0.94906299999999999</v>
      </c>
      <c r="R423" s="447">
        <f t="shared" si="279"/>
        <v>-1</v>
      </c>
      <c r="S423" s="453">
        <f t="shared" si="294"/>
        <v>0</v>
      </c>
      <c r="T423" s="453" t="str">
        <f t="shared" si="271"/>
        <v/>
      </c>
    </row>
    <row r="424" spans="1:20" ht="25.5" hidden="1" outlineLevel="1">
      <c r="A424" s="79" t="s">
        <v>1431</v>
      </c>
      <c r="B424" s="86">
        <f>INDEX(Data!1936:1936,1,$U$1-2)/1000000</f>
        <v>0.31400299999999998</v>
      </c>
      <c r="C424" s="87">
        <f>INDEX(Data!1936:1936,1,$U$1-1)/1000000</f>
        <v>0.31400299999999998</v>
      </c>
      <c r="D424" s="88">
        <f>B424+C424</f>
        <v>0.62800599999999995</v>
      </c>
      <c r="E424" s="89">
        <f>INDEX(Data!1936:1936,1,$U$1)/1000000</f>
        <v>0.31400299999999998</v>
      </c>
      <c r="F424" s="90">
        <f>INDEX(Data!1936:1936,1,$U$1+1)/1000000</f>
        <v>0.31400299999999998</v>
      </c>
      <c r="G424" s="88">
        <f>E424+F424</f>
        <v>0.62800599999999995</v>
      </c>
      <c r="H424" s="86">
        <f t="shared" si="297"/>
        <v>0</v>
      </c>
      <c r="I424" s="447">
        <f t="shared" si="273"/>
        <v>0</v>
      </c>
      <c r="J424" s="453">
        <f t="shared" si="293"/>
        <v>5.3932488239641645E-4</v>
      </c>
      <c r="K424" s="91">
        <f t="shared" si="298"/>
        <v>0.31400299999999998</v>
      </c>
      <c r="L424" s="87">
        <f t="shared" si="298"/>
        <v>0.31400299999999998</v>
      </c>
      <c r="M424" s="88">
        <f t="shared" si="299"/>
        <v>0.62800599999999995</v>
      </c>
      <c r="N424" s="89">
        <f t="shared" si="300"/>
        <v>0.31400299999999998</v>
      </c>
      <c r="O424" s="90">
        <f t="shared" si="300"/>
        <v>0.31400299999999998</v>
      </c>
      <c r="P424" s="88">
        <f t="shared" si="301"/>
        <v>0.62800599999999995</v>
      </c>
      <c r="Q424" s="86">
        <f t="shared" si="302"/>
        <v>0</v>
      </c>
      <c r="R424" s="447">
        <f t="shared" si="279"/>
        <v>0</v>
      </c>
      <c r="S424" s="453">
        <f t="shared" si="294"/>
        <v>5.3932488239641645E-4</v>
      </c>
      <c r="T424" s="453">
        <f t="shared" si="271"/>
        <v>1</v>
      </c>
    </row>
    <row r="425" spans="1:20" collapsed="1">
      <c r="A425" s="113" t="s">
        <v>1830</v>
      </c>
      <c r="B425" s="105">
        <f t="shared" ref="B425:G425" si="303">SUM(B422:B424)</f>
        <v>0.78853499999999999</v>
      </c>
      <c r="C425" s="106">
        <f t="shared" si="303"/>
        <v>0.78853399999999996</v>
      </c>
      <c r="D425" s="107">
        <f t="shared" si="303"/>
        <v>1.5770689999999998</v>
      </c>
      <c r="E425" s="114">
        <f t="shared" si="303"/>
        <v>0.88426300000000002</v>
      </c>
      <c r="F425" s="115">
        <f t="shared" si="303"/>
        <v>0.88426199999999988</v>
      </c>
      <c r="G425" s="107">
        <f t="shared" si="303"/>
        <v>1.7685249999999999</v>
      </c>
      <c r="H425" s="105">
        <f t="shared" ref="H425" si="304">SUM(H422:H424)</f>
        <v>0.19145599999999985</v>
      </c>
      <c r="I425" s="449">
        <f t="shared" si="273"/>
        <v>0.12139988802011825</v>
      </c>
      <c r="J425" s="454">
        <f t="shared" si="293"/>
        <v>1.5187904855051104E-3</v>
      </c>
      <c r="K425" s="405">
        <f t="shared" ref="K425:Q425" si="305">SUM(K422:K424)</f>
        <v>0.78853499999999999</v>
      </c>
      <c r="L425" s="106">
        <f t="shared" si="305"/>
        <v>0.78853399999999996</v>
      </c>
      <c r="M425" s="107">
        <f t="shared" si="305"/>
        <v>1.5770689999999998</v>
      </c>
      <c r="N425" s="114">
        <f t="shared" si="305"/>
        <v>0.88426300000000002</v>
      </c>
      <c r="O425" s="115">
        <f t="shared" si="305"/>
        <v>0.88426199999999988</v>
      </c>
      <c r="P425" s="107">
        <f t="shared" si="305"/>
        <v>1.7685249999999999</v>
      </c>
      <c r="Q425" s="105">
        <f t="shared" si="305"/>
        <v>0.19145599999999985</v>
      </c>
      <c r="R425" s="449">
        <f t="shared" si="279"/>
        <v>0.12139988802011825</v>
      </c>
      <c r="S425" s="454">
        <f t="shared" si="294"/>
        <v>1.5187904855051104E-3</v>
      </c>
      <c r="T425" s="454">
        <f t="shared" si="271"/>
        <v>1</v>
      </c>
    </row>
    <row r="426" spans="1:20" ht="25.5" hidden="1" outlineLevel="1">
      <c r="A426" s="79" t="s">
        <v>1433</v>
      </c>
      <c r="B426" s="86">
        <f>INDEX(Data!1951:1951,1,$U$1-2)/1000000</f>
        <v>41.784965999999997</v>
      </c>
      <c r="C426" s="87">
        <f>INDEX(Data!1951:1951,1,$U$1-1)/1000000</f>
        <v>41.784965999999997</v>
      </c>
      <c r="D426" s="88">
        <f t="shared" ref="D426:D434" si="306">B426+C426</f>
        <v>83.569931999999994</v>
      </c>
      <c r="E426" s="89">
        <f>INDEX(Data!1951:1951,1,$U$1)/1000000</f>
        <v>2.3076319999999999</v>
      </c>
      <c r="F426" s="90">
        <f>INDEX(Data!1951:1951,1,$U$1+1)/1000000</f>
        <v>2.3076319999999999</v>
      </c>
      <c r="G426" s="88">
        <f t="shared" ref="G426:G434" si="307">E426+F426</f>
        <v>4.6152639999999998</v>
      </c>
      <c r="H426" s="86">
        <f t="shared" ref="H426:H434" si="308">G426-D426</f>
        <v>-78.954667999999998</v>
      </c>
      <c r="I426" s="447">
        <f t="shared" si="273"/>
        <v>-0.94477362982657453</v>
      </c>
      <c r="J426" s="453">
        <f t="shared" si="293"/>
        <v>3.963539701895228E-3</v>
      </c>
      <c r="K426" s="91">
        <f t="shared" ref="K426:L434" si="309">B426</f>
        <v>41.784965999999997</v>
      </c>
      <c r="L426" s="87">
        <f t="shared" si="309"/>
        <v>41.784965999999997</v>
      </c>
      <c r="M426" s="88">
        <f t="shared" ref="M426:M434" si="310">K426+L426</f>
        <v>83.569931999999994</v>
      </c>
      <c r="N426" s="89">
        <f t="shared" ref="N426:O434" si="311">E426</f>
        <v>2.3076319999999999</v>
      </c>
      <c r="O426" s="90">
        <f t="shared" si="311"/>
        <v>2.3076319999999999</v>
      </c>
      <c r="P426" s="88">
        <f t="shared" ref="P426:P434" si="312">N426+O426</f>
        <v>4.6152639999999998</v>
      </c>
      <c r="Q426" s="86">
        <f t="shared" ref="Q426:Q434" si="313">P426-M426</f>
        <v>-78.954667999999998</v>
      </c>
      <c r="R426" s="447">
        <f t="shared" si="279"/>
        <v>-0.94477362982657453</v>
      </c>
      <c r="S426" s="453">
        <f t="shared" si="294"/>
        <v>3.963539701895228E-3</v>
      </c>
      <c r="T426" s="453">
        <f t="shared" si="271"/>
        <v>1</v>
      </c>
    </row>
    <row r="427" spans="1:20" ht="25.5" hidden="1" outlineLevel="1">
      <c r="A427" s="79" t="s">
        <v>1434</v>
      </c>
      <c r="B427" s="86">
        <f>INDEX(Data!1960:1960,1,$U$1-2)/1000000</f>
        <v>7.5997260000000004</v>
      </c>
      <c r="C427" s="87">
        <f>INDEX(Data!1960:1960,1,$U$1-1)/1000000</f>
        <v>7.5997260000000004</v>
      </c>
      <c r="D427" s="88">
        <f t="shared" si="306"/>
        <v>15.199452000000001</v>
      </c>
      <c r="E427" s="89">
        <f>INDEX(Data!1960:1960,1,$U$1)/1000000</f>
        <v>8.0166170000000001</v>
      </c>
      <c r="F427" s="90">
        <f>INDEX(Data!1960:1960,1,$U$1+1)/1000000</f>
        <v>8.0166170000000001</v>
      </c>
      <c r="G427" s="88">
        <f t="shared" si="307"/>
        <v>16.033234</v>
      </c>
      <c r="H427" s="86">
        <f t="shared" si="308"/>
        <v>0.83378199999999936</v>
      </c>
      <c r="I427" s="447">
        <f t="shared" si="273"/>
        <v>5.4856056652568742E-2</v>
      </c>
      <c r="J427" s="453">
        <f t="shared" si="293"/>
        <v>1.3769171061238629E-2</v>
      </c>
      <c r="K427" s="91">
        <f t="shared" si="309"/>
        <v>7.5997260000000004</v>
      </c>
      <c r="L427" s="87">
        <f t="shared" si="309"/>
        <v>7.5997260000000004</v>
      </c>
      <c r="M427" s="88">
        <f t="shared" si="310"/>
        <v>15.199452000000001</v>
      </c>
      <c r="N427" s="89">
        <f t="shared" si="311"/>
        <v>8.0166170000000001</v>
      </c>
      <c r="O427" s="90">
        <f t="shared" si="311"/>
        <v>8.0166170000000001</v>
      </c>
      <c r="P427" s="88">
        <f t="shared" si="312"/>
        <v>16.033234</v>
      </c>
      <c r="Q427" s="86">
        <f t="shared" si="313"/>
        <v>0.83378199999999936</v>
      </c>
      <c r="R427" s="447">
        <f t="shared" si="279"/>
        <v>5.4856056652568742E-2</v>
      </c>
      <c r="S427" s="453">
        <f t="shared" si="294"/>
        <v>1.3769171061238629E-2</v>
      </c>
      <c r="T427" s="453">
        <f t="shared" si="271"/>
        <v>1</v>
      </c>
    </row>
    <row r="428" spans="1:20" ht="25.5" hidden="1" outlineLevel="1">
      <c r="A428" s="79" t="s">
        <v>1435</v>
      </c>
      <c r="B428" s="86">
        <f>INDEX(Data!1975:1975,1,$U$1-2)/1000000</f>
        <v>23.633534999999998</v>
      </c>
      <c r="C428" s="87">
        <f>INDEX(Data!1975:1975,1,$U$1-1)/1000000</f>
        <v>22.633534999999998</v>
      </c>
      <c r="D428" s="88">
        <f t="shared" si="306"/>
        <v>46.267069999999997</v>
      </c>
      <c r="E428" s="89">
        <f>INDEX(Data!1975:1975,1,$U$1)/1000000</f>
        <v>17.395454999999998</v>
      </c>
      <c r="F428" s="90">
        <f>INDEX(Data!1975:1975,1,$U$1+1)/1000000</f>
        <v>17.395454999999998</v>
      </c>
      <c r="G428" s="88">
        <f t="shared" si="307"/>
        <v>34.790909999999997</v>
      </c>
      <c r="H428" s="86">
        <f t="shared" si="308"/>
        <v>-11.47616</v>
      </c>
      <c r="I428" s="447">
        <f t="shared" si="273"/>
        <v>-0.24804164171191306</v>
      </c>
      <c r="J428" s="453">
        <f t="shared" si="293"/>
        <v>2.9878063974252328E-2</v>
      </c>
      <c r="K428" s="91">
        <f t="shared" si="309"/>
        <v>23.633534999999998</v>
      </c>
      <c r="L428" s="87">
        <f t="shared" si="309"/>
        <v>22.633534999999998</v>
      </c>
      <c r="M428" s="88">
        <f t="shared" si="310"/>
        <v>46.267069999999997</v>
      </c>
      <c r="N428" s="89">
        <f t="shared" si="311"/>
        <v>17.395454999999998</v>
      </c>
      <c r="O428" s="90">
        <f t="shared" si="311"/>
        <v>17.395454999999998</v>
      </c>
      <c r="P428" s="88">
        <f t="shared" si="312"/>
        <v>34.790909999999997</v>
      </c>
      <c r="Q428" s="86">
        <f t="shared" si="313"/>
        <v>-11.47616</v>
      </c>
      <c r="R428" s="447">
        <f t="shared" si="279"/>
        <v>-0.24804164171191306</v>
      </c>
      <c r="S428" s="453">
        <f t="shared" si="294"/>
        <v>2.9878063974252328E-2</v>
      </c>
      <c r="T428" s="453">
        <f t="shared" si="271"/>
        <v>1</v>
      </c>
    </row>
    <row r="429" spans="1:20" ht="25.5" hidden="1" outlineLevel="1">
      <c r="A429" s="79" t="s">
        <v>1436</v>
      </c>
      <c r="B429" s="86">
        <f>INDEX(Data!1988:1988,1,$U$1-2)/1000000</f>
        <v>16.310635000000001</v>
      </c>
      <c r="C429" s="87">
        <f>INDEX(Data!1988:1988,1,$U$1-1)/1000000</f>
        <v>16.310635000000001</v>
      </c>
      <c r="D429" s="88">
        <f t="shared" si="306"/>
        <v>32.621270000000003</v>
      </c>
      <c r="E429" s="89">
        <f>INDEX(Data!1988:1988,1,$U$1)/1000000</f>
        <v>10.836634999999999</v>
      </c>
      <c r="F429" s="90">
        <f>INDEX(Data!1988:1988,1,$U$1+1)/1000000</f>
        <v>10.836634999999999</v>
      </c>
      <c r="G429" s="88">
        <f t="shared" si="307"/>
        <v>21.673269999999999</v>
      </c>
      <c r="H429" s="86">
        <f t="shared" si="308"/>
        <v>-10.948000000000004</v>
      </c>
      <c r="I429" s="447">
        <f t="shared" si="273"/>
        <v>-0.33560925126458913</v>
      </c>
      <c r="J429" s="453">
        <f t="shared" si="293"/>
        <v>1.8612774072056287E-2</v>
      </c>
      <c r="K429" s="91">
        <f t="shared" si="309"/>
        <v>16.310635000000001</v>
      </c>
      <c r="L429" s="87">
        <f t="shared" si="309"/>
        <v>16.310635000000001</v>
      </c>
      <c r="M429" s="88">
        <f t="shared" si="310"/>
        <v>32.621270000000003</v>
      </c>
      <c r="N429" s="89">
        <f t="shared" si="311"/>
        <v>10.836634999999999</v>
      </c>
      <c r="O429" s="90">
        <f t="shared" si="311"/>
        <v>10.836634999999999</v>
      </c>
      <c r="P429" s="88">
        <f t="shared" si="312"/>
        <v>21.673269999999999</v>
      </c>
      <c r="Q429" s="86">
        <f t="shared" si="313"/>
        <v>-10.948000000000004</v>
      </c>
      <c r="R429" s="447">
        <f t="shared" si="279"/>
        <v>-0.33560925126458913</v>
      </c>
      <c r="S429" s="453">
        <f t="shared" si="294"/>
        <v>1.8612774072056287E-2</v>
      </c>
      <c r="T429" s="453">
        <f t="shared" si="271"/>
        <v>1</v>
      </c>
    </row>
    <row r="430" spans="1:20" ht="25.5" hidden="1" outlineLevel="1">
      <c r="A430" s="79" t="s">
        <v>1668</v>
      </c>
      <c r="B430" s="86">
        <f>INDEX(Data!1993:1993,1,$U$1-2)/1000000</f>
        <v>21</v>
      </c>
      <c r="C430" s="87">
        <f>INDEX(Data!1993:1993,1,$U$1-1)/1000000</f>
        <v>21</v>
      </c>
      <c r="D430" s="88">
        <f t="shared" ref="D430" si="314">B430+C430</f>
        <v>42</v>
      </c>
      <c r="E430" s="89">
        <f>INDEX(Data!1993:1993,1,$U$1)/1000000</f>
        <v>22.356249999999999</v>
      </c>
      <c r="F430" s="90">
        <f>INDEX(Data!1993:1993,1,$U$1+1)/1000000</f>
        <v>22.356249999999999</v>
      </c>
      <c r="G430" s="88">
        <f t="shared" ref="G430" si="315">E430+F430</f>
        <v>44.712499999999999</v>
      </c>
      <c r="H430" s="86">
        <f t="shared" ref="H430" si="316">G430-D430</f>
        <v>2.7124999999999986</v>
      </c>
      <c r="I430" s="447">
        <f t="shared" ref="I430" si="317">IFERROR(H430/D430,"")</f>
        <v>6.4583333333333298E-2</v>
      </c>
      <c r="J430" s="453">
        <f t="shared" si="293"/>
        <v>3.8398620083486094E-2</v>
      </c>
      <c r="K430" s="91">
        <f t="shared" ref="K430" si="318">B430</f>
        <v>21</v>
      </c>
      <c r="L430" s="87">
        <f t="shared" ref="L430" si="319">C430</f>
        <v>21</v>
      </c>
      <c r="M430" s="88">
        <f t="shared" ref="M430" si="320">K430+L430</f>
        <v>42</v>
      </c>
      <c r="N430" s="89">
        <f t="shared" ref="N430" si="321">E430</f>
        <v>22.356249999999999</v>
      </c>
      <c r="O430" s="90">
        <f t="shared" ref="O430" si="322">F430</f>
        <v>22.356249999999999</v>
      </c>
      <c r="P430" s="88">
        <f t="shared" ref="P430" si="323">N430+O430</f>
        <v>44.712499999999999</v>
      </c>
      <c r="Q430" s="86">
        <f t="shared" ref="Q430" si="324">P430-M430</f>
        <v>2.7124999999999986</v>
      </c>
      <c r="R430" s="447">
        <f t="shared" ref="R430" si="325">IFERROR(Q430/M430,"")</f>
        <v>6.4583333333333298E-2</v>
      </c>
      <c r="S430" s="453">
        <f t="shared" si="294"/>
        <v>3.8398620083486094E-2</v>
      </c>
      <c r="T430" s="453">
        <f t="shared" ref="T430" si="326">IFERROR(P430/G430,"")</f>
        <v>1</v>
      </c>
    </row>
    <row r="431" spans="1:20" ht="25.5" hidden="1" outlineLevel="1">
      <c r="A431" s="79" t="s">
        <v>1437</v>
      </c>
      <c r="B431" s="86">
        <f>INDEX(Data!1998:1998,1,$U$1-2)/1000000</f>
        <v>2.9848490000000001</v>
      </c>
      <c r="C431" s="87">
        <f>INDEX(Data!1998:1998,1,$U$1-1)/1000000</f>
        <v>2.9848499999999998</v>
      </c>
      <c r="D431" s="88">
        <f t="shared" si="306"/>
        <v>5.9696990000000003</v>
      </c>
      <c r="E431" s="89">
        <f>INDEX(Data!1998:1998,1,$U$1)/1000000</f>
        <v>2.9848490000000001</v>
      </c>
      <c r="F431" s="90">
        <f>INDEX(Data!1998:1998,1,$U$1+1)/1000000</f>
        <v>2.9848499999999998</v>
      </c>
      <c r="G431" s="88">
        <f t="shared" si="307"/>
        <v>5.9696990000000003</v>
      </c>
      <c r="H431" s="86">
        <f t="shared" si="308"/>
        <v>0</v>
      </c>
      <c r="I431" s="447">
        <f t="shared" si="273"/>
        <v>0</v>
      </c>
      <c r="J431" s="453">
        <f t="shared" si="293"/>
        <v>5.1267140936822339E-3</v>
      </c>
      <c r="K431" s="91">
        <f t="shared" si="309"/>
        <v>2.9848490000000001</v>
      </c>
      <c r="L431" s="87">
        <f t="shared" si="309"/>
        <v>2.9848499999999998</v>
      </c>
      <c r="M431" s="88">
        <f t="shared" si="310"/>
        <v>5.9696990000000003</v>
      </c>
      <c r="N431" s="89">
        <f t="shared" si="311"/>
        <v>2.9848490000000001</v>
      </c>
      <c r="O431" s="90">
        <f t="shared" si="311"/>
        <v>2.9848499999999998</v>
      </c>
      <c r="P431" s="88">
        <f t="shared" si="312"/>
        <v>5.9696990000000003</v>
      </c>
      <c r="Q431" s="86">
        <f t="shared" si="313"/>
        <v>0</v>
      </c>
      <c r="R431" s="447">
        <f t="shared" si="279"/>
        <v>0</v>
      </c>
      <c r="S431" s="453">
        <f t="shared" si="294"/>
        <v>5.1267140936822339E-3</v>
      </c>
      <c r="T431" s="453">
        <f t="shared" si="271"/>
        <v>1</v>
      </c>
    </row>
    <row r="432" spans="1:20" ht="25.5" hidden="1" outlineLevel="1">
      <c r="A432" s="79" t="s">
        <v>1438</v>
      </c>
      <c r="B432" s="86">
        <f>INDEX(Data!2005:2005,1,$U$1-2)/1000000</f>
        <v>6.733263</v>
      </c>
      <c r="C432" s="87">
        <f>INDEX(Data!2005:2005,1,$U$1-1)/1000000</f>
        <v>6.733263</v>
      </c>
      <c r="D432" s="88">
        <f t="shared" si="306"/>
        <v>13.466526</v>
      </c>
      <c r="E432" s="89">
        <f>INDEX(Data!2005:2005,1,$U$1)/1000000</f>
        <v>9.4632629999999995</v>
      </c>
      <c r="F432" s="90">
        <f>INDEX(Data!2005:2005,1,$U$1+1)/1000000</f>
        <v>9.4632629999999995</v>
      </c>
      <c r="G432" s="88">
        <f t="shared" si="307"/>
        <v>18.926525999999999</v>
      </c>
      <c r="H432" s="86">
        <f t="shared" si="308"/>
        <v>5.4599999999999991</v>
      </c>
      <c r="I432" s="447">
        <f t="shared" si="273"/>
        <v>0.40544977969819379</v>
      </c>
      <c r="J432" s="453">
        <f t="shared" si="293"/>
        <v>1.6253899499563251E-2</v>
      </c>
      <c r="K432" s="91">
        <f t="shared" si="309"/>
        <v>6.733263</v>
      </c>
      <c r="L432" s="87">
        <f t="shared" si="309"/>
        <v>6.733263</v>
      </c>
      <c r="M432" s="88">
        <f t="shared" si="310"/>
        <v>13.466526</v>
      </c>
      <c r="N432" s="89">
        <f t="shared" si="311"/>
        <v>9.4632629999999995</v>
      </c>
      <c r="O432" s="90">
        <f t="shared" si="311"/>
        <v>9.4632629999999995</v>
      </c>
      <c r="P432" s="88">
        <f t="shared" si="312"/>
        <v>18.926525999999999</v>
      </c>
      <c r="Q432" s="86">
        <f t="shared" si="313"/>
        <v>5.4599999999999991</v>
      </c>
      <c r="R432" s="447">
        <f t="shared" si="279"/>
        <v>0.40544977969819379</v>
      </c>
      <c r="S432" s="453">
        <f t="shared" si="294"/>
        <v>1.6253899499563251E-2</v>
      </c>
      <c r="T432" s="453">
        <f t="shared" si="271"/>
        <v>1</v>
      </c>
    </row>
    <row r="433" spans="1:20" ht="25.5" hidden="1" outlineLevel="1">
      <c r="A433" s="79" t="s">
        <v>1439</v>
      </c>
      <c r="B433" s="86">
        <f>INDEX(Data!2016:2016,1,$U$1-2)/1000000</f>
        <v>24.088732</v>
      </c>
      <c r="C433" s="87">
        <f>INDEX(Data!2016:2016,1,$U$1-1)/1000000</f>
        <v>24.088732</v>
      </c>
      <c r="D433" s="88">
        <f t="shared" si="306"/>
        <v>48.177464000000001</v>
      </c>
      <c r="E433" s="89">
        <f>INDEX(Data!2016:2016,1,$U$1)/1000000</f>
        <v>24.088732</v>
      </c>
      <c r="F433" s="90">
        <f>INDEX(Data!2016:2016,1,$U$1+1)/1000000</f>
        <v>24.088732</v>
      </c>
      <c r="G433" s="88">
        <f t="shared" si="307"/>
        <v>48.177464000000001</v>
      </c>
      <c r="H433" s="86">
        <f t="shared" si="308"/>
        <v>0</v>
      </c>
      <c r="I433" s="447">
        <f t="shared" si="273"/>
        <v>0</v>
      </c>
      <c r="J433" s="453">
        <f t="shared" si="293"/>
        <v>4.1374294363362117E-2</v>
      </c>
      <c r="K433" s="91">
        <f t="shared" si="309"/>
        <v>24.088732</v>
      </c>
      <c r="L433" s="87">
        <f t="shared" si="309"/>
        <v>24.088732</v>
      </c>
      <c r="M433" s="88">
        <f t="shared" si="310"/>
        <v>48.177464000000001</v>
      </c>
      <c r="N433" s="89">
        <f t="shared" si="311"/>
        <v>24.088732</v>
      </c>
      <c r="O433" s="90">
        <f t="shared" si="311"/>
        <v>24.088732</v>
      </c>
      <c r="P433" s="88">
        <f t="shared" si="312"/>
        <v>48.177464000000001</v>
      </c>
      <c r="Q433" s="86">
        <f t="shared" si="313"/>
        <v>0</v>
      </c>
      <c r="R433" s="447">
        <f t="shared" si="279"/>
        <v>0</v>
      </c>
      <c r="S433" s="453">
        <f t="shared" si="294"/>
        <v>4.1374294363362117E-2</v>
      </c>
      <c r="T433" s="453">
        <f t="shared" si="271"/>
        <v>1</v>
      </c>
    </row>
    <row r="434" spans="1:20" ht="25.5" hidden="1" outlineLevel="1">
      <c r="A434" s="79" t="s">
        <v>1440</v>
      </c>
      <c r="B434" s="86">
        <f>INDEX(Data!2026:2026,1,$U$1-2)/1000000</f>
        <v>8.6870180000000001</v>
      </c>
      <c r="C434" s="87">
        <f>INDEX(Data!2026:2026,1,$U$1-1)/1000000</f>
        <v>8.4117540000000002</v>
      </c>
      <c r="D434" s="88">
        <f t="shared" si="306"/>
        <v>17.098772</v>
      </c>
      <c r="E434" s="89">
        <f>INDEX(Data!2026:2026,1,$U$1)/1000000</f>
        <v>16.187017999999998</v>
      </c>
      <c r="F434" s="90">
        <f>INDEX(Data!2026:2026,1,$U$1+1)/1000000</f>
        <v>15.911754</v>
      </c>
      <c r="G434" s="88">
        <f t="shared" si="307"/>
        <v>32.098771999999997</v>
      </c>
      <c r="H434" s="86">
        <f t="shared" si="308"/>
        <v>14.999999999999996</v>
      </c>
      <c r="I434" s="447">
        <f t="shared" si="273"/>
        <v>0.87725598072189026</v>
      </c>
      <c r="J434" s="453">
        <f t="shared" si="293"/>
        <v>2.7566084454558371E-2</v>
      </c>
      <c r="K434" s="91">
        <f t="shared" si="309"/>
        <v>8.6870180000000001</v>
      </c>
      <c r="L434" s="87">
        <f t="shared" si="309"/>
        <v>8.4117540000000002</v>
      </c>
      <c r="M434" s="88">
        <f t="shared" si="310"/>
        <v>17.098772</v>
      </c>
      <c r="N434" s="89">
        <f t="shared" si="311"/>
        <v>16.187017999999998</v>
      </c>
      <c r="O434" s="90">
        <f t="shared" si="311"/>
        <v>15.911754</v>
      </c>
      <c r="P434" s="88">
        <f t="shared" si="312"/>
        <v>32.098771999999997</v>
      </c>
      <c r="Q434" s="86">
        <f t="shared" si="313"/>
        <v>14.999999999999996</v>
      </c>
      <c r="R434" s="447">
        <f t="shared" si="279"/>
        <v>0.87725598072189026</v>
      </c>
      <c r="S434" s="453">
        <f t="shared" si="294"/>
        <v>2.7566084454558371E-2</v>
      </c>
      <c r="T434" s="453">
        <f t="shared" si="271"/>
        <v>1</v>
      </c>
    </row>
    <row r="435" spans="1:20" ht="25.5" hidden="1" outlineLevel="1">
      <c r="A435" s="79" t="s">
        <v>942</v>
      </c>
      <c r="B435" s="86">
        <f>INDEX(Data!2045:2045,1,$U$1-2)/1000000</f>
        <v>16.678851000000002</v>
      </c>
      <c r="C435" s="87">
        <f>INDEX(Data!2045:2045,1,$U$1-1)/1000000</f>
        <v>16.678850000000001</v>
      </c>
      <c r="D435" s="88">
        <f>B435+C435</f>
        <v>33.357701000000006</v>
      </c>
      <c r="E435" s="89">
        <f>INDEX(Data!2045:2045,1,$U$1)/1000000</f>
        <v>19.328852999999999</v>
      </c>
      <c r="F435" s="90">
        <f>INDEX(Data!2045:2045,1,$U$1+1)/1000000</f>
        <v>19.328852000000001</v>
      </c>
      <c r="G435" s="88">
        <f>E435+F435</f>
        <v>38.657705</v>
      </c>
      <c r="H435" s="86">
        <f>G435-D435</f>
        <v>5.3000039999999942</v>
      </c>
      <c r="I435" s="447">
        <f>IFERROR(H435/D435,"")</f>
        <v>0.15888397105064264</v>
      </c>
      <c r="J435" s="453">
        <f t="shared" si="293"/>
        <v>3.3198826448856161E-2</v>
      </c>
      <c r="K435" s="91">
        <f>B435</f>
        <v>16.678851000000002</v>
      </c>
      <c r="L435" s="87">
        <f>C435</f>
        <v>16.678850000000001</v>
      </c>
      <c r="M435" s="88">
        <f>K435+L435</f>
        <v>33.357701000000006</v>
      </c>
      <c r="N435" s="89">
        <f>E435</f>
        <v>19.328852999999999</v>
      </c>
      <c r="O435" s="90">
        <f>F435</f>
        <v>19.328852000000001</v>
      </c>
      <c r="P435" s="88">
        <f>N435+O435</f>
        <v>38.657705</v>
      </c>
      <c r="Q435" s="86">
        <f>P435-M435</f>
        <v>5.3000039999999942</v>
      </c>
      <c r="R435" s="447">
        <f>IFERROR(Q435/M435,"")</f>
        <v>0.15888397105064264</v>
      </c>
      <c r="S435" s="453">
        <f t="shared" si="294"/>
        <v>3.3198826448856161E-2</v>
      </c>
      <c r="T435" s="453">
        <f>IFERROR(P435/G435,"")</f>
        <v>1</v>
      </c>
    </row>
    <row r="436" spans="1:20" ht="25.5" hidden="1" outlineLevel="1">
      <c r="A436" s="79" t="s">
        <v>1556</v>
      </c>
      <c r="B436" s="86">
        <f>INDEX(Data!2053:2053,1,$U$1-2)/1000000</f>
        <v>29.435859000000001</v>
      </c>
      <c r="C436" s="87">
        <f>INDEX(Data!2053:2053,1,$U$1-1)/1000000</f>
        <v>29.435859000000001</v>
      </c>
      <c r="D436" s="88">
        <f>B436+C436</f>
        <v>58.871718000000001</v>
      </c>
      <c r="E436" s="89">
        <f>INDEX(Data!2053:2053,1,$U$1)/1000000</f>
        <v>29.435860000000002</v>
      </c>
      <c r="F436" s="90">
        <f>INDEX(Data!2053:2053,1,$U$1+1)/1000000</f>
        <v>29.435860000000002</v>
      </c>
      <c r="G436" s="88">
        <f>E436+F436</f>
        <v>58.871720000000003</v>
      </c>
      <c r="H436" s="86">
        <f>G436-D436</f>
        <v>2.0000000020559128E-6</v>
      </c>
      <c r="I436" s="447">
        <f>IFERROR(H436/D436,"")</f>
        <v>3.3972169829593094E-8</v>
      </c>
      <c r="J436" s="453">
        <f t="shared" si="293"/>
        <v>5.0558407826477393E-2</v>
      </c>
      <c r="K436" s="91">
        <f>B436</f>
        <v>29.435859000000001</v>
      </c>
      <c r="L436" s="87">
        <f>C436</f>
        <v>29.435859000000001</v>
      </c>
      <c r="M436" s="88">
        <f>K436+L436</f>
        <v>58.871718000000001</v>
      </c>
      <c r="N436" s="89">
        <f>E436</f>
        <v>29.435860000000002</v>
      </c>
      <c r="O436" s="90">
        <f>F436</f>
        <v>29.435860000000002</v>
      </c>
      <c r="P436" s="88">
        <f>N436+O436</f>
        <v>58.871720000000003</v>
      </c>
      <c r="Q436" s="86">
        <f>P436-M436</f>
        <v>2.0000000020559128E-6</v>
      </c>
      <c r="R436" s="447">
        <f>IFERROR(Q436/M436,"")</f>
        <v>3.3972169829593094E-8</v>
      </c>
      <c r="S436" s="453">
        <f t="shared" si="294"/>
        <v>5.0558407826477393E-2</v>
      </c>
      <c r="T436" s="453">
        <f>IFERROR(P436/G436,"")</f>
        <v>1</v>
      </c>
    </row>
    <row r="437" spans="1:20" collapsed="1">
      <c r="A437" s="113" t="s">
        <v>806</v>
      </c>
      <c r="B437" s="105">
        <f t="shared" ref="B437:H437" si="327">SUM(B426:B436)</f>
        <v>198.937434</v>
      </c>
      <c r="C437" s="106">
        <f t="shared" si="327"/>
        <v>197.66217</v>
      </c>
      <c r="D437" s="107">
        <f t="shared" si="327"/>
        <v>396.599604</v>
      </c>
      <c r="E437" s="114">
        <f t="shared" si="327"/>
        <v>162.40116399999999</v>
      </c>
      <c r="F437" s="115">
        <f t="shared" si="327"/>
        <v>162.1259</v>
      </c>
      <c r="G437" s="107">
        <f t="shared" si="327"/>
        <v>324.527064</v>
      </c>
      <c r="H437" s="105">
        <f t="shared" si="327"/>
        <v>-72.072540000000032</v>
      </c>
      <c r="I437" s="449">
        <f t="shared" si="273"/>
        <v>-0.18172620263130679</v>
      </c>
      <c r="J437" s="454">
        <f t="shared" si="293"/>
        <v>0.27870039557942811</v>
      </c>
      <c r="K437" s="405">
        <f t="shared" ref="K437:Q437" si="328">SUM(K426:K436)</f>
        <v>198.937434</v>
      </c>
      <c r="L437" s="106">
        <f t="shared" si="328"/>
        <v>197.66217</v>
      </c>
      <c r="M437" s="107">
        <f t="shared" si="328"/>
        <v>396.599604</v>
      </c>
      <c r="N437" s="114">
        <f t="shared" si="328"/>
        <v>162.40116399999999</v>
      </c>
      <c r="O437" s="115">
        <f t="shared" si="328"/>
        <v>162.1259</v>
      </c>
      <c r="P437" s="107">
        <f t="shared" si="328"/>
        <v>324.527064</v>
      </c>
      <c r="Q437" s="105">
        <f t="shared" si="328"/>
        <v>-72.072540000000032</v>
      </c>
      <c r="R437" s="449">
        <f t="shared" si="279"/>
        <v>-0.18172620263130679</v>
      </c>
      <c r="S437" s="454">
        <f t="shared" si="294"/>
        <v>0.27870039557942811</v>
      </c>
      <c r="T437" s="454">
        <f t="shared" si="271"/>
        <v>1</v>
      </c>
    </row>
    <row r="438" spans="1:20" ht="12.75" hidden="1" customHeight="1" outlineLevel="1">
      <c r="A438" s="79" t="s">
        <v>1442</v>
      </c>
      <c r="B438" s="86">
        <f>INDEX(Data!2084:2084,1,$U$1-2)/1000000</f>
        <v>0.63185500000000006</v>
      </c>
      <c r="C438" s="87">
        <f>INDEX(Data!2084:2084,1,$U$1-1)/1000000</f>
        <v>0.63185500000000006</v>
      </c>
      <c r="D438" s="88">
        <f>B438+C438</f>
        <v>1.2637100000000001</v>
      </c>
      <c r="E438" s="89">
        <f>INDEX(Data!2084:2084,1,$U$1)/1000000</f>
        <v>0.63185500000000006</v>
      </c>
      <c r="F438" s="90">
        <f>INDEX(Data!2084:2084,1,$U$1+1)/1000000</f>
        <v>0.63185500000000006</v>
      </c>
      <c r="G438" s="88">
        <f>E438+F438</f>
        <v>1.2637100000000001</v>
      </c>
      <c r="H438" s="86">
        <f t="shared" ref="H438:H441" si="329">G438-D438</f>
        <v>0</v>
      </c>
      <c r="I438" s="447">
        <f t="shared" si="273"/>
        <v>0</v>
      </c>
      <c r="J438" s="453">
        <f t="shared" si="293"/>
        <v>1.085260725428062E-3</v>
      </c>
      <c r="K438" s="91">
        <f t="shared" ref="K438:L441" si="330">B438</f>
        <v>0.63185500000000006</v>
      </c>
      <c r="L438" s="87">
        <f t="shared" si="330"/>
        <v>0.63185500000000006</v>
      </c>
      <c r="M438" s="88">
        <f t="shared" ref="M438:M441" si="331">K438+L438</f>
        <v>1.2637100000000001</v>
      </c>
      <c r="N438" s="89">
        <f t="shared" ref="N438:O441" si="332">E438</f>
        <v>0.63185500000000006</v>
      </c>
      <c r="O438" s="90">
        <f t="shared" si="332"/>
        <v>0.63185500000000006</v>
      </c>
      <c r="P438" s="88">
        <f t="shared" ref="P438:P441" si="333">N438+O438</f>
        <v>1.2637100000000001</v>
      </c>
      <c r="Q438" s="86">
        <f t="shared" ref="Q438:Q441" si="334">P438-M438</f>
        <v>0</v>
      </c>
      <c r="R438" s="447">
        <f t="shared" si="279"/>
        <v>0</v>
      </c>
      <c r="S438" s="453">
        <f t="shared" si="294"/>
        <v>1.085260725428062E-3</v>
      </c>
      <c r="T438" s="453">
        <f t="shared" si="271"/>
        <v>1</v>
      </c>
    </row>
    <row r="439" spans="1:20" ht="25.5" hidden="1" outlineLevel="1">
      <c r="A439" s="79" t="s">
        <v>1443</v>
      </c>
      <c r="B439" s="86">
        <f>INDEX(Data!2086:2086,1,$U$1-2)/1000000</f>
        <v>0.77044599999999996</v>
      </c>
      <c r="C439" s="87">
        <f>INDEX(Data!2086:2086,1,$U$1-1)/1000000</f>
        <v>0.77044500000000005</v>
      </c>
      <c r="D439" s="88">
        <f>B439+C439</f>
        <v>1.540891</v>
      </c>
      <c r="E439" s="89">
        <f>INDEX(Data!2086:2086,1,$U$1)/1000000</f>
        <v>0.77398599999999995</v>
      </c>
      <c r="F439" s="90">
        <f>INDEX(Data!2086:2086,1,$U$1+1)/1000000</f>
        <v>0.77398400000000001</v>
      </c>
      <c r="G439" s="88">
        <f>E439+F439</f>
        <v>1.5479699999999998</v>
      </c>
      <c r="H439" s="86">
        <f t="shared" si="329"/>
        <v>7.0789999999998354E-3</v>
      </c>
      <c r="I439" s="447">
        <f t="shared" si="273"/>
        <v>4.594095234510316E-3</v>
      </c>
      <c r="J439" s="453">
        <f t="shared" si="293"/>
        <v>1.3293801941433373E-3</v>
      </c>
      <c r="K439" s="91">
        <f t="shared" si="330"/>
        <v>0.77044599999999996</v>
      </c>
      <c r="L439" s="87">
        <f t="shared" si="330"/>
        <v>0.77044500000000005</v>
      </c>
      <c r="M439" s="88">
        <f t="shared" si="331"/>
        <v>1.540891</v>
      </c>
      <c r="N439" s="89">
        <f t="shared" si="332"/>
        <v>0.77398599999999995</v>
      </c>
      <c r="O439" s="90">
        <f t="shared" si="332"/>
        <v>0.77398400000000001</v>
      </c>
      <c r="P439" s="88">
        <f t="shared" si="333"/>
        <v>1.5479699999999998</v>
      </c>
      <c r="Q439" s="86">
        <f t="shared" si="334"/>
        <v>7.0789999999998354E-3</v>
      </c>
      <c r="R439" s="447">
        <f t="shared" si="279"/>
        <v>4.594095234510316E-3</v>
      </c>
      <c r="S439" s="453">
        <f t="shared" si="294"/>
        <v>1.3293801941433373E-3</v>
      </c>
      <c r="T439" s="453">
        <f t="shared" si="271"/>
        <v>1</v>
      </c>
    </row>
    <row r="440" spans="1:20" hidden="1" outlineLevel="1">
      <c r="A440" s="79" t="s">
        <v>1444</v>
      </c>
      <c r="B440" s="86">
        <f>INDEX(Data!2088:2088,1,$U$1-2)/1000000</f>
        <v>0.54797499999999999</v>
      </c>
      <c r="C440" s="87">
        <f>INDEX(Data!2088:2088,1,$U$1-1)/1000000</f>
        <v>0.54797399999999996</v>
      </c>
      <c r="D440" s="88">
        <f>B440+C440</f>
        <v>1.0959490000000001</v>
      </c>
      <c r="E440" s="89">
        <f>INDEX(Data!2088:2088,1,$U$1)/1000000</f>
        <v>0.54797499999999999</v>
      </c>
      <c r="F440" s="90">
        <f>INDEX(Data!2088:2088,1,$U$1+1)/1000000</f>
        <v>0.54797399999999996</v>
      </c>
      <c r="G440" s="88">
        <f>E440+F440</f>
        <v>1.0959490000000001</v>
      </c>
      <c r="H440" s="86">
        <f t="shared" si="329"/>
        <v>0</v>
      </c>
      <c r="I440" s="447">
        <f t="shared" si="273"/>
        <v>0</v>
      </c>
      <c r="J440" s="453">
        <f t="shared" si="293"/>
        <v>9.4118936051163567E-4</v>
      </c>
      <c r="K440" s="91">
        <f t="shared" si="330"/>
        <v>0.54797499999999999</v>
      </c>
      <c r="L440" s="87">
        <f t="shared" si="330"/>
        <v>0.54797399999999996</v>
      </c>
      <c r="M440" s="88">
        <f t="shared" si="331"/>
        <v>1.0959490000000001</v>
      </c>
      <c r="N440" s="89">
        <f t="shared" si="332"/>
        <v>0.54797499999999999</v>
      </c>
      <c r="O440" s="90">
        <f t="shared" si="332"/>
        <v>0.54797399999999996</v>
      </c>
      <c r="P440" s="88">
        <f t="shared" si="333"/>
        <v>1.0959490000000001</v>
      </c>
      <c r="Q440" s="86">
        <f t="shared" si="334"/>
        <v>0</v>
      </c>
      <c r="R440" s="447">
        <f t="shared" si="279"/>
        <v>0</v>
      </c>
      <c r="S440" s="453">
        <f t="shared" si="294"/>
        <v>9.4118936051163567E-4</v>
      </c>
      <c r="T440" s="453">
        <f t="shared" si="271"/>
        <v>1</v>
      </c>
    </row>
    <row r="441" spans="1:20" hidden="1" outlineLevel="1">
      <c r="A441" s="79" t="s">
        <v>1445</v>
      </c>
      <c r="B441" s="86">
        <f>INDEX(Data!2091:2091,1,$U$1-2)/1000000</f>
        <v>0.689724</v>
      </c>
      <c r="C441" s="87">
        <f>INDEX(Data!2091:2091,1,$U$1-1)/1000000</f>
        <v>0.689724</v>
      </c>
      <c r="D441" s="88">
        <f>B441+C441</f>
        <v>1.379448</v>
      </c>
      <c r="E441" s="89">
        <f>INDEX(Data!2091:2091,1,$U$1)/1000000</f>
        <v>0.689724</v>
      </c>
      <c r="F441" s="90">
        <f>INDEX(Data!2091:2091,1,$U$1+1)/1000000</f>
        <v>0.689724</v>
      </c>
      <c r="G441" s="88">
        <f>E441+F441</f>
        <v>1.379448</v>
      </c>
      <c r="H441" s="86">
        <f t="shared" si="329"/>
        <v>0</v>
      </c>
      <c r="I441" s="447">
        <f t="shared" si="273"/>
        <v>0</v>
      </c>
      <c r="J441" s="453">
        <f t="shared" si="293"/>
        <v>1.1846552905099186E-3</v>
      </c>
      <c r="K441" s="91">
        <f t="shared" si="330"/>
        <v>0.689724</v>
      </c>
      <c r="L441" s="87">
        <f t="shared" si="330"/>
        <v>0.689724</v>
      </c>
      <c r="M441" s="88">
        <f t="shared" si="331"/>
        <v>1.379448</v>
      </c>
      <c r="N441" s="89">
        <f t="shared" si="332"/>
        <v>0.689724</v>
      </c>
      <c r="O441" s="90">
        <f t="shared" si="332"/>
        <v>0.689724</v>
      </c>
      <c r="P441" s="88">
        <f t="shared" si="333"/>
        <v>1.379448</v>
      </c>
      <c r="Q441" s="86">
        <f t="shared" si="334"/>
        <v>0</v>
      </c>
      <c r="R441" s="447">
        <f t="shared" si="279"/>
        <v>0</v>
      </c>
      <c r="S441" s="453">
        <f t="shared" si="294"/>
        <v>1.1846552905099186E-3</v>
      </c>
      <c r="T441" s="453">
        <f t="shared" si="271"/>
        <v>1</v>
      </c>
    </row>
    <row r="442" spans="1:20" collapsed="1">
      <c r="A442" s="113" t="s">
        <v>807</v>
      </c>
      <c r="B442" s="105">
        <f t="shared" ref="B442:G442" si="335">SUM(B438:B441)</f>
        <v>2.64</v>
      </c>
      <c r="C442" s="106">
        <f t="shared" si="335"/>
        <v>2.6399980000000003</v>
      </c>
      <c r="D442" s="107">
        <f t="shared" si="335"/>
        <v>5.279998</v>
      </c>
      <c r="E442" s="114">
        <f t="shared" si="335"/>
        <v>2.6435400000000002</v>
      </c>
      <c r="F442" s="115">
        <f t="shared" si="335"/>
        <v>2.6435370000000002</v>
      </c>
      <c r="G442" s="107">
        <f t="shared" si="335"/>
        <v>5.287077</v>
      </c>
      <c r="H442" s="105">
        <f t="shared" ref="H442" si="336">SUM(H438:H441)</f>
        <v>7.0789999999998354E-3</v>
      </c>
      <c r="I442" s="449">
        <f t="shared" si="273"/>
        <v>1.3407202048182282E-3</v>
      </c>
      <c r="J442" s="454">
        <f t="shared" si="293"/>
        <v>4.5404855705929534E-3</v>
      </c>
      <c r="K442" s="405">
        <f t="shared" ref="K442:Q442" si="337">SUM(K438:K441)</f>
        <v>2.64</v>
      </c>
      <c r="L442" s="106">
        <f t="shared" si="337"/>
        <v>2.6399980000000003</v>
      </c>
      <c r="M442" s="107">
        <f t="shared" si="337"/>
        <v>5.279998</v>
      </c>
      <c r="N442" s="114">
        <f t="shared" si="337"/>
        <v>2.6435400000000002</v>
      </c>
      <c r="O442" s="115">
        <f t="shared" si="337"/>
        <v>2.6435370000000002</v>
      </c>
      <c r="P442" s="107">
        <f t="shared" si="337"/>
        <v>5.287077</v>
      </c>
      <c r="Q442" s="105">
        <f t="shared" si="337"/>
        <v>7.0789999999998354E-3</v>
      </c>
      <c r="R442" s="449">
        <f t="shared" si="279"/>
        <v>1.3407202048182282E-3</v>
      </c>
      <c r="S442" s="454">
        <f t="shared" si="294"/>
        <v>4.5404855705929534E-3</v>
      </c>
      <c r="T442" s="454">
        <f t="shared" si="271"/>
        <v>1</v>
      </c>
    </row>
    <row r="443" spans="1:20" hidden="1" outlineLevel="1">
      <c r="A443" s="79" t="s">
        <v>1446</v>
      </c>
      <c r="B443" s="86">
        <f>INDEX(Data!2107:2107,1,$U$1-2)/1000000</f>
        <v>1.428701</v>
      </c>
      <c r="C443" s="87">
        <f>INDEX(Data!2107:2107,1,$U$1-1)/1000000</f>
        <v>1.428698</v>
      </c>
      <c r="D443" s="88">
        <f>B443+C443</f>
        <v>2.857399</v>
      </c>
      <c r="E443" s="89">
        <f>INDEX(Data!2107:2107,1,$U$1)/1000000</f>
        <v>1.9594800000000001</v>
      </c>
      <c r="F443" s="90">
        <f>INDEX(Data!2107:2107,1,$U$1+1)/1000000</f>
        <v>1.9594780000000001</v>
      </c>
      <c r="G443" s="88">
        <f>E443+F443</f>
        <v>3.9189579999999999</v>
      </c>
      <c r="H443" s="86">
        <f t="shared" ref="H443:H445" si="338">G443-D443</f>
        <v>1.0615589999999999</v>
      </c>
      <c r="I443" s="447">
        <f t="shared" si="273"/>
        <v>0.37151234391836768</v>
      </c>
      <c r="J443" s="453">
        <f t="shared" si="293"/>
        <v>3.3655595049513786E-3</v>
      </c>
      <c r="K443" s="91">
        <f t="shared" ref="K443:L445" si="339">B443</f>
        <v>1.428701</v>
      </c>
      <c r="L443" s="87">
        <f t="shared" si="339"/>
        <v>1.428698</v>
      </c>
      <c r="M443" s="88">
        <f t="shared" ref="M443:M445" si="340">K443+L443</f>
        <v>2.857399</v>
      </c>
      <c r="N443" s="89">
        <f t="shared" ref="N443:O445" si="341">E443</f>
        <v>1.9594800000000001</v>
      </c>
      <c r="O443" s="90">
        <f t="shared" si="341"/>
        <v>1.9594780000000001</v>
      </c>
      <c r="P443" s="88">
        <f t="shared" ref="P443:P445" si="342">N443+O443</f>
        <v>3.9189579999999999</v>
      </c>
      <c r="Q443" s="86">
        <f t="shared" ref="Q443:Q445" si="343">P443-M443</f>
        <v>1.0615589999999999</v>
      </c>
      <c r="R443" s="447">
        <f t="shared" si="279"/>
        <v>0.37151234391836768</v>
      </c>
      <c r="S443" s="453">
        <f t="shared" si="294"/>
        <v>3.3655595049513786E-3</v>
      </c>
      <c r="T443" s="453">
        <f t="shared" si="271"/>
        <v>1</v>
      </c>
    </row>
    <row r="444" spans="1:20" hidden="1" outlineLevel="1">
      <c r="A444" s="79" t="s">
        <v>1447</v>
      </c>
      <c r="B444" s="86">
        <f>INDEX(Data!2111:2111,1,$U$1-2)/1000000</f>
        <v>1.831297</v>
      </c>
      <c r="C444" s="87">
        <f>INDEX(Data!2111:2111,1,$U$1-1)/1000000</f>
        <v>1.831296</v>
      </c>
      <c r="D444" s="88">
        <f>B444+C444</f>
        <v>3.6625930000000002</v>
      </c>
      <c r="E444" s="89">
        <f>INDEX(Data!2111:2111,1,$U$1)/1000000</f>
        <v>2.2321070000000001</v>
      </c>
      <c r="F444" s="90">
        <f>INDEX(Data!2111:2111,1,$U$1+1)/1000000</f>
        <v>2.2321049999999998</v>
      </c>
      <c r="G444" s="88">
        <f>E444+F444</f>
        <v>4.4642119999999998</v>
      </c>
      <c r="H444" s="86">
        <f t="shared" si="338"/>
        <v>0.80161899999999964</v>
      </c>
      <c r="I444" s="447">
        <f t="shared" si="273"/>
        <v>0.21886652434491072</v>
      </c>
      <c r="J444" s="453">
        <f t="shared" si="293"/>
        <v>3.8338178487031509E-3</v>
      </c>
      <c r="K444" s="91">
        <f t="shared" si="339"/>
        <v>1.831297</v>
      </c>
      <c r="L444" s="87">
        <f t="shared" si="339"/>
        <v>1.831296</v>
      </c>
      <c r="M444" s="88">
        <f t="shared" si="340"/>
        <v>3.6625930000000002</v>
      </c>
      <c r="N444" s="89">
        <f t="shared" si="341"/>
        <v>2.2321070000000001</v>
      </c>
      <c r="O444" s="90">
        <f t="shared" si="341"/>
        <v>2.2321049999999998</v>
      </c>
      <c r="P444" s="88">
        <f t="shared" si="342"/>
        <v>4.4642119999999998</v>
      </c>
      <c r="Q444" s="86">
        <f t="shared" si="343"/>
        <v>0.80161899999999964</v>
      </c>
      <c r="R444" s="447">
        <f t="shared" si="279"/>
        <v>0.21886652434491072</v>
      </c>
      <c r="S444" s="453">
        <f t="shared" si="294"/>
        <v>3.8338178487031509E-3</v>
      </c>
      <c r="T444" s="453">
        <f t="shared" si="271"/>
        <v>1</v>
      </c>
    </row>
    <row r="445" spans="1:20" hidden="1" outlineLevel="1">
      <c r="A445" s="79" t="s">
        <v>1448</v>
      </c>
      <c r="B445" s="86">
        <f>INDEX(Data!2117:2117,1,$U$1-2)/1000000</f>
        <v>1.3513500000000001</v>
      </c>
      <c r="C445" s="87">
        <f>INDEX(Data!2117:2117,1,$U$1-1)/1000000</f>
        <v>1.351348</v>
      </c>
      <c r="D445" s="88">
        <f>B445+C445</f>
        <v>2.7026979999999998</v>
      </c>
      <c r="E445" s="89">
        <f>INDEX(Data!2117:2117,1,$U$1)/1000000</f>
        <v>2.197781</v>
      </c>
      <c r="F445" s="90">
        <f>INDEX(Data!2117:2117,1,$U$1+1)/1000000</f>
        <v>2.1977799999999998</v>
      </c>
      <c r="G445" s="88">
        <f>E445+F445</f>
        <v>4.3955609999999998</v>
      </c>
      <c r="H445" s="86">
        <f t="shared" si="338"/>
        <v>1.692863</v>
      </c>
      <c r="I445" s="447">
        <f t="shared" si="273"/>
        <v>0.6263603998670958</v>
      </c>
      <c r="J445" s="453">
        <f t="shared" si="293"/>
        <v>3.7748610990838856E-3</v>
      </c>
      <c r="K445" s="91">
        <f t="shared" si="339"/>
        <v>1.3513500000000001</v>
      </c>
      <c r="L445" s="87">
        <f t="shared" si="339"/>
        <v>1.351348</v>
      </c>
      <c r="M445" s="88">
        <f t="shared" si="340"/>
        <v>2.7026979999999998</v>
      </c>
      <c r="N445" s="89">
        <f t="shared" si="341"/>
        <v>2.197781</v>
      </c>
      <c r="O445" s="90">
        <f t="shared" si="341"/>
        <v>2.1977799999999998</v>
      </c>
      <c r="P445" s="88">
        <f t="shared" si="342"/>
        <v>4.3955609999999998</v>
      </c>
      <c r="Q445" s="86">
        <f t="shared" si="343"/>
        <v>1.692863</v>
      </c>
      <c r="R445" s="447">
        <f t="shared" si="279"/>
        <v>0.6263603998670958</v>
      </c>
      <c r="S445" s="453">
        <f t="shared" si="294"/>
        <v>3.7748610990838856E-3</v>
      </c>
      <c r="T445" s="453">
        <f t="shared" si="271"/>
        <v>1</v>
      </c>
    </row>
    <row r="446" spans="1:20" collapsed="1">
      <c r="A446" s="113" t="s">
        <v>808</v>
      </c>
      <c r="B446" s="105">
        <f t="shared" ref="B446:G446" si="344">SUM(B443:B445)</f>
        <v>4.6113479999999996</v>
      </c>
      <c r="C446" s="106">
        <f t="shared" si="344"/>
        <v>4.6113419999999996</v>
      </c>
      <c r="D446" s="107">
        <f t="shared" si="344"/>
        <v>9.2226900000000001</v>
      </c>
      <c r="E446" s="114">
        <f t="shared" si="344"/>
        <v>6.3893680000000002</v>
      </c>
      <c r="F446" s="115">
        <f t="shared" si="344"/>
        <v>6.3893629999999995</v>
      </c>
      <c r="G446" s="107">
        <f t="shared" si="344"/>
        <v>12.778731000000001</v>
      </c>
      <c r="H446" s="105">
        <f t="shared" ref="H446" si="345">SUM(H443:H445)</f>
        <v>3.5560409999999996</v>
      </c>
      <c r="I446" s="449">
        <f t="shared" si="273"/>
        <v>0.38557524973733254</v>
      </c>
      <c r="J446" s="454">
        <f t="shared" si="293"/>
        <v>1.0974238452738415E-2</v>
      </c>
      <c r="K446" s="405">
        <f t="shared" ref="K446:Q446" si="346">SUM(K443:K445)</f>
        <v>4.6113479999999996</v>
      </c>
      <c r="L446" s="106">
        <f t="shared" si="346"/>
        <v>4.6113419999999996</v>
      </c>
      <c r="M446" s="107">
        <f t="shared" si="346"/>
        <v>9.2226900000000001</v>
      </c>
      <c r="N446" s="114">
        <f t="shared" si="346"/>
        <v>6.3893680000000002</v>
      </c>
      <c r="O446" s="115">
        <f t="shared" si="346"/>
        <v>6.3893629999999995</v>
      </c>
      <c r="P446" s="107">
        <f t="shared" si="346"/>
        <v>12.778731000000001</v>
      </c>
      <c r="Q446" s="105">
        <f t="shared" si="346"/>
        <v>3.5560409999999996</v>
      </c>
      <c r="R446" s="449">
        <f t="shared" si="279"/>
        <v>0.38557524973733254</v>
      </c>
      <c r="S446" s="454">
        <f t="shared" si="294"/>
        <v>1.0974238452738415E-2</v>
      </c>
      <c r="T446" s="454">
        <f t="shared" si="271"/>
        <v>1</v>
      </c>
    </row>
    <row r="447" spans="1:20" hidden="1" outlineLevel="1">
      <c r="A447" s="79" t="s">
        <v>105</v>
      </c>
      <c r="B447" s="86">
        <f>INDEX(Data!2060:2060,1,$U$1-2)/1000000</f>
        <v>4.9988999999999999</v>
      </c>
      <c r="C447" s="87">
        <f>INDEX(Data!2060:2060,1,$U$1-1)/1000000</f>
        <v>0.43890000000000001</v>
      </c>
      <c r="D447" s="88">
        <f t="shared" ref="D447:D455" si="347">B447+C447</f>
        <v>5.4378000000000002</v>
      </c>
      <c r="E447" s="89">
        <f>INDEX(Data!2060:2060,1,$U$1)/1000000</f>
        <v>4.9988999999999999</v>
      </c>
      <c r="F447" s="90">
        <f>INDEX(Data!2060:2060,1,$U$1+1)/1000000</f>
        <v>0.43890000000000001</v>
      </c>
      <c r="G447" s="88">
        <f t="shared" ref="G447:G455" si="348">E447+F447</f>
        <v>5.4378000000000002</v>
      </c>
      <c r="H447" s="86">
        <f t="shared" ref="H447:H455" si="349">G447-D447</f>
        <v>0</v>
      </c>
      <c r="I447" s="447">
        <f t="shared" si="273"/>
        <v>0</v>
      </c>
      <c r="J447" s="453">
        <f t="shared" ref="J447:J454" si="350">IFERROR(G447/G$254,"")</f>
        <v>2.2617271917468537E-4</v>
      </c>
      <c r="K447" s="91">
        <f t="shared" ref="K447:L454" si="351">B447</f>
        <v>4.9988999999999999</v>
      </c>
      <c r="L447" s="87">
        <f t="shared" si="351"/>
        <v>0.43890000000000001</v>
      </c>
      <c r="M447" s="88">
        <f t="shared" ref="M447:M455" si="352">K447+L447</f>
        <v>5.4378000000000002</v>
      </c>
      <c r="N447" s="89">
        <f t="shared" ref="N447:O454" si="353">E447</f>
        <v>4.9988999999999999</v>
      </c>
      <c r="O447" s="90">
        <f t="shared" si="353"/>
        <v>0.43890000000000001</v>
      </c>
      <c r="P447" s="88">
        <f t="shared" ref="P447:P455" si="354">N447+O447</f>
        <v>5.4378000000000002</v>
      </c>
      <c r="Q447" s="86">
        <f t="shared" ref="Q447:Q455" si="355">P447-M447</f>
        <v>0</v>
      </c>
      <c r="R447" s="447">
        <f t="shared" si="279"/>
        <v>0</v>
      </c>
      <c r="S447" s="453">
        <f t="shared" ref="S447:S454" si="356">IFERROR(P447/P$254,"")</f>
        <v>3.6583121512260094E-4</v>
      </c>
      <c r="T447" s="453">
        <f t="shared" si="271"/>
        <v>1</v>
      </c>
    </row>
    <row r="448" spans="1:20" hidden="1" outlineLevel="1">
      <c r="A448" s="79" t="s">
        <v>106</v>
      </c>
      <c r="B448" s="86">
        <f>INDEX(Data!2062:2062,1,$U$1-2)/1000000</f>
        <v>0.41039999999999999</v>
      </c>
      <c r="C448" s="87">
        <f>INDEX(Data!2062:2062,1,$U$1-1)/1000000</f>
        <v>0.41039999999999999</v>
      </c>
      <c r="D448" s="88">
        <f t="shared" si="347"/>
        <v>0.82079999999999997</v>
      </c>
      <c r="E448" s="89">
        <f>INDEX(Data!2062:2062,1,$U$1)/1000000</f>
        <v>0.1368</v>
      </c>
      <c r="F448" s="90">
        <f>INDEX(Data!2062:2062,1,$U$1+1)/1000000</f>
        <v>0</v>
      </c>
      <c r="G448" s="88">
        <f t="shared" si="348"/>
        <v>0.1368</v>
      </c>
      <c r="H448" s="86">
        <f t="shared" si="349"/>
        <v>-0.68399999999999994</v>
      </c>
      <c r="I448" s="447">
        <f t="shared" si="273"/>
        <v>-0.83333333333333326</v>
      </c>
      <c r="J448" s="453">
        <f t="shared" si="350"/>
        <v>5.6898797276650405E-6</v>
      </c>
      <c r="K448" s="91">
        <f t="shared" si="351"/>
        <v>0.41039999999999999</v>
      </c>
      <c r="L448" s="87">
        <f t="shared" si="351"/>
        <v>0.41039999999999999</v>
      </c>
      <c r="M448" s="88">
        <f t="shared" si="352"/>
        <v>0.82079999999999997</v>
      </c>
      <c r="N448" s="89">
        <f t="shared" si="353"/>
        <v>0.1368</v>
      </c>
      <c r="O448" s="90">
        <f t="shared" si="353"/>
        <v>0</v>
      </c>
      <c r="P448" s="88">
        <f t="shared" si="354"/>
        <v>0.1368</v>
      </c>
      <c r="Q448" s="86">
        <f t="shared" si="355"/>
        <v>-0.68399999999999994</v>
      </c>
      <c r="R448" s="447">
        <f t="shared" si="279"/>
        <v>-0.83333333333333326</v>
      </c>
      <c r="S448" s="453">
        <f t="shared" si="356"/>
        <v>9.2033010093736087E-6</v>
      </c>
      <c r="T448" s="453">
        <f t="shared" si="271"/>
        <v>1</v>
      </c>
    </row>
    <row r="449" spans="1:22" hidden="1" outlineLevel="1">
      <c r="A449" s="79" t="s">
        <v>107</v>
      </c>
      <c r="B449" s="86">
        <f>INDEX(Data!2065:2065,1,$U$1-2)/1000000</f>
        <v>0</v>
      </c>
      <c r="C449" s="87">
        <f>INDEX(Data!2065:2065,1,$U$1-1)/1000000</f>
        <v>0</v>
      </c>
      <c r="D449" s="88">
        <f t="shared" si="347"/>
        <v>0</v>
      </c>
      <c r="E449" s="89">
        <f>INDEX(Data!2065:2065,1,$U$1)/1000000</f>
        <v>0.5</v>
      </c>
      <c r="F449" s="90">
        <f>INDEX(Data!2065:2065,1,$U$1+1)/1000000</f>
        <v>0.5</v>
      </c>
      <c r="G449" s="88">
        <f t="shared" si="348"/>
        <v>1</v>
      </c>
      <c r="H449" s="86">
        <f t="shared" si="349"/>
        <v>1</v>
      </c>
      <c r="I449" s="447" t="str">
        <f t="shared" si="273"/>
        <v/>
      </c>
      <c r="J449" s="453">
        <f t="shared" si="350"/>
        <v>4.1592688067726904E-5</v>
      </c>
      <c r="K449" s="91">
        <f t="shared" si="351"/>
        <v>0</v>
      </c>
      <c r="L449" s="87">
        <f t="shared" si="351"/>
        <v>0</v>
      </c>
      <c r="M449" s="88">
        <f t="shared" si="352"/>
        <v>0</v>
      </c>
      <c r="N449" s="89">
        <f t="shared" si="353"/>
        <v>0.5</v>
      </c>
      <c r="O449" s="90">
        <f t="shared" si="353"/>
        <v>0.5</v>
      </c>
      <c r="P449" s="88">
        <f t="shared" si="354"/>
        <v>1</v>
      </c>
      <c r="Q449" s="86">
        <f t="shared" si="355"/>
        <v>1</v>
      </c>
      <c r="R449" s="447" t="str">
        <f t="shared" si="279"/>
        <v/>
      </c>
      <c r="S449" s="453">
        <f t="shared" si="356"/>
        <v>6.7275592173783678E-5</v>
      </c>
      <c r="T449" s="453">
        <f t="shared" ref="T449:T456" si="357">IFERROR(P449/G449,"")</f>
        <v>1</v>
      </c>
    </row>
    <row r="450" spans="1:22" hidden="1" outlineLevel="1">
      <c r="A450" s="79" t="s">
        <v>1406</v>
      </c>
      <c r="B450" s="86">
        <f>INDEX(Data!2070:2070,1,$U$1-2)/1000000</f>
        <v>0.31919999999999998</v>
      </c>
      <c r="C450" s="87">
        <f>INDEX(Data!2070:2070,1,$U$1-1)/1000000</f>
        <v>0.31919999999999998</v>
      </c>
      <c r="D450" s="88">
        <f t="shared" si="347"/>
        <v>0.63839999999999997</v>
      </c>
      <c r="E450" s="89">
        <f>INDEX(Data!2070:2070,1,$U$1)/1000000</f>
        <v>0.31919999999999998</v>
      </c>
      <c r="F450" s="90">
        <f>INDEX(Data!2070:2070,1,$U$1+1)/1000000</f>
        <v>0.31919999999999998</v>
      </c>
      <c r="G450" s="88">
        <f t="shared" si="348"/>
        <v>0.63839999999999997</v>
      </c>
      <c r="H450" s="86">
        <f t="shared" si="349"/>
        <v>0</v>
      </c>
      <c r="I450" s="447">
        <f t="shared" ref="I450:I456" si="358">IFERROR(H450/D450,"")</f>
        <v>0</v>
      </c>
      <c r="J450" s="453">
        <f t="shared" si="350"/>
        <v>2.6552772062436856E-5</v>
      </c>
      <c r="K450" s="91">
        <f t="shared" si="351"/>
        <v>0.31919999999999998</v>
      </c>
      <c r="L450" s="87">
        <f t="shared" si="351"/>
        <v>0.31919999999999998</v>
      </c>
      <c r="M450" s="88">
        <f t="shared" si="352"/>
        <v>0.63839999999999997</v>
      </c>
      <c r="N450" s="89">
        <f t="shared" si="353"/>
        <v>0.31919999999999998</v>
      </c>
      <c r="O450" s="90">
        <f t="shared" si="353"/>
        <v>0.31919999999999998</v>
      </c>
      <c r="P450" s="88">
        <f t="shared" si="354"/>
        <v>0.63839999999999997</v>
      </c>
      <c r="Q450" s="86">
        <f t="shared" si="355"/>
        <v>0</v>
      </c>
      <c r="R450" s="447">
        <f t="shared" ref="R450:R456" si="359">IFERROR(Q450/M450,"")</f>
        <v>0</v>
      </c>
      <c r="S450" s="453">
        <f t="shared" si="356"/>
        <v>4.29487380437435E-5</v>
      </c>
      <c r="T450" s="453">
        <f t="shared" si="357"/>
        <v>1</v>
      </c>
    </row>
    <row r="451" spans="1:22" hidden="1" outlineLevel="1">
      <c r="A451" s="79" t="s">
        <v>119</v>
      </c>
      <c r="B451" s="86">
        <f>INDEX(Data!2072:2072,1,$U$1-2)/1000000</f>
        <v>0.32512799999999997</v>
      </c>
      <c r="C451" s="87">
        <f>INDEX(Data!2072:2072,1,$U$1-1)/1000000</f>
        <v>0.32512799999999997</v>
      </c>
      <c r="D451" s="88">
        <f t="shared" si="347"/>
        <v>0.65025599999999995</v>
      </c>
      <c r="E451" s="89">
        <f>INDEX(Data!2072:2072,1,$U$1)/1000000</f>
        <v>0.32512799999999997</v>
      </c>
      <c r="F451" s="90">
        <f>INDEX(Data!2072:2072,1,$U$1+1)/1000000</f>
        <v>0.32512799999999997</v>
      </c>
      <c r="G451" s="88">
        <f t="shared" si="348"/>
        <v>0.65025599999999995</v>
      </c>
      <c r="H451" s="86">
        <f t="shared" si="349"/>
        <v>0</v>
      </c>
      <c r="I451" s="447">
        <f t="shared" si="358"/>
        <v>0</v>
      </c>
      <c r="J451" s="453">
        <f t="shared" si="350"/>
        <v>2.7045894972167823E-5</v>
      </c>
      <c r="K451" s="91">
        <f t="shared" si="351"/>
        <v>0.32512799999999997</v>
      </c>
      <c r="L451" s="87">
        <f t="shared" si="351"/>
        <v>0.32512799999999997</v>
      </c>
      <c r="M451" s="88">
        <f t="shared" si="352"/>
        <v>0.65025599999999995</v>
      </c>
      <c r="N451" s="89">
        <f t="shared" si="353"/>
        <v>0.32512799999999997</v>
      </c>
      <c r="O451" s="90">
        <f t="shared" si="353"/>
        <v>0.32512799999999997</v>
      </c>
      <c r="P451" s="88">
        <f t="shared" si="354"/>
        <v>0.65025599999999995</v>
      </c>
      <c r="Q451" s="86">
        <f t="shared" si="355"/>
        <v>0</v>
      </c>
      <c r="R451" s="447">
        <f t="shared" si="359"/>
        <v>0</v>
      </c>
      <c r="S451" s="453">
        <f t="shared" si="356"/>
        <v>4.3746357464555878E-5</v>
      </c>
      <c r="T451" s="453">
        <f t="shared" si="357"/>
        <v>1</v>
      </c>
    </row>
    <row r="452" spans="1:22" hidden="1" outlineLevel="1">
      <c r="A452" s="79" t="s">
        <v>1415</v>
      </c>
      <c r="B452" s="86">
        <f>INDEX(Data!2077:2077,1,$U$1-2)/1000000</f>
        <v>3.326403</v>
      </c>
      <c r="C452" s="87">
        <f>INDEX(Data!2077:2077,1,$U$1-1)/1000000</f>
        <v>3.326403</v>
      </c>
      <c r="D452" s="88">
        <f t="shared" si="347"/>
        <v>6.652806</v>
      </c>
      <c r="E452" s="89">
        <f>INDEX(Data!2077:2077,1,$U$1)/1000000</f>
        <v>3.326403</v>
      </c>
      <c r="F452" s="90">
        <f>INDEX(Data!2077:2077,1,$U$1+1)/1000000</f>
        <v>3.326403</v>
      </c>
      <c r="G452" s="88">
        <f t="shared" si="348"/>
        <v>6.652806</v>
      </c>
      <c r="H452" s="86">
        <f t="shared" si="349"/>
        <v>0</v>
      </c>
      <c r="I452" s="447">
        <f t="shared" si="358"/>
        <v>0</v>
      </c>
      <c r="J452" s="453">
        <f t="shared" si="350"/>
        <v>2.7670808473310196E-4</v>
      </c>
      <c r="K452" s="91">
        <f t="shared" si="351"/>
        <v>3.326403</v>
      </c>
      <c r="L452" s="87">
        <f t="shared" si="351"/>
        <v>3.326403</v>
      </c>
      <c r="M452" s="88">
        <f t="shared" si="352"/>
        <v>6.652806</v>
      </c>
      <c r="N452" s="89">
        <f t="shared" si="353"/>
        <v>3.326403</v>
      </c>
      <c r="O452" s="90">
        <f t="shared" si="353"/>
        <v>3.326403</v>
      </c>
      <c r="P452" s="88">
        <f t="shared" si="354"/>
        <v>6.652806</v>
      </c>
      <c r="Q452" s="86">
        <f t="shared" si="355"/>
        <v>0</v>
      </c>
      <c r="R452" s="447">
        <f t="shared" si="359"/>
        <v>0</v>
      </c>
      <c r="S452" s="453">
        <f t="shared" si="356"/>
        <v>4.4757146326730111E-4</v>
      </c>
      <c r="T452" s="453">
        <f t="shared" si="357"/>
        <v>1</v>
      </c>
    </row>
    <row r="453" spans="1:22" hidden="1" outlineLevel="1">
      <c r="A453" s="79" t="s">
        <v>123</v>
      </c>
      <c r="B453" s="86">
        <f>INDEX(Data!2079:2079,1,$U$1-2)/1000000</f>
        <v>0.148594</v>
      </c>
      <c r="C453" s="87">
        <f>INDEX(Data!2079:2079,1,$U$1-1)/1000000</f>
        <v>0.148594</v>
      </c>
      <c r="D453" s="88">
        <f t="shared" si="347"/>
        <v>0.29718800000000001</v>
      </c>
      <c r="E453" s="89">
        <f>INDEX(Data!2079:2079,1,$U$1)/1000000</f>
        <v>0.148594</v>
      </c>
      <c r="F453" s="90">
        <f>INDEX(Data!2079:2079,1,$U$1+1)/1000000</f>
        <v>0.148594</v>
      </c>
      <c r="G453" s="88">
        <f t="shared" si="348"/>
        <v>0.29718800000000001</v>
      </c>
      <c r="H453" s="86">
        <f t="shared" si="349"/>
        <v>0</v>
      </c>
      <c r="I453" s="447">
        <f t="shared" si="358"/>
        <v>0</v>
      </c>
      <c r="J453" s="453">
        <f t="shared" si="350"/>
        <v>1.2360847781471624E-5</v>
      </c>
      <c r="K453" s="91">
        <f t="shared" si="351"/>
        <v>0.148594</v>
      </c>
      <c r="L453" s="87">
        <f t="shared" si="351"/>
        <v>0.148594</v>
      </c>
      <c r="M453" s="88">
        <f t="shared" si="352"/>
        <v>0.29718800000000001</v>
      </c>
      <c r="N453" s="89">
        <f t="shared" si="353"/>
        <v>0.148594</v>
      </c>
      <c r="O453" s="90">
        <f t="shared" si="353"/>
        <v>0.148594</v>
      </c>
      <c r="P453" s="88">
        <f t="shared" si="354"/>
        <v>0.29718800000000001</v>
      </c>
      <c r="Q453" s="86">
        <f t="shared" si="355"/>
        <v>0</v>
      </c>
      <c r="R453" s="447">
        <f t="shared" si="359"/>
        <v>0</v>
      </c>
      <c r="S453" s="453">
        <f t="shared" si="356"/>
        <v>1.9993498686942425E-5</v>
      </c>
      <c r="T453" s="453">
        <f t="shared" si="357"/>
        <v>1</v>
      </c>
    </row>
    <row r="454" spans="1:22" hidden="1" outlineLevel="1">
      <c r="A454" s="79" t="s">
        <v>127</v>
      </c>
      <c r="B454" s="86">
        <f>INDEX(Data!2082:2082,1,$U$1-2)/1000000</f>
        <v>0.32405600000000001</v>
      </c>
      <c r="C454" s="87">
        <f>INDEX(Data!2082:2082,1,$U$1-1)/1000000</f>
        <v>0.32405600000000001</v>
      </c>
      <c r="D454" s="88">
        <f t="shared" si="347"/>
        <v>0.64811200000000002</v>
      </c>
      <c r="E454" s="89">
        <f>INDEX(Data!2082:2082,1,$U$1)/1000000</f>
        <v>0.32405699999999998</v>
      </c>
      <c r="F454" s="90">
        <f>INDEX(Data!2082:2082,1,$U$1+1)/1000000</f>
        <v>0.32405600000000001</v>
      </c>
      <c r="G454" s="88">
        <f t="shared" si="348"/>
        <v>0.64811299999999994</v>
      </c>
      <c r="H454" s="86">
        <f t="shared" si="349"/>
        <v>9.9999999991773336E-7</v>
      </c>
      <c r="I454" s="447">
        <f t="shared" si="358"/>
        <v>1.5429431948763999E-6</v>
      </c>
      <c r="J454" s="453">
        <f t="shared" si="350"/>
        <v>2.6956761841638685E-5</v>
      </c>
      <c r="K454" s="91">
        <f t="shared" si="351"/>
        <v>0.32405600000000001</v>
      </c>
      <c r="L454" s="87">
        <f t="shared" si="351"/>
        <v>0.32405600000000001</v>
      </c>
      <c r="M454" s="88">
        <f t="shared" si="352"/>
        <v>0.64811200000000002</v>
      </c>
      <c r="N454" s="89">
        <f t="shared" si="353"/>
        <v>0.32405699999999998</v>
      </c>
      <c r="O454" s="90">
        <f t="shared" si="353"/>
        <v>0.32405600000000001</v>
      </c>
      <c r="P454" s="88">
        <f t="shared" si="354"/>
        <v>0.64811299999999994</v>
      </c>
      <c r="Q454" s="86">
        <f t="shared" si="355"/>
        <v>9.9999999991773336E-7</v>
      </c>
      <c r="R454" s="447">
        <f t="shared" si="359"/>
        <v>1.5429431948763999E-6</v>
      </c>
      <c r="S454" s="453">
        <f t="shared" si="356"/>
        <v>4.3602185870527459E-5</v>
      </c>
      <c r="T454" s="453">
        <f t="shared" si="357"/>
        <v>1</v>
      </c>
    </row>
    <row r="455" spans="1:22" collapsed="1">
      <c r="A455" s="113" t="s">
        <v>77</v>
      </c>
      <c r="B455" s="105">
        <f>SUM(B447:B454)</f>
        <v>9.8526810000000005</v>
      </c>
      <c r="C455" s="106">
        <f>SUM(C447:C454)</f>
        <v>5.292681</v>
      </c>
      <c r="D455" s="107">
        <f t="shared" si="347"/>
        <v>15.145362</v>
      </c>
      <c r="E455" s="105">
        <f>SUM(E447:E454)</f>
        <v>10.079082</v>
      </c>
      <c r="F455" s="106">
        <f>SUM(F447:F454)</f>
        <v>5.3822809999999999</v>
      </c>
      <c r="G455" s="107">
        <f t="shared" si="348"/>
        <v>15.461362999999999</v>
      </c>
      <c r="H455" s="105">
        <f t="shared" si="349"/>
        <v>0.3160009999999982</v>
      </c>
      <c r="I455" s="449">
        <f t="shared" si="358"/>
        <v>2.0864539256308181E-2</v>
      </c>
      <c r="J455" s="454">
        <f>IFERROR(G455/G$456,"")</f>
        <v>1.3278054320600923E-2</v>
      </c>
      <c r="K455" s="405">
        <f>SUM(K447:K454)</f>
        <v>9.8526810000000005</v>
      </c>
      <c r="L455" s="106">
        <f>SUM(L447:L454)</f>
        <v>5.292681</v>
      </c>
      <c r="M455" s="107">
        <f t="shared" si="352"/>
        <v>15.145362</v>
      </c>
      <c r="N455" s="105">
        <f>SUM(N447:N454)</f>
        <v>10.079082</v>
      </c>
      <c r="O455" s="106">
        <f>SUM(O447:O454)</f>
        <v>5.3822809999999999</v>
      </c>
      <c r="P455" s="107">
        <f t="shared" si="354"/>
        <v>15.461362999999999</v>
      </c>
      <c r="Q455" s="105">
        <f t="shared" si="355"/>
        <v>0.3160009999999982</v>
      </c>
      <c r="R455" s="449">
        <f t="shared" si="359"/>
        <v>2.0864539256308181E-2</v>
      </c>
      <c r="S455" s="454">
        <f>IFERROR(P455/P$456,"")</f>
        <v>1.3278054320600923E-2</v>
      </c>
      <c r="T455" s="454">
        <f t="shared" si="357"/>
        <v>1</v>
      </c>
      <c r="V455" s="121"/>
    </row>
    <row r="456" spans="1:22" ht="13.5" thickBot="1">
      <c r="A456" s="95" t="s">
        <v>280</v>
      </c>
      <c r="B456" s="96">
        <f t="shared" ref="B456:H456" si="360">B421+B425+B437+B442+B446+B455</f>
        <v>450.964358</v>
      </c>
      <c r="C456" s="97">
        <f t="shared" si="360"/>
        <v>447.90062600000005</v>
      </c>
      <c r="D456" s="98">
        <f t="shared" si="360"/>
        <v>898.86498400000005</v>
      </c>
      <c r="E456" s="96">
        <f t="shared" si="360"/>
        <v>607.1860210000001</v>
      </c>
      <c r="F456" s="97">
        <f t="shared" si="360"/>
        <v>557.24384399999997</v>
      </c>
      <c r="G456" s="98">
        <f t="shared" si="360"/>
        <v>1164.4298649999998</v>
      </c>
      <c r="H456" s="96">
        <f t="shared" si="360"/>
        <v>265.5648809999999</v>
      </c>
      <c r="I456" s="451">
        <f t="shared" si="358"/>
        <v>0.29544468382584127</v>
      </c>
      <c r="J456" s="455">
        <f>IFERROR(G456/G$456,"")</f>
        <v>1</v>
      </c>
      <c r="K456" s="100">
        <f t="shared" ref="K456:Q456" si="361">K421+K425+K437+K442+K446+K455</f>
        <v>450.964358</v>
      </c>
      <c r="L456" s="97">
        <f t="shared" si="361"/>
        <v>447.90062600000005</v>
      </c>
      <c r="M456" s="98">
        <f t="shared" si="361"/>
        <v>898.86498400000005</v>
      </c>
      <c r="N456" s="96">
        <f t="shared" si="361"/>
        <v>607.1860210000001</v>
      </c>
      <c r="O456" s="97">
        <f t="shared" si="361"/>
        <v>557.24384399999997</v>
      </c>
      <c r="P456" s="98">
        <f t="shared" si="361"/>
        <v>1164.4298649999998</v>
      </c>
      <c r="Q456" s="96">
        <f t="shared" si="361"/>
        <v>265.5648809999999</v>
      </c>
      <c r="R456" s="451">
        <f t="shared" si="359"/>
        <v>0.29544468382584127</v>
      </c>
      <c r="S456" s="455">
        <f>IFERROR(P456/P$456,"")</f>
        <v>1</v>
      </c>
      <c r="T456" s="455">
        <f t="shared" si="357"/>
        <v>1</v>
      </c>
    </row>
    <row r="457" spans="1:22">
      <c r="T457" s="1180"/>
    </row>
    <row r="458" spans="1:22">
      <c r="T458" s="410"/>
    </row>
    <row r="459" spans="1:22">
      <c r="T459" s="410"/>
    </row>
    <row r="460" spans="1:22">
      <c r="T460" s="410"/>
    </row>
    <row r="461" spans="1:22">
      <c r="T461" s="410"/>
    </row>
    <row r="462" spans="1:22">
      <c r="T462" s="410"/>
    </row>
    <row r="463" spans="1:22">
      <c r="T463" s="410"/>
    </row>
    <row r="464" spans="1:22">
      <c r="T464" s="410"/>
    </row>
    <row r="465" spans="1:22">
      <c r="T465" s="410"/>
    </row>
    <row r="466" spans="1:22">
      <c r="T466" s="410"/>
    </row>
    <row r="467" spans="1:22">
      <c r="T467" s="410"/>
    </row>
    <row r="468" spans="1:22">
      <c r="T468" s="410"/>
    </row>
    <row r="469" spans="1:22">
      <c r="T469" s="410"/>
    </row>
    <row r="470" spans="1:22">
      <c r="T470" s="410"/>
    </row>
    <row r="471" spans="1:22">
      <c r="T471" s="410"/>
    </row>
    <row r="472" spans="1:22">
      <c r="T472" s="410"/>
    </row>
    <row r="473" spans="1:22">
      <c r="T473" s="410"/>
    </row>
    <row r="474" spans="1:22">
      <c r="T474" s="410"/>
    </row>
    <row r="475" spans="1:22">
      <c r="J475" s="411"/>
      <c r="T475" s="411"/>
    </row>
    <row r="476" spans="1:22" ht="13.5" thickBot="1">
      <c r="T476" s="1179"/>
    </row>
    <row r="477" spans="1:22" ht="13.5" customHeight="1" thickBot="1">
      <c r="A477" s="536" t="s">
        <v>809</v>
      </c>
      <c r="B477" s="537"/>
      <c r="C477" s="537"/>
      <c r="D477" s="537"/>
      <c r="E477" s="537"/>
      <c r="F477" s="537"/>
      <c r="G477" s="537"/>
      <c r="H477" s="537"/>
      <c r="I477" s="537"/>
      <c r="J477" s="537"/>
      <c r="K477" s="537"/>
      <c r="L477" s="537"/>
      <c r="M477" s="537"/>
      <c r="N477" s="537"/>
      <c r="O477" s="537"/>
      <c r="P477" s="537"/>
      <c r="Q477" s="537"/>
      <c r="R477" s="537"/>
      <c r="S477" s="537"/>
      <c r="T477" s="538"/>
    </row>
    <row r="478" spans="1:22" ht="13.5" thickBot="1">
      <c r="A478" s="535" t="s">
        <v>1318</v>
      </c>
      <c r="B478" s="1292" t="s">
        <v>2</v>
      </c>
      <c r="C478" s="1293"/>
      <c r="D478" s="1293"/>
      <c r="E478" s="1293"/>
      <c r="F478" s="1293"/>
      <c r="G478" s="1293"/>
      <c r="H478" s="1293"/>
      <c r="I478" s="1293"/>
      <c r="J478" s="1294"/>
      <c r="K478" s="1295" t="s">
        <v>764</v>
      </c>
      <c r="L478" s="1295"/>
      <c r="M478" s="1295"/>
      <c r="N478" s="1295"/>
      <c r="O478" s="1295"/>
      <c r="P478" s="1295"/>
      <c r="Q478" s="1295"/>
      <c r="R478" s="1295"/>
      <c r="S478" s="1295"/>
      <c r="T478" s="1296"/>
    </row>
    <row r="479" spans="1:22" ht="25.5">
      <c r="A479" s="73" t="s">
        <v>766</v>
      </c>
      <c r="B479" s="74">
        <f>E479-2</f>
        <v>2018</v>
      </c>
      <c r="C479" s="75">
        <f>B479+1</f>
        <v>2019</v>
      </c>
      <c r="D479" s="76" t="str">
        <f>B479&amp;"-"&amp;C479</f>
        <v>2018-2019</v>
      </c>
      <c r="E479" s="74" t="str">
        <f>$T$1</f>
        <v>2020</v>
      </c>
      <c r="F479" s="75">
        <f>E479+1</f>
        <v>2021</v>
      </c>
      <c r="G479" s="76" t="str">
        <f>E479&amp;"-"&amp;F479</f>
        <v>2020-2021</v>
      </c>
      <c r="H479" s="74" t="s">
        <v>767</v>
      </c>
      <c r="I479" s="75" t="s">
        <v>768</v>
      </c>
      <c r="J479" s="77" t="s">
        <v>769</v>
      </c>
      <c r="K479" s="77">
        <f>N479-2</f>
        <v>2018</v>
      </c>
      <c r="L479" s="75">
        <f>K479+1</f>
        <v>2019</v>
      </c>
      <c r="M479" s="76" t="str">
        <f>K479&amp;"-"&amp;L479</f>
        <v>2018-2019</v>
      </c>
      <c r="N479" s="74" t="str">
        <f>$T$1</f>
        <v>2020</v>
      </c>
      <c r="O479" s="75">
        <f>N479+1</f>
        <v>2021</v>
      </c>
      <c r="P479" s="76" t="str">
        <f>N479&amp;"-"&amp;O479</f>
        <v>2020-2021</v>
      </c>
      <c r="Q479" s="74" t="s">
        <v>767</v>
      </c>
      <c r="R479" s="75" t="s">
        <v>768</v>
      </c>
      <c r="S479" s="78" t="s">
        <v>769</v>
      </c>
      <c r="T479" s="78" t="s">
        <v>770</v>
      </c>
    </row>
    <row r="480" spans="1:22" hidden="1" outlineLevel="1">
      <c r="A480" s="79" t="s">
        <v>754</v>
      </c>
      <c r="B480" s="86">
        <f>INDEX(Data!1557:1557,1,$U$1-2)/1000000</f>
        <v>1.2010540000000001</v>
      </c>
      <c r="C480" s="87">
        <f>INDEX(Data!1557:1557,1,$U$1-1)/1000000</f>
        <v>1.2010540000000001</v>
      </c>
      <c r="D480" s="88">
        <f t="shared" ref="D480:D514" si="362">B480+C480</f>
        <v>2.4021080000000001</v>
      </c>
      <c r="E480" s="89">
        <f>INDEX(Data!1557:1557,1,$U$1)/1000000</f>
        <v>1.2010540000000001</v>
      </c>
      <c r="F480" s="90">
        <f>INDEX(Data!1557:1557,1,$U$1+1)/1000000</f>
        <v>1.2010540000000001</v>
      </c>
      <c r="G480" s="88">
        <f t="shared" ref="G480:G514" si="363">E480+F480</f>
        <v>2.4021080000000001</v>
      </c>
      <c r="H480" s="83">
        <f>G480-D480</f>
        <v>0</v>
      </c>
      <c r="I480" s="84">
        <f>IFERROR(H480/D480,"")</f>
        <v>0</v>
      </c>
      <c r="J480" s="412">
        <f t="shared" ref="J480:J511" si="364">IFERROR(G480/G$537,"")</f>
        <v>7.0914430969560042E-3</v>
      </c>
      <c r="K480" s="409">
        <f>B480</f>
        <v>1.2010540000000001</v>
      </c>
      <c r="L480" s="81">
        <f>C480</f>
        <v>1.2010540000000001</v>
      </c>
      <c r="M480" s="82">
        <f>K480+L480</f>
        <v>2.4021080000000001</v>
      </c>
      <c r="N480" s="83">
        <f>E480</f>
        <v>1.2010540000000001</v>
      </c>
      <c r="O480" s="81">
        <f>F480</f>
        <v>1.2010540000000001</v>
      </c>
      <c r="P480" s="82">
        <f>N480+O480</f>
        <v>2.4021080000000001</v>
      </c>
      <c r="Q480" s="83">
        <f>P480-M480</f>
        <v>0</v>
      </c>
      <c r="R480" s="84">
        <f>IFERROR(Q480/M480,"")</f>
        <v>0</v>
      </c>
      <c r="S480" s="85">
        <f t="shared" ref="S480:S536" si="365">IFERROR(P480/P$456,"")</f>
        <v>2.0629048362650853E-3</v>
      </c>
      <c r="T480" s="85">
        <f t="shared" ref="T480:T511" si="366">IFERROR(P480/G$537,"")</f>
        <v>7.0914430969560042E-3</v>
      </c>
      <c r="U480" s="122"/>
      <c r="V480" s="123"/>
    </row>
    <row r="481" spans="1:22" hidden="1" outlineLevel="1">
      <c r="A481" s="79" t="s">
        <v>749</v>
      </c>
      <c r="B481" s="86">
        <f>INDEX(Data!1576:1576,1,$U$1-2)/1000000</f>
        <v>0.85107999999999995</v>
      </c>
      <c r="C481" s="87">
        <f>INDEX(Data!1576:1576,1,$U$1-1)/1000000</f>
        <v>0.85107999999999995</v>
      </c>
      <c r="D481" s="88">
        <f t="shared" si="362"/>
        <v>1.7021599999999999</v>
      </c>
      <c r="E481" s="89">
        <f>INDEX(Data!1576:1576,1,$U$1)/1000000</f>
        <v>20.415724000000001</v>
      </c>
      <c r="F481" s="90">
        <f>INDEX(Data!1576:1576,1,$U$1+1)/1000000</f>
        <v>20.415723</v>
      </c>
      <c r="G481" s="88">
        <f t="shared" si="363"/>
        <v>40.831446999999997</v>
      </c>
      <c r="H481" s="86">
        <f t="shared" ref="H481:H514" si="367">G481-D481</f>
        <v>39.129286999999998</v>
      </c>
      <c r="I481" s="84">
        <f t="shared" ref="I481:I537" si="368">IFERROR(H481/D481,"")</f>
        <v>22.988019340132539</v>
      </c>
      <c r="J481" s="412">
        <f t="shared" si="364"/>
        <v>0.12054157555233774</v>
      </c>
      <c r="K481" s="91">
        <f t="shared" ref="K481:L514" si="369">B481</f>
        <v>0.85107999999999995</v>
      </c>
      <c r="L481" s="87">
        <f t="shared" si="369"/>
        <v>0.85107999999999995</v>
      </c>
      <c r="M481" s="88">
        <f t="shared" ref="M481:M514" si="370">K481+L481</f>
        <v>1.7021599999999999</v>
      </c>
      <c r="N481" s="89">
        <f t="shared" ref="N481:O514" si="371">E481</f>
        <v>20.415724000000001</v>
      </c>
      <c r="O481" s="90">
        <f t="shared" si="371"/>
        <v>20.415723</v>
      </c>
      <c r="P481" s="88">
        <f t="shared" ref="P481:P514" si="372">N481+O481</f>
        <v>40.831446999999997</v>
      </c>
      <c r="Q481" s="86">
        <f t="shared" ref="Q481:Q514" si="373">P481-M481</f>
        <v>39.129286999999998</v>
      </c>
      <c r="R481" s="84">
        <f t="shared" ref="R481:R537" si="374">IFERROR(Q481/M481,"")</f>
        <v>22.988019340132539</v>
      </c>
      <c r="S481" s="85">
        <f t="shared" si="365"/>
        <v>3.5065612989924472E-2</v>
      </c>
      <c r="T481" s="85">
        <f t="shared" si="366"/>
        <v>0.12054157555233774</v>
      </c>
      <c r="U481" s="122"/>
      <c r="V481" s="121"/>
    </row>
    <row r="482" spans="1:22" hidden="1" outlineLevel="1">
      <c r="A482" s="79" t="s">
        <v>755</v>
      </c>
      <c r="B482" s="86">
        <f>INDEX(Data!1583:1583,1,$U$1-2)/1000000</f>
        <v>0</v>
      </c>
      <c r="C482" s="87">
        <f>INDEX(Data!1583:1583,1,$U$1-1)/1000000</f>
        <v>0</v>
      </c>
      <c r="D482" s="88">
        <f t="shared" si="362"/>
        <v>0</v>
      </c>
      <c r="E482" s="89">
        <f>INDEX(Data!1583:1583,1,$U$1)/1000000</f>
        <v>0</v>
      </c>
      <c r="F482" s="90">
        <f>INDEX(Data!1583:1583,1,$U$1+1)/1000000</f>
        <v>0</v>
      </c>
      <c r="G482" s="88">
        <f t="shared" si="363"/>
        <v>0</v>
      </c>
      <c r="H482" s="86">
        <f t="shared" si="367"/>
        <v>0</v>
      </c>
      <c r="I482" s="84" t="str">
        <f t="shared" si="368"/>
        <v/>
      </c>
      <c r="J482" s="412">
        <f t="shared" si="364"/>
        <v>0</v>
      </c>
      <c r="K482" s="91">
        <f t="shared" si="369"/>
        <v>0</v>
      </c>
      <c r="L482" s="87">
        <f t="shared" si="369"/>
        <v>0</v>
      </c>
      <c r="M482" s="88">
        <f t="shared" si="370"/>
        <v>0</v>
      </c>
      <c r="N482" s="89">
        <f t="shared" si="371"/>
        <v>0</v>
      </c>
      <c r="O482" s="90">
        <f t="shared" si="371"/>
        <v>0</v>
      </c>
      <c r="P482" s="88">
        <f t="shared" si="372"/>
        <v>0</v>
      </c>
      <c r="Q482" s="86">
        <f t="shared" si="373"/>
        <v>0</v>
      </c>
      <c r="R482" s="84" t="str">
        <f t="shared" si="374"/>
        <v/>
      </c>
      <c r="S482" s="85">
        <f t="shared" si="365"/>
        <v>0</v>
      </c>
      <c r="T482" s="85">
        <f t="shared" si="366"/>
        <v>0</v>
      </c>
      <c r="U482" s="122"/>
      <c r="V482" s="121"/>
    </row>
    <row r="483" spans="1:22" hidden="1" outlineLevel="1">
      <c r="A483" s="79" t="s">
        <v>756</v>
      </c>
      <c r="B483" s="86">
        <f>INDEX(Data!1600:1600,1,$U$1-2)/1000000</f>
        <v>2.2574709999999998</v>
      </c>
      <c r="C483" s="87">
        <f>INDEX(Data!1600:1600,1,$U$1-1)/1000000</f>
        <v>2.2574709999999998</v>
      </c>
      <c r="D483" s="88">
        <f t="shared" si="362"/>
        <v>4.5149419999999996</v>
      </c>
      <c r="E483" s="89">
        <f>INDEX(Data!1600:1600,1,$U$1)/1000000</f>
        <v>2.2574709999999998</v>
      </c>
      <c r="F483" s="90">
        <f>INDEX(Data!1600:1600,1,$U$1+1)/1000000</f>
        <v>2.2574709999999998</v>
      </c>
      <c r="G483" s="88">
        <f t="shared" si="363"/>
        <v>4.5149419999999996</v>
      </c>
      <c r="H483" s="86">
        <f t="shared" si="367"/>
        <v>0</v>
      </c>
      <c r="I483" s="84">
        <f t="shared" si="368"/>
        <v>0</v>
      </c>
      <c r="J483" s="412">
        <f t="shared" si="364"/>
        <v>1.3328898733552667E-2</v>
      </c>
      <c r="K483" s="91">
        <f t="shared" si="369"/>
        <v>2.2574709999999998</v>
      </c>
      <c r="L483" s="87">
        <f t="shared" si="369"/>
        <v>2.2574709999999998</v>
      </c>
      <c r="M483" s="88">
        <f t="shared" si="370"/>
        <v>4.5149419999999996</v>
      </c>
      <c r="N483" s="89">
        <f t="shared" si="371"/>
        <v>2.2574709999999998</v>
      </c>
      <c r="O483" s="90">
        <f t="shared" si="371"/>
        <v>2.2574709999999998</v>
      </c>
      <c r="P483" s="88">
        <f t="shared" si="372"/>
        <v>4.5149419999999996</v>
      </c>
      <c r="Q483" s="86">
        <f t="shared" si="373"/>
        <v>0</v>
      </c>
      <c r="R483" s="84">
        <f t="shared" si="374"/>
        <v>0</v>
      </c>
      <c r="S483" s="85">
        <f t="shared" si="365"/>
        <v>3.8773842338713977E-3</v>
      </c>
      <c r="T483" s="85">
        <f t="shared" si="366"/>
        <v>1.3328898733552667E-2</v>
      </c>
      <c r="U483" s="122"/>
      <c r="V483" s="121"/>
    </row>
    <row r="484" spans="1:22" ht="25.5" hidden="1" outlineLevel="1">
      <c r="A484" s="1104" t="s">
        <v>1667</v>
      </c>
      <c r="B484" s="86">
        <f>INDEX(Data!1616:1616,1,$U$1-2)/1000000</f>
        <v>6.33988</v>
      </c>
      <c r="C484" s="87">
        <f>INDEX(Data!1616:1616,1,$U$1-1)/1000000</f>
        <v>6.3398779999999997</v>
      </c>
      <c r="D484" s="88">
        <f t="shared" ref="D484" si="375">B484+C484</f>
        <v>12.679758</v>
      </c>
      <c r="E484" s="89">
        <f>INDEX(Data!1616:1616,1,$U$1)/1000000</f>
        <v>8.4442149999999998</v>
      </c>
      <c r="F484" s="90">
        <f>INDEX(Data!1616:1616,1,$U$1+1)/1000000</f>
        <v>8.4442120000000003</v>
      </c>
      <c r="G484" s="88">
        <f t="shared" ref="G484" si="376">E484+F484</f>
        <v>16.888427</v>
      </c>
      <c r="H484" s="86">
        <f t="shared" ref="H484" si="377">G484-D484</f>
        <v>4.2086690000000004</v>
      </c>
      <c r="I484" s="84">
        <f t="shared" ref="I484" si="378">IFERROR(H484/D484,"")</f>
        <v>0.33192029374693116</v>
      </c>
      <c r="J484" s="412">
        <f t="shared" si="364"/>
        <v>4.9857591360419846E-2</v>
      </c>
      <c r="K484" s="91">
        <f t="shared" ref="K484" si="379">B484</f>
        <v>6.33988</v>
      </c>
      <c r="L484" s="87">
        <f t="shared" ref="L484" si="380">C484</f>
        <v>6.3398779999999997</v>
      </c>
      <c r="M484" s="88">
        <f t="shared" ref="M484" si="381">K484+L484</f>
        <v>12.679758</v>
      </c>
      <c r="N484" s="89">
        <f t="shared" ref="N484" si="382">E484</f>
        <v>8.4442149999999998</v>
      </c>
      <c r="O484" s="90">
        <f t="shared" ref="O484" si="383">F484</f>
        <v>8.4442120000000003</v>
      </c>
      <c r="P484" s="88">
        <f t="shared" ref="P484" si="384">N484+O484</f>
        <v>16.888427</v>
      </c>
      <c r="Q484" s="86">
        <f t="shared" ref="Q484" si="385">P484-M484</f>
        <v>4.2086690000000004</v>
      </c>
      <c r="R484" s="84">
        <f t="shared" ref="R484" si="386">IFERROR(Q484/M484,"")</f>
        <v>0.33192029374693116</v>
      </c>
      <c r="S484" s="85">
        <f t="shared" ref="S484" si="387">IFERROR(P484/P$456,"")</f>
        <v>1.4503601726154629E-2</v>
      </c>
      <c r="T484" s="85">
        <f t="shared" si="366"/>
        <v>4.9857591360419846E-2</v>
      </c>
      <c r="U484" s="122"/>
      <c r="V484" s="121"/>
    </row>
    <row r="485" spans="1:22" hidden="1" outlineLevel="1">
      <c r="A485" s="79" t="s">
        <v>1356</v>
      </c>
      <c r="B485" s="86">
        <f>INDEX(Data!1631:1631,1,$U$1-2)/1000000</f>
        <v>0</v>
      </c>
      <c r="C485" s="87">
        <f>INDEX(Data!1631:1631,1,$U$1-1)/1000000</f>
        <v>0</v>
      </c>
      <c r="D485" s="88">
        <f t="shared" si="362"/>
        <v>0</v>
      </c>
      <c r="E485" s="89">
        <f>INDEX(Data!1631:1631,1,$U$1)/1000000</f>
        <v>0</v>
      </c>
      <c r="F485" s="90">
        <f>INDEX(Data!1631:1631,1,$U$1+1)/1000000</f>
        <v>0</v>
      </c>
      <c r="G485" s="88">
        <f t="shared" si="363"/>
        <v>0</v>
      </c>
      <c r="H485" s="86">
        <f t="shared" si="367"/>
        <v>0</v>
      </c>
      <c r="I485" s="84" t="str">
        <f t="shared" si="368"/>
        <v/>
      </c>
      <c r="J485" s="412">
        <f t="shared" si="364"/>
        <v>0</v>
      </c>
      <c r="K485" s="91">
        <f t="shared" si="369"/>
        <v>0</v>
      </c>
      <c r="L485" s="87">
        <f t="shared" si="369"/>
        <v>0</v>
      </c>
      <c r="M485" s="88">
        <f t="shared" si="370"/>
        <v>0</v>
      </c>
      <c r="N485" s="89">
        <f t="shared" si="371"/>
        <v>0</v>
      </c>
      <c r="O485" s="90">
        <f t="shared" si="371"/>
        <v>0</v>
      </c>
      <c r="P485" s="88">
        <f t="shared" si="372"/>
        <v>0</v>
      </c>
      <c r="Q485" s="86">
        <f t="shared" si="373"/>
        <v>0</v>
      </c>
      <c r="R485" s="84" t="str">
        <f t="shared" si="374"/>
        <v/>
      </c>
      <c r="S485" s="85">
        <f t="shared" si="365"/>
        <v>0</v>
      </c>
      <c r="T485" s="85">
        <f t="shared" si="366"/>
        <v>0</v>
      </c>
      <c r="U485" s="122"/>
      <c r="V485" s="121"/>
    </row>
    <row r="486" spans="1:22" hidden="1" outlineLevel="1">
      <c r="A486" s="79" t="s">
        <v>1357</v>
      </c>
      <c r="B486" s="86">
        <f>INDEX(Data!1636:1636,1,$U$1-2)/1000000</f>
        <v>0</v>
      </c>
      <c r="C486" s="87">
        <f>INDEX(Data!1636:1636,1,$U$1-1)/1000000</f>
        <v>0</v>
      </c>
      <c r="D486" s="88">
        <f t="shared" si="362"/>
        <v>0</v>
      </c>
      <c r="E486" s="89">
        <f>INDEX(Data!1636:1636,1,$U$1)/1000000</f>
        <v>0</v>
      </c>
      <c r="F486" s="90">
        <f>INDEX(Data!1636:1636,1,$U$1+1)/1000000</f>
        <v>0</v>
      </c>
      <c r="G486" s="88">
        <f t="shared" si="363"/>
        <v>0</v>
      </c>
      <c r="H486" s="86">
        <f t="shared" si="367"/>
        <v>0</v>
      </c>
      <c r="I486" s="84" t="str">
        <f t="shared" si="368"/>
        <v/>
      </c>
      <c r="J486" s="412">
        <f t="shared" si="364"/>
        <v>0</v>
      </c>
      <c r="K486" s="91">
        <f t="shared" si="369"/>
        <v>0</v>
      </c>
      <c r="L486" s="87">
        <f t="shared" si="369"/>
        <v>0</v>
      </c>
      <c r="M486" s="88">
        <f t="shared" si="370"/>
        <v>0</v>
      </c>
      <c r="N486" s="89">
        <f t="shared" si="371"/>
        <v>0</v>
      </c>
      <c r="O486" s="90">
        <f t="shared" si="371"/>
        <v>0</v>
      </c>
      <c r="P486" s="88">
        <f t="shared" si="372"/>
        <v>0</v>
      </c>
      <c r="Q486" s="86">
        <f t="shared" si="373"/>
        <v>0</v>
      </c>
      <c r="R486" s="84" t="str">
        <f t="shared" si="374"/>
        <v/>
      </c>
      <c r="S486" s="85">
        <f t="shared" si="365"/>
        <v>0</v>
      </c>
      <c r="T486" s="85">
        <f t="shared" si="366"/>
        <v>0</v>
      </c>
      <c r="U486" s="122"/>
      <c r="V486" s="121"/>
    </row>
    <row r="487" spans="1:22" ht="25.5" hidden="1" outlineLevel="1">
      <c r="A487" s="79" t="s">
        <v>1358</v>
      </c>
      <c r="B487" s="86">
        <f>INDEX(Data!1646:1646,1,$U$1-2)/1000000</f>
        <v>2.135491</v>
      </c>
      <c r="C487" s="87">
        <f>INDEX(Data!1646:1646,1,$U$1-1)/1000000</f>
        <v>2.135491</v>
      </c>
      <c r="D487" s="88">
        <f t="shared" si="362"/>
        <v>4.2709820000000001</v>
      </c>
      <c r="E487" s="89">
        <f>INDEX(Data!1646:1646,1,$U$1)/1000000</f>
        <v>4.2413689999999997</v>
      </c>
      <c r="F487" s="90">
        <f>INDEX(Data!1646:1646,1,$U$1+1)/1000000</f>
        <v>4.2413689999999997</v>
      </c>
      <c r="G487" s="88">
        <f t="shared" si="363"/>
        <v>8.4827379999999994</v>
      </c>
      <c r="H487" s="86">
        <f t="shared" si="367"/>
        <v>4.2117559999999994</v>
      </c>
      <c r="I487" s="84">
        <f t="shared" si="368"/>
        <v>0.98613293148976033</v>
      </c>
      <c r="J487" s="412">
        <f t="shared" si="364"/>
        <v>2.5042526744586992E-2</v>
      </c>
      <c r="K487" s="91">
        <f t="shared" si="369"/>
        <v>2.135491</v>
      </c>
      <c r="L487" s="87">
        <f t="shared" si="369"/>
        <v>2.135491</v>
      </c>
      <c r="M487" s="88">
        <f t="shared" si="370"/>
        <v>4.2709820000000001</v>
      </c>
      <c r="N487" s="89">
        <f t="shared" si="371"/>
        <v>4.2413689999999997</v>
      </c>
      <c r="O487" s="90">
        <f t="shared" si="371"/>
        <v>4.2413689999999997</v>
      </c>
      <c r="P487" s="88">
        <f t="shared" si="372"/>
        <v>8.4827379999999994</v>
      </c>
      <c r="Q487" s="86">
        <f t="shared" si="373"/>
        <v>4.2117559999999994</v>
      </c>
      <c r="R487" s="84">
        <f t="shared" si="374"/>
        <v>0.98613293148976033</v>
      </c>
      <c r="S487" s="85">
        <f t="shared" si="365"/>
        <v>7.2848852944870151E-3</v>
      </c>
      <c r="T487" s="85">
        <f t="shared" si="366"/>
        <v>2.5042526744586992E-2</v>
      </c>
      <c r="U487" s="122"/>
      <c r="V487" s="121"/>
    </row>
    <row r="488" spans="1:22" hidden="1" outlineLevel="1">
      <c r="A488" s="79" t="s">
        <v>757</v>
      </c>
      <c r="B488" s="86">
        <f>INDEX(Data!1655:1655,1,$U$1-2)/1000000</f>
        <v>1.7888390000000001</v>
      </c>
      <c r="C488" s="87">
        <f>INDEX(Data!1655:1655,1,$U$1-1)/1000000</f>
        <v>1.7888379999999999</v>
      </c>
      <c r="D488" s="88">
        <f t="shared" si="362"/>
        <v>3.577677</v>
      </c>
      <c r="E488" s="89">
        <f>INDEX(Data!1655:1655,1,$U$1)/1000000</f>
        <v>1.7888390000000001</v>
      </c>
      <c r="F488" s="90">
        <f>INDEX(Data!1655:1655,1,$U$1+1)/1000000</f>
        <v>1.7888379999999999</v>
      </c>
      <c r="G488" s="88">
        <f t="shared" si="363"/>
        <v>3.577677</v>
      </c>
      <c r="H488" s="86">
        <f t="shared" si="367"/>
        <v>0</v>
      </c>
      <c r="I488" s="84">
        <f t="shared" si="368"/>
        <v>0</v>
      </c>
      <c r="J488" s="412">
        <f t="shared" si="364"/>
        <v>1.0561928466492041E-2</v>
      </c>
      <c r="K488" s="91">
        <f t="shared" si="369"/>
        <v>1.7888390000000001</v>
      </c>
      <c r="L488" s="87">
        <f t="shared" si="369"/>
        <v>1.7888379999999999</v>
      </c>
      <c r="M488" s="88">
        <f t="shared" si="370"/>
        <v>3.577677</v>
      </c>
      <c r="N488" s="89">
        <f t="shared" si="371"/>
        <v>1.7888390000000001</v>
      </c>
      <c r="O488" s="90">
        <f t="shared" si="371"/>
        <v>1.7888379999999999</v>
      </c>
      <c r="P488" s="88">
        <f t="shared" si="372"/>
        <v>3.577677</v>
      </c>
      <c r="Q488" s="86">
        <f t="shared" si="373"/>
        <v>0</v>
      </c>
      <c r="R488" s="84">
        <f t="shared" si="374"/>
        <v>0</v>
      </c>
      <c r="S488" s="85">
        <f t="shared" si="365"/>
        <v>3.0724710070880916E-3</v>
      </c>
      <c r="T488" s="85">
        <f t="shared" si="366"/>
        <v>1.0561928466492041E-2</v>
      </c>
      <c r="U488" s="122"/>
      <c r="V488" s="121"/>
    </row>
    <row r="489" spans="1:22" hidden="1" outlineLevel="1">
      <c r="A489" s="79" t="s">
        <v>1359</v>
      </c>
      <c r="B489" s="86">
        <f>INDEX(Data!1664:1664,1,$U$1-2)/1000000</f>
        <v>3.2528419999999998</v>
      </c>
      <c r="C489" s="87">
        <f>INDEX(Data!1664:1664,1,$U$1-1)/1000000</f>
        <v>3.2528419999999998</v>
      </c>
      <c r="D489" s="88">
        <f t="shared" si="362"/>
        <v>6.5056839999999996</v>
      </c>
      <c r="E489" s="89">
        <f>INDEX(Data!1664:1664,1,$U$1)/1000000</f>
        <v>3.2528419999999998</v>
      </c>
      <c r="F489" s="90">
        <f>INDEX(Data!1664:1664,1,$U$1+1)/1000000</f>
        <v>3.2528419999999998</v>
      </c>
      <c r="G489" s="88">
        <f t="shared" si="363"/>
        <v>6.5056839999999996</v>
      </c>
      <c r="H489" s="86">
        <f t="shared" si="367"/>
        <v>0</v>
      </c>
      <c r="I489" s="84">
        <f t="shared" si="368"/>
        <v>0</v>
      </c>
      <c r="J489" s="412">
        <f t="shared" si="364"/>
        <v>1.9205917424519263E-2</v>
      </c>
      <c r="K489" s="91">
        <f t="shared" si="369"/>
        <v>3.2528419999999998</v>
      </c>
      <c r="L489" s="87">
        <f t="shared" si="369"/>
        <v>3.2528419999999998</v>
      </c>
      <c r="M489" s="88">
        <f t="shared" si="370"/>
        <v>6.5056839999999996</v>
      </c>
      <c r="N489" s="89">
        <f t="shared" si="371"/>
        <v>3.2528419999999998</v>
      </c>
      <c r="O489" s="90">
        <f t="shared" si="371"/>
        <v>3.2528419999999998</v>
      </c>
      <c r="P489" s="88">
        <f t="shared" si="372"/>
        <v>6.5056839999999996</v>
      </c>
      <c r="Q489" s="86">
        <f t="shared" si="373"/>
        <v>0</v>
      </c>
      <c r="R489" s="84">
        <f t="shared" si="374"/>
        <v>0</v>
      </c>
      <c r="S489" s="85">
        <f t="shared" si="365"/>
        <v>5.587012318685248E-3</v>
      </c>
      <c r="T489" s="85">
        <f t="shared" si="366"/>
        <v>1.9205917424519263E-2</v>
      </c>
      <c r="U489" s="122"/>
      <c r="V489" s="121"/>
    </row>
    <row r="490" spans="1:22" hidden="1" outlineLevel="1">
      <c r="A490" s="79" t="s">
        <v>876</v>
      </c>
      <c r="B490" s="86">
        <f>INDEX(Data!1682:1682,1,$U$1-2)/1000000</f>
        <v>1.574271</v>
      </c>
      <c r="C490" s="87">
        <f>INDEX(Data!1682:1682,1,$U$1-1)/1000000</f>
        <v>1.5742700000000001</v>
      </c>
      <c r="D490" s="88">
        <f t="shared" si="362"/>
        <v>3.1485409999999998</v>
      </c>
      <c r="E490" s="89">
        <f>INDEX(Data!1682:1682,1,$U$1)/1000000</f>
        <v>1.574271</v>
      </c>
      <c r="F490" s="90">
        <f>INDEX(Data!1682:1682,1,$U$1+1)/1000000</f>
        <v>1.5742700000000001</v>
      </c>
      <c r="G490" s="88">
        <f t="shared" si="363"/>
        <v>3.1485409999999998</v>
      </c>
      <c r="H490" s="86">
        <f t="shared" si="367"/>
        <v>0</v>
      </c>
      <c r="I490" s="84">
        <f t="shared" si="368"/>
        <v>0</v>
      </c>
      <c r="J490" s="412">
        <f t="shared" si="364"/>
        <v>9.2950439114032144E-3</v>
      </c>
      <c r="K490" s="91">
        <f t="shared" si="369"/>
        <v>1.574271</v>
      </c>
      <c r="L490" s="87">
        <f t="shared" si="369"/>
        <v>1.5742700000000001</v>
      </c>
      <c r="M490" s="88">
        <f t="shared" si="370"/>
        <v>3.1485409999999998</v>
      </c>
      <c r="N490" s="89">
        <f t="shared" si="371"/>
        <v>1.574271</v>
      </c>
      <c r="O490" s="90">
        <f t="shared" si="371"/>
        <v>1.5742700000000001</v>
      </c>
      <c r="P490" s="88">
        <f t="shared" si="372"/>
        <v>3.1485409999999998</v>
      </c>
      <c r="Q490" s="86">
        <f t="shared" si="373"/>
        <v>0</v>
      </c>
      <c r="R490" s="84">
        <f t="shared" si="374"/>
        <v>0</v>
      </c>
      <c r="S490" s="85">
        <f t="shared" si="365"/>
        <v>2.7039335683819825E-3</v>
      </c>
      <c r="T490" s="85">
        <f t="shared" si="366"/>
        <v>9.2950439114032144E-3</v>
      </c>
      <c r="U490" s="122"/>
      <c r="V490" s="121"/>
    </row>
    <row r="491" spans="1:22" hidden="1" outlineLevel="1">
      <c r="A491" s="79" t="s">
        <v>750</v>
      </c>
      <c r="B491" s="86">
        <f>INDEX(Data!1691:1691,1,$U$1-2)/1000000</f>
        <v>2.7653110000000001</v>
      </c>
      <c r="C491" s="87">
        <f>INDEX(Data!1691:1691,1,$U$1-1)/1000000</f>
        <v>2.7653089999999998</v>
      </c>
      <c r="D491" s="88">
        <f t="shared" si="362"/>
        <v>5.5306199999999999</v>
      </c>
      <c r="E491" s="89">
        <f>INDEX(Data!1691:1691,1,$U$1)/1000000</f>
        <v>7.5633619999999997</v>
      </c>
      <c r="F491" s="90">
        <f>INDEX(Data!1691:1691,1,$U$1+1)/1000000</f>
        <v>7.5633590000000002</v>
      </c>
      <c r="G491" s="88">
        <f t="shared" si="363"/>
        <v>15.126721</v>
      </c>
      <c r="H491" s="86">
        <f t="shared" si="367"/>
        <v>9.5961010000000009</v>
      </c>
      <c r="I491" s="84">
        <f t="shared" si="368"/>
        <v>1.7350859397318927</v>
      </c>
      <c r="J491" s="412">
        <f t="shared" si="364"/>
        <v>4.4656727014367972E-2</v>
      </c>
      <c r="K491" s="91">
        <f t="shared" si="369"/>
        <v>2.7653110000000001</v>
      </c>
      <c r="L491" s="87">
        <f t="shared" si="369"/>
        <v>2.7653089999999998</v>
      </c>
      <c r="M491" s="88">
        <f t="shared" si="370"/>
        <v>5.5306199999999999</v>
      </c>
      <c r="N491" s="89">
        <f t="shared" si="371"/>
        <v>7.5633619999999997</v>
      </c>
      <c r="O491" s="90">
        <f t="shared" si="371"/>
        <v>7.5633590000000002</v>
      </c>
      <c r="P491" s="88">
        <f t="shared" si="372"/>
        <v>15.126721</v>
      </c>
      <c r="Q491" s="86">
        <f t="shared" si="373"/>
        <v>9.5961010000000009</v>
      </c>
      <c r="R491" s="84">
        <f t="shared" si="374"/>
        <v>1.7350859397318927</v>
      </c>
      <c r="S491" s="85">
        <f t="shared" si="365"/>
        <v>1.2990667325421099E-2</v>
      </c>
      <c r="T491" s="85">
        <f t="shared" si="366"/>
        <v>4.4656727014367972E-2</v>
      </c>
      <c r="U491" s="122"/>
      <c r="V491" s="121"/>
    </row>
    <row r="492" spans="1:22" hidden="1" outlineLevel="1">
      <c r="A492" s="79" t="s">
        <v>1209</v>
      </c>
      <c r="B492" s="86">
        <f>INDEX(Data!1702:1702,1,$U$1-2)/1000000</f>
        <v>1.9097230000000001</v>
      </c>
      <c r="C492" s="87">
        <f>INDEX(Data!1702:1702,1,$U$1-1)/1000000</f>
        <v>1.9097230000000001</v>
      </c>
      <c r="D492" s="88">
        <f t="shared" si="362"/>
        <v>3.8194460000000001</v>
      </c>
      <c r="E492" s="89">
        <f>INDEX(Data!1702:1702,1,$U$1)/1000000</f>
        <v>1.9097230000000001</v>
      </c>
      <c r="F492" s="90">
        <f>INDEX(Data!1702:1702,1,$U$1+1)/1000000</f>
        <v>1.9097230000000001</v>
      </c>
      <c r="G492" s="88">
        <f t="shared" si="363"/>
        <v>3.8194460000000001</v>
      </c>
      <c r="H492" s="86">
        <f t="shared" si="367"/>
        <v>0</v>
      </c>
      <c r="I492" s="84">
        <f t="shared" si="368"/>
        <v>0</v>
      </c>
      <c r="J492" s="412">
        <f t="shared" si="364"/>
        <v>1.1275672855215595E-2</v>
      </c>
      <c r="K492" s="91">
        <f t="shared" si="369"/>
        <v>1.9097230000000001</v>
      </c>
      <c r="L492" s="87">
        <f t="shared" si="369"/>
        <v>1.9097230000000001</v>
      </c>
      <c r="M492" s="88">
        <f t="shared" si="370"/>
        <v>3.8194460000000001</v>
      </c>
      <c r="N492" s="89">
        <f t="shared" si="371"/>
        <v>1.9097230000000001</v>
      </c>
      <c r="O492" s="90">
        <f t="shared" si="371"/>
        <v>1.9097230000000001</v>
      </c>
      <c r="P492" s="88">
        <f t="shared" si="372"/>
        <v>3.8194460000000001</v>
      </c>
      <c r="Q492" s="86">
        <f t="shared" si="373"/>
        <v>0</v>
      </c>
      <c r="R492" s="84">
        <f t="shared" si="374"/>
        <v>0</v>
      </c>
      <c r="S492" s="85">
        <f t="shared" si="365"/>
        <v>3.2800996563240848E-3</v>
      </c>
      <c r="T492" s="85">
        <f t="shared" si="366"/>
        <v>1.1275672855215595E-2</v>
      </c>
      <c r="U492" s="122"/>
      <c r="V492" s="121"/>
    </row>
    <row r="493" spans="1:22" hidden="1" outlineLevel="1">
      <c r="A493" s="79" t="s">
        <v>1211</v>
      </c>
      <c r="B493" s="86">
        <f>INDEX(Data!1718:1718,1,$U$1-2)/1000000</f>
        <v>5.3487660000000004</v>
      </c>
      <c r="C493" s="87">
        <f>INDEX(Data!1718:1718,1,$U$1-1)/1000000</f>
        <v>5.3487629999999999</v>
      </c>
      <c r="D493" s="88">
        <f t="shared" si="362"/>
        <v>10.697528999999999</v>
      </c>
      <c r="E493" s="89">
        <f>INDEX(Data!1718:1718,1,$U$1)/1000000</f>
        <v>5.3487660000000004</v>
      </c>
      <c r="F493" s="90">
        <f>INDEX(Data!1718:1718,1,$U$1+1)/1000000</f>
        <v>5.3487640000000001</v>
      </c>
      <c r="G493" s="88">
        <f t="shared" si="363"/>
        <v>10.69753</v>
      </c>
      <c r="H493" s="86">
        <f t="shared" si="367"/>
        <v>1.0000000010279564E-6</v>
      </c>
      <c r="I493" s="84">
        <f t="shared" si="368"/>
        <v>9.3479531677638488E-8</v>
      </c>
      <c r="J493" s="412">
        <f t="shared" si="364"/>
        <v>3.1580980236100856E-2</v>
      </c>
      <c r="K493" s="91">
        <f t="shared" si="369"/>
        <v>5.3487660000000004</v>
      </c>
      <c r="L493" s="87">
        <f t="shared" si="369"/>
        <v>5.3487629999999999</v>
      </c>
      <c r="M493" s="88">
        <f t="shared" si="370"/>
        <v>10.697528999999999</v>
      </c>
      <c r="N493" s="89">
        <f t="shared" si="371"/>
        <v>5.3487660000000004</v>
      </c>
      <c r="O493" s="90">
        <f t="shared" si="371"/>
        <v>5.3487640000000001</v>
      </c>
      <c r="P493" s="88">
        <f t="shared" si="372"/>
        <v>10.69753</v>
      </c>
      <c r="Q493" s="86">
        <f t="shared" si="373"/>
        <v>1.0000000010279564E-6</v>
      </c>
      <c r="R493" s="84">
        <f t="shared" si="374"/>
        <v>9.3479531677638488E-8</v>
      </c>
      <c r="S493" s="85">
        <f t="shared" si="365"/>
        <v>9.1869251395402859E-3</v>
      </c>
      <c r="T493" s="85">
        <f t="shared" si="366"/>
        <v>3.1580980236100856E-2</v>
      </c>
      <c r="U493" s="122"/>
      <c r="V493" s="121"/>
    </row>
    <row r="494" spans="1:22" hidden="1" outlineLevel="1">
      <c r="A494" s="79" t="s">
        <v>1212</v>
      </c>
      <c r="B494" s="86">
        <f>INDEX(Data!1729:1729,1,$U$1-2)/1000000</f>
        <v>3.7964509999999998</v>
      </c>
      <c r="C494" s="87">
        <f>INDEX(Data!1729:1729,1,$U$1-1)/1000000</f>
        <v>3.7964509999999998</v>
      </c>
      <c r="D494" s="88">
        <f t="shared" si="362"/>
        <v>7.5929019999999996</v>
      </c>
      <c r="E494" s="89">
        <f>INDEX(Data!1729:1729,1,$U$1)/1000000</f>
        <v>10.537974</v>
      </c>
      <c r="F494" s="90">
        <f>INDEX(Data!1729:1729,1,$U$1+1)/1000000</f>
        <v>10.537972999999999</v>
      </c>
      <c r="G494" s="88">
        <f t="shared" si="363"/>
        <v>21.075946999999999</v>
      </c>
      <c r="H494" s="86">
        <f t="shared" si="367"/>
        <v>13.483045000000001</v>
      </c>
      <c r="I494" s="84">
        <f t="shared" si="368"/>
        <v>1.7757433192210306</v>
      </c>
      <c r="J494" s="412">
        <f t="shared" si="364"/>
        <v>6.2219883063109813E-2</v>
      </c>
      <c r="K494" s="91">
        <f t="shared" si="369"/>
        <v>3.7964509999999998</v>
      </c>
      <c r="L494" s="87">
        <f t="shared" si="369"/>
        <v>3.7964509999999998</v>
      </c>
      <c r="M494" s="88">
        <f t="shared" si="370"/>
        <v>7.5929019999999996</v>
      </c>
      <c r="N494" s="89">
        <f t="shared" si="371"/>
        <v>10.537974</v>
      </c>
      <c r="O494" s="90">
        <f t="shared" si="371"/>
        <v>10.537972999999999</v>
      </c>
      <c r="P494" s="88">
        <f t="shared" si="372"/>
        <v>21.075946999999999</v>
      </c>
      <c r="Q494" s="86">
        <f t="shared" si="373"/>
        <v>13.483045000000001</v>
      </c>
      <c r="R494" s="84">
        <f t="shared" si="374"/>
        <v>1.7757433192210306</v>
      </c>
      <c r="S494" s="85">
        <f t="shared" si="365"/>
        <v>1.8099799424158538E-2</v>
      </c>
      <c r="T494" s="85">
        <f t="shared" si="366"/>
        <v>6.2219883063109813E-2</v>
      </c>
      <c r="U494" s="122"/>
      <c r="V494" s="121"/>
    </row>
    <row r="495" spans="1:22" hidden="1" outlineLevel="1">
      <c r="A495" s="79" t="s">
        <v>861</v>
      </c>
      <c r="B495" s="86">
        <f>INDEX(Data!1739:1739,1,$U$1-2)/1000000</f>
        <v>4.3314069999999996</v>
      </c>
      <c r="C495" s="87">
        <f>INDEX(Data!1739:1739,1,$U$1-1)/1000000</f>
        <v>4.3314060000000003</v>
      </c>
      <c r="D495" s="88">
        <f t="shared" si="362"/>
        <v>8.6628129999999999</v>
      </c>
      <c r="E495" s="89">
        <f>INDEX(Data!1739:1739,1,$U$1)/1000000</f>
        <v>4.3314069999999996</v>
      </c>
      <c r="F495" s="90">
        <f>INDEX(Data!1739:1739,1,$U$1+1)/1000000</f>
        <v>4.3314060000000003</v>
      </c>
      <c r="G495" s="88">
        <f t="shared" si="363"/>
        <v>8.6628129999999999</v>
      </c>
      <c r="H495" s="86">
        <f t="shared" si="367"/>
        <v>0</v>
      </c>
      <c r="I495" s="84">
        <f t="shared" si="368"/>
        <v>0</v>
      </c>
      <c r="J495" s="412">
        <f t="shared" si="364"/>
        <v>2.5574139651119238E-2</v>
      </c>
      <c r="K495" s="91">
        <f t="shared" si="369"/>
        <v>4.3314069999999996</v>
      </c>
      <c r="L495" s="87">
        <f t="shared" si="369"/>
        <v>4.3314060000000003</v>
      </c>
      <c r="M495" s="88">
        <f t="shared" si="370"/>
        <v>8.6628129999999999</v>
      </c>
      <c r="N495" s="89">
        <f t="shared" si="371"/>
        <v>4.3314069999999996</v>
      </c>
      <c r="O495" s="90">
        <f t="shared" si="371"/>
        <v>4.3314060000000003</v>
      </c>
      <c r="P495" s="88">
        <f t="shared" si="372"/>
        <v>8.6628129999999999</v>
      </c>
      <c r="Q495" s="86">
        <f t="shared" si="373"/>
        <v>0</v>
      </c>
      <c r="R495" s="84">
        <f t="shared" si="374"/>
        <v>0</v>
      </c>
      <c r="S495" s="85">
        <f t="shared" si="365"/>
        <v>7.4395317918095486E-3</v>
      </c>
      <c r="T495" s="85">
        <f t="shared" si="366"/>
        <v>2.5574139651119238E-2</v>
      </c>
      <c r="U495" s="122"/>
      <c r="V495" s="121"/>
    </row>
    <row r="496" spans="1:22" hidden="1" outlineLevel="1">
      <c r="A496" s="79" t="s">
        <v>871</v>
      </c>
      <c r="B496" s="86">
        <f>INDEX(Data!1752:1752,1,$U$1-2)/1000000</f>
        <v>2.4655290000000001</v>
      </c>
      <c r="C496" s="87">
        <f>INDEX(Data!1752:1752,1,$U$1-1)/1000000</f>
        <v>2.4655269999999998</v>
      </c>
      <c r="D496" s="88">
        <f t="shared" si="362"/>
        <v>4.9310559999999999</v>
      </c>
      <c r="E496" s="89">
        <f>INDEX(Data!1752:1752,1,$U$1)/1000000</f>
        <v>2.4655290000000001</v>
      </c>
      <c r="F496" s="90">
        <f>INDEX(Data!1752:1752,1,$U$1+1)/1000000</f>
        <v>2.4655269999999998</v>
      </c>
      <c r="G496" s="88">
        <f t="shared" si="363"/>
        <v>4.9310559999999999</v>
      </c>
      <c r="H496" s="86">
        <f t="shared" si="367"/>
        <v>0</v>
      </c>
      <c r="I496" s="84">
        <f t="shared" si="368"/>
        <v>0</v>
      </c>
      <c r="J496" s="412">
        <f t="shared" si="364"/>
        <v>1.4557340066268245E-2</v>
      </c>
      <c r="K496" s="91">
        <f t="shared" si="369"/>
        <v>2.4655290000000001</v>
      </c>
      <c r="L496" s="87">
        <f t="shared" si="369"/>
        <v>2.4655269999999998</v>
      </c>
      <c r="M496" s="88">
        <f t="shared" si="370"/>
        <v>4.9310559999999999</v>
      </c>
      <c r="N496" s="89">
        <f t="shared" si="371"/>
        <v>2.4655290000000001</v>
      </c>
      <c r="O496" s="90">
        <f t="shared" si="371"/>
        <v>2.4655269999999998</v>
      </c>
      <c r="P496" s="88">
        <f t="shared" si="372"/>
        <v>4.9310559999999999</v>
      </c>
      <c r="Q496" s="86">
        <f t="shared" si="373"/>
        <v>0</v>
      </c>
      <c r="R496" s="84">
        <f t="shared" si="374"/>
        <v>0</v>
      </c>
      <c r="S496" s="85">
        <f t="shared" si="365"/>
        <v>4.2347385172914649E-3</v>
      </c>
      <c r="T496" s="85">
        <f t="shared" si="366"/>
        <v>1.4557340066268245E-2</v>
      </c>
      <c r="U496" s="122"/>
      <c r="V496" s="121"/>
    </row>
    <row r="497" spans="1:22" hidden="1" outlineLevel="1">
      <c r="A497" s="79" t="s">
        <v>1361</v>
      </c>
      <c r="B497" s="86">
        <f>INDEX(Data!1757:1757,1,$U$1-2)/1000000</f>
        <v>1.7064870000000001</v>
      </c>
      <c r="C497" s="87">
        <f>INDEX(Data!1757:1757,1,$U$1-1)/1000000</f>
        <v>1.7064870000000001</v>
      </c>
      <c r="D497" s="88">
        <f t="shared" si="362"/>
        <v>3.4129740000000002</v>
      </c>
      <c r="E497" s="89">
        <f>INDEX(Data!1757:1757,1,$U$1)/1000000</f>
        <v>1.7064870000000001</v>
      </c>
      <c r="F497" s="90">
        <f>INDEX(Data!1757:1757,1,$U$1+1)/1000000</f>
        <v>1.7064870000000001</v>
      </c>
      <c r="G497" s="88">
        <f t="shared" si="363"/>
        <v>3.4129740000000002</v>
      </c>
      <c r="H497" s="86">
        <f t="shared" si="367"/>
        <v>0</v>
      </c>
      <c r="I497" s="84">
        <f t="shared" si="368"/>
        <v>0</v>
      </c>
      <c r="J497" s="412">
        <f t="shared" si="364"/>
        <v>1.0075696393497011E-2</v>
      </c>
      <c r="K497" s="91">
        <f t="shared" si="369"/>
        <v>1.7064870000000001</v>
      </c>
      <c r="L497" s="87">
        <f t="shared" si="369"/>
        <v>1.7064870000000001</v>
      </c>
      <c r="M497" s="88">
        <f t="shared" si="370"/>
        <v>3.4129740000000002</v>
      </c>
      <c r="N497" s="89">
        <f t="shared" si="371"/>
        <v>1.7064870000000001</v>
      </c>
      <c r="O497" s="90">
        <f t="shared" si="371"/>
        <v>1.7064870000000001</v>
      </c>
      <c r="P497" s="88">
        <f t="shared" si="372"/>
        <v>3.4129740000000002</v>
      </c>
      <c r="Q497" s="86">
        <f t="shared" si="373"/>
        <v>0</v>
      </c>
      <c r="R497" s="84">
        <f t="shared" si="374"/>
        <v>0</v>
      </c>
      <c r="S497" s="85">
        <f t="shared" si="365"/>
        <v>2.9310258200909343E-3</v>
      </c>
      <c r="T497" s="85">
        <f t="shared" si="366"/>
        <v>1.0075696393497011E-2</v>
      </c>
      <c r="U497" s="122"/>
      <c r="V497" s="121"/>
    </row>
    <row r="498" spans="1:22" hidden="1" outlineLevel="1">
      <c r="A498" s="79" t="s">
        <v>1425</v>
      </c>
      <c r="B498" s="86">
        <f>INDEX(Data!1766:1766,1,$U$1-2)/1000000</f>
        <v>1.6086130000000001</v>
      </c>
      <c r="C498" s="87">
        <f>INDEX(Data!1766:1766,1,$U$1-1)/1000000</f>
        <v>1.6086130000000001</v>
      </c>
      <c r="D498" s="88">
        <f t="shared" si="362"/>
        <v>3.2172260000000001</v>
      </c>
      <c r="E498" s="89">
        <f>INDEX(Data!1766:1766,1,$U$1)/1000000</f>
        <v>4.6661979999999996</v>
      </c>
      <c r="F498" s="90">
        <f>INDEX(Data!1766:1766,1,$U$1+1)/1000000</f>
        <v>4.6661970000000004</v>
      </c>
      <c r="G498" s="88">
        <f t="shared" si="363"/>
        <v>9.332395</v>
      </c>
      <c r="H498" s="86">
        <f t="shared" si="367"/>
        <v>6.1151689999999999</v>
      </c>
      <c r="I498" s="84">
        <f t="shared" si="368"/>
        <v>1.9007582930139193</v>
      </c>
      <c r="J498" s="412">
        <f t="shared" si="364"/>
        <v>2.7550862867455055E-2</v>
      </c>
      <c r="K498" s="91">
        <f t="shared" si="369"/>
        <v>1.6086130000000001</v>
      </c>
      <c r="L498" s="87">
        <f t="shared" si="369"/>
        <v>1.6086130000000001</v>
      </c>
      <c r="M498" s="88">
        <f t="shared" si="370"/>
        <v>3.2172260000000001</v>
      </c>
      <c r="N498" s="89">
        <f t="shared" si="371"/>
        <v>4.6661979999999996</v>
      </c>
      <c r="O498" s="90">
        <f t="shared" si="371"/>
        <v>4.6661970000000004</v>
      </c>
      <c r="P498" s="88">
        <f t="shared" si="372"/>
        <v>9.332395</v>
      </c>
      <c r="Q498" s="86">
        <f t="shared" si="373"/>
        <v>6.1151689999999999</v>
      </c>
      <c r="R498" s="84">
        <f t="shared" si="374"/>
        <v>1.9007582930139193</v>
      </c>
      <c r="S498" s="85">
        <f t="shared" si="365"/>
        <v>8.0145617014039747E-3</v>
      </c>
      <c r="T498" s="85">
        <f t="shared" si="366"/>
        <v>2.7550862867455055E-2</v>
      </c>
      <c r="U498" s="122"/>
      <c r="V498" s="121"/>
    </row>
    <row r="499" spans="1:22" hidden="1" outlineLevel="1">
      <c r="A499" s="79" t="s">
        <v>726</v>
      </c>
      <c r="B499" s="86">
        <f>INDEX(Data!1786:1786,1,$U$1-2)/1000000</f>
        <v>2.4292950000000002</v>
      </c>
      <c r="C499" s="87">
        <f>INDEX(Data!1786:1786,1,$U$1-1)/1000000</f>
        <v>2.4292950000000002</v>
      </c>
      <c r="D499" s="88">
        <f t="shared" si="362"/>
        <v>4.8585900000000004</v>
      </c>
      <c r="E499" s="89">
        <f>INDEX(Data!1786:1786,1,$U$1)/1000000</f>
        <v>7.7292949999999996</v>
      </c>
      <c r="F499" s="90">
        <f>INDEX(Data!1786:1786,1,$U$1+1)/1000000</f>
        <v>7.7292949999999996</v>
      </c>
      <c r="G499" s="88">
        <f t="shared" si="363"/>
        <v>15.458589999999999</v>
      </c>
      <c r="H499" s="86">
        <f t="shared" si="367"/>
        <v>10.599999999999998</v>
      </c>
      <c r="I499" s="84">
        <f t="shared" si="368"/>
        <v>2.1817029220411679</v>
      </c>
      <c r="J499" s="412">
        <f t="shared" si="364"/>
        <v>4.5636462367292852E-2</v>
      </c>
      <c r="K499" s="91">
        <f t="shared" si="369"/>
        <v>2.4292950000000002</v>
      </c>
      <c r="L499" s="87">
        <f t="shared" si="369"/>
        <v>2.4292950000000002</v>
      </c>
      <c r="M499" s="88">
        <f t="shared" si="370"/>
        <v>4.8585900000000004</v>
      </c>
      <c r="N499" s="89">
        <f t="shared" si="371"/>
        <v>7.7292949999999996</v>
      </c>
      <c r="O499" s="90">
        <f t="shared" si="371"/>
        <v>7.7292949999999996</v>
      </c>
      <c r="P499" s="88">
        <f t="shared" si="372"/>
        <v>15.458589999999999</v>
      </c>
      <c r="Q499" s="86">
        <f t="shared" si="373"/>
        <v>10.599999999999998</v>
      </c>
      <c r="R499" s="84">
        <f t="shared" si="374"/>
        <v>2.1817029220411679</v>
      </c>
      <c r="S499" s="85">
        <f t="shared" si="365"/>
        <v>1.3275672897654512E-2</v>
      </c>
      <c r="T499" s="85">
        <f t="shared" si="366"/>
        <v>4.5636462367292852E-2</v>
      </c>
      <c r="U499" s="122"/>
      <c r="V499" s="121"/>
    </row>
    <row r="500" spans="1:22" hidden="1" outlineLevel="1">
      <c r="A500" s="79" t="s">
        <v>1363</v>
      </c>
      <c r="B500" s="86">
        <f>INDEX(Data!1794:1794,1,$U$1-2)/1000000</f>
        <v>1.4820709999999999</v>
      </c>
      <c r="C500" s="87">
        <f>INDEX(Data!1794:1794,1,$U$1-1)/1000000</f>
        <v>1.48207</v>
      </c>
      <c r="D500" s="88">
        <f t="shared" si="362"/>
        <v>2.9641409999999997</v>
      </c>
      <c r="E500" s="89">
        <f>INDEX(Data!1794:1794,1,$U$1)/1000000</f>
        <v>5.1180570000000003</v>
      </c>
      <c r="F500" s="90">
        <f>INDEX(Data!1794:1794,1,$U$1+1)/1000000</f>
        <v>5.1180560000000002</v>
      </c>
      <c r="G500" s="88">
        <f t="shared" si="363"/>
        <v>10.236113</v>
      </c>
      <c r="H500" s="86">
        <f t="shared" si="367"/>
        <v>7.2719719999999999</v>
      </c>
      <c r="I500" s="84">
        <f t="shared" si="368"/>
        <v>2.4533151425657556</v>
      </c>
      <c r="J500" s="412">
        <f t="shared" si="364"/>
        <v>3.0218796521018873E-2</v>
      </c>
      <c r="K500" s="91">
        <f t="shared" si="369"/>
        <v>1.4820709999999999</v>
      </c>
      <c r="L500" s="87">
        <f t="shared" si="369"/>
        <v>1.48207</v>
      </c>
      <c r="M500" s="88">
        <f t="shared" si="370"/>
        <v>2.9641409999999997</v>
      </c>
      <c r="N500" s="89">
        <f t="shared" si="371"/>
        <v>5.1180570000000003</v>
      </c>
      <c r="O500" s="90">
        <f t="shared" si="371"/>
        <v>5.1180560000000002</v>
      </c>
      <c r="P500" s="88">
        <f t="shared" si="372"/>
        <v>10.236113</v>
      </c>
      <c r="Q500" s="86">
        <f t="shared" si="373"/>
        <v>7.2719719999999999</v>
      </c>
      <c r="R500" s="84">
        <f t="shared" si="374"/>
        <v>2.4533151425657556</v>
      </c>
      <c r="S500" s="85">
        <f t="shared" si="365"/>
        <v>8.7906651209087635E-3</v>
      </c>
      <c r="T500" s="85">
        <f t="shared" si="366"/>
        <v>3.0218796521018873E-2</v>
      </c>
      <c r="U500" s="122"/>
      <c r="V500" s="121"/>
    </row>
    <row r="501" spans="1:22" hidden="1" outlineLevel="1">
      <c r="A501" s="79" t="s">
        <v>1364</v>
      </c>
      <c r="B501" s="86">
        <f>INDEX(Data!1798:1798,1,$U$1-2)/1000000</f>
        <v>1.6137280000000001</v>
      </c>
      <c r="C501" s="87">
        <f>INDEX(Data!1798:1798,1,$U$1-1)/1000000</f>
        <v>1.6137269999999999</v>
      </c>
      <c r="D501" s="88">
        <f t="shared" si="362"/>
        <v>3.227455</v>
      </c>
      <c r="E501" s="89">
        <f>INDEX(Data!1798:1798,1,$U$1)/1000000</f>
        <v>1.6137280000000001</v>
      </c>
      <c r="F501" s="90">
        <f>INDEX(Data!1798:1798,1,$U$1+1)/1000000</f>
        <v>1.6137269999999999</v>
      </c>
      <c r="G501" s="88">
        <f t="shared" si="363"/>
        <v>3.227455</v>
      </c>
      <c r="H501" s="86">
        <f t="shared" si="367"/>
        <v>0</v>
      </c>
      <c r="I501" s="84">
        <f t="shared" si="368"/>
        <v>0</v>
      </c>
      <c r="J501" s="412">
        <f t="shared" si="364"/>
        <v>9.5280118464640805E-3</v>
      </c>
      <c r="K501" s="91">
        <f t="shared" si="369"/>
        <v>1.6137280000000001</v>
      </c>
      <c r="L501" s="87">
        <f t="shared" si="369"/>
        <v>1.6137269999999999</v>
      </c>
      <c r="M501" s="88">
        <f t="shared" si="370"/>
        <v>3.227455</v>
      </c>
      <c r="N501" s="89">
        <f t="shared" si="371"/>
        <v>1.6137280000000001</v>
      </c>
      <c r="O501" s="90">
        <f t="shared" si="371"/>
        <v>1.6137269999999999</v>
      </c>
      <c r="P501" s="88">
        <f t="shared" si="372"/>
        <v>3.227455</v>
      </c>
      <c r="Q501" s="86">
        <f t="shared" si="373"/>
        <v>0</v>
      </c>
      <c r="R501" s="84">
        <f t="shared" si="374"/>
        <v>0</v>
      </c>
      <c r="S501" s="85">
        <f t="shared" si="365"/>
        <v>2.771704073392175E-3</v>
      </c>
      <c r="T501" s="85">
        <f t="shared" si="366"/>
        <v>9.5280118464640805E-3</v>
      </c>
      <c r="U501" s="122"/>
      <c r="V501" s="121"/>
    </row>
    <row r="502" spans="1:22" hidden="1" outlineLevel="1">
      <c r="A502" s="79" t="s">
        <v>1365</v>
      </c>
      <c r="B502" s="86">
        <f>INDEX(Data!1804:1804,1,$U$1-2)/1000000</f>
        <v>1.4335640000000001</v>
      </c>
      <c r="C502" s="87">
        <f>INDEX(Data!1804:1804,1,$U$1-1)/1000000</f>
        <v>1.4335629999999999</v>
      </c>
      <c r="D502" s="88">
        <f t="shared" si="362"/>
        <v>2.867127</v>
      </c>
      <c r="E502" s="89">
        <f>INDEX(Data!1804:1804,1,$U$1)/1000000</f>
        <v>2.517935</v>
      </c>
      <c r="F502" s="90">
        <f>INDEX(Data!1804:1804,1,$U$1+1)/1000000</f>
        <v>2.5179330000000002</v>
      </c>
      <c r="G502" s="88">
        <f t="shared" si="363"/>
        <v>5.0358680000000007</v>
      </c>
      <c r="H502" s="86">
        <f t="shared" si="367"/>
        <v>2.1687410000000007</v>
      </c>
      <c r="I502" s="84">
        <f t="shared" si="368"/>
        <v>0.75641609178805147</v>
      </c>
      <c r="J502" s="412">
        <f t="shared" si="364"/>
        <v>1.4866763428530957E-2</v>
      </c>
      <c r="K502" s="91">
        <f t="shared" si="369"/>
        <v>1.4335640000000001</v>
      </c>
      <c r="L502" s="87">
        <f t="shared" si="369"/>
        <v>1.4335629999999999</v>
      </c>
      <c r="M502" s="88">
        <f t="shared" si="370"/>
        <v>2.867127</v>
      </c>
      <c r="N502" s="89">
        <f t="shared" si="371"/>
        <v>2.517935</v>
      </c>
      <c r="O502" s="90">
        <f t="shared" si="371"/>
        <v>2.5179330000000002</v>
      </c>
      <c r="P502" s="88">
        <f t="shared" si="372"/>
        <v>5.0358680000000007</v>
      </c>
      <c r="Q502" s="86">
        <f t="shared" si="373"/>
        <v>2.1687410000000007</v>
      </c>
      <c r="R502" s="84">
        <f t="shared" si="374"/>
        <v>0.75641609178805147</v>
      </c>
      <c r="S502" s="85">
        <f t="shared" si="365"/>
        <v>4.3247499496244894E-3</v>
      </c>
      <c r="T502" s="85">
        <f t="shared" si="366"/>
        <v>1.4866763428530957E-2</v>
      </c>
      <c r="U502" s="122"/>
      <c r="V502" s="121"/>
    </row>
    <row r="503" spans="1:22" hidden="1" outlineLevel="1">
      <c r="A503" s="79" t="s">
        <v>730</v>
      </c>
      <c r="B503" s="86">
        <f>INDEX(Data!1807:1807,1,$U$1-2)/1000000</f>
        <v>1.637899</v>
      </c>
      <c r="C503" s="87">
        <f>INDEX(Data!1807:1807,1,$U$1-1)/1000000</f>
        <v>1.637899</v>
      </c>
      <c r="D503" s="88">
        <f t="shared" si="362"/>
        <v>3.275798</v>
      </c>
      <c r="E503" s="89">
        <f>INDEX(Data!1807:1807,1,$U$1)/1000000</f>
        <v>1.8178449999999999</v>
      </c>
      <c r="F503" s="90">
        <f>INDEX(Data!1807:1807,1,$U$1+1)/1000000</f>
        <v>1.8178449999999999</v>
      </c>
      <c r="G503" s="88">
        <f t="shared" si="363"/>
        <v>3.6356899999999999</v>
      </c>
      <c r="H503" s="86">
        <f t="shared" si="367"/>
        <v>0.35989199999999988</v>
      </c>
      <c r="I503" s="84">
        <f t="shared" si="368"/>
        <v>0.10986391712797916</v>
      </c>
      <c r="J503" s="412">
        <f t="shared" si="364"/>
        <v>1.0733192992643116E-2</v>
      </c>
      <c r="K503" s="91">
        <f t="shared" si="369"/>
        <v>1.637899</v>
      </c>
      <c r="L503" s="87">
        <f t="shared" si="369"/>
        <v>1.637899</v>
      </c>
      <c r="M503" s="88">
        <f t="shared" si="370"/>
        <v>3.275798</v>
      </c>
      <c r="N503" s="89">
        <f t="shared" si="371"/>
        <v>1.8178449999999999</v>
      </c>
      <c r="O503" s="90">
        <f t="shared" si="371"/>
        <v>1.8178449999999999</v>
      </c>
      <c r="P503" s="88">
        <f t="shared" si="372"/>
        <v>3.6356899999999999</v>
      </c>
      <c r="Q503" s="86">
        <f t="shared" si="373"/>
        <v>0.35989199999999988</v>
      </c>
      <c r="R503" s="84">
        <f t="shared" si="374"/>
        <v>0.10986391712797916</v>
      </c>
      <c r="S503" s="85">
        <f t="shared" si="365"/>
        <v>3.122291955299515E-3</v>
      </c>
      <c r="T503" s="85">
        <f t="shared" si="366"/>
        <v>1.0733192992643116E-2</v>
      </c>
      <c r="U503" s="122"/>
      <c r="V503" s="121"/>
    </row>
    <row r="504" spans="1:22" hidden="1" outlineLevel="1">
      <c r="A504" s="79" t="s">
        <v>731</v>
      </c>
      <c r="B504" s="86">
        <f>INDEX(Data!1815:1815,1,$U$1-2)/1000000</f>
        <v>1.100114</v>
      </c>
      <c r="C504" s="87">
        <f>INDEX(Data!1815:1815,1,$U$1-1)/1000000</f>
        <v>1.100114</v>
      </c>
      <c r="D504" s="88">
        <f t="shared" si="362"/>
        <v>2.2002280000000001</v>
      </c>
      <c r="E504" s="89">
        <f>INDEX(Data!1815:1815,1,$U$1)/1000000</f>
        <v>1.9877929999999999</v>
      </c>
      <c r="F504" s="90">
        <f>INDEX(Data!1815:1815,1,$U$1+1)/1000000</f>
        <v>1.9877929999999999</v>
      </c>
      <c r="G504" s="88">
        <f t="shared" si="363"/>
        <v>3.9755859999999998</v>
      </c>
      <c r="H504" s="86">
        <f t="shared" si="367"/>
        <v>1.7753579999999998</v>
      </c>
      <c r="I504" s="84">
        <f t="shared" si="368"/>
        <v>0.80689728519044379</v>
      </c>
      <c r="J504" s="412">
        <f t="shared" si="364"/>
        <v>1.1736625453999125E-2</v>
      </c>
      <c r="K504" s="91">
        <f t="shared" si="369"/>
        <v>1.100114</v>
      </c>
      <c r="L504" s="87">
        <f t="shared" si="369"/>
        <v>1.100114</v>
      </c>
      <c r="M504" s="88">
        <f t="shared" si="370"/>
        <v>2.2002280000000001</v>
      </c>
      <c r="N504" s="89">
        <f t="shared" si="371"/>
        <v>1.9877929999999999</v>
      </c>
      <c r="O504" s="90">
        <f t="shared" si="371"/>
        <v>1.9877929999999999</v>
      </c>
      <c r="P504" s="88">
        <f t="shared" si="372"/>
        <v>3.9755859999999998</v>
      </c>
      <c r="Q504" s="86">
        <f t="shared" si="373"/>
        <v>1.7753579999999998</v>
      </c>
      <c r="R504" s="84">
        <f t="shared" si="374"/>
        <v>0.80689728519044379</v>
      </c>
      <c r="S504" s="85">
        <f t="shared" si="365"/>
        <v>3.414191029873663E-3</v>
      </c>
      <c r="T504" s="85">
        <f t="shared" si="366"/>
        <v>1.1736625453999125E-2</v>
      </c>
      <c r="U504" s="122"/>
      <c r="V504" s="121"/>
    </row>
    <row r="505" spans="1:22" hidden="1" outlineLevel="1">
      <c r="A505" s="79" t="s">
        <v>1426</v>
      </c>
      <c r="B505" s="86">
        <f>INDEX(Data!1829:1829,1,$U$1-2)/1000000</f>
        <v>3.238235</v>
      </c>
      <c r="C505" s="87">
        <f>INDEX(Data!1829:1829,1,$U$1-1)/1000000</f>
        <v>3.238235</v>
      </c>
      <c r="D505" s="88">
        <f t="shared" si="362"/>
        <v>6.4764699999999999</v>
      </c>
      <c r="E505" s="89">
        <f>INDEX(Data!1829:1829,1,$U$1)/1000000</f>
        <v>3.238235</v>
      </c>
      <c r="F505" s="90">
        <f>INDEX(Data!1829:1829,1,$U$1+1)/1000000</f>
        <v>3.238235</v>
      </c>
      <c r="G505" s="88">
        <f t="shared" si="363"/>
        <v>6.4764699999999999</v>
      </c>
      <c r="H505" s="86">
        <f t="shared" si="367"/>
        <v>0</v>
      </c>
      <c r="I505" s="84">
        <f t="shared" si="368"/>
        <v>0</v>
      </c>
      <c r="J505" s="412">
        <f t="shared" si="364"/>
        <v>1.9119672585138824E-2</v>
      </c>
      <c r="K505" s="91">
        <f t="shared" si="369"/>
        <v>3.238235</v>
      </c>
      <c r="L505" s="87">
        <f t="shared" si="369"/>
        <v>3.238235</v>
      </c>
      <c r="M505" s="88">
        <f t="shared" si="370"/>
        <v>6.4764699999999999</v>
      </c>
      <c r="N505" s="89">
        <f t="shared" si="371"/>
        <v>3.238235</v>
      </c>
      <c r="O505" s="90">
        <f t="shared" si="371"/>
        <v>3.238235</v>
      </c>
      <c r="P505" s="88">
        <f t="shared" si="372"/>
        <v>6.4764699999999999</v>
      </c>
      <c r="Q505" s="86">
        <f t="shared" si="373"/>
        <v>0</v>
      </c>
      <c r="R505" s="84">
        <f t="shared" si="374"/>
        <v>0</v>
      </c>
      <c r="S505" s="85">
        <f t="shared" si="365"/>
        <v>5.5619236457835107E-3</v>
      </c>
      <c r="T505" s="85">
        <f t="shared" si="366"/>
        <v>1.9119672585138824E-2</v>
      </c>
      <c r="U505" s="122"/>
      <c r="V505" s="121"/>
    </row>
    <row r="506" spans="1:22" hidden="1" outlineLevel="1">
      <c r="A506" s="79" t="s">
        <v>733</v>
      </c>
      <c r="B506" s="86">
        <f>INDEX(Data!1838:1838,1,$U$1-2)/1000000</f>
        <v>4.0165550000000003</v>
      </c>
      <c r="C506" s="87">
        <f>INDEX(Data!1838:1838,1,$U$1-1)/1000000</f>
        <v>4.0155539999999998</v>
      </c>
      <c r="D506" s="88">
        <f t="shared" si="362"/>
        <v>8.0321090000000002</v>
      </c>
      <c r="E506" s="89">
        <f>INDEX(Data!1838:1838,1,$U$1)/1000000</f>
        <v>6.8677140000000003</v>
      </c>
      <c r="F506" s="90">
        <f>INDEX(Data!1838:1838,1,$U$1+1)/1000000</f>
        <v>6.8677130000000002</v>
      </c>
      <c r="G506" s="88">
        <f t="shared" si="363"/>
        <v>13.735427000000001</v>
      </c>
      <c r="H506" s="86">
        <f t="shared" si="367"/>
        <v>5.7033180000000012</v>
      </c>
      <c r="I506" s="84">
        <f t="shared" si="368"/>
        <v>0.71006481610247085</v>
      </c>
      <c r="J506" s="412">
        <f t="shared" si="364"/>
        <v>4.0549383700854882E-2</v>
      </c>
      <c r="K506" s="91">
        <f t="shared" si="369"/>
        <v>4.0165550000000003</v>
      </c>
      <c r="L506" s="87">
        <f t="shared" si="369"/>
        <v>4.0155539999999998</v>
      </c>
      <c r="M506" s="88">
        <f t="shared" si="370"/>
        <v>8.0321090000000002</v>
      </c>
      <c r="N506" s="89">
        <f t="shared" si="371"/>
        <v>6.8677140000000003</v>
      </c>
      <c r="O506" s="90">
        <f t="shared" si="371"/>
        <v>6.8677130000000002</v>
      </c>
      <c r="P506" s="88">
        <f t="shared" si="372"/>
        <v>13.735427000000001</v>
      </c>
      <c r="Q506" s="86">
        <f t="shared" si="373"/>
        <v>5.7033180000000012</v>
      </c>
      <c r="R506" s="84">
        <f t="shared" si="374"/>
        <v>0.71006481610247085</v>
      </c>
      <c r="S506" s="85">
        <f t="shared" si="365"/>
        <v>1.1795838815934186E-2</v>
      </c>
      <c r="T506" s="85">
        <f t="shared" si="366"/>
        <v>4.0549383700854882E-2</v>
      </c>
      <c r="U506" s="122"/>
      <c r="V506" s="121"/>
    </row>
    <row r="507" spans="1:22" hidden="1" outlineLevel="1">
      <c r="A507" s="79" t="s">
        <v>735</v>
      </c>
      <c r="B507" s="86">
        <f>INDEX(Data!1854:1854,1,$U$1-2)/1000000</f>
        <v>4.9984760000000001</v>
      </c>
      <c r="C507" s="87">
        <f>INDEX(Data!1854:1854,1,$U$1-1)/1000000</f>
        <v>4.998475</v>
      </c>
      <c r="D507" s="88">
        <f t="shared" si="362"/>
        <v>9.9969509999999993</v>
      </c>
      <c r="E507" s="89">
        <f>INDEX(Data!1854:1854,1,$U$1)/1000000</f>
        <v>4.9823510000000004</v>
      </c>
      <c r="F507" s="90">
        <f>INDEX(Data!1854:1854,1,$U$1+1)/1000000</f>
        <v>4.9823500000000003</v>
      </c>
      <c r="G507" s="88">
        <f t="shared" si="363"/>
        <v>9.9647010000000016</v>
      </c>
      <c r="H507" s="86">
        <f t="shared" si="367"/>
        <v>-3.2249999999997669E-2</v>
      </c>
      <c r="I507" s="84">
        <f t="shared" si="368"/>
        <v>-3.2259836024001389E-3</v>
      </c>
      <c r="J507" s="412">
        <f t="shared" si="364"/>
        <v>2.9417540809855591E-2</v>
      </c>
      <c r="K507" s="91">
        <f t="shared" si="369"/>
        <v>4.9984760000000001</v>
      </c>
      <c r="L507" s="87">
        <f t="shared" si="369"/>
        <v>4.998475</v>
      </c>
      <c r="M507" s="88">
        <f t="shared" si="370"/>
        <v>9.9969509999999993</v>
      </c>
      <c r="N507" s="89">
        <f t="shared" si="371"/>
        <v>4.9823510000000004</v>
      </c>
      <c r="O507" s="90">
        <f t="shared" si="371"/>
        <v>4.9823500000000003</v>
      </c>
      <c r="P507" s="88">
        <f t="shared" si="372"/>
        <v>9.9647010000000016</v>
      </c>
      <c r="Q507" s="86">
        <f t="shared" si="373"/>
        <v>-3.2249999999997669E-2</v>
      </c>
      <c r="R507" s="84">
        <f t="shared" si="374"/>
        <v>-3.2259836024001389E-3</v>
      </c>
      <c r="S507" s="85">
        <f t="shared" si="365"/>
        <v>8.5575793781276846E-3</v>
      </c>
      <c r="T507" s="85">
        <f t="shared" si="366"/>
        <v>2.9417540809855591E-2</v>
      </c>
      <c r="U507" s="122"/>
      <c r="V507" s="121"/>
    </row>
    <row r="508" spans="1:22" hidden="1" outlineLevel="1">
      <c r="A508" s="79" t="s">
        <v>855</v>
      </c>
      <c r="B508" s="86">
        <f>INDEX(Data!1864:1864,1,$U$1-2)/1000000</f>
        <v>3.8835320000000002</v>
      </c>
      <c r="C508" s="87">
        <f>INDEX(Data!1864:1864,1,$U$1-1)/1000000</f>
        <v>3.8835320000000002</v>
      </c>
      <c r="D508" s="88">
        <f t="shared" si="362"/>
        <v>7.7670640000000004</v>
      </c>
      <c r="E508" s="89">
        <f>INDEX(Data!1864:1864,1,$U$1)/1000000</f>
        <v>5.9456249999999997</v>
      </c>
      <c r="F508" s="90">
        <f>INDEX(Data!1864:1864,1,$U$1+1)/1000000</f>
        <v>5.9456239999999996</v>
      </c>
      <c r="G508" s="88">
        <f t="shared" si="363"/>
        <v>11.891248999999998</v>
      </c>
      <c r="H508" s="86">
        <f t="shared" si="367"/>
        <v>4.124184999999998</v>
      </c>
      <c r="I508" s="84">
        <f t="shared" si="368"/>
        <v>0.53098377971393018</v>
      </c>
      <c r="J508" s="412">
        <f t="shared" si="364"/>
        <v>3.5105047581222397E-2</v>
      </c>
      <c r="K508" s="91">
        <f t="shared" si="369"/>
        <v>3.8835320000000002</v>
      </c>
      <c r="L508" s="87">
        <f t="shared" si="369"/>
        <v>3.8835320000000002</v>
      </c>
      <c r="M508" s="88">
        <f t="shared" si="370"/>
        <v>7.7670640000000004</v>
      </c>
      <c r="N508" s="89">
        <f t="shared" si="371"/>
        <v>5.9456249999999997</v>
      </c>
      <c r="O508" s="90">
        <f t="shared" si="371"/>
        <v>5.9456239999999996</v>
      </c>
      <c r="P508" s="88">
        <f t="shared" si="372"/>
        <v>11.891248999999998</v>
      </c>
      <c r="Q508" s="86">
        <f t="shared" si="373"/>
        <v>4.124184999999998</v>
      </c>
      <c r="R508" s="84">
        <f t="shared" si="374"/>
        <v>0.53098377971393018</v>
      </c>
      <c r="S508" s="85">
        <f t="shared" si="365"/>
        <v>1.0212078337581972E-2</v>
      </c>
      <c r="T508" s="85">
        <f t="shared" si="366"/>
        <v>3.5105047581222397E-2</v>
      </c>
      <c r="U508" s="122"/>
      <c r="V508" s="121"/>
    </row>
    <row r="509" spans="1:22" hidden="1" outlineLevel="1">
      <c r="A509" s="79" t="s">
        <v>737</v>
      </c>
      <c r="B509" s="86">
        <f>INDEX(Data!1872:1872,1,$U$1-2)/1000000</f>
        <v>3.6929090000000002</v>
      </c>
      <c r="C509" s="87">
        <f>INDEX(Data!1872:1872,1,$U$1-1)/1000000</f>
        <v>3.6929080000000001</v>
      </c>
      <c r="D509" s="88">
        <f t="shared" si="362"/>
        <v>7.3858170000000003</v>
      </c>
      <c r="E509" s="89">
        <f>INDEX(Data!1872:1872,1,$U$1)/1000000</f>
        <v>5.1736180000000003</v>
      </c>
      <c r="F509" s="90">
        <f>INDEX(Data!1872:1872,1,$U$1+1)/1000000</f>
        <v>5.1736180000000003</v>
      </c>
      <c r="G509" s="88">
        <f t="shared" si="363"/>
        <v>10.347236000000001</v>
      </c>
      <c r="H509" s="86">
        <f t="shared" si="367"/>
        <v>2.9614190000000002</v>
      </c>
      <c r="I509" s="84">
        <f t="shared" si="368"/>
        <v>0.40096024583333167</v>
      </c>
      <c r="J509" s="412">
        <f t="shared" si="364"/>
        <v>3.0546851059475532E-2</v>
      </c>
      <c r="K509" s="91">
        <f t="shared" si="369"/>
        <v>3.6929090000000002</v>
      </c>
      <c r="L509" s="87">
        <f t="shared" si="369"/>
        <v>3.6929080000000001</v>
      </c>
      <c r="M509" s="88">
        <f t="shared" si="370"/>
        <v>7.3858170000000003</v>
      </c>
      <c r="N509" s="89">
        <f t="shared" si="371"/>
        <v>5.1736180000000003</v>
      </c>
      <c r="O509" s="90">
        <f t="shared" si="371"/>
        <v>5.1736180000000003</v>
      </c>
      <c r="P509" s="88">
        <f t="shared" si="372"/>
        <v>10.347236000000001</v>
      </c>
      <c r="Q509" s="86">
        <f t="shared" si="373"/>
        <v>2.9614190000000002</v>
      </c>
      <c r="R509" s="84">
        <f t="shared" si="374"/>
        <v>0.40096024583333167</v>
      </c>
      <c r="S509" s="85">
        <f t="shared" si="365"/>
        <v>8.8860963730091232E-3</v>
      </c>
      <c r="T509" s="85">
        <f t="shared" si="366"/>
        <v>3.0546851059475532E-2</v>
      </c>
      <c r="U509" s="122"/>
      <c r="V509" s="121"/>
    </row>
    <row r="510" spans="1:22" hidden="1" outlineLevel="1">
      <c r="A510" s="79" t="s">
        <v>738</v>
      </c>
      <c r="B510" s="86">
        <f>INDEX(Data!1884:1884,1,$U$1-2)/1000000</f>
        <v>1.463338</v>
      </c>
      <c r="C510" s="87">
        <f>INDEX(Data!1884:1884,1,$U$1-1)/1000000</f>
        <v>1.463338</v>
      </c>
      <c r="D510" s="88">
        <f t="shared" si="362"/>
        <v>2.9266760000000001</v>
      </c>
      <c r="E510" s="89">
        <f>INDEX(Data!1884:1884,1,$U$1)/1000000</f>
        <v>4.4698630000000001</v>
      </c>
      <c r="F510" s="90">
        <f>INDEX(Data!1884:1884,1,$U$1+1)/1000000</f>
        <v>4.469862</v>
      </c>
      <c r="G510" s="88">
        <f t="shared" si="363"/>
        <v>8.9397249999999993</v>
      </c>
      <c r="H510" s="86">
        <f t="shared" si="367"/>
        <v>6.0130489999999988</v>
      </c>
      <c r="I510" s="84">
        <f t="shared" si="368"/>
        <v>2.0545659991061527</v>
      </c>
      <c r="J510" s="412">
        <f t="shared" si="364"/>
        <v>2.6391632324581162E-2</v>
      </c>
      <c r="K510" s="91">
        <f t="shared" si="369"/>
        <v>1.463338</v>
      </c>
      <c r="L510" s="87">
        <f t="shared" si="369"/>
        <v>1.463338</v>
      </c>
      <c r="M510" s="88">
        <f t="shared" si="370"/>
        <v>2.9266760000000001</v>
      </c>
      <c r="N510" s="89">
        <f t="shared" si="371"/>
        <v>4.4698630000000001</v>
      </c>
      <c r="O510" s="90">
        <f t="shared" si="371"/>
        <v>4.469862</v>
      </c>
      <c r="P510" s="88">
        <f t="shared" si="372"/>
        <v>8.9397249999999993</v>
      </c>
      <c r="Q510" s="86">
        <f t="shared" si="373"/>
        <v>6.0130489999999988</v>
      </c>
      <c r="R510" s="84">
        <f t="shared" si="374"/>
        <v>2.0545659991061527</v>
      </c>
      <c r="S510" s="85">
        <f t="shared" si="365"/>
        <v>7.6773408761720485E-3</v>
      </c>
      <c r="T510" s="85">
        <f t="shared" si="366"/>
        <v>2.6391632324581162E-2</v>
      </c>
      <c r="U510" s="122"/>
      <c r="V510" s="121"/>
    </row>
    <row r="511" spans="1:22" hidden="1" outlineLevel="1">
      <c r="A511" s="79" t="s">
        <v>1367</v>
      </c>
      <c r="B511" s="86">
        <f>INDEX(Data!1894:1894,1,$U$1-2)/1000000</f>
        <v>1.66761</v>
      </c>
      <c r="C511" s="87">
        <f>INDEX(Data!1894:1894,1,$U$1-1)/1000000</f>
        <v>1.66761</v>
      </c>
      <c r="D511" s="88">
        <f t="shared" si="362"/>
        <v>3.3352200000000001</v>
      </c>
      <c r="E511" s="89">
        <f>INDEX(Data!1894:1894,1,$U$1)/1000000</f>
        <v>1.66761</v>
      </c>
      <c r="F511" s="90">
        <f>INDEX(Data!1894:1894,1,$U$1+1)/1000000</f>
        <v>1.66761</v>
      </c>
      <c r="G511" s="88">
        <f t="shared" si="363"/>
        <v>3.3352200000000001</v>
      </c>
      <c r="H511" s="86">
        <f t="shared" si="367"/>
        <v>0</v>
      </c>
      <c r="I511" s="84">
        <f t="shared" si="368"/>
        <v>0</v>
      </c>
      <c r="J511" s="412">
        <f t="shared" si="364"/>
        <v>9.8461529813936768E-3</v>
      </c>
      <c r="K511" s="91">
        <f t="shared" si="369"/>
        <v>1.66761</v>
      </c>
      <c r="L511" s="87">
        <f t="shared" si="369"/>
        <v>1.66761</v>
      </c>
      <c r="M511" s="88">
        <f t="shared" si="370"/>
        <v>3.3352200000000001</v>
      </c>
      <c r="N511" s="89">
        <f t="shared" si="371"/>
        <v>1.66761</v>
      </c>
      <c r="O511" s="90">
        <f t="shared" si="371"/>
        <v>1.66761</v>
      </c>
      <c r="P511" s="88">
        <f t="shared" si="372"/>
        <v>3.3352200000000001</v>
      </c>
      <c r="Q511" s="86">
        <f t="shared" si="373"/>
        <v>0</v>
      </c>
      <c r="R511" s="84">
        <f t="shared" si="374"/>
        <v>0</v>
      </c>
      <c r="S511" s="85">
        <f t="shared" si="365"/>
        <v>2.8642515107597318E-3</v>
      </c>
      <c r="T511" s="85">
        <f t="shared" si="366"/>
        <v>9.8461529813936768E-3</v>
      </c>
      <c r="U511" s="122"/>
      <c r="V511" s="121"/>
    </row>
    <row r="512" spans="1:22" hidden="1" outlineLevel="1">
      <c r="A512" s="79" t="s">
        <v>1094</v>
      </c>
      <c r="B512" s="86">
        <f>INDEX(Data!1908:1908,1,$U$1-2)/1000000</f>
        <v>1.394806</v>
      </c>
      <c r="C512" s="87">
        <f>INDEX(Data!1908:1908,1,$U$1-1)/1000000</f>
        <v>1.3948050000000001</v>
      </c>
      <c r="D512" s="88">
        <f t="shared" si="362"/>
        <v>2.7896109999999998</v>
      </c>
      <c r="E512" s="89">
        <f>INDEX(Data!1908:1908,1,$U$1)/1000000</f>
        <v>1.394806</v>
      </c>
      <c r="F512" s="90">
        <f>INDEX(Data!1908:1908,1,$U$1+1)/1000000</f>
        <v>1.3948050000000001</v>
      </c>
      <c r="G512" s="88">
        <f t="shared" si="363"/>
        <v>2.7896109999999998</v>
      </c>
      <c r="H512" s="86">
        <f t="shared" si="367"/>
        <v>0</v>
      </c>
      <c r="I512" s="84">
        <f t="shared" si="368"/>
        <v>0</v>
      </c>
      <c r="J512" s="412">
        <f t="shared" ref="J512:J537" si="388">IFERROR(G512/G$537,"")</f>
        <v>8.2354197517940635E-3</v>
      </c>
      <c r="K512" s="91">
        <f t="shared" si="369"/>
        <v>1.394806</v>
      </c>
      <c r="L512" s="87">
        <f t="shared" si="369"/>
        <v>1.3948050000000001</v>
      </c>
      <c r="M512" s="88">
        <f t="shared" si="370"/>
        <v>2.7896109999999998</v>
      </c>
      <c r="N512" s="89">
        <f t="shared" si="371"/>
        <v>1.394806</v>
      </c>
      <c r="O512" s="90">
        <f t="shared" si="371"/>
        <v>1.3948050000000001</v>
      </c>
      <c r="P512" s="88">
        <f t="shared" si="372"/>
        <v>2.7896109999999998</v>
      </c>
      <c r="Q512" s="86">
        <f t="shared" si="373"/>
        <v>0</v>
      </c>
      <c r="R512" s="84">
        <f t="shared" si="374"/>
        <v>0</v>
      </c>
      <c r="S512" s="85">
        <f t="shared" si="365"/>
        <v>2.395688296778613E-3</v>
      </c>
      <c r="T512" s="85">
        <f t="shared" ref="T512:T537" si="389">IFERROR(P512/G$537,"")</f>
        <v>8.2354197517940635E-3</v>
      </c>
      <c r="U512" s="122"/>
      <c r="V512" s="121"/>
    </row>
    <row r="513" spans="1:22" hidden="1" outlineLevel="1">
      <c r="A513" s="79" t="s">
        <v>859</v>
      </c>
      <c r="B513" s="86">
        <f>INDEX(Data!1919:1919,1,$U$1-2)/1000000</f>
        <v>2.5503239999999998</v>
      </c>
      <c r="C513" s="87">
        <f>INDEX(Data!1919:1919,1,$U$1-1)/1000000</f>
        <v>2.5503239999999998</v>
      </c>
      <c r="D513" s="88">
        <f t="shared" si="362"/>
        <v>5.1006479999999996</v>
      </c>
      <c r="E513" s="89">
        <f>INDEX(Data!1919:1919,1,$U$1)/1000000</f>
        <v>3.1394679999999999</v>
      </c>
      <c r="F513" s="90">
        <f>INDEX(Data!1919:1919,1,$U$1+1)/1000000</f>
        <v>3.1394679999999999</v>
      </c>
      <c r="G513" s="88">
        <f t="shared" si="363"/>
        <v>6.2789359999999999</v>
      </c>
      <c r="H513" s="86">
        <f t="shared" si="367"/>
        <v>1.1782880000000002</v>
      </c>
      <c r="I513" s="84">
        <f t="shared" si="368"/>
        <v>0.23100751120249827</v>
      </c>
      <c r="J513" s="412">
        <f t="shared" si="388"/>
        <v>1.8536517655920775E-2</v>
      </c>
      <c r="K513" s="91">
        <f t="shared" si="369"/>
        <v>2.5503239999999998</v>
      </c>
      <c r="L513" s="87">
        <f t="shared" si="369"/>
        <v>2.5503239999999998</v>
      </c>
      <c r="M513" s="88">
        <f t="shared" si="370"/>
        <v>5.1006479999999996</v>
      </c>
      <c r="N513" s="89">
        <f t="shared" si="371"/>
        <v>3.1394679999999999</v>
      </c>
      <c r="O513" s="90">
        <f t="shared" si="371"/>
        <v>3.1394679999999999</v>
      </c>
      <c r="P513" s="88">
        <f t="shared" si="372"/>
        <v>6.2789359999999999</v>
      </c>
      <c r="Q513" s="86">
        <f t="shared" si="373"/>
        <v>1.1782880000000002</v>
      </c>
      <c r="R513" s="84">
        <f t="shared" si="374"/>
        <v>0.23100751120249827</v>
      </c>
      <c r="S513" s="85">
        <f t="shared" si="365"/>
        <v>5.3922835447027979E-3</v>
      </c>
      <c r="T513" s="85">
        <f t="shared" si="389"/>
        <v>1.8536517655920775E-2</v>
      </c>
      <c r="U513" s="122"/>
      <c r="V513" s="121"/>
    </row>
    <row r="514" spans="1:22" ht="25.5" hidden="1" outlineLevel="1">
      <c r="A514" s="79" t="s">
        <v>1427</v>
      </c>
      <c r="B514" s="86">
        <f>INDEX(Data!1925:1925,1,$U$1-2)/1000000</f>
        <v>1.6898759999999999</v>
      </c>
      <c r="C514" s="87">
        <f>INDEX(Data!1925:1925,1,$U$1-1)/1000000</f>
        <v>1.689875</v>
      </c>
      <c r="D514" s="88">
        <f t="shared" si="362"/>
        <v>3.3797509999999997</v>
      </c>
      <c r="E514" s="89">
        <f>INDEX(Data!1925:1925,1,$U$1)/1000000</f>
        <v>1.6898759999999999</v>
      </c>
      <c r="F514" s="90">
        <f>INDEX(Data!1925:1925,1,$U$1+1)/1000000</f>
        <v>1.689875</v>
      </c>
      <c r="G514" s="88">
        <f t="shared" si="363"/>
        <v>3.3797509999999997</v>
      </c>
      <c r="H514" s="86">
        <f t="shared" si="367"/>
        <v>0</v>
      </c>
      <c r="I514" s="84">
        <f t="shared" si="368"/>
        <v>0</v>
      </c>
      <c r="J514" s="412">
        <f t="shared" si="388"/>
        <v>9.977616284688344E-3</v>
      </c>
      <c r="K514" s="91">
        <f t="shared" si="369"/>
        <v>1.6898759999999999</v>
      </c>
      <c r="L514" s="87">
        <f t="shared" si="369"/>
        <v>1.689875</v>
      </c>
      <c r="M514" s="88">
        <f t="shared" si="370"/>
        <v>3.3797509999999997</v>
      </c>
      <c r="N514" s="89">
        <f t="shared" si="371"/>
        <v>1.6898759999999999</v>
      </c>
      <c r="O514" s="90">
        <f t="shared" si="371"/>
        <v>1.689875</v>
      </c>
      <c r="P514" s="88">
        <f t="shared" si="372"/>
        <v>3.3797509999999997</v>
      </c>
      <c r="Q514" s="86">
        <f t="shared" si="373"/>
        <v>0</v>
      </c>
      <c r="R514" s="84">
        <f t="shared" si="374"/>
        <v>0</v>
      </c>
      <c r="S514" s="85">
        <f t="shared" si="365"/>
        <v>2.9024942605710307E-3</v>
      </c>
      <c r="T514" s="85">
        <f t="shared" si="389"/>
        <v>9.977616284688344E-3</v>
      </c>
      <c r="U514" s="122"/>
      <c r="V514" s="121"/>
    </row>
    <row r="515" spans="1:22" collapsed="1">
      <c r="A515" s="113" t="s">
        <v>805</v>
      </c>
      <c r="B515" s="105">
        <f>SUM(B480:B514)</f>
        <v>81.625546999999983</v>
      </c>
      <c r="C515" s="106">
        <f>SUM(C480:C514)</f>
        <v>81.624527</v>
      </c>
      <c r="D515" s="107">
        <f>SUM(D480:D514)</f>
        <v>163.25007400000001</v>
      </c>
      <c r="E515" s="114">
        <f>SUM(E480:E514)</f>
        <v>141.05904999999998</v>
      </c>
      <c r="F515" s="115">
        <f>SUM(F480:F514)</f>
        <v>141.05902399999994</v>
      </c>
      <c r="G515" s="107">
        <f t="shared" ref="G515:H515" si="390">SUM(G480:G514)</f>
        <v>282.11807399999987</v>
      </c>
      <c r="H515" s="105">
        <f t="shared" si="390"/>
        <v>118.86799999999999</v>
      </c>
      <c r="I515" s="449">
        <f t="shared" si="368"/>
        <v>0.72813443257612231</v>
      </c>
      <c r="J515" s="454">
        <f t="shared" si="388"/>
        <v>0.83286191478227545</v>
      </c>
      <c r="K515" s="405">
        <f t="shared" ref="K515:Q515" si="391">SUM(K480:K514)</f>
        <v>81.625546999999983</v>
      </c>
      <c r="L515" s="106">
        <f t="shared" si="391"/>
        <v>81.624527</v>
      </c>
      <c r="M515" s="107">
        <f t="shared" si="391"/>
        <v>163.25007400000001</v>
      </c>
      <c r="N515" s="114">
        <f t="shared" si="391"/>
        <v>141.05904999999998</v>
      </c>
      <c r="O515" s="115">
        <f t="shared" si="391"/>
        <v>141.05902399999994</v>
      </c>
      <c r="P515" s="107">
        <f t="shared" si="391"/>
        <v>282.11807399999987</v>
      </c>
      <c r="Q515" s="105">
        <f t="shared" si="391"/>
        <v>118.86799999999999</v>
      </c>
      <c r="R515" s="449">
        <f t="shared" si="374"/>
        <v>0.72813443257612231</v>
      </c>
      <c r="S515" s="454">
        <f t="shared" si="365"/>
        <v>0.24228000541707156</v>
      </c>
      <c r="T515" s="454">
        <f t="shared" si="389"/>
        <v>0.83286191478227545</v>
      </c>
      <c r="U515" s="122"/>
      <c r="V515" s="121"/>
    </row>
    <row r="516" spans="1:22" ht="25.5" hidden="1" outlineLevel="1">
      <c r="A516" s="79" t="s">
        <v>1433</v>
      </c>
      <c r="B516" s="86">
        <f>INDEX(Data!1948:1948,1,$U$1-2)/1000000</f>
        <v>0.72959200000000002</v>
      </c>
      <c r="C516" s="87">
        <f>INDEX(Data!1948:1948,1,$U$1-1)/1000000</f>
        <v>0.72959200000000002</v>
      </c>
      <c r="D516" s="88">
        <f t="shared" ref="D516:D526" si="392">B516+C516</f>
        <v>1.459184</v>
      </c>
      <c r="E516" s="89">
        <f>INDEX(Data!1948:1948,1,$U$1)/1000000</f>
        <v>0.72959200000000002</v>
      </c>
      <c r="F516" s="90">
        <f>INDEX(Data!1948:1948,1,$U$1+1)/1000000</f>
        <v>0.72959200000000002</v>
      </c>
      <c r="G516" s="88">
        <f t="shared" ref="G516:G526" si="393">E516+F516</f>
        <v>1.459184</v>
      </c>
      <c r="H516" s="86">
        <f t="shared" ref="H516:H526" si="394">G516-D516</f>
        <v>0</v>
      </c>
      <c r="I516" s="447">
        <f t="shared" si="368"/>
        <v>0</v>
      </c>
      <c r="J516" s="453">
        <f t="shared" si="388"/>
        <v>4.3077664717775591E-3</v>
      </c>
      <c r="K516" s="91">
        <f t="shared" ref="K516:L526" si="395">B516</f>
        <v>0.72959200000000002</v>
      </c>
      <c r="L516" s="87">
        <f t="shared" si="395"/>
        <v>0.72959200000000002</v>
      </c>
      <c r="M516" s="88">
        <f t="shared" ref="M516:M526" si="396">K516+L516</f>
        <v>1.459184</v>
      </c>
      <c r="N516" s="89">
        <f t="shared" ref="N516:O526" si="397">E516</f>
        <v>0.72959200000000002</v>
      </c>
      <c r="O516" s="90">
        <f t="shared" si="397"/>
        <v>0.72959200000000002</v>
      </c>
      <c r="P516" s="88">
        <f t="shared" ref="P516:P526" si="398">N516+O516</f>
        <v>1.459184</v>
      </c>
      <c r="Q516" s="86">
        <f t="shared" ref="Q516:Q526" si="399">P516-M516</f>
        <v>0</v>
      </c>
      <c r="R516" s="447">
        <f t="shared" si="374"/>
        <v>0</v>
      </c>
      <c r="S516" s="453">
        <f t="shared" si="365"/>
        <v>1.2531317203891882E-3</v>
      </c>
      <c r="T516" s="453">
        <f t="shared" si="389"/>
        <v>4.3077664717775591E-3</v>
      </c>
      <c r="U516" s="122"/>
      <c r="V516" s="121"/>
    </row>
    <row r="517" spans="1:22" ht="25.5" hidden="1" outlineLevel="1">
      <c r="A517" s="79" t="s">
        <v>1434</v>
      </c>
      <c r="B517" s="86">
        <f>INDEX(Data!1958:1958,1,$U$1-2)/1000000</f>
        <v>7.6688999999999993E-2</v>
      </c>
      <c r="C517" s="87">
        <f>INDEX(Data!1958:1958,1,$U$1-1)/1000000</f>
        <v>7.6688999999999993E-2</v>
      </c>
      <c r="D517" s="88">
        <f t="shared" si="392"/>
        <v>0.15337799999999999</v>
      </c>
      <c r="E517" s="89">
        <f>INDEX(Data!1958:1958,1,$U$1)/1000000</f>
        <v>0.12839900000000001</v>
      </c>
      <c r="F517" s="90">
        <f>INDEX(Data!1958:1958,1,$U$1+1)/1000000</f>
        <v>0.12839900000000001</v>
      </c>
      <c r="G517" s="88">
        <f t="shared" si="393"/>
        <v>0.25679800000000003</v>
      </c>
      <c r="H517" s="86">
        <f t="shared" si="394"/>
        <v>0.10342000000000004</v>
      </c>
      <c r="I517" s="447">
        <f t="shared" si="368"/>
        <v>0.6742818396380188</v>
      </c>
      <c r="J517" s="453">
        <f t="shared" si="388"/>
        <v>7.5811262624832351E-4</v>
      </c>
      <c r="K517" s="91">
        <f t="shared" si="395"/>
        <v>7.6688999999999993E-2</v>
      </c>
      <c r="L517" s="87">
        <f t="shared" si="395"/>
        <v>7.6688999999999993E-2</v>
      </c>
      <c r="M517" s="88">
        <f t="shared" si="396"/>
        <v>0.15337799999999999</v>
      </c>
      <c r="N517" s="89">
        <f t="shared" si="397"/>
        <v>0.12839900000000001</v>
      </c>
      <c r="O517" s="90">
        <f t="shared" si="397"/>
        <v>0.12839900000000001</v>
      </c>
      <c r="P517" s="88">
        <f t="shared" si="398"/>
        <v>0.25679800000000003</v>
      </c>
      <c r="Q517" s="86">
        <f t="shared" si="399"/>
        <v>0.10342000000000004</v>
      </c>
      <c r="R517" s="447">
        <f t="shared" si="374"/>
        <v>0.6742818396380188</v>
      </c>
      <c r="S517" s="453">
        <f t="shared" si="365"/>
        <v>2.2053539480456391E-4</v>
      </c>
      <c r="T517" s="453">
        <f t="shared" si="389"/>
        <v>7.5811262624832351E-4</v>
      </c>
      <c r="U517" s="122"/>
      <c r="V517" s="121"/>
    </row>
    <row r="518" spans="1:22" ht="25.5" hidden="1" outlineLevel="1">
      <c r="A518" s="79" t="s">
        <v>1435</v>
      </c>
      <c r="B518" s="86">
        <f>INDEX(Data!1973:1973,1,$U$1-2)/1000000</f>
        <v>0.58233400000000002</v>
      </c>
      <c r="C518" s="87">
        <f>INDEX(Data!1973:1973,1,$U$1-1)/1000000</f>
        <v>0.58233400000000002</v>
      </c>
      <c r="D518" s="88">
        <f t="shared" si="392"/>
        <v>1.164668</v>
      </c>
      <c r="E518" s="89">
        <f>INDEX(Data!1973:1973,1,$U$1)/1000000</f>
        <v>0.58233400000000002</v>
      </c>
      <c r="F518" s="90">
        <f>INDEX(Data!1973:1973,1,$U$1+1)/1000000</f>
        <v>0.58233400000000002</v>
      </c>
      <c r="G518" s="88">
        <f t="shared" si="393"/>
        <v>1.164668</v>
      </c>
      <c r="H518" s="86">
        <f t="shared" si="394"/>
        <v>0</v>
      </c>
      <c r="I518" s="447">
        <f t="shared" si="368"/>
        <v>0</v>
      </c>
      <c r="J518" s="453">
        <f t="shared" si="388"/>
        <v>3.4383037102601361E-3</v>
      </c>
      <c r="K518" s="91">
        <f t="shared" si="395"/>
        <v>0.58233400000000002</v>
      </c>
      <c r="L518" s="87">
        <f t="shared" si="395"/>
        <v>0.58233400000000002</v>
      </c>
      <c r="M518" s="88">
        <f t="shared" si="396"/>
        <v>1.164668</v>
      </c>
      <c r="N518" s="89">
        <f t="shared" si="397"/>
        <v>0.58233400000000002</v>
      </c>
      <c r="O518" s="90">
        <f t="shared" si="397"/>
        <v>0.58233400000000002</v>
      </c>
      <c r="P518" s="88">
        <f t="shared" si="398"/>
        <v>1.164668</v>
      </c>
      <c r="Q518" s="86">
        <f t="shared" si="399"/>
        <v>0</v>
      </c>
      <c r="R518" s="447">
        <f t="shared" si="374"/>
        <v>0</v>
      </c>
      <c r="S518" s="453">
        <f t="shared" si="365"/>
        <v>1.000204507808635E-3</v>
      </c>
      <c r="T518" s="453">
        <f t="shared" si="389"/>
        <v>3.4383037102601361E-3</v>
      </c>
      <c r="U518" s="122"/>
      <c r="V518" s="121"/>
    </row>
    <row r="519" spans="1:22" ht="25.5" hidden="1" outlineLevel="1">
      <c r="A519" s="79" t="s">
        <v>1436</v>
      </c>
      <c r="B519" s="86">
        <f>INDEX(Data!1985:1985,1,$U$1-2)/1000000</f>
        <v>5.3420240000000003</v>
      </c>
      <c r="C519" s="87">
        <f>INDEX(Data!1985:1985,1,$U$1-1)/1000000</f>
        <v>5.3420240000000003</v>
      </c>
      <c r="D519" s="88">
        <f t="shared" si="392"/>
        <v>10.684048000000001</v>
      </c>
      <c r="E519" s="89">
        <f>INDEX(Data!1985:1985,1,$U$1)/1000000</f>
        <v>6.0920240000000003</v>
      </c>
      <c r="F519" s="90">
        <f>INDEX(Data!1985:1985,1,$U$1+1)/1000000</f>
        <v>6.0920240000000003</v>
      </c>
      <c r="G519" s="88">
        <f t="shared" si="393"/>
        <v>12.184048000000001</v>
      </c>
      <c r="H519" s="86">
        <f t="shared" si="394"/>
        <v>1.5</v>
      </c>
      <c r="I519" s="447">
        <f t="shared" si="368"/>
        <v>0.14039622435241772</v>
      </c>
      <c r="J519" s="453">
        <f t="shared" si="388"/>
        <v>3.5969441458327686E-2</v>
      </c>
      <c r="K519" s="91">
        <f t="shared" si="395"/>
        <v>5.3420240000000003</v>
      </c>
      <c r="L519" s="87">
        <f t="shared" si="395"/>
        <v>5.3420240000000003</v>
      </c>
      <c r="M519" s="88">
        <f t="shared" si="396"/>
        <v>10.684048000000001</v>
      </c>
      <c r="N519" s="89">
        <f t="shared" si="397"/>
        <v>6.0920240000000003</v>
      </c>
      <c r="O519" s="90">
        <f t="shared" si="397"/>
        <v>6.0920240000000003</v>
      </c>
      <c r="P519" s="88">
        <f t="shared" si="398"/>
        <v>12.184048000000001</v>
      </c>
      <c r="Q519" s="86">
        <f t="shared" si="399"/>
        <v>1.5</v>
      </c>
      <c r="R519" s="447">
        <f t="shared" si="374"/>
        <v>0.14039622435241772</v>
      </c>
      <c r="S519" s="453">
        <f t="shared" si="365"/>
        <v>1.0463531008799746E-2</v>
      </c>
      <c r="T519" s="453">
        <f t="shared" si="389"/>
        <v>3.5969441458327686E-2</v>
      </c>
      <c r="U519" s="122"/>
      <c r="V519" s="121"/>
    </row>
    <row r="520" spans="1:22" ht="25.5" hidden="1" outlineLevel="1">
      <c r="A520" s="1104" t="s">
        <v>1668</v>
      </c>
      <c r="B520" s="86">
        <f>INDEX(Data!1986:1986,1,$U$1-2)/1000000</f>
        <v>0</v>
      </c>
      <c r="C520" s="87">
        <f>INDEX(Data!1986:1986,1,$U$1-1)/1000000</f>
        <v>0</v>
      </c>
      <c r="D520" s="88">
        <f t="shared" ref="D520" si="400">B520+C520</f>
        <v>0</v>
      </c>
      <c r="E520" s="89">
        <f>INDEX(Data!1986:1986,1,$U$1)/1000000</f>
        <v>0</v>
      </c>
      <c r="F520" s="90">
        <f>INDEX(Data!1986:1986,1,$U$1+1)/1000000</f>
        <v>0</v>
      </c>
      <c r="G520" s="88">
        <f t="shared" ref="G520" si="401">E520+F520</f>
        <v>0</v>
      </c>
      <c r="H520" s="86">
        <f t="shared" ref="H520" si="402">G520-D520</f>
        <v>0</v>
      </c>
      <c r="I520" s="447" t="str">
        <f t="shared" ref="I520" si="403">IFERROR(H520/D520,"")</f>
        <v/>
      </c>
      <c r="J520" s="453">
        <f t="shared" si="388"/>
        <v>0</v>
      </c>
      <c r="K520" s="91">
        <f t="shared" ref="K520" si="404">B520</f>
        <v>0</v>
      </c>
      <c r="L520" s="87">
        <f t="shared" ref="L520" si="405">C520</f>
        <v>0</v>
      </c>
      <c r="M520" s="88">
        <f t="shared" ref="M520" si="406">K520+L520</f>
        <v>0</v>
      </c>
      <c r="N520" s="89">
        <f t="shared" ref="N520" si="407">E520</f>
        <v>0</v>
      </c>
      <c r="O520" s="90">
        <f t="shared" ref="O520" si="408">F520</f>
        <v>0</v>
      </c>
      <c r="P520" s="88">
        <f t="shared" ref="P520" si="409">N520+O520</f>
        <v>0</v>
      </c>
      <c r="Q520" s="86">
        <f t="shared" ref="Q520" si="410">P520-M520</f>
        <v>0</v>
      </c>
      <c r="R520" s="447" t="str">
        <f t="shared" ref="R520" si="411">IFERROR(Q520/M520,"")</f>
        <v/>
      </c>
      <c r="S520" s="453">
        <f t="shared" ref="S520" si="412">IFERROR(P520/P$456,"")</f>
        <v>0</v>
      </c>
      <c r="T520" s="453">
        <f t="shared" si="389"/>
        <v>0</v>
      </c>
      <c r="U520" s="122"/>
      <c r="V520" s="121"/>
    </row>
    <row r="521" spans="1:22" ht="25.5" hidden="1" outlineLevel="1">
      <c r="A521" s="79" t="s">
        <v>1437</v>
      </c>
      <c r="B521" s="86">
        <f>INDEX(Data!1996:1996,1,$U$1-2)/1000000</f>
        <v>0.36393500000000001</v>
      </c>
      <c r="C521" s="87">
        <f>INDEX(Data!1996:1996,1,$U$1-1)/1000000</f>
        <v>0.36393599999999998</v>
      </c>
      <c r="D521" s="88">
        <f t="shared" si="392"/>
        <v>0.72787099999999993</v>
      </c>
      <c r="E521" s="89">
        <f>INDEX(Data!1996:1996,1,$U$1)/1000000</f>
        <v>0.36393500000000001</v>
      </c>
      <c r="F521" s="90">
        <f>INDEX(Data!1996:1996,1,$U$1+1)/1000000</f>
        <v>0.36393599999999998</v>
      </c>
      <c r="G521" s="88">
        <f t="shared" si="393"/>
        <v>0.72787099999999993</v>
      </c>
      <c r="H521" s="86">
        <f t="shared" si="394"/>
        <v>0</v>
      </c>
      <c r="I521" s="447">
        <f t="shared" si="368"/>
        <v>0</v>
      </c>
      <c r="J521" s="453">
        <f t="shared" si="388"/>
        <v>2.1488025427767871E-3</v>
      </c>
      <c r="K521" s="91">
        <f t="shared" si="395"/>
        <v>0.36393500000000001</v>
      </c>
      <c r="L521" s="87">
        <f t="shared" si="395"/>
        <v>0.36393599999999998</v>
      </c>
      <c r="M521" s="88">
        <f t="shared" si="396"/>
        <v>0.72787099999999993</v>
      </c>
      <c r="N521" s="89">
        <f t="shared" si="397"/>
        <v>0.36393500000000001</v>
      </c>
      <c r="O521" s="90">
        <f t="shared" si="397"/>
        <v>0.36393599999999998</v>
      </c>
      <c r="P521" s="88">
        <f t="shared" si="398"/>
        <v>0.72787099999999993</v>
      </c>
      <c r="Q521" s="86">
        <f t="shared" si="399"/>
        <v>0</v>
      </c>
      <c r="R521" s="447">
        <f t="shared" si="374"/>
        <v>0</v>
      </c>
      <c r="S521" s="453">
        <f t="shared" si="365"/>
        <v>6.2508788367429929E-4</v>
      </c>
      <c r="T521" s="453">
        <f t="shared" si="389"/>
        <v>2.1488025427767871E-3</v>
      </c>
      <c r="U521" s="122"/>
      <c r="V521" s="121"/>
    </row>
    <row r="522" spans="1:22" ht="25.5" hidden="1" outlineLevel="1">
      <c r="A522" s="79" t="s">
        <v>1438</v>
      </c>
      <c r="B522" s="86">
        <f>INDEX(Data!2003:2003,1,$U$1-2)/1000000</f>
        <v>1.026661</v>
      </c>
      <c r="C522" s="87">
        <f>INDEX(Data!2003:2003,1,$U$1-1)/1000000</f>
        <v>1.026661</v>
      </c>
      <c r="D522" s="88">
        <f t="shared" si="392"/>
        <v>2.0533220000000001</v>
      </c>
      <c r="E522" s="89">
        <f>INDEX(Data!2003:2003,1,$U$1)/1000000</f>
        <v>1.026661</v>
      </c>
      <c r="F522" s="90">
        <f>INDEX(Data!2003:2003,1,$U$1+1)/1000000</f>
        <v>1.026661</v>
      </c>
      <c r="G522" s="88">
        <f t="shared" si="393"/>
        <v>2.0533220000000001</v>
      </c>
      <c r="H522" s="86">
        <f t="shared" si="394"/>
        <v>0</v>
      </c>
      <c r="I522" s="447">
        <f t="shared" si="368"/>
        <v>0</v>
      </c>
      <c r="J522" s="453">
        <f t="shared" si="388"/>
        <v>6.0617658001754695E-3</v>
      </c>
      <c r="K522" s="91">
        <f t="shared" si="395"/>
        <v>1.026661</v>
      </c>
      <c r="L522" s="87">
        <f t="shared" si="395"/>
        <v>1.026661</v>
      </c>
      <c r="M522" s="88">
        <f t="shared" si="396"/>
        <v>2.0533220000000001</v>
      </c>
      <c r="N522" s="89">
        <f t="shared" si="397"/>
        <v>1.026661</v>
      </c>
      <c r="O522" s="90">
        <f t="shared" si="397"/>
        <v>1.026661</v>
      </c>
      <c r="P522" s="88">
        <f t="shared" si="398"/>
        <v>2.0533220000000001</v>
      </c>
      <c r="Q522" s="86">
        <f t="shared" si="399"/>
        <v>0</v>
      </c>
      <c r="R522" s="447">
        <f t="shared" si="374"/>
        <v>0</v>
      </c>
      <c r="S522" s="453">
        <f t="shared" si="365"/>
        <v>1.7633711241166082E-3</v>
      </c>
      <c r="T522" s="453">
        <f t="shared" si="389"/>
        <v>6.0617658001754695E-3</v>
      </c>
      <c r="U522" s="122"/>
      <c r="V522" s="121"/>
    </row>
    <row r="523" spans="1:22" ht="25.5" hidden="1" outlineLevel="1">
      <c r="A523" s="79" t="s">
        <v>1439</v>
      </c>
      <c r="B523" s="86">
        <f>INDEX(Data!2013:2013,1,$U$1-2)/1000000</f>
        <v>2.145432</v>
      </c>
      <c r="C523" s="87">
        <f>INDEX(Data!2013:2013,1,$U$1-1)/1000000</f>
        <v>2.145432</v>
      </c>
      <c r="D523" s="88">
        <f t="shared" si="392"/>
        <v>4.290864</v>
      </c>
      <c r="E523" s="89">
        <f>INDEX(Data!2013:2013,1,$U$1)/1000000</f>
        <v>2.145432</v>
      </c>
      <c r="F523" s="90">
        <f>INDEX(Data!2013:2013,1,$U$1+1)/1000000</f>
        <v>2.145432</v>
      </c>
      <c r="G523" s="88">
        <f t="shared" si="393"/>
        <v>4.290864</v>
      </c>
      <c r="H523" s="86">
        <f t="shared" si="394"/>
        <v>0</v>
      </c>
      <c r="I523" s="447">
        <f t="shared" si="368"/>
        <v>0</v>
      </c>
      <c r="J523" s="453">
        <f t="shared" si="388"/>
        <v>1.2667381272106428E-2</v>
      </c>
      <c r="K523" s="91">
        <f t="shared" si="395"/>
        <v>2.145432</v>
      </c>
      <c r="L523" s="87">
        <f t="shared" si="395"/>
        <v>2.145432</v>
      </c>
      <c r="M523" s="88">
        <f t="shared" si="396"/>
        <v>4.290864</v>
      </c>
      <c r="N523" s="89">
        <f t="shared" si="397"/>
        <v>2.145432</v>
      </c>
      <c r="O523" s="90">
        <f t="shared" si="397"/>
        <v>2.145432</v>
      </c>
      <c r="P523" s="88">
        <f t="shared" si="398"/>
        <v>4.290864</v>
      </c>
      <c r="Q523" s="86">
        <f t="shared" si="399"/>
        <v>0</v>
      </c>
      <c r="R523" s="447">
        <f t="shared" si="374"/>
        <v>0</v>
      </c>
      <c r="S523" s="453">
        <f t="shared" si="365"/>
        <v>3.6849484275293821E-3</v>
      </c>
      <c r="T523" s="453">
        <f t="shared" si="389"/>
        <v>1.2667381272106428E-2</v>
      </c>
      <c r="U523" s="122"/>
      <c r="V523" s="121"/>
    </row>
    <row r="524" spans="1:22" ht="25.5" hidden="1" outlineLevel="1">
      <c r="A524" s="79" t="s">
        <v>1440</v>
      </c>
      <c r="B524" s="86">
        <f>INDEX(Data!2024:2024,1,$U$1-2)/1000000</f>
        <v>0.65</v>
      </c>
      <c r="C524" s="87">
        <f>INDEX(Data!2024:2024,1,$U$1-1)/1000000</f>
        <v>0.65</v>
      </c>
      <c r="D524" s="88">
        <f t="shared" si="392"/>
        <v>1.3</v>
      </c>
      <c r="E524" s="89">
        <f>INDEX(Data!2024:2024,1,$U$1)/1000000</f>
        <v>0.65</v>
      </c>
      <c r="F524" s="90">
        <f>INDEX(Data!2024:2024,1,$U$1+1)/1000000</f>
        <v>0.65</v>
      </c>
      <c r="G524" s="88">
        <f t="shared" si="393"/>
        <v>1.3</v>
      </c>
      <c r="H524" s="86">
        <f t="shared" si="394"/>
        <v>0</v>
      </c>
      <c r="I524" s="447">
        <f t="shared" si="368"/>
        <v>0</v>
      </c>
      <c r="J524" s="453">
        <f t="shared" si="388"/>
        <v>3.8378274524054727E-3</v>
      </c>
      <c r="K524" s="91">
        <f t="shared" si="395"/>
        <v>0.65</v>
      </c>
      <c r="L524" s="87">
        <f t="shared" si="395"/>
        <v>0.65</v>
      </c>
      <c r="M524" s="88">
        <f t="shared" si="396"/>
        <v>1.3</v>
      </c>
      <c r="N524" s="89">
        <f t="shared" si="397"/>
        <v>0.65</v>
      </c>
      <c r="O524" s="90">
        <f t="shared" si="397"/>
        <v>0.65</v>
      </c>
      <c r="P524" s="88">
        <f t="shared" si="398"/>
        <v>1.3</v>
      </c>
      <c r="Q524" s="86">
        <f t="shared" si="399"/>
        <v>0</v>
      </c>
      <c r="R524" s="447">
        <f t="shared" si="374"/>
        <v>0</v>
      </c>
      <c r="S524" s="453">
        <f t="shared" si="365"/>
        <v>1.1164261919716395E-3</v>
      </c>
      <c r="T524" s="453">
        <f t="shared" si="389"/>
        <v>3.8378274524054727E-3</v>
      </c>
      <c r="U524" s="122"/>
      <c r="V524" s="121"/>
    </row>
    <row r="525" spans="1:22" ht="25.5" hidden="1" outlineLevel="1">
      <c r="A525" s="79" t="s">
        <v>942</v>
      </c>
      <c r="B525" s="86">
        <f>INDEX(Data!2042:2042,1,$U$1-2)/1000000</f>
        <v>1.8240000000000001</v>
      </c>
      <c r="C525" s="87">
        <f>INDEX(Data!2042:2042,1,$U$1-1)/1000000</f>
        <v>1.8240000000000001</v>
      </c>
      <c r="D525" s="88">
        <f t="shared" ref="D525" si="413">B525+C525</f>
        <v>3.6480000000000001</v>
      </c>
      <c r="E525" s="89">
        <f>INDEX(Data!2042:2042,1,$U$1)/1000000</f>
        <v>1.8240000000000001</v>
      </c>
      <c r="F525" s="90">
        <f>INDEX(Data!2042:2042,1,$U$1+1)/1000000</f>
        <v>1.8240000000000001</v>
      </c>
      <c r="G525" s="88">
        <f t="shared" ref="G525" si="414">E525+F525</f>
        <v>3.6480000000000001</v>
      </c>
      <c r="H525" s="86">
        <f t="shared" ref="H525" si="415">G525-D525</f>
        <v>0</v>
      </c>
      <c r="I525" s="447">
        <f t="shared" ref="I525" si="416">IFERROR(H525/D525,"")</f>
        <v>0</v>
      </c>
      <c r="J525" s="453">
        <f t="shared" si="388"/>
        <v>1.0769534266442433E-2</v>
      </c>
      <c r="K525" s="91">
        <f t="shared" ref="K525" si="417">B525</f>
        <v>1.8240000000000001</v>
      </c>
      <c r="L525" s="87">
        <f t="shared" ref="L525" si="418">C525</f>
        <v>1.8240000000000001</v>
      </c>
      <c r="M525" s="88">
        <f t="shared" ref="M525" si="419">K525+L525</f>
        <v>3.6480000000000001</v>
      </c>
      <c r="N525" s="89">
        <f t="shared" ref="N525" si="420">E525</f>
        <v>1.8240000000000001</v>
      </c>
      <c r="O525" s="90">
        <f t="shared" ref="O525" si="421">F525</f>
        <v>1.8240000000000001</v>
      </c>
      <c r="P525" s="88">
        <f t="shared" ref="P525" si="422">N525+O525</f>
        <v>3.6480000000000001</v>
      </c>
      <c r="Q525" s="86">
        <f t="shared" ref="Q525" si="423">P525-M525</f>
        <v>0</v>
      </c>
      <c r="R525" s="447">
        <f t="shared" ref="R525" si="424">IFERROR(Q525/M525,"")</f>
        <v>0</v>
      </c>
      <c r="S525" s="453">
        <f t="shared" ref="S525" si="425">IFERROR(P525/P$456,"")</f>
        <v>3.1328636525481085E-3</v>
      </c>
      <c r="T525" s="453">
        <f t="shared" si="389"/>
        <v>1.0769534266442433E-2</v>
      </c>
      <c r="U525" s="122"/>
      <c r="V525" s="121"/>
    </row>
    <row r="526" spans="1:22" ht="25.5" hidden="1" outlineLevel="1">
      <c r="A526" s="79" t="s">
        <v>1556</v>
      </c>
      <c r="B526" s="86">
        <f>INDEX(Data!2043:2043,1,$U$1-2)/1000000</f>
        <v>7.697864</v>
      </c>
      <c r="C526" s="87">
        <f>INDEX(Data!2043:2043,1,$U$1-1)/1000000</f>
        <v>7.6978629999999999</v>
      </c>
      <c r="D526" s="88">
        <f t="shared" si="392"/>
        <v>15.395727000000001</v>
      </c>
      <c r="E526" s="89">
        <f>INDEX(Data!2043:2043,1,$U$1)/1000000</f>
        <v>7.6978660000000003</v>
      </c>
      <c r="F526" s="90">
        <f>INDEX(Data!2043:2043,1,$U$1+1)/1000000</f>
        <v>7.6978650000000002</v>
      </c>
      <c r="G526" s="88">
        <f t="shared" si="393"/>
        <v>15.395731000000001</v>
      </c>
      <c r="H526" s="86">
        <f t="shared" si="394"/>
        <v>4.0000000005591119E-6</v>
      </c>
      <c r="I526" s="447">
        <f t="shared" si="368"/>
        <v>2.598123492680217E-7</v>
      </c>
      <c r="J526" s="453">
        <f t="shared" si="388"/>
        <v>4.5450891601269201E-2</v>
      </c>
      <c r="K526" s="91">
        <f t="shared" si="395"/>
        <v>7.697864</v>
      </c>
      <c r="L526" s="87">
        <f t="shared" si="395"/>
        <v>7.6978629999999999</v>
      </c>
      <c r="M526" s="88">
        <f t="shared" si="396"/>
        <v>15.395727000000001</v>
      </c>
      <c r="N526" s="89">
        <f t="shared" si="397"/>
        <v>7.6978660000000003</v>
      </c>
      <c r="O526" s="90">
        <f t="shared" si="397"/>
        <v>7.6978650000000002</v>
      </c>
      <c r="P526" s="88">
        <f t="shared" si="398"/>
        <v>15.395731000000001</v>
      </c>
      <c r="Q526" s="86">
        <f t="shared" si="399"/>
        <v>4.0000000005591119E-6</v>
      </c>
      <c r="R526" s="447">
        <f t="shared" si="374"/>
        <v>2.598123492680217E-7</v>
      </c>
      <c r="S526" s="453">
        <f t="shared" si="365"/>
        <v>1.322169025611517E-2</v>
      </c>
      <c r="T526" s="453">
        <f t="shared" si="389"/>
        <v>4.5450891601269201E-2</v>
      </c>
      <c r="U526" s="122"/>
      <c r="V526" s="121"/>
    </row>
    <row r="527" spans="1:22" collapsed="1">
      <c r="A527" s="113" t="s">
        <v>806</v>
      </c>
      <c r="B527" s="105">
        <f>SUM(B516:B526)</f>
        <v>20.438531000000001</v>
      </c>
      <c r="C527" s="106">
        <f>SUM(C516:C526)</f>
        <v>20.438530999999998</v>
      </c>
      <c r="D527" s="107">
        <f>SUM(D516:D526)</f>
        <v>40.877062000000002</v>
      </c>
      <c r="E527" s="114">
        <f>SUM(E516:E526)</f>
        <v>21.240243</v>
      </c>
      <c r="F527" s="115">
        <f>SUM(F516:F526)</f>
        <v>21.240243</v>
      </c>
      <c r="G527" s="107">
        <f t="shared" ref="G527:H527" si="426">SUM(G516:G526)</f>
        <v>42.480485999999999</v>
      </c>
      <c r="H527" s="105">
        <f t="shared" si="426"/>
        <v>1.6034240000000006</v>
      </c>
      <c r="I527" s="449">
        <f t="shared" si="368"/>
        <v>3.922551968142917E-2</v>
      </c>
      <c r="J527" s="454">
        <f t="shared" si="388"/>
        <v>0.12540982720178948</v>
      </c>
      <c r="K527" s="405">
        <f t="shared" ref="K527:Q527" si="427">SUM(K516:K526)</f>
        <v>20.438531000000001</v>
      </c>
      <c r="L527" s="106">
        <f t="shared" si="427"/>
        <v>20.438530999999998</v>
      </c>
      <c r="M527" s="107">
        <f t="shared" si="427"/>
        <v>40.877062000000002</v>
      </c>
      <c r="N527" s="114">
        <f t="shared" si="427"/>
        <v>21.240243</v>
      </c>
      <c r="O527" s="115">
        <f t="shared" si="427"/>
        <v>21.240243</v>
      </c>
      <c r="P527" s="107">
        <f t="shared" si="427"/>
        <v>42.480485999999999</v>
      </c>
      <c r="Q527" s="105">
        <f t="shared" si="427"/>
        <v>1.6034240000000006</v>
      </c>
      <c r="R527" s="449">
        <f t="shared" si="374"/>
        <v>3.922551968142917E-2</v>
      </c>
      <c r="S527" s="454">
        <f t="shared" si="365"/>
        <v>3.6481790167757336E-2</v>
      </c>
      <c r="T527" s="454">
        <f t="shared" si="389"/>
        <v>0.12540982720178948</v>
      </c>
      <c r="U527" s="122"/>
      <c r="V527" s="121"/>
    </row>
    <row r="528" spans="1:22" ht="15" hidden="1" customHeight="1" outlineLevel="1">
      <c r="A528" s="79" t="s">
        <v>1442</v>
      </c>
      <c r="B528" s="86">
        <f>INDEX(Data!2083:2083,1,$U$1-2)/1000000</f>
        <v>0.63185500000000006</v>
      </c>
      <c r="C528" s="87">
        <f>INDEX(Data!2083:2083,1,$U$1-1)/1000000</f>
        <v>0.63185500000000006</v>
      </c>
      <c r="D528" s="88">
        <f>B528+C528</f>
        <v>1.2637100000000001</v>
      </c>
      <c r="E528" s="89">
        <f>INDEX(Data!2083:2083,1,$U$1)/1000000</f>
        <v>0.63185500000000006</v>
      </c>
      <c r="F528" s="90">
        <f>INDEX(Data!2083:2083,1,$U$1+1)/1000000</f>
        <v>0.63185500000000006</v>
      </c>
      <c r="G528" s="88">
        <f t="shared" ref="G528:G531" si="428">E528+F528</f>
        <v>1.2637100000000001</v>
      </c>
      <c r="H528" s="86">
        <f t="shared" ref="H528:H531" si="429">G528-D528</f>
        <v>0</v>
      </c>
      <c r="I528" s="447">
        <f t="shared" si="368"/>
        <v>0</v>
      </c>
      <c r="J528" s="453">
        <f t="shared" si="388"/>
        <v>3.7306930229840923E-3</v>
      </c>
      <c r="K528" s="91">
        <f t="shared" ref="K528:L531" si="430">B528</f>
        <v>0.63185500000000006</v>
      </c>
      <c r="L528" s="87">
        <f t="shared" si="430"/>
        <v>0.63185500000000006</v>
      </c>
      <c r="M528" s="88">
        <f t="shared" ref="M528:M531" si="431">K528+L528</f>
        <v>1.2637100000000001</v>
      </c>
      <c r="N528" s="89">
        <f t="shared" ref="N528:O531" si="432">E528</f>
        <v>0.63185500000000006</v>
      </c>
      <c r="O528" s="90">
        <f t="shared" si="432"/>
        <v>0.63185500000000006</v>
      </c>
      <c r="P528" s="88">
        <f t="shared" ref="P528:P531" si="433">N528+O528</f>
        <v>1.2637100000000001</v>
      </c>
      <c r="Q528" s="86">
        <f t="shared" ref="Q528:Q531" si="434">P528-M528</f>
        <v>0</v>
      </c>
      <c r="R528" s="447">
        <f t="shared" si="374"/>
        <v>0</v>
      </c>
      <c r="S528" s="453">
        <f t="shared" si="365"/>
        <v>1.085260725428062E-3</v>
      </c>
      <c r="T528" s="453">
        <f t="shared" si="389"/>
        <v>3.7306930229840923E-3</v>
      </c>
      <c r="U528" s="122"/>
      <c r="V528" s="121"/>
    </row>
    <row r="529" spans="1:22" ht="25.5" hidden="1" outlineLevel="1">
      <c r="A529" s="79" t="s">
        <v>1443</v>
      </c>
      <c r="B529" s="86">
        <f>INDEX(Data!2085:2085,1,$U$1-2)/1000000</f>
        <v>0.77044599999999996</v>
      </c>
      <c r="C529" s="87">
        <f>INDEX(Data!2085:2085,1,$U$1-1)/1000000</f>
        <v>0.77044500000000005</v>
      </c>
      <c r="D529" s="88">
        <f>B529+C529</f>
        <v>1.540891</v>
      </c>
      <c r="E529" s="89">
        <f>INDEX(Data!2085:2085,1,$U$1)/1000000</f>
        <v>0.77398599999999995</v>
      </c>
      <c r="F529" s="90">
        <f>INDEX(Data!2085:2085,1,$U$1+1)/1000000</f>
        <v>0.77398400000000001</v>
      </c>
      <c r="G529" s="88">
        <f t="shared" si="428"/>
        <v>1.5479699999999998</v>
      </c>
      <c r="H529" s="86">
        <f t="shared" si="429"/>
        <v>7.0789999999998354E-3</v>
      </c>
      <c r="I529" s="447">
        <f t="shared" si="368"/>
        <v>4.594095234510316E-3</v>
      </c>
      <c r="J529" s="453">
        <f t="shared" si="388"/>
        <v>4.5698782780769992E-3</v>
      </c>
      <c r="K529" s="91">
        <f t="shared" si="430"/>
        <v>0.77044599999999996</v>
      </c>
      <c r="L529" s="87">
        <f t="shared" si="430"/>
        <v>0.77044500000000005</v>
      </c>
      <c r="M529" s="88">
        <f t="shared" si="431"/>
        <v>1.540891</v>
      </c>
      <c r="N529" s="89">
        <f t="shared" si="432"/>
        <v>0.77398599999999995</v>
      </c>
      <c r="O529" s="90">
        <f t="shared" si="432"/>
        <v>0.77398400000000001</v>
      </c>
      <c r="P529" s="88">
        <f t="shared" si="433"/>
        <v>1.5479699999999998</v>
      </c>
      <c r="Q529" s="86">
        <f t="shared" si="434"/>
        <v>7.0789999999998354E-3</v>
      </c>
      <c r="R529" s="447">
        <f t="shared" si="374"/>
        <v>4.594095234510316E-3</v>
      </c>
      <c r="S529" s="453">
        <f t="shared" si="365"/>
        <v>1.3293801941433373E-3</v>
      </c>
      <c r="T529" s="453">
        <f t="shared" si="389"/>
        <v>4.5698782780769992E-3</v>
      </c>
      <c r="U529" s="122"/>
      <c r="V529" s="121"/>
    </row>
    <row r="530" spans="1:22" hidden="1" outlineLevel="1">
      <c r="A530" s="79" t="s">
        <v>1444</v>
      </c>
      <c r="B530" s="86">
        <f>INDEX(Data!2087:2087,1,$U$1-2)/1000000</f>
        <v>0.54797499999999999</v>
      </c>
      <c r="C530" s="87">
        <f>INDEX(Data!2087:2087,1,$U$1-1)/1000000</f>
        <v>0.54797399999999996</v>
      </c>
      <c r="D530" s="88">
        <f>B530+C530</f>
        <v>1.0959490000000001</v>
      </c>
      <c r="E530" s="89">
        <f>INDEX(Data!2087:2087,1,$U$1)/1000000</f>
        <v>0.54797499999999999</v>
      </c>
      <c r="F530" s="90">
        <f>INDEX(Data!2087:2087,1,$U$1+1)/1000000</f>
        <v>0.54797399999999996</v>
      </c>
      <c r="G530" s="88">
        <f t="shared" si="428"/>
        <v>1.0959490000000001</v>
      </c>
      <c r="H530" s="86">
        <f t="shared" si="429"/>
        <v>0</v>
      </c>
      <c r="I530" s="447">
        <f t="shared" si="368"/>
        <v>0</v>
      </c>
      <c r="J530" s="453">
        <f t="shared" si="388"/>
        <v>3.2354331989510195E-3</v>
      </c>
      <c r="K530" s="91">
        <f t="shared" si="430"/>
        <v>0.54797499999999999</v>
      </c>
      <c r="L530" s="87">
        <f t="shared" si="430"/>
        <v>0.54797399999999996</v>
      </c>
      <c r="M530" s="88">
        <f t="shared" si="431"/>
        <v>1.0959490000000001</v>
      </c>
      <c r="N530" s="89">
        <f t="shared" si="432"/>
        <v>0.54797499999999999</v>
      </c>
      <c r="O530" s="90">
        <f t="shared" si="432"/>
        <v>0.54797399999999996</v>
      </c>
      <c r="P530" s="88">
        <f t="shared" si="433"/>
        <v>1.0959490000000001</v>
      </c>
      <c r="Q530" s="86">
        <f t="shared" si="434"/>
        <v>0</v>
      </c>
      <c r="R530" s="447">
        <f t="shared" si="374"/>
        <v>0</v>
      </c>
      <c r="S530" s="453">
        <f t="shared" si="365"/>
        <v>9.4118936051163567E-4</v>
      </c>
      <c r="T530" s="453">
        <f t="shared" si="389"/>
        <v>3.2354331989510195E-3</v>
      </c>
      <c r="U530" s="122"/>
      <c r="V530" s="121"/>
    </row>
    <row r="531" spans="1:22" hidden="1" outlineLevel="1">
      <c r="A531" s="79" t="s">
        <v>1445</v>
      </c>
      <c r="B531" s="86">
        <f>INDEX(Data!2089:2089,1,$U$1-2)/1000000</f>
        <v>0.689724</v>
      </c>
      <c r="C531" s="87">
        <f>INDEX(Data!2089:2089,1,$U$1-1)/1000000</f>
        <v>0.689724</v>
      </c>
      <c r="D531" s="88">
        <f>B531+C531</f>
        <v>1.379448</v>
      </c>
      <c r="E531" s="89">
        <f>INDEX(Data!2089:2089,1,$U$1)/1000000</f>
        <v>0.689724</v>
      </c>
      <c r="F531" s="90">
        <f>INDEX(Data!2089:2089,1,$U$1+1)/1000000</f>
        <v>0.689724</v>
      </c>
      <c r="G531" s="88">
        <f t="shared" si="428"/>
        <v>1.379448</v>
      </c>
      <c r="H531" s="86">
        <f t="shared" si="429"/>
        <v>0</v>
      </c>
      <c r="I531" s="447">
        <f t="shared" si="368"/>
        <v>0</v>
      </c>
      <c r="J531" s="453">
        <f t="shared" si="388"/>
        <v>4.0723718488967879E-3</v>
      </c>
      <c r="K531" s="91">
        <f t="shared" si="430"/>
        <v>0.689724</v>
      </c>
      <c r="L531" s="87">
        <f t="shared" si="430"/>
        <v>0.689724</v>
      </c>
      <c r="M531" s="88">
        <f t="shared" si="431"/>
        <v>1.379448</v>
      </c>
      <c r="N531" s="89">
        <f t="shared" si="432"/>
        <v>0.689724</v>
      </c>
      <c r="O531" s="90">
        <f t="shared" si="432"/>
        <v>0.689724</v>
      </c>
      <c r="P531" s="88">
        <f t="shared" si="433"/>
        <v>1.379448</v>
      </c>
      <c r="Q531" s="86">
        <f t="shared" si="434"/>
        <v>0</v>
      </c>
      <c r="R531" s="447">
        <f t="shared" si="374"/>
        <v>0</v>
      </c>
      <c r="S531" s="453">
        <f t="shared" si="365"/>
        <v>1.1846552905099186E-3</v>
      </c>
      <c r="T531" s="453">
        <f t="shared" si="389"/>
        <v>4.0723718488967879E-3</v>
      </c>
      <c r="U531" s="122"/>
      <c r="V531" s="121"/>
    </row>
    <row r="532" spans="1:22" collapsed="1">
      <c r="A532" s="113" t="s">
        <v>807</v>
      </c>
      <c r="B532" s="105">
        <f>SUM(B528:B531)</f>
        <v>2.64</v>
      </c>
      <c r="C532" s="106">
        <f>SUM(C528:C531)</f>
        <v>2.6399980000000003</v>
      </c>
      <c r="D532" s="107">
        <f>SUM(D528:D531)</f>
        <v>5.279998</v>
      </c>
      <c r="E532" s="114">
        <f>SUM(E528:E531)</f>
        <v>2.6435400000000002</v>
      </c>
      <c r="F532" s="115">
        <f>SUM(F528:F531)</f>
        <v>2.6435370000000002</v>
      </c>
      <c r="G532" s="107">
        <f t="shared" ref="G532:H532" si="435">SUM(G528:G531)</f>
        <v>5.287077</v>
      </c>
      <c r="H532" s="105">
        <f t="shared" si="435"/>
        <v>7.0789999999998354E-3</v>
      </c>
      <c r="I532" s="449">
        <f t="shared" si="368"/>
        <v>1.3407202048182282E-3</v>
      </c>
      <c r="J532" s="454">
        <f t="shared" si="388"/>
        <v>1.5608376348908898E-2</v>
      </c>
      <c r="K532" s="405">
        <f t="shared" ref="K532:Q532" si="436">SUM(K528:K531)</f>
        <v>2.64</v>
      </c>
      <c r="L532" s="106">
        <f t="shared" si="436"/>
        <v>2.6399980000000003</v>
      </c>
      <c r="M532" s="107">
        <f t="shared" si="436"/>
        <v>5.279998</v>
      </c>
      <c r="N532" s="114">
        <f t="shared" si="436"/>
        <v>2.6435400000000002</v>
      </c>
      <c r="O532" s="115">
        <f t="shared" si="436"/>
        <v>2.6435370000000002</v>
      </c>
      <c r="P532" s="107">
        <f t="shared" si="436"/>
        <v>5.287077</v>
      </c>
      <c r="Q532" s="105">
        <f t="shared" si="436"/>
        <v>7.0789999999998354E-3</v>
      </c>
      <c r="R532" s="449">
        <f t="shared" si="374"/>
        <v>1.3407202048182282E-3</v>
      </c>
      <c r="S532" s="454">
        <f t="shared" si="365"/>
        <v>4.5404855705929534E-3</v>
      </c>
      <c r="T532" s="454">
        <f t="shared" si="389"/>
        <v>1.5608376348908898E-2</v>
      </c>
      <c r="U532" s="122"/>
      <c r="V532" s="121"/>
    </row>
    <row r="533" spans="1:22" hidden="1" outlineLevel="1">
      <c r="A533" s="79" t="s">
        <v>1446</v>
      </c>
      <c r="B533" s="86">
        <f>INDEX(Data!2103:2103,1,$U$1-2)/1000000</f>
        <v>0.890625</v>
      </c>
      <c r="C533" s="87">
        <f>INDEX(Data!2103:2103,1,$U$1-1)/1000000</f>
        <v>0.89062399999999997</v>
      </c>
      <c r="D533" s="88">
        <f>B533+C533</f>
        <v>1.7812489999999999</v>
      </c>
      <c r="E533" s="89">
        <f>INDEX(Data!2103:2103,1,$U$1)/1000000</f>
        <v>0.890625</v>
      </c>
      <c r="F533" s="90">
        <f>INDEX(Data!2103:2103,1,$U$1+1)/1000000</f>
        <v>0.89062399999999997</v>
      </c>
      <c r="G533" s="88">
        <f t="shared" ref="G533:G535" si="437">E533+F533</f>
        <v>1.7812489999999999</v>
      </c>
      <c r="H533" s="86">
        <f t="shared" ref="H533:H535" si="438">G533-D533</f>
        <v>0</v>
      </c>
      <c r="I533" s="447">
        <f t="shared" si="368"/>
        <v>0</v>
      </c>
      <c r="J533" s="453">
        <f t="shared" si="388"/>
        <v>5.2585587013613804E-3</v>
      </c>
      <c r="K533" s="91">
        <f t="shared" ref="K533:L535" si="439">B533</f>
        <v>0.890625</v>
      </c>
      <c r="L533" s="87">
        <f t="shared" si="439"/>
        <v>0.89062399999999997</v>
      </c>
      <c r="M533" s="88">
        <f t="shared" ref="M533:M535" si="440">K533+L533</f>
        <v>1.7812489999999999</v>
      </c>
      <c r="N533" s="89">
        <f t="shared" ref="N533:O535" si="441">E533</f>
        <v>0.890625</v>
      </c>
      <c r="O533" s="90">
        <f t="shared" si="441"/>
        <v>0.89062399999999997</v>
      </c>
      <c r="P533" s="88">
        <f t="shared" ref="P533:P535" si="442">N533+O533</f>
        <v>1.7812489999999999</v>
      </c>
      <c r="Q533" s="86">
        <f t="shared" ref="Q533:Q535" si="443">P533-M533</f>
        <v>0</v>
      </c>
      <c r="R533" s="447">
        <f t="shared" si="374"/>
        <v>0</v>
      </c>
      <c r="S533" s="453">
        <f t="shared" si="365"/>
        <v>1.5297177215563775E-3</v>
      </c>
      <c r="T533" s="453">
        <f t="shared" si="389"/>
        <v>5.2585587013613804E-3</v>
      </c>
      <c r="U533" s="122"/>
      <c r="V533" s="121"/>
    </row>
    <row r="534" spans="1:22" hidden="1" outlineLevel="1">
      <c r="A534" s="79" t="s">
        <v>1447</v>
      </c>
      <c r="B534" s="86">
        <f>INDEX(Data!2110:2110,1,$U$1-2)/1000000</f>
        <v>1.1574450000000001</v>
      </c>
      <c r="C534" s="87">
        <f>INDEX(Data!2110:2110,1,$U$1-1)/1000000</f>
        <v>1.1574439999999999</v>
      </c>
      <c r="D534" s="88">
        <f>B534+C534</f>
        <v>2.314889</v>
      </c>
      <c r="E534" s="89">
        <f>INDEX(Data!2110:2110,1,$U$1)/1000000</f>
        <v>1.5946210000000001</v>
      </c>
      <c r="F534" s="90">
        <f>INDEX(Data!2110:2110,1,$U$1+1)/1000000</f>
        <v>1.594619</v>
      </c>
      <c r="G534" s="88">
        <f t="shared" si="437"/>
        <v>3.1892399999999999</v>
      </c>
      <c r="H534" s="86">
        <f t="shared" si="438"/>
        <v>0.87435099999999988</v>
      </c>
      <c r="I534" s="447">
        <f t="shared" si="368"/>
        <v>0.37770752722916728</v>
      </c>
      <c r="J534" s="453">
        <f t="shared" si="388"/>
        <v>9.4151944802381756E-3</v>
      </c>
      <c r="K534" s="91">
        <f t="shared" si="439"/>
        <v>1.1574450000000001</v>
      </c>
      <c r="L534" s="87">
        <f t="shared" si="439"/>
        <v>1.1574439999999999</v>
      </c>
      <c r="M534" s="88">
        <f t="shared" si="440"/>
        <v>2.314889</v>
      </c>
      <c r="N534" s="89">
        <f t="shared" si="441"/>
        <v>1.5946210000000001</v>
      </c>
      <c r="O534" s="90">
        <f t="shared" si="441"/>
        <v>1.594619</v>
      </c>
      <c r="P534" s="88">
        <f t="shared" si="442"/>
        <v>3.1892399999999999</v>
      </c>
      <c r="Q534" s="86">
        <f t="shared" si="443"/>
        <v>0.87435099999999988</v>
      </c>
      <c r="R534" s="447">
        <f t="shared" si="374"/>
        <v>0.37770752722916728</v>
      </c>
      <c r="S534" s="453">
        <f t="shared" si="365"/>
        <v>2.7388854372951011E-3</v>
      </c>
      <c r="T534" s="453">
        <f t="shared" si="389"/>
        <v>9.4151944802381756E-3</v>
      </c>
      <c r="U534" s="122"/>
      <c r="V534" s="121"/>
    </row>
    <row r="535" spans="1:22" hidden="1" outlineLevel="1">
      <c r="A535" s="79" t="s">
        <v>1448</v>
      </c>
      <c r="B535" s="86">
        <f>INDEX(Data!2114:2114,1,$U$1-2)/1000000</f>
        <v>1.0802449999999999</v>
      </c>
      <c r="C535" s="87">
        <f>INDEX(Data!2114:2114,1,$U$1-1)/1000000</f>
        <v>1.080244</v>
      </c>
      <c r="D535" s="88">
        <f>B535+C535</f>
        <v>2.1604890000000001</v>
      </c>
      <c r="E535" s="89">
        <f>INDEX(Data!2114:2114,1,$U$1)/1000000</f>
        <v>1.938593</v>
      </c>
      <c r="F535" s="90">
        <f>INDEX(Data!2114:2114,1,$U$1+1)/1000000</f>
        <v>1.9385920000000001</v>
      </c>
      <c r="G535" s="88">
        <f t="shared" si="437"/>
        <v>3.8771849999999999</v>
      </c>
      <c r="H535" s="86">
        <f t="shared" si="438"/>
        <v>1.7166959999999998</v>
      </c>
      <c r="I535" s="447">
        <f t="shared" si="368"/>
        <v>0.79458678104817926</v>
      </c>
      <c r="J535" s="453">
        <f t="shared" si="388"/>
        <v>1.14461284854267E-2</v>
      </c>
      <c r="K535" s="91">
        <f t="shared" si="439"/>
        <v>1.0802449999999999</v>
      </c>
      <c r="L535" s="87">
        <f t="shared" si="439"/>
        <v>1.080244</v>
      </c>
      <c r="M535" s="88">
        <f t="shared" si="440"/>
        <v>2.1604890000000001</v>
      </c>
      <c r="N535" s="89">
        <f t="shared" si="441"/>
        <v>1.938593</v>
      </c>
      <c r="O535" s="90">
        <f t="shared" si="441"/>
        <v>1.9385920000000001</v>
      </c>
      <c r="P535" s="88">
        <f t="shared" si="442"/>
        <v>3.8771849999999999</v>
      </c>
      <c r="Q535" s="86">
        <f t="shared" si="443"/>
        <v>1.7166959999999998</v>
      </c>
      <c r="R535" s="447">
        <f t="shared" si="374"/>
        <v>0.79458678104817926</v>
      </c>
      <c r="S535" s="453">
        <f t="shared" si="365"/>
        <v>3.3296852962458158E-3</v>
      </c>
      <c r="T535" s="453">
        <f t="shared" si="389"/>
        <v>1.14461284854267E-2</v>
      </c>
      <c r="U535" s="122"/>
      <c r="V535" s="121"/>
    </row>
    <row r="536" spans="1:22" collapsed="1">
      <c r="A536" s="113" t="s">
        <v>808</v>
      </c>
      <c r="B536" s="105">
        <f>SUM(B533:B535)</f>
        <v>3.1283149999999997</v>
      </c>
      <c r="C536" s="106">
        <f t="shared" ref="C536:H536" si="444">SUM(C533:C535)</f>
        <v>3.1283119999999998</v>
      </c>
      <c r="D536" s="107">
        <f t="shared" si="444"/>
        <v>6.2566269999999999</v>
      </c>
      <c r="E536" s="114">
        <f t="shared" si="444"/>
        <v>4.4238390000000001</v>
      </c>
      <c r="F536" s="115">
        <f t="shared" si="444"/>
        <v>4.4238350000000004</v>
      </c>
      <c r="G536" s="107">
        <f t="shared" si="444"/>
        <v>8.8476739999999996</v>
      </c>
      <c r="H536" s="105">
        <f t="shared" si="444"/>
        <v>2.5910469999999997</v>
      </c>
      <c r="I536" s="449">
        <f t="shared" si="368"/>
        <v>0.41412841136286366</v>
      </c>
      <c r="J536" s="454">
        <f t="shared" si="388"/>
        <v>2.6119881667026258E-2</v>
      </c>
      <c r="K536" s="405">
        <f t="shared" ref="K536:Q536" si="445">SUM(K533:K535)</f>
        <v>3.1283149999999997</v>
      </c>
      <c r="L536" s="106">
        <f t="shared" si="445"/>
        <v>3.1283119999999998</v>
      </c>
      <c r="M536" s="107">
        <f t="shared" si="445"/>
        <v>6.2566269999999999</v>
      </c>
      <c r="N536" s="114">
        <f t="shared" si="445"/>
        <v>4.4238390000000001</v>
      </c>
      <c r="O536" s="115">
        <f t="shared" si="445"/>
        <v>4.4238350000000004</v>
      </c>
      <c r="P536" s="107">
        <f t="shared" si="445"/>
        <v>8.8476739999999996</v>
      </c>
      <c r="Q536" s="105">
        <f t="shared" si="445"/>
        <v>2.5910469999999997</v>
      </c>
      <c r="R536" s="449">
        <f t="shared" si="374"/>
        <v>0.41412841136286366</v>
      </c>
      <c r="S536" s="454">
        <f t="shared" si="365"/>
        <v>7.598288455097294E-3</v>
      </c>
      <c r="T536" s="454">
        <f t="shared" si="389"/>
        <v>2.6119881667026258E-2</v>
      </c>
      <c r="V536" s="122"/>
    </row>
    <row r="537" spans="1:22" ht="13.5" thickBot="1">
      <c r="A537" s="95" t="s">
        <v>280</v>
      </c>
      <c r="B537" s="96">
        <f>B515+B527+B532+B536</f>
        <v>107.83239299999998</v>
      </c>
      <c r="C537" s="97">
        <f t="shared" ref="C537:H537" si="446">C515+C527+C532+C536</f>
        <v>107.831368</v>
      </c>
      <c r="D537" s="98">
        <f t="shared" si="446"/>
        <v>215.66376100000002</v>
      </c>
      <c r="E537" s="96">
        <f t="shared" si="446"/>
        <v>169.36667199999997</v>
      </c>
      <c r="F537" s="97">
        <f t="shared" si="446"/>
        <v>169.36663899999994</v>
      </c>
      <c r="G537" s="98">
        <f t="shared" si="446"/>
        <v>338.73331099999984</v>
      </c>
      <c r="H537" s="96">
        <f t="shared" si="446"/>
        <v>123.06955000000001</v>
      </c>
      <c r="I537" s="451">
        <f t="shared" si="368"/>
        <v>0.57065475177352576</v>
      </c>
      <c r="J537" s="455">
        <f t="shared" si="388"/>
        <v>1</v>
      </c>
      <c r="K537" s="100">
        <f t="shared" ref="K537:Q537" si="447">K515+K527+K532+K536</f>
        <v>107.83239299999998</v>
      </c>
      <c r="L537" s="97">
        <f t="shared" si="447"/>
        <v>107.831368</v>
      </c>
      <c r="M537" s="98">
        <f t="shared" si="447"/>
        <v>215.66376100000002</v>
      </c>
      <c r="N537" s="96">
        <f t="shared" si="447"/>
        <v>169.36667199999997</v>
      </c>
      <c r="O537" s="97">
        <f t="shared" si="447"/>
        <v>169.36663899999994</v>
      </c>
      <c r="P537" s="98">
        <f t="shared" si="447"/>
        <v>338.73331099999984</v>
      </c>
      <c r="Q537" s="96">
        <f t="shared" si="447"/>
        <v>123.06955000000001</v>
      </c>
      <c r="R537" s="451">
        <f t="shared" si="374"/>
        <v>0.57065475177352576</v>
      </c>
      <c r="S537" s="455">
        <f>IFERROR(P537/P$456,"")</f>
        <v>0.29090056961051913</v>
      </c>
      <c r="T537" s="455">
        <f t="shared" si="389"/>
        <v>1</v>
      </c>
      <c r="V537" s="122"/>
    </row>
    <row r="538" spans="1:22">
      <c r="T538" s="1180"/>
      <c r="V538" s="122"/>
    </row>
    <row r="539" spans="1:22">
      <c r="T539" s="410"/>
    </row>
    <row r="540" spans="1:22">
      <c r="T540" s="410"/>
    </row>
    <row r="541" spans="1:22">
      <c r="T541" s="410"/>
    </row>
    <row r="542" spans="1:22">
      <c r="T542" s="410"/>
    </row>
    <row r="543" spans="1:22">
      <c r="T543" s="410"/>
    </row>
    <row r="544" spans="1:22">
      <c r="T544" s="410"/>
    </row>
    <row r="545" spans="1:22">
      <c r="T545" s="410"/>
    </row>
    <row r="546" spans="1:22">
      <c r="T546" s="410"/>
    </row>
    <row r="547" spans="1:22">
      <c r="T547" s="410"/>
    </row>
    <row r="548" spans="1:22">
      <c r="T548" s="410"/>
    </row>
    <row r="549" spans="1:22">
      <c r="T549" s="410"/>
    </row>
    <row r="550" spans="1:22">
      <c r="T550" s="410"/>
    </row>
    <row r="551" spans="1:22">
      <c r="T551" s="410"/>
    </row>
    <row r="552" spans="1:22">
      <c r="T552" s="410"/>
    </row>
    <row r="553" spans="1:22">
      <c r="T553" s="410"/>
    </row>
    <row r="554" spans="1:22">
      <c r="T554" s="410"/>
    </row>
    <row r="555" spans="1:22">
      <c r="T555" s="410"/>
    </row>
    <row r="556" spans="1:22">
      <c r="J556" s="411"/>
      <c r="T556" s="411"/>
    </row>
    <row r="557" spans="1:22" ht="13.5" thickBot="1">
      <c r="T557" s="1179"/>
    </row>
    <row r="558" spans="1:22" ht="13.5" customHeight="1" thickBot="1">
      <c r="A558" s="536" t="s">
        <v>810</v>
      </c>
      <c r="B558" s="537"/>
      <c r="C558" s="537"/>
      <c r="D558" s="537"/>
      <c r="E558" s="537"/>
      <c r="F558" s="537"/>
      <c r="G558" s="537"/>
      <c r="H558" s="537"/>
      <c r="I558" s="537"/>
      <c r="J558" s="537"/>
      <c r="K558" s="537"/>
      <c r="L558" s="537"/>
      <c r="M558" s="537"/>
      <c r="N558" s="537"/>
      <c r="O558" s="537"/>
      <c r="P558" s="537"/>
      <c r="Q558" s="537"/>
      <c r="R558" s="537"/>
      <c r="S558" s="537"/>
      <c r="T558" s="538"/>
    </row>
    <row r="559" spans="1:22" ht="13.5" thickBot="1">
      <c r="A559" s="535" t="s">
        <v>1318</v>
      </c>
      <c r="B559" s="1292" t="s">
        <v>2</v>
      </c>
      <c r="C559" s="1293"/>
      <c r="D559" s="1293"/>
      <c r="E559" s="1293"/>
      <c r="F559" s="1293"/>
      <c r="G559" s="1293"/>
      <c r="H559" s="1293"/>
      <c r="I559" s="1293"/>
      <c r="J559" s="1294"/>
      <c r="K559" s="1295" t="s">
        <v>764</v>
      </c>
      <c r="L559" s="1295"/>
      <c r="M559" s="1295"/>
      <c r="N559" s="1295"/>
      <c r="O559" s="1295"/>
      <c r="P559" s="1295"/>
      <c r="Q559" s="1295"/>
      <c r="R559" s="1295"/>
      <c r="S559" s="1295"/>
      <c r="T559" s="1296"/>
    </row>
    <row r="560" spans="1:22" ht="25.5">
      <c r="A560" s="73" t="s">
        <v>766</v>
      </c>
      <c r="B560" s="74">
        <f>E560-2</f>
        <v>2018</v>
      </c>
      <c r="C560" s="75">
        <f>B560+1</f>
        <v>2019</v>
      </c>
      <c r="D560" s="76" t="str">
        <f>B560&amp;"-"&amp;C560</f>
        <v>2018-2019</v>
      </c>
      <c r="E560" s="74" t="str">
        <f>$T$1</f>
        <v>2020</v>
      </c>
      <c r="F560" s="75">
        <f>E560+1</f>
        <v>2021</v>
      </c>
      <c r="G560" s="76" t="str">
        <f>E560&amp;"-"&amp;F560</f>
        <v>2020-2021</v>
      </c>
      <c r="H560" s="74" t="s">
        <v>767</v>
      </c>
      <c r="I560" s="75" t="s">
        <v>768</v>
      </c>
      <c r="J560" s="77" t="s">
        <v>769</v>
      </c>
      <c r="K560" s="77">
        <f>N560-2</f>
        <v>2018</v>
      </c>
      <c r="L560" s="75">
        <f>K560+1</f>
        <v>2019</v>
      </c>
      <c r="M560" s="76" t="str">
        <f>K560&amp;"-"&amp;L560</f>
        <v>2018-2019</v>
      </c>
      <c r="N560" s="74" t="str">
        <f>$T$1</f>
        <v>2020</v>
      </c>
      <c r="O560" s="75">
        <f>N560+1</f>
        <v>2021</v>
      </c>
      <c r="P560" s="76" t="str">
        <f>N560&amp;"-"&amp;O560</f>
        <v>2020-2021</v>
      </c>
      <c r="Q560" s="74" t="s">
        <v>767</v>
      </c>
      <c r="R560" s="75" t="s">
        <v>768</v>
      </c>
      <c r="S560" s="78" t="s">
        <v>769</v>
      </c>
      <c r="T560" s="78" t="s">
        <v>770</v>
      </c>
      <c r="V560" s="122"/>
    </row>
    <row r="561" spans="1:22" hidden="1" outlineLevel="1">
      <c r="A561" s="79" t="s">
        <v>754</v>
      </c>
      <c r="B561" s="83">
        <f>INDEX(Data!2223:2223,1,$U$1-2)/1000000</f>
        <v>12.828287</v>
      </c>
      <c r="C561" s="81">
        <f>INDEX(Data!2223:2223,1,$U$1-1)/1000000</f>
        <v>12.828287</v>
      </c>
      <c r="D561" s="82">
        <f t="shared" ref="D561:D599" si="448">B561+C561</f>
        <v>25.656573999999999</v>
      </c>
      <c r="E561" s="102">
        <f>INDEX(Data!2223:2223,1,$U$1)/1000000</f>
        <v>12.828175</v>
      </c>
      <c r="F561" s="103">
        <f>INDEX(Data!2223:2223,1,$U$1+1)/1000000</f>
        <v>12.827999999999999</v>
      </c>
      <c r="G561" s="82">
        <f t="shared" ref="G561:G599" si="449">E561+F561</f>
        <v>25.656174999999998</v>
      </c>
      <c r="H561" s="83">
        <f>G561-D561</f>
        <v>-3.9900000000159253E-4</v>
      </c>
      <c r="I561" s="84">
        <f>IFERROR(H561/D561,"")</f>
        <v>-1.5551569745890177E-5</v>
      </c>
      <c r="J561" s="412">
        <f>IFERROR(G561/G$456,"")</f>
        <v>2.2033250581390749E-2</v>
      </c>
      <c r="K561" s="409">
        <f t="shared" ref="K561:L599" si="450">B561</f>
        <v>12.828287</v>
      </c>
      <c r="L561" s="81">
        <f t="shared" si="450"/>
        <v>12.828287</v>
      </c>
      <c r="M561" s="82">
        <f t="shared" ref="M561:M599" si="451">K561+L561</f>
        <v>25.656573999999999</v>
      </c>
      <c r="N561" s="102">
        <f t="shared" ref="N561:O599" si="452">E561</f>
        <v>12.828175</v>
      </c>
      <c r="O561" s="103">
        <f t="shared" si="452"/>
        <v>12.827999999999999</v>
      </c>
      <c r="P561" s="82">
        <f t="shared" ref="P561:P599" si="453">N561+O561</f>
        <v>25.656174999999998</v>
      </c>
      <c r="Q561" s="83">
        <f>P561-M561</f>
        <v>-3.9900000000159253E-4</v>
      </c>
      <c r="R561" s="84">
        <f>IFERROR(Q561/M561,"")</f>
        <v>-1.5551569745890177E-5</v>
      </c>
      <c r="S561" s="85">
        <f t="shared" ref="S561:S627" si="454">IFERROR(P561/P$456,"")</f>
        <v>2.2033250581390749E-2</v>
      </c>
      <c r="T561" s="85">
        <f t="shared" ref="T561:T627" si="455">IFERROR(P561/G561,"")</f>
        <v>1</v>
      </c>
      <c r="U561" s="122"/>
      <c r="V561" s="121"/>
    </row>
    <row r="562" spans="1:22" hidden="1" outlineLevel="1">
      <c r="A562" s="79" t="s">
        <v>749</v>
      </c>
      <c r="B562" s="86">
        <f>INDEX(Data!2224:2224,1,$U$1-2)/1000000</f>
        <v>19.678585000000002</v>
      </c>
      <c r="C562" s="87">
        <f>INDEX(Data!2224:2224,1,$U$1-1)/1000000</f>
        <v>19.678585000000002</v>
      </c>
      <c r="D562" s="88">
        <f t="shared" si="448"/>
        <v>39.357170000000004</v>
      </c>
      <c r="E562" s="89">
        <f>INDEX(Data!2224:2224,1,$U$1)/1000000</f>
        <v>19.676338000000001</v>
      </c>
      <c r="F562" s="90">
        <f>INDEX(Data!2224:2224,1,$U$1+1)/1000000</f>
        <v>19.673999999999999</v>
      </c>
      <c r="G562" s="88">
        <f t="shared" si="449"/>
        <v>39.350338000000001</v>
      </c>
      <c r="H562" s="86">
        <f t="shared" ref="H562:H599" si="456">G562-D562</f>
        <v>-6.8320000000028358E-3</v>
      </c>
      <c r="I562" s="84">
        <f t="shared" ref="I562:I628" si="457">IFERROR(H562/D562,"")</f>
        <v>-1.7358971694364292E-4</v>
      </c>
      <c r="J562" s="412">
        <f t="shared" ref="J562:J628" si="458">IFERROR(G562/G$456,"")</f>
        <v>3.3793652312412999E-2</v>
      </c>
      <c r="K562" s="91">
        <f t="shared" si="450"/>
        <v>19.678585000000002</v>
      </c>
      <c r="L562" s="87">
        <f t="shared" si="450"/>
        <v>19.678585000000002</v>
      </c>
      <c r="M562" s="88">
        <f t="shared" si="451"/>
        <v>39.357170000000004</v>
      </c>
      <c r="N562" s="89">
        <f t="shared" si="452"/>
        <v>19.676338000000001</v>
      </c>
      <c r="O562" s="90">
        <f t="shared" si="452"/>
        <v>19.673999999999999</v>
      </c>
      <c r="P562" s="88">
        <f t="shared" si="453"/>
        <v>39.350338000000001</v>
      </c>
      <c r="Q562" s="86">
        <f t="shared" ref="Q562:Q599" si="459">P562-M562</f>
        <v>-6.8320000000028358E-3</v>
      </c>
      <c r="R562" s="84">
        <f t="shared" ref="R562:R628" si="460">IFERROR(Q562/M562,"")</f>
        <v>-1.7358971694364292E-4</v>
      </c>
      <c r="S562" s="85">
        <f t="shared" si="454"/>
        <v>3.3793652312412999E-2</v>
      </c>
      <c r="T562" s="85">
        <f t="shared" si="455"/>
        <v>1</v>
      </c>
      <c r="U562" s="122"/>
      <c r="V562" s="123"/>
    </row>
    <row r="563" spans="1:22" hidden="1" outlineLevel="1">
      <c r="A563" s="79" t="s">
        <v>755</v>
      </c>
      <c r="B563" s="86">
        <f>INDEX(Data!2225:2225,1,$U$1-2)/1000000</f>
        <v>8.7570619999999995</v>
      </c>
      <c r="C563" s="87">
        <f>INDEX(Data!2225:2225,1,$U$1-1)/1000000</f>
        <v>8.7570619999999995</v>
      </c>
      <c r="D563" s="88">
        <f t="shared" si="448"/>
        <v>17.514123999999999</v>
      </c>
      <c r="E563" s="89">
        <f>INDEX(Data!2225:2225,1,$U$1)/1000000</f>
        <v>8.756475</v>
      </c>
      <c r="F563" s="90">
        <f>INDEX(Data!2225:2225,1,$U$1+1)/1000000</f>
        <v>8.7567500000000003</v>
      </c>
      <c r="G563" s="88">
        <f t="shared" si="449"/>
        <v>17.513224999999998</v>
      </c>
      <c r="H563" s="86">
        <f t="shared" si="456"/>
        <v>-8.9900000000042724E-4</v>
      </c>
      <c r="I563" s="84">
        <f t="shared" si="457"/>
        <v>-5.1330000861043765E-5</v>
      </c>
      <c r="J563" s="412">
        <f t="shared" si="458"/>
        <v>1.504017161222501E-2</v>
      </c>
      <c r="K563" s="91">
        <f t="shared" si="450"/>
        <v>8.7570619999999995</v>
      </c>
      <c r="L563" s="87">
        <f t="shared" si="450"/>
        <v>8.7570619999999995</v>
      </c>
      <c r="M563" s="88">
        <f t="shared" si="451"/>
        <v>17.514123999999999</v>
      </c>
      <c r="N563" s="89">
        <f t="shared" si="452"/>
        <v>8.756475</v>
      </c>
      <c r="O563" s="90">
        <f t="shared" si="452"/>
        <v>8.7567500000000003</v>
      </c>
      <c r="P563" s="88">
        <f t="shared" si="453"/>
        <v>17.513224999999998</v>
      </c>
      <c r="Q563" s="86">
        <f t="shared" si="459"/>
        <v>-8.9900000000042724E-4</v>
      </c>
      <c r="R563" s="84">
        <f t="shared" si="460"/>
        <v>-5.1330000861043765E-5</v>
      </c>
      <c r="S563" s="85">
        <f t="shared" si="454"/>
        <v>1.504017161222501E-2</v>
      </c>
      <c r="T563" s="85">
        <f t="shared" si="455"/>
        <v>1</v>
      </c>
      <c r="U563" s="122"/>
      <c r="V563" s="123"/>
    </row>
    <row r="564" spans="1:22" hidden="1" outlineLevel="1">
      <c r="A564" s="79" t="s">
        <v>756</v>
      </c>
      <c r="B564" s="86">
        <f>INDEX(Data!2226:2226,1,$U$1-2)/1000000</f>
        <v>12.707849</v>
      </c>
      <c r="C564" s="87">
        <f>INDEX(Data!2226:2226,1,$U$1-1)/1000000</f>
        <v>12.707849</v>
      </c>
      <c r="D564" s="88">
        <f t="shared" si="448"/>
        <v>25.415697999999999</v>
      </c>
      <c r="E564" s="89">
        <f>INDEX(Data!2226:2226,1,$U$1)/1000000</f>
        <v>12.707274999999999</v>
      </c>
      <c r="F564" s="90">
        <f>INDEX(Data!2226:2226,1,$U$1+1)/1000000</f>
        <v>12.70735</v>
      </c>
      <c r="G564" s="88">
        <f t="shared" si="449"/>
        <v>25.414625000000001</v>
      </c>
      <c r="H564" s="86">
        <f t="shared" si="456"/>
        <v>-1.0729999999981032E-3</v>
      </c>
      <c r="I564" s="84">
        <f t="shared" si="457"/>
        <v>-4.22180024329099E-5</v>
      </c>
      <c r="J564" s="412">
        <f t="shared" si="458"/>
        <v>2.1825810007028636E-2</v>
      </c>
      <c r="K564" s="91">
        <f t="shared" si="450"/>
        <v>12.707849</v>
      </c>
      <c r="L564" s="87">
        <f t="shared" si="450"/>
        <v>12.707849</v>
      </c>
      <c r="M564" s="88">
        <f t="shared" si="451"/>
        <v>25.415697999999999</v>
      </c>
      <c r="N564" s="89">
        <f t="shared" si="452"/>
        <v>12.707274999999999</v>
      </c>
      <c r="O564" s="90">
        <f t="shared" si="452"/>
        <v>12.70735</v>
      </c>
      <c r="P564" s="88">
        <f t="shared" si="453"/>
        <v>25.414625000000001</v>
      </c>
      <c r="Q564" s="86">
        <f t="shared" si="459"/>
        <v>-1.0729999999981032E-3</v>
      </c>
      <c r="R564" s="84">
        <f t="shared" si="460"/>
        <v>-4.22180024329099E-5</v>
      </c>
      <c r="S564" s="85">
        <f t="shared" si="454"/>
        <v>2.1825810007028636E-2</v>
      </c>
      <c r="T564" s="85">
        <f t="shared" si="455"/>
        <v>1</v>
      </c>
      <c r="U564" s="122"/>
      <c r="V564" s="123"/>
    </row>
    <row r="565" spans="1:22" ht="13.5" hidden="1" customHeight="1" outlineLevel="1">
      <c r="A565" s="1104" t="s">
        <v>1667</v>
      </c>
      <c r="B565" s="86">
        <f>INDEX(Data!2227:2227,1,$U$1-2)/1000000</f>
        <v>18.02065</v>
      </c>
      <c r="C565" s="87">
        <f>INDEX(Data!2227:2227,1,$U$1-1)/1000000</f>
        <v>18.02065</v>
      </c>
      <c r="D565" s="88">
        <f t="shared" ref="D565" si="461">B565+C565</f>
        <v>36.0413</v>
      </c>
      <c r="E565" s="89">
        <f>INDEX(Data!2227:2227,1,$U$1)/1000000</f>
        <v>18.019712999999999</v>
      </c>
      <c r="F565" s="90">
        <f>INDEX(Data!2227:2227,1,$U$1+1)/1000000</f>
        <v>18.020350000000001</v>
      </c>
      <c r="G565" s="88">
        <f t="shared" ref="G565" si="462">E565+F565</f>
        <v>36.040063000000004</v>
      </c>
      <c r="H565" s="86">
        <f t="shared" ref="H565" si="463">G565-D565</f>
        <v>-1.2369999999961578E-3</v>
      </c>
      <c r="I565" s="84">
        <f t="shared" ref="I565" si="464">IFERROR(H565/D565,"")</f>
        <v>-3.4321736452241122E-5</v>
      </c>
      <c r="J565" s="412">
        <f t="shared" ref="J565" si="465">IFERROR(G565/G$456,"")</f>
        <v>3.0950823302698448E-2</v>
      </c>
      <c r="K565" s="91">
        <f t="shared" ref="K565" si="466">B565</f>
        <v>18.02065</v>
      </c>
      <c r="L565" s="87">
        <f t="shared" ref="L565" si="467">C565</f>
        <v>18.02065</v>
      </c>
      <c r="M565" s="88">
        <f t="shared" ref="M565" si="468">K565+L565</f>
        <v>36.0413</v>
      </c>
      <c r="N565" s="89">
        <f t="shared" ref="N565" si="469">E565</f>
        <v>18.019712999999999</v>
      </c>
      <c r="O565" s="90">
        <f t="shared" ref="O565" si="470">F565</f>
        <v>18.020350000000001</v>
      </c>
      <c r="P565" s="88">
        <f t="shared" ref="P565" si="471">N565+O565</f>
        <v>36.040063000000004</v>
      </c>
      <c r="Q565" s="86">
        <f t="shared" ref="Q565" si="472">P565-M565</f>
        <v>-1.2369999999961578E-3</v>
      </c>
      <c r="R565" s="84">
        <f t="shared" ref="R565" si="473">IFERROR(Q565/M565,"")</f>
        <v>-3.4321736452241122E-5</v>
      </c>
      <c r="S565" s="85">
        <f t="shared" ref="S565" si="474">IFERROR(P565/P$456,"")</f>
        <v>3.0950823302698448E-2</v>
      </c>
      <c r="T565" s="85">
        <f t="shared" ref="T565" si="475">IFERROR(P565/G565,"")</f>
        <v>1</v>
      </c>
      <c r="U565" s="122"/>
      <c r="V565" s="123"/>
    </row>
    <row r="566" spans="1:22" hidden="1" outlineLevel="1">
      <c r="A566" s="79" t="s">
        <v>1356</v>
      </c>
      <c r="B566" s="86">
        <f>INDEX(Data!2228:2228,1,$U$1-2)/1000000</f>
        <v>0</v>
      </c>
      <c r="C566" s="87">
        <f>INDEX(Data!2228:2228,1,$U$1-1)/1000000</f>
        <v>0</v>
      </c>
      <c r="D566" s="88">
        <f t="shared" si="448"/>
        <v>0</v>
      </c>
      <c r="E566" s="89">
        <f>INDEX(Data!2228:2228,1,$U$1)/1000000</f>
        <v>0</v>
      </c>
      <c r="F566" s="90">
        <f>INDEX(Data!2228:2228,1,$U$1+1)/1000000</f>
        <v>0</v>
      </c>
      <c r="G566" s="88">
        <f t="shared" si="449"/>
        <v>0</v>
      </c>
      <c r="H566" s="86">
        <f t="shared" si="456"/>
        <v>0</v>
      </c>
      <c r="I566" s="84" t="str">
        <f t="shared" si="457"/>
        <v/>
      </c>
      <c r="J566" s="412">
        <f t="shared" si="458"/>
        <v>0</v>
      </c>
      <c r="K566" s="91">
        <f t="shared" si="450"/>
        <v>0</v>
      </c>
      <c r="L566" s="87">
        <f t="shared" si="450"/>
        <v>0</v>
      </c>
      <c r="M566" s="88">
        <f t="shared" si="451"/>
        <v>0</v>
      </c>
      <c r="N566" s="89">
        <f t="shared" si="452"/>
        <v>0</v>
      </c>
      <c r="O566" s="90">
        <f t="shared" si="452"/>
        <v>0</v>
      </c>
      <c r="P566" s="88">
        <f t="shared" si="453"/>
        <v>0</v>
      </c>
      <c r="Q566" s="86">
        <f t="shared" si="459"/>
        <v>0</v>
      </c>
      <c r="R566" s="84" t="str">
        <f t="shared" si="460"/>
        <v/>
      </c>
      <c r="S566" s="85">
        <f t="shared" si="454"/>
        <v>0</v>
      </c>
      <c r="T566" s="85" t="str">
        <f t="shared" si="455"/>
        <v/>
      </c>
      <c r="U566" s="122"/>
      <c r="V566" s="123"/>
    </row>
    <row r="567" spans="1:22" hidden="1" outlineLevel="1">
      <c r="A567" s="79" t="s">
        <v>1357</v>
      </c>
      <c r="B567" s="86">
        <f>INDEX(Data!2229:2229,1,$U$1-2)/1000000</f>
        <v>0</v>
      </c>
      <c r="C567" s="87">
        <f>INDEX(Data!2229:2229,1,$U$1-1)/1000000</f>
        <v>0</v>
      </c>
      <c r="D567" s="88">
        <f t="shared" si="448"/>
        <v>0</v>
      </c>
      <c r="E567" s="89">
        <f>INDEX(Data!2229:2229,1,$U$1)/1000000</f>
        <v>0</v>
      </c>
      <c r="F567" s="90">
        <f>INDEX(Data!2229:2229,1,$U$1+1)/1000000</f>
        <v>0</v>
      </c>
      <c r="G567" s="88">
        <f t="shared" si="449"/>
        <v>0</v>
      </c>
      <c r="H567" s="86">
        <f t="shared" si="456"/>
        <v>0</v>
      </c>
      <c r="I567" s="84" t="str">
        <f t="shared" si="457"/>
        <v/>
      </c>
      <c r="J567" s="412">
        <f t="shared" si="458"/>
        <v>0</v>
      </c>
      <c r="K567" s="91">
        <f t="shared" si="450"/>
        <v>0</v>
      </c>
      <c r="L567" s="87">
        <f t="shared" si="450"/>
        <v>0</v>
      </c>
      <c r="M567" s="88">
        <f t="shared" si="451"/>
        <v>0</v>
      </c>
      <c r="N567" s="89">
        <f t="shared" si="452"/>
        <v>0</v>
      </c>
      <c r="O567" s="90">
        <f t="shared" si="452"/>
        <v>0</v>
      </c>
      <c r="P567" s="88">
        <f t="shared" si="453"/>
        <v>0</v>
      </c>
      <c r="Q567" s="86">
        <f t="shared" si="459"/>
        <v>0</v>
      </c>
      <c r="R567" s="84" t="str">
        <f t="shared" si="460"/>
        <v/>
      </c>
      <c r="S567" s="85">
        <f t="shared" si="454"/>
        <v>0</v>
      </c>
      <c r="T567" s="85" t="str">
        <f t="shared" si="455"/>
        <v/>
      </c>
      <c r="U567" s="122"/>
      <c r="V567" s="121"/>
    </row>
    <row r="568" spans="1:22" ht="25.5" hidden="1" outlineLevel="1">
      <c r="A568" s="79" t="s">
        <v>1358</v>
      </c>
      <c r="B568" s="86">
        <f>INDEX(Data!2230:2230,1,$U$1-2)/1000000</f>
        <v>12.186356999999999</v>
      </c>
      <c r="C568" s="87">
        <f>INDEX(Data!2230:2230,1,$U$1-1)/1000000</f>
        <v>12.186356999999999</v>
      </c>
      <c r="D568" s="88">
        <f t="shared" si="448"/>
        <v>24.372713999999998</v>
      </c>
      <c r="E568" s="89">
        <f>INDEX(Data!2230:2230,1,$U$1)/1000000</f>
        <v>12.185988</v>
      </c>
      <c r="F568" s="90">
        <f>INDEX(Data!2230:2230,1,$U$1+1)/1000000</f>
        <v>12.18605</v>
      </c>
      <c r="G568" s="88">
        <f t="shared" si="449"/>
        <v>24.372038</v>
      </c>
      <c r="H568" s="86">
        <f t="shared" si="456"/>
        <v>-6.7599999999856664E-4</v>
      </c>
      <c r="I568" s="84">
        <f t="shared" si="457"/>
        <v>-2.7735934537227438E-5</v>
      </c>
      <c r="J568" s="412">
        <f t="shared" si="458"/>
        <v>2.0930447365329299E-2</v>
      </c>
      <c r="K568" s="91">
        <f t="shared" si="450"/>
        <v>12.186356999999999</v>
      </c>
      <c r="L568" s="87">
        <f t="shared" si="450"/>
        <v>12.186356999999999</v>
      </c>
      <c r="M568" s="88">
        <f t="shared" si="451"/>
        <v>24.372713999999998</v>
      </c>
      <c r="N568" s="89">
        <f t="shared" si="452"/>
        <v>12.185988</v>
      </c>
      <c r="O568" s="90">
        <f t="shared" si="452"/>
        <v>12.18605</v>
      </c>
      <c r="P568" s="88">
        <f t="shared" si="453"/>
        <v>24.372038</v>
      </c>
      <c r="Q568" s="86">
        <f t="shared" si="459"/>
        <v>-6.7599999999856664E-4</v>
      </c>
      <c r="R568" s="84">
        <f t="shared" si="460"/>
        <v>-2.7735934537227438E-5</v>
      </c>
      <c r="S568" s="85">
        <f t="shared" si="454"/>
        <v>2.0930447365329299E-2</v>
      </c>
      <c r="T568" s="85">
        <f t="shared" si="455"/>
        <v>1</v>
      </c>
      <c r="U568" s="122"/>
      <c r="V568" s="121"/>
    </row>
    <row r="569" spans="1:22" hidden="1" outlineLevel="1">
      <c r="A569" s="79" t="s">
        <v>757</v>
      </c>
      <c r="B569" s="86">
        <f>INDEX(Data!2231:2231,1,$U$1-2)/1000000</f>
        <v>16.641173999999999</v>
      </c>
      <c r="C569" s="87">
        <f>INDEX(Data!2231:2231,1,$U$1-1)/1000000</f>
        <v>16.641173999999999</v>
      </c>
      <c r="D569" s="88">
        <f t="shared" si="448"/>
        <v>33.282347999999999</v>
      </c>
      <c r="E569" s="89">
        <f>INDEX(Data!2231:2231,1,$U$1)/1000000</f>
        <v>16.640763</v>
      </c>
      <c r="F569" s="90">
        <f>INDEX(Data!2231:2231,1,$U$1+1)/1000000</f>
        <v>16.640999999999998</v>
      </c>
      <c r="G569" s="88">
        <f t="shared" si="449"/>
        <v>33.281762999999998</v>
      </c>
      <c r="H569" s="86">
        <f t="shared" si="456"/>
        <v>-5.8500000000094587E-4</v>
      </c>
      <c r="I569" s="84">
        <f t="shared" si="457"/>
        <v>-1.7576884900096167E-5</v>
      </c>
      <c r="J569" s="412">
        <f t="shared" si="458"/>
        <v>2.8582024560148158E-2</v>
      </c>
      <c r="K569" s="91">
        <f t="shared" si="450"/>
        <v>16.641173999999999</v>
      </c>
      <c r="L569" s="87">
        <f t="shared" si="450"/>
        <v>16.641173999999999</v>
      </c>
      <c r="M569" s="88">
        <f t="shared" si="451"/>
        <v>33.282347999999999</v>
      </c>
      <c r="N569" s="89">
        <f t="shared" si="452"/>
        <v>16.640763</v>
      </c>
      <c r="O569" s="90">
        <f t="shared" si="452"/>
        <v>16.640999999999998</v>
      </c>
      <c r="P569" s="88">
        <f t="shared" si="453"/>
        <v>33.281762999999998</v>
      </c>
      <c r="Q569" s="86">
        <f t="shared" si="459"/>
        <v>-5.8500000000094587E-4</v>
      </c>
      <c r="R569" s="84">
        <f t="shared" si="460"/>
        <v>-1.7576884900096167E-5</v>
      </c>
      <c r="S569" s="85">
        <f t="shared" si="454"/>
        <v>2.8582024560148158E-2</v>
      </c>
      <c r="T569" s="85">
        <f t="shared" si="455"/>
        <v>1</v>
      </c>
      <c r="U569" s="122"/>
      <c r="V569" s="121"/>
    </row>
    <row r="570" spans="1:22" hidden="1" outlineLevel="1">
      <c r="A570" s="79" t="s">
        <v>1359</v>
      </c>
      <c r="B570" s="86">
        <f>INDEX(Data!2232:2232,1,$U$1-2)/1000000</f>
        <v>9.8699549999999991</v>
      </c>
      <c r="C570" s="87">
        <f>INDEX(Data!2232:2232,1,$U$1-1)/1000000</f>
        <v>9.8699549999999991</v>
      </c>
      <c r="D570" s="88">
        <f t="shared" si="448"/>
        <v>19.739909999999998</v>
      </c>
      <c r="E570" s="89">
        <f>INDEX(Data!2232:2232,1,$U$1)/1000000</f>
        <v>9.8698499999999996</v>
      </c>
      <c r="F570" s="90">
        <f>INDEX(Data!2232:2232,1,$U$1+1)/1000000</f>
        <v>9.8698999999999995</v>
      </c>
      <c r="G570" s="88">
        <f t="shared" si="449"/>
        <v>19.739750000000001</v>
      </c>
      <c r="H570" s="86">
        <f t="shared" si="456"/>
        <v>-1.5999999999749548E-4</v>
      </c>
      <c r="I570" s="84">
        <f t="shared" si="457"/>
        <v>-8.1054067621126682E-6</v>
      </c>
      <c r="J570" s="412">
        <f t="shared" si="458"/>
        <v>1.6952287633055514E-2</v>
      </c>
      <c r="K570" s="91">
        <f t="shared" si="450"/>
        <v>9.8699549999999991</v>
      </c>
      <c r="L570" s="87">
        <f t="shared" si="450"/>
        <v>9.8699549999999991</v>
      </c>
      <c r="M570" s="88">
        <f t="shared" si="451"/>
        <v>19.739909999999998</v>
      </c>
      <c r="N570" s="89">
        <f t="shared" si="452"/>
        <v>9.8698499999999996</v>
      </c>
      <c r="O570" s="90">
        <f t="shared" si="452"/>
        <v>9.8698999999999995</v>
      </c>
      <c r="P570" s="88">
        <f t="shared" si="453"/>
        <v>19.739750000000001</v>
      </c>
      <c r="Q570" s="86">
        <f t="shared" si="459"/>
        <v>-1.5999999999749548E-4</v>
      </c>
      <c r="R570" s="84">
        <f t="shared" si="460"/>
        <v>-8.1054067621126682E-6</v>
      </c>
      <c r="S570" s="85">
        <f t="shared" si="454"/>
        <v>1.6952287633055514E-2</v>
      </c>
      <c r="T570" s="85">
        <f t="shared" si="455"/>
        <v>1</v>
      </c>
      <c r="U570" s="122"/>
      <c r="V570" s="121"/>
    </row>
    <row r="571" spans="1:22" hidden="1" outlineLevel="1">
      <c r="A571" s="79" t="s">
        <v>41</v>
      </c>
      <c r="B571" s="86">
        <f>INDEX(Data!2234:2234,1,$U$1-2)/1000000</f>
        <v>8.3807950000000009</v>
      </c>
      <c r="C571" s="87">
        <f>INDEX(Data!2234:2234,1,$U$1-1)/1000000</f>
        <v>8.3801100000000002</v>
      </c>
      <c r="D571" s="88">
        <f t="shared" si="448"/>
        <v>16.760905000000001</v>
      </c>
      <c r="E571" s="89">
        <f>INDEX(Data!2234:2234,1,$U$1)/1000000</f>
        <v>8.2882250000000006</v>
      </c>
      <c r="F571" s="90">
        <f>INDEX(Data!2234:2234,1,$U$1+1)/1000000</f>
        <v>8.2675859999999997</v>
      </c>
      <c r="G571" s="88">
        <f t="shared" si="449"/>
        <v>16.555810999999999</v>
      </c>
      <c r="H571" s="86">
        <f t="shared" si="456"/>
        <v>-0.20509400000000255</v>
      </c>
      <c r="I571" s="84">
        <f t="shared" si="457"/>
        <v>-1.2236451432664438E-2</v>
      </c>
      <c r="J571" s="412">
        <f t="shared" si="458"/>
        <v>1.4217954638255521E-2</v>
      </c>
      <c r="K571" s="91">
        <f t="shared" si="450"/>
        <v>8.3807950000000009</v>
      </c>
      <c r="L571" s="87">
        <f t="shared" si="450"/>
        <v>8.3801100000000002</v>
      </c>
      <c r="M571" s="88">
        <f t="shared" si="451"/>
        <v>16.760905000000001</v>
      </c>
      <c r="N571" s="89">
        <f t="shared" si="452"/>
        <v>8.2882250000000006</v>
      </c>
      <c r="O571" s="90">
        <f t="shared" si="452"/>
        <v>8.2675859999999997</v>
      </c>
      <c r="P571" s="88">
        <f t="shared" si="453"/>
        <v>16.555810999999999</v>
      </c>
      <c r="Q571" s="86">
        <f t="shared" si="459"/>
        <v>-0.20509400000000255</v>
      </c>
      <c r="R571" s="84">
        <f t="shared" si="460"/>
        <v>-1.2236451432664438E-2</v>
      </c>
      <c r="S571" s="85">
        <f t="shared" si="454"/>
        <v>1.4217954638255521E-2</v>
      </c>
      <c r="T571" s="85">
        <f t="shared" si="455"/>
        <v>1</v>
      </c>
      <c r="U571" s="122"/>
      <c r="V571" s="121"/>
    </row>
    <row r="572" spans="1:22" hidden="1" outlineLevel="1">
      <c r="A572" s="79" t="s">
        <v>876</v>
      </c>
      <c r="B572" s="86">
        <f>INDEX(Data!2235:2235,1,$U$1-2)/1000000</f>
        <v>8.4150449999999992</v>
      </c>
      <c r="C572" s="87">
        <f>INDEX(Data!2235:2235,1,$U$1-1)/1000000</f>
        <v>8.4251740000000002</v>
      </c>
      <c r="D572" s="88">
        <f t="shared" si="448"/>
        <v>16.840218999999998</v>
      </c>
      <c r="E572" s="89">
        <f>INDEX(Data!2235:2235,1,$U$1)/1000000</f>
        <v>8.2777360000000009</v>
      </c>
      <c r="F572" s="90">
        <f>INDEX(Data!2235:2235,1,$U$1+1)/1000000</f>
        <v>8.2641430000000007</v>
      </c>
      <c r="G572" s="88">
        <f t="shared" si="449"/>
        <v>16.541879000000002</v>
      </c>
      <c r="H572" s="86">
        <f t="shared" si="456"/>
        <v>-0.29833999999999605</v>
      </c>
      <c r="I572" s="84">
        <f t="shared" si="457"/>
        <v>-1.7715921627859833E-2</v>
      </c>
      <c r="J572" s="412">
        <f t="shared" si="458"/>
        <v>1.4205989984635101E-2</v>
      </c>
      <c r="K572" s="91">
        <f t="shared" si="450"/>
        <v>8.4150449999999992</v>
      </c>
      <c r="L572" s="87">
        <f t="shared" si="450"/>
        <v>8.4251740000000002</v>
      </c>
      <c r="M572" s="88">
        <f t="shared" si="451"/>
        <v>16.840218999999998</v>
      </c>
      <c r="N572" s="89">
        <f t="shared" si="452"/>
        <v>8.2777360000000009</v>
      </c>
      <c r="O572" s="90">
        <f t="shared" si="452"/>
        <v>8.2641430000000007</v>
      </c>
      <c r="P572" s="88">
        <f t="shared" si="453"/>
        <v>16.541879000000002</v>
      </c>
      <c r="Q572" s="86">
        <f t="shared" si="459"/>
        <v>-0.29833999999999605</v>
      </c>
      <c r="R572" s="84">
        <f t="shared" si="460"/>
        <v>-1.7715921627859833E-2</v>
      </c>
      <c r="S572" s="85">
        <f t="shared" si="454"/>
        <v>1.4205989984635101E-2</v>
      </c>
      <c r="T572" s="85">
        <f t="shared" si="455"/>
        <v>1</v>
      </c>
      <c r="U572" s="122"/>
      <c r="V572" s="121"/>
    </row>
    <row r="573" spans="1:22" hidden="1" outlineLevel="1">
      <c r="A573" s="79" t="s">
        <v>750</v>
      </c>
      <c r="B573" s="86">
        <f>INDEX(Data!2236:2236,1,$U$1-2)/1000000</f>
        <v>6.6664269999999997</v>
      </c>
      <c r="C573" s="87">
        <f>INDEX(Data!2236:2236,1,$U$1-1)/1000000</f>
        <v>6.6693809999999996</v>
      </c>
      <c r="D573" s="88">
        <f t="shared" si="448"/>
        <v>13.335808</v>
      </c>
      <c r="E573" s="89">
        <f>INDEX(Data!2236:2236,1,$U$1)/1000000</f>
        <v>6.6740159999999999</v>
      </c>
      <c r="F573" s="90">
        <f>INDEX(Data!2236:2236,1,$U$1+1)/1000000</f>
        <v>6.6657339999999996</v>
      </c>
      <c r="G573" s="88">
        <f t="shared" si="449"/>
        <v>13.339749999999999</v>
      </c>
      <c r="H573" s="86">
        <f t="shared" si="456"/>
        <v>3.9419999999985578E-3</v>
      </c>
      <c r="I573" s="84">
        <f t="shared" si="457"/>
        <v>2.9559513754236395E-4</v>
      </c>
      <c r="J573" s="412">
        <f t="shared" si="458"/>
        <v>1.1456035611041289E-2</v>
      </c>
      <c r="K573" s="91">
        <f t="shared" si="450"/>
        <v>6.6664269999999997</v>
      </c>
      <c r="L573" s="87">
        <f t="shared" si="450"/>
        <v>6.6693809999999996</v>
      </c>
      <c r="M573" s="88">
        <f t="shared" si="451"/>
        <v>13.335808</v>
      </c>
      <c r="N573" s="89">
        <f t="shared" si="452"/>
        <v>6.6740159999999999</v>
      </c>
      <c r="O573" s="90">
        <f t="shared" si="452"/>
        <v>6.6657339999999996</v>
      </c>
      <c r="P573" s="88">
        <f t="shared" si="453"/>
        <v>13.339749999999999</v>
      </c>
      <c r="Q573" s="86">
        <f t="shared" si="459"/>
        <v>3.9419999999985578E-3</v>
      </c>
      <c r="R573" s="84">
        <f t="shared" si="460"/>
        <v>2.9559513754236395E-4</v>
      </c>
      <c r="S573" s="85">
        <f t="shared" si="454"/>
        <v>1.1456035611041289E-2</v>
      </c>
      <c r="T573" s="85">
        <f t="shared" si="455"/>
        <v>1</v>
      </c>
      <c r="U573" s="122"/>
      <c r="V573" s="121"/>
    </row>
    <row r="574" spans="1:22" hidden="1" outlineLevel="1">
      <c r="A574" s="79" t="s">
        <v>1209</v>
      </c>
      <c r="B574" s="86">
        <f>INDEX(Data!2237:2237,1,$U$1-2)/1000000</f>
        <v>10.793405999999999</v>
      </c>
      <c r="C574" s="87">
        <f>INDEX(Data!2237:2237,1,$U$1-1)/1000000</f>
        <v>10.792006000000001</v>
      </c>
      <c r="D574" s="88">
        <f t="shared" si="448"/>
        <v>21.585411999999998</v>
      </c>
      <c r="E574" s="89">
        <f>INDEX(Data!2237:2237,1,$U$1)/1000000</f>
        <v>10.736876000000001</v>
      </c>
      <c r="F574" s="90">
        <f>INDEX(Data!2237:2237,1,$U$1+1)/1000000</f>
        <v>10.730764000000001</v>
      </c>
      <c r="G574" s="88">
        <f t="shared" si="449"/>
        <v>21.467640000000003</v>
      </c>
      <c r="H574" s="86">
        <f t="shared" si="456"/>
        <v>-0.1177719999999951</v>
      </c>
      <c r="I574" s="84">
        <f t="shared" si="457"/>
        <v>-5.4560922904781763E-3</v>
      </c>
      <c r="J574" s="412">
        <f t="shared" si="458"/>
        <v>1.8436181212167731E-2</v>
      </c>
      <c r="K574" s="91">
        <f t="shared" si="450"/>
        <v>10.793405999999999</v>
      </c>
      <c r="L574" s="87">
        <f t="shared" si="450"/>
        <v>10.792006000000001</v>
      </c>
      <c r="M574" s="88">
        <f t="shared" si="451"/>
        <v>21.585411999999998</v>
      </c>
      <c r="N574" s="89">
        <f t="shared" si="452"/>
        <v>10.736876000000001</v>
      </c>
      <c r="O574" s="90">
        <f t="shared" si="452"/>
        <v>10.730764000000001</v>
      </c>
      <c r="P574" s="88">
        <f t="shared" si="453"/>
        <v>21.467640000000003</v>
      </c>
      <c r="Q574" s="86">
        <f t="shared" si="459"/>
        <v>-0.1177719999999951</v>
      </c>
      <c r="R574" s="84">
        <f t="shared" si="460"/>
        <v>-5.4560922904781763E-3</v>
      </c>
      <c r="S574" s="85">
        <f t="shared" si="454"/>
        <v>1.8436181212167731E-2</v>
      </c>
      <c r="T574" s="85">
        <f t="shared" si="455"/>
        <v>1</v>
      </c>
      <c r="U574" s="122"/>
      <c r="V574" s="121"/>
    </row>
    <row r="575" spans="1:22" hidden="1" outlineLevel="1">
      <c r="A575" s="79" t="s">
        <v>1210</v>
      </c>
      <c r="B575" s="86">
        <f>INDEX(Data!2238:2238,1,$U$1-2)/1000000</f>
        <v>4.5373840000000003</v>
      </c>
      <c r="C575" s="87">
        <f>INDEX(Data!2238:2238,1,$U$1-1)/1000000</f>
        <v>4.5361339999999997</v>
      </c>
      <c r="D575" s="88">
        <f t="shared" si="448"/>
        <v>9.073518</v>
      </c>
      <c r="E575" s="89">
        <f>INDEX(Data!2238:2238,1,$U$1)/1000000</f>
        <v>4.5429899999999996</v>
      </c>
      <c r="F575" s="90">
        <f>INDEX(Data!2238:2238,1,$U$1+1)/1000000</f>
        <v>4.5390610000000002</v>
      </c>
      <c r="G575" s="88">
        <f t="shared" si="449"/>
        <v>9.0820509999999999</v>
      </c>
      <c r="H575" s="86">
        <f t="shared" si="456"/>
        <v>8.5329999999999018E-3</v>
      </c>
      <c r="I575" s="84">
        <f t="shared" si="457"/>
        <v>9.4042905959958439E-4</v>
      </c>
      <c r="J575" s="412">
        <f t="shared" si="458"/>
        <v>7.7995689332478616E-3</v>
      </c>
      <c r="K575" s="91">
        <f t="shared" si="450"/>
        <v>4.5373840000000003</v>
      </c>
      <c r="L575" s="87">
        <f t="shared" si="450"/>
        <v>4.5361339999999997</v>
      </c>
      <c r="M575" s="88">
        <f t="shared" si="451"/>
        <v>9.073518</v>
      </c>
      <c r="N575" s="89">
        <f t="shared" si="452"/>
        <v>4.5429899999999996</v>
      </c>
      <c r="O575" s="90">
        <f t="shared" si="452"/>
        <v>4.5390610000000002</v>
      </c>
      <c r="P575" s="88">
        <f t="shared" si="453"/>
        <v>9.0820509999999999</v>
      </c>
      <c r="Q575" s="86">
        <f t="shared" si="459"/>
        <v>8.5329999999999018E-3</v>
      </c>
      <c r="R575" s="84">
        <f t="shared" si="460"/>
        <v>9.4042905959958439E-4</v>
      </c>
      <c r="S575" s="85">
        <f t="shared" si="454"/>
        <v>7.7995689332478616E-3</v>
      </c>
      <c r="T575" s="85">
        <f t="shared" si="455"/>
        <v>1</v>
      </c>
      <c r="U575" s="122"/>
      <c r="V575" s="121"/>
    </row>
    <row r="576" spans="1:22" hidden="1" outlineLevel="1">
      <c r="A576" s="79" t="s">
        <v>1211</v>
      </c>
      <c r="B576" s="86">
        <f>INDEX(Data!2239:2239,1,$U$1-2)/1000000</f>
        <v>10.010555999999999</v>
      </c>
      <c r="C576" s="87">
        <f>INDEX(Data!2239:2239,1,$U$1-1)/1000000</f>
        <v>10.01225</v>
      </c>
      <c r="D576" s="88">
        <f t="shared" si="448"/>
        <v>20.022805999999999</v>
      </c>
      <c r="E576" s="89">
        <f>INDEX(Data!2239:2239,1,$U$1)/1000000</f>
        <v>9.8967939999999999</v>
      </c>
      <c r="F576" s="90">
        <f>INDEX(Data!2239:2239,1,$U$1+1)/1000000</f>
        <v>9.8701349999999994</v>
      </c>
      <c r="G576" s="88">
        <f t="shared" si="449"/>
        <v>19.766928999999998</v>
      </c>
      <c r="H576" s="86">
        <f t="shared" si="456"/>
        <v>-0.25587700000000169</v>
      </c>
      <c r="I576" s="84">
        <f t="shared" si="457"/>
        <v>-1.2779277789536676E-2</v>
      </c>
      <c r="J576" s="412">
        <f t="shared" si="458"/>
        <v>1.6975628669572126E-2</v>
      </c>
      <c r="K576" s="91">
        <f t="shared" si="450"/>
        <v>10.010555999999999</v>
      </c>
      <c r="L576" s="87">
        <f t="shared" si="450"/>
        <v>10.01225</v>
      </c>
      <c r="M576" s="88">
        <f t="shared" si="451"/>
        <v>20.022805999999999</v>
      </c>
      <c r="N576" s="89">
        <f t="shared" si="452"/>
        <v>9.8967939999999999</v>
      </c>
      <c r="O576" s="90">
        <f t="shared" si="452"/>
        <v>9.8701349999999994</v>
      </c>
      <c r="P576" s="88">
        <f t="shared" si="453"/>
        <v>19.766928999999998</v>
      </c>
      <c r="Q576" s="86">
        <f t="shared" si="459"/>
        <v>-0.25587700000000169</v>
      </c>
      <c r="R576" s="84">
        <f t="shared" si="460"/>
        <v>-1.2779277789536676E-2</v>
      </c>
      <c r="S576" s="85">
        <f t="shared" si="454"/>
        <v>1.6975628669572126E-2</v>
      </c>
      <c r="T576" s="85">
        <f t="shared" si="455"/>
        <v>1</v>
      </c>
      <c r="U576" s="122"/>
      <c r="V576" s="121"/>
    </row>
    <row r="577" spans="1:22" hidden="1" outlineLevel="1">
      <c r="A577" s="79" t="s">
        <v>1212</v>
      </c>
      <c r="B577" s="86">
        <f>INDEX(Data!2240:2240,1,$U$1-2)/1000000</f>
        <v>6.6163610000000004</v>
      </c>
      <c r="C577" s="87">
        <f>INDEX(Data!2240:2240,1,$U$1-1)/1000000</f>
        <v>6.6199589999999997</v>
      </c>
      <c r="D577" s="88">
        <f t="shared" si="448"/>
        <v>13.236319999999999</v>
      </c>
      <c r="E577" s="89">
        <f>INDEX(Data!2240:2240,1,$U$1)/1000000</f>
        <v>6.597321</v>
      </c>
      <c r="F577" s="90">
        <f>INDEX(Data!2240:2240,1,$U$1+1)/1000000</f>
        <v>6.5963329999999996</v>
      </c>
      <c r="G577" s="88">
        <f t="shared" si="449"/>
        <v>13.193653999999999</v>
      </c>
      <c r="H577" s="86">
        <f t="shared" si="456"/>
        <v>-4.2666000000000537E-2</v>
      </c>
      <c r="I577" s="84">
        <f t="shared" si="457"/>
        <v>-3.2234034837477893E-3</v>
      </c>
      <c r="J577" s="412">
        <f t="shared" si="458"/>
        <v>1.133056991800876E-2</v>
      </c>
      <c r="K577" s="91">
        <f t="shared" si="450"/>
        <v>6.6163610000000004</v>
      </c>
      <c r="L577" s="87">
        <f t="shared" si="450"/>
        <v>6.6199589999999997</v>
      </c>
      <c r="M577" s="88">
        <f t="shared" si="451"/>
        <v>13.236319999999999</v>
      </c>
      <c r="N577" s="89">
        <f t="shared" si="452"/>
        <v>6.597321</v>
      </c>
      <c r="O577" s="90">
        <f t="shared" si="452"/>
        <v>6.5963329999999996</v>
      </c>
      <c r="P577" s="88">
        <f t="shared" si="453"/>
        <v>13.193653999999999</v>
      </c>
      <c r="Q577" s="86">
        <f t="shared" si="459"/>
        <v>-4.2666000000000537E-2</v>
      </c>
      <c r="R577" s="84">
        <f t="shared" si="460"/>
        <v>-3.2234034837477893E-3</v>
      </c>
      <c r="S577" s="85">
        <f t="shared" si="454"/>
        <v>1.133056991800876E-2</v>
      </c>
      <c r="T577" s="85">
        <f t="shared" si="455"/>
        <v>1</v>
      </c>
      <c r="U577" s="122"/>
      <c r="V577" s="121"/>
    </row>
    <row r="578" spans="1:22" hidden="1" outlineLevel="1">
      <c r="A578" s="79" t="s">
        <v>1213</v>
      </c>
      <c r="B578" s="86">
        <f>INDEX(Data!2241:2241,1,$U$1-2)/1000000</f>
        <v>7.6899709999999999</v>
      </c>
      <c r="C578" s="87">
        <f>INDEX(Data!2241:2241,1,$U$1-1)/1000000</f>
        <v>7.6907209999999999</v>
      </c>
      <c r="D578" s="88">
        <f t="shared" si="448"/>
        <v>15.380692</v>
      </c>
      <c r="E578" s="89">
        <f>INDEX(Data!2241:2241,1,$U$1)/1000000</f>
        <v>7.6872490000000004</v>
      </c>
      <c r="F578" s="90">
        <f>INDEX(Data!2241:2241,1,$U$1+1)/1000000</f>
        <v>7.6906420000000004</v>
      </c>
      <c r="G578" s="88">
        <f t="shared" si="449"/>
        <v>15.377891000000002</v>
      </c>
      <c r="H578" s="86">
        <f t="shared" si="456"/>
        <v>-2.800999999998055E-3</v>
      </c>
      <c r="I578" s="84">
        <f t="shared" si="457"/>
        <v>-1.8211144205982767E-4</v>
      </c>
      <c r="J578" s="412">
        <f t="shared" si="458"/>
        <v>1.3206369453603806E-2</v>
      </c>
      <c r="K578" s="91">
        <f t="shared" si="450"/>
        <v>7.6899709999999999</v>
      </c>
      <c r="L578" s="87">
        <f t="shared" si="450"/>
        <v>7.6907209999999999</v>
      </c>
      <c r="M578" s="88">
        <f t="shared" si="451"/>
        <v>15.380692</v>
      </c>
      <c r="N578" s="89">
        <f t="shared" si="452"/>
        <v>7.6872490000000004</v>
      </c>
      <c r="O578" s="90">
        <f t="shared" si="452"/>
        <v>7.6906420000000004</v>
      </c>
      <c r="P578" s="88">
        <f t="shared" si="453"/>
        <v>15.377891000000002</v>
      </c>
      <c r="Q578" s="86">
        <f t="shared" si="459"/>
        <v>-2.800999999998055E-3</v>
      </c>
      <c r="R578" s="84">
        <f t="shared" si="460"/>
        <v>-1.8211144205982767E-4</v>
      </c>
      <c r="S578" s="85">
        <f t="shared" si="454"/>
        <v>1.3206369453603806E-2</v>
      </c>
      <c r="T578" s="85">
        <f t="shared" si="455"/>
        <v>1</v>
      </c>
      <c r="U578" s="122"/>
      <c r="V578" s="121"/>
    </row>
    <row r="579" spans="1:22" hidden="1" outlineLevel="1">
      <c r="A579" s="79" t="s">
        <v>861</v>
      </c>
      <c r="B579" s="86">
        <f>INDEX(Data!2242:2242,1,$U$1-2)/1000000</f>
        <v>8.6600909999999995</v>
      </c>
      <c r="C579" s="87">
        <f>INDEX(Data!2242:2242,1,$U$1-1)/1000000</f>
        <v>8.6567670000000003</v>
      </c>
      <c r="D579" s="88">
        <f t="shared" si="448"/>
        <v>17.316858</v>
      </c>
      <c r="E579" s="89">
        <f>INDEX(Data!2242:2242,1,$U$1)/1000000</f>
        <v>8.5912430000000004</v>
      </c>
      <c r="F579" s="90">
        <f>INDEX(Data!2242:2242,1,$U$1+1)/1000000</f>
        <v>8.5755870000000005</v>
      </c>
      <c r="G579" s="88">
        <f t="shared" si="449"/>
        <v>17.166830000000001</v>
      </c>
      <c r="H579" s="86">
        <f t="shared" si="456"/>
        <v>-0.15002799999999894</v>
      </c>
      <c r="I579" s="84">
        <f t="shared" si="457"/>
        <v>-8.6636963818724471E-3</v>
      </c>
      <c r="J579" s="412">
        <f t="shared" si="458"/>
        <v>1.4742691265480385E-2</v>
      </c>
      <c r="K579" s="91">
        <f t="shared" si="450"/>
        <v>8.6600909999999995</v>
      </c>
      <c r="L579" s="87">
        <f t="shared" si="450"/>
        <v>8.6567670000000003</v>
      </c>
      <c r="M579" s="88">
        <f t="shared" si="451"/>
        <v>17.316858</v>
      </c>
      <c r="N579" s="89">
        <f t="shared" si="452"/>
        <v>8.5912430000000004</v>
      </c>
      <c r="O579" s="90">
        <f t="shared" si="452"/>
        <v>8.5755870000000005</v>
      </c>
      <c r="P579" s="88">
        <f t="shared" si="453"/>
        <v>17.166830000000001</v>
      </c>
      <c r="Q579" s="86">
        <f t="shared" si="459"/>
        <v>-0.15002799999999894</v>
      </c>
      <c r="R579" s="84">
        <f t="shared" si="460"/>
        <v>-8.6636963818724471E-3</v>
      </c>
      <c r="S579" s="85">
        <f t="shared" si="454"/>
        <v>1.4742691265480385E-2</v>
      </c>
      <c r="T579" s="85">
        <f t="shared" si="455"/>
        <v>1</v>
      </c>
      <c r="U579" s="122"/>
      <c r="V579" s="121"/>
    </row>
    <row r="580" spans="1:22" hidden="1" outlineLevel="1">
      <c r="A580" s="79" t="s">
        <v>871</v>
      </c>
      <c r="B580" s="86">
        <f>INDEX(Data!2243:2243,1,$U$1-2)/1000000</f>
        <v>6.2799269999999998</v>
      </c>
      <c r="C580" s="87">
        <f>INDEX(Data!2243:2243,1,$U$1-1)/1000000</f>
        <v>6.2810119999999996</v>
      </c>
      <c r="D580" s="88">
        <f t="shared" si="448"/>
        <v>12.560938999999999</v>
      </c>
      <c r="E580" s="89">
        <f>INDEX(Data!2243:2243,1,$U$1)/1000000</f>
        <v>6.2282960000000003</v>
      </c>
      <c r="F580" s="90">
        <f>INDEX(Data!2243:2243,1,$U$1+1)/1000000</f>
        <v>6.2211239999999997</v>
      </c>
      <c r="G580" s="88">
        <f t="shared" si="449"/>
        <v>12.44942</v>
      </c>
      <c r="H580" s="86">
        <f t="shared" si="456"/>
        <v>-0.11151899999999948</v>
      </c>
      <c r="I580" s="84">
        <f t="shared" si="457"/>
        <v>-8.8782375266689452E-3</v>
      </c>
      <c r="J580" s="412">
        <f t="shared" si="458"/>
        <v>1.0691429663735052E-2</v>
      </c>
      <c r="K580" s="91">
        <f t="shared" si="450"/>
        <v>6.2799269999999998</v>
      </c>
      <c r="L580" s="87">
        <f t="shared" si="450"/>
        <v>6.2810119999999996</v>
      </c>
      <c r="M580" s="88">
        <f t="shared" si="451"/>
        <v>12.560938999999999</v>
      </c>
      <c r="N580" s="89">
        <f t="shared" si="452"/>
        <v>6.2282960000000003</v>
      </c>
      <c r="O580" s="90">
        <f t="shared" si="452"/>
        <v>6.2211239999999997</v>
      </c>
      <c r="P580" s="88">
        <f t="shared" si="453"/>
        <v>12.44942</v>
      </c>
      <c r="Q580" s="86">
        <f t="shared" si="459"/>
        <v>-0.11151899999999948</v>
      </c>
      <c r="R580" s="84">
        <f t="shared" si="460"/>
        <v>-8.8782375266689452E-3</v>
      </c>
      <c r="S580" s="85">
        <f t="shared" si="454"/>
        <v>1.0691429663735052E-2</v>
      </c>
      <c r="T580" s="85">
        <f t="shared" si="455"/>
        <v>1</v>
      </c>
      <c r="U580" s="122"/>
      <c r="V580" s="121"/>
    </row>
    <row r="581" spans="1:22" hidden="1" outlineLevel="1">
      <c r="A581" s="79" t="s">
        <v>1361</v>
      </c>
      <c r="B581" s="86">
        <f>INDEX(Data!2244:2244,1,$U$1-2)/1000000</f>
        <v>5.3579129999999999</v>
      </c>
      <c r="C581" s="87">
        <f>INDEX(Data!2244:2244,1,$U$1-1)/1000000</f>
        <v>5.3573230000000001</v>
      </c>
      <c r="D581" s="88">
        <f t="shared" si="448"/>
        <v>10.715236000000001</v>
      </c>
      <c r="E581" s="89">
        <f>INDEX(Data!2244:2244,1,$U$1)/1000000</f>
        <v>5.291817</v>
      </c>
      <c r="F581" s="90">
        <f>INDEX(Data!2244:2244,1,$U$1+1)/1000000</f>
        <v>5.2770640000000002</v>
      </c>
      <c r="G581" s="88">
        <f t="shared" si="449"/>
        <v>10.568881000000001</v>
      </c>
      <c r="H581" s="86">
        <f t="shared" si="456"/>
        <v>-0.14635499999999979</v>
      </c>
      <c r="I581" s="84">
        <f t="shared" si="457"/>
        <v>-1.36585885742507E-2</v>
      </c>
      <c r="J581" s="412">
        <f t="shared" si="458"/>
        <v>9.0764427447933959E-3</v>
      </c>
      <c r="K581" s="91">
        <f t="shared" si="450"/>
        <v>5.3579129999999999</v>
      </c>
      <c r="L581" s="87">
        <f t="shared" si="450"/>
        <v>5.3573230000000001</v>
      </c>
      <c r="M581" s="88">
        <f t="shared" si="451"/>
        <v>10.715236000000001</v>
      </c>
      <c r="N581" s="89">
        <f t="shared" si="452"/>
        <v>5.291817</v>
      </c>
      <c r="O581" s="90">
        <f t="shared" si="452"/>
        <v>5.2770640000000002</v>
      </c>
      <c r="P581" s="88">
        <f t="shared" si="453"/>
        <v>10.568881000000001</v>
      </c>
      <c r="Q581" s="86">
        <f t="shared" si="459"/>
        <v>-0.14635499999999979</v>
      </c>
      <c r="R581" s="84">
        <f t="shared" si="460"/>
        <v>-1.36585885742507E-2</v>
      </c>
      <c r="S581" s="85">
        <f t="shared" si="454"/>
        <v>9.0764427447933959E-3</v>
      </c>
      <c r="T581" s="85">
        <f t="shared" si="455"/>
        <v>1</v>
      </c>
      <c r="U581" s="122"/>
      <c r="V581" s="121"/>
    </row>
    <row r="582" spans="1:22" hidden="1" outlineLevel="1">
      <c r="A582" s="79" t="s">
        <v>1425</v>
      </c>
      <c r="B582" s="86">
        <f>INDEX(Data!2245:2245,1,$U$1-2)/1000000</f>
        <v>7.7506139999999997</v>
      </c>
      <c r="C582" s="87">
        <f>INDEX(Data!2245:2245,1,$U$1-1)/1000000</f>
        <v>7.7511409999999996</v>
      </c>
      <c r="D582" s="88">
        <f t="shared" si="448"/>
        <v>15.501754999999999</v>
      </c>
      <c r="E582" s="89">
        <f>INDEX(Data!2245:2245,1,$U$1)/1000000</f>
        <v>7.5215870000000002</v>
      </c>
      <c r="F582" s="90">
        <f>INDEX(Data!2245:2245,1,$U$1+1)/1000000</f>
        <v>7.5215899999999998</v>
      </c>
      <c r="G582" s="88">
        <f t="shared" si="449"/>
        <v>15.043177</v>
      </c>
      <c r="H582" s="86">
        <f t="shared" si="456"/>
        <v>-0.45857799999999926</v>
      </c>
      <c r="I582" s="84">
        <f t="shared" si="457"/>
        <v>-2.9582327936417477E-2</v>
      </c>
      <c r="J582" s="412">
        <f t="shared" si="458"/>
        <v>1.2918920625588732E-2</v>
      </c>
      <c r="K582" s="91">
        <f t="shared" si="450"/>
        <v>7.7506139999999997</v>
      </c>
      <c r="L582" s="87">
        <f t="shared" si="450"/>
        <v>7.7511409999999996</v>
      </c>
      <c r="M582" s="88">
        <f t="shared" si="451"/>
        <v>15.501754999999999</v>
      </c>
      <c r="N582" s="89">
        <f t="shared" si="452"/>
        <v>7.5215870000000002</v>
      </c>
      <c r="O582" s="90">
        <f t="shared" si="452"/>
        <v>7.5215899999999998</v>
      </c>
      <c r="P582" s="88">
        <f t="shared" si="453"/>
        <v>15.043177</v>
      </c>
      <c r="Q582" s="86">
        <f t="shared" si="459"/>
        <v>-0.45857799999999926</v>
      </c>
      <c r="R582" s="84">
        <f t="shared" si="460"/>
        <v>-2.9582327936417477E-2</v>
      </c>
      <c r="S582" s="85">
        <f t="shared" si="454"/>
        <v>1.2918920625588732E-2</v>
      </c>
      <c r="T582" s="85">
        <f t="shared" si="455"/>
        <v>1</v>
      </c>
      <c r="U582" s="122"/>
      <c r="V582" s="121"/>
    </row>
    <row r="583" spans="1:22" hidden="1" outlineLevel="1">
      <c r="A583" s="79" t="s">
        <v>726</v>
      </c>
      <c r="B583" s="86">
        <f>INDEX(Data!2247:2247,1,$U$1-2)/1000000</f>
        <v>17.498495999999999</v>
      </c>
      <c r="C583" s="87">
        <f>INDEX(Data!2247:2247,1,$U$1-1)/1000000</f>
        <v>16.838425000000001</v>
      </c>
      <c r="D583" s="88">
        <f t="shared" si="448"/>
        <v>34.336921000000004</v>
      </c>
      <c r="E583" s="89">
        <f>INDEX(Data!2247:2247,1,$U$1)/1000000</f>
        <v>15.452904999999999</v>
      </c>
      <c r="F583" s="90">
        <f>INDEX(Data!2247:2247,1,$U$1+1)/1000000</f>
        <v>15.474299</v>
      </c>
      <c r="G583" s="88">
        <f t="shared" si="449"/>
        <v>30.927204</v>
      </c>
      <c r="H583" s="86">
        <f t="shared" si="456"/>
        <v>-3.4097170000000041</v>
      </c>
      <c r="I583" s="84">
        <f t="shared" si="457"/>
        <v>-9.930176907824681E-2</v>
      </c>
      <c r="J583" s="412">
        <f t="shared" si="458"/>
        <v>2.6559954300038505E-2</v>
      </c>
      <c r="K583" s="91">
        <f t="shared" si="450"/>
        <v>17.498495999999999</v>
      </c>
      <c r="L583" s="87">
        <f t="shared" si="450"/>
        <v>16.838425000000001</v>
      </c>
      <c r="M583" s="88">
        <f t="shared" si="451"/>
        <v>34.336921000000004</v>
      </c>
      <c r="N583" s="89">
        <f t="shared" si="452"/>
        <v>15.452904999999999</v>
      </c>
      <c r="O583" s="90">
        <f t="shared" si="452"/>
        <v>15.474299</v>
      </c>
      <c r="P583" s="88">
        <f t="shared" si="453"/>
        <v>30.927204</v>
      </c>
      <c r="Q583" s="86">
        <f t="shared" si="459"/>
        <v>-3.4097170000000041</v>
      </c>
      <c r="R583" s="84">
        <f t="shared" si="460"/>
        <v>-9.930176907824681E-2</v>
      </c>
      <c r="S583" s="85">
        <f t="shared" si="454"/>
        <v>2.6559954300038505E-2</v>
      </c>
      <c r="T583" s="85">
        <f t="shared" si="455"/>
        <v>1</v>
      </c>
      <c r="U583" s="122"/>
      <c r="V583" s="121"/>
    </row>
    <row r="584" spans="1:22" hidden="1" outlineLevel="1">
      <c r="A584" s="79" t="s">
        <v>1363</v>
      </c>
      <c r="B584" s="86">
        <f>INDEX(Data!2248:2248,1,$U$1-2)/1000000</f>
        <v>8.4461519999999997</v>
      </c>
      <c r="C584" s="87">
        <f>INDEX(Data!2248:2248,1,$U$1-1)/1000000</f>
        <v>8.4093239999999998</v>
      </c>
      <c r="D584" s="88">
        <f t="shared" si="448"/>
        <v>16.855475999999999</v>
      </c>
      <c r="E584" s="89">
        <f>INDEX(Data!2248:2248,1,$U$1)/1000000</f>
        <v>8.1948279999999993</v>
      </c>
      <c r="F584" s="90">
        <f>INDEX(Data!2248:2248,1,$U$1+1)/1000000</f>
        <v>8.2063889999999997</v>
      </c>
      <c r="G584" s="88">
        <f t="shared" si="449"/>
        <v>16.401216999999999</v>
      </c>
      <c r="H584" s="86">
        <f t="shared" si="456"/>
        <v>-0.45425900000000041</v>
      </c>
      <c r="I584" s="84">
        <f t="shared" si="457"/>
        <v>-2.6950232672159506E-2</v>
      </c>
      <c r="J584" s="412">
        <f t="shared" si="458"/>
        <v>1.4085190953085011E-2</v>
      </c>
      <c r="K584" s="91">
        <f t="shared" si="450"/>
        <v>8.4461519999999997</v>
      </c>
      <c r="L584" s="87">
        <f t="shared" si="450"/>
        <v>8.4093239999999998</v>
      </c>
      <c r="M584" s="88">
        <f t="shared" si="451"/>
        <v>16.855475999999999</v>
      </c>
      <c r="N584" s="89">
        <f t="shared" si="452"/>
        <v>8.1948279999999993</v>
      </c>
      <c r="O584" s="90">
        <f t="shared" si="452"/>
        <v>8.2063889999999997</v>
      </c>
      <c r="P584" s="88">
        <f t="shared" si="453"/>
        <v>16.401216999999999</v>
      </c>
      <c r="Q584" s="86">
        <f t="shared" si="459"/>
        <v>-0.45425900000000041</v>
      </c>
      <c r="R584" s="84">
        <f t="shared" si="460"/>
        <v>-2.6950232672159506E-2</v>
      </c>
      <c r="S584" s="85">
        <f t="shared" si="454"/>
        <v>1.4085190953085011E-2</v>
      </c>
      <c r="T584" s="85">
        <f t="shared" si="455"/>
        <v>1</v>
      </c>
      <c r="U584" s="122"/>
      <c r="V584" s="121"/>
    </row>
    <row r="585" spans="1:22" hidden="1" outlineLevel="1">
      <c r="A585" s="79" t="s">
        <v>1364</v>
      </c>
      <c r="B585" s="86">
        <f>INDEX(Data!2249:2249,1,$U$1-2)/1000000</f>
        <v>8.5489920000000001</v>
      </c>
      <c r="C585" s="87">
        <f>INDEX(Data!2249:2249,1,$U$1-1)/1000000</f>
        <v>8.5265160000000009</v>
      </c>
      <c r="D585" s="88">
        <f t="shared" si="448"/>
        <v>17.075507999999999</v>
      </c>
      <c r="E585" s="89">
        <f>INDEX(Data!2249:2249,1,$U$1)/1000000</f>
        <v>7.5015510000000001</v>
      </c>
      <c r="F585" s="90">
        <f>INDEX(Data!2249:2249,1,$U$1+1)/1000000</f>
        <v>7.5064450000000003</v>
      </c>
      <c r="G585" s="88">
        <f t="shared" si="449"/>
        <v>15.007996</v>
      </c>
      <c r="H585" s="86">
        <f t="shared" si="456"/>
        <v>-2.0675119999999989</v>
      </c>
      <c r="I585" s="84">
        <f t="shared" si="457"/>
        <v>-0.12108055584642044</v>
      </c>
      <c r="J585" s="412">
        <f t="shared" si="458"/>
        <v>1.2888707556465843E-2</v>
      </c>
      <c r="K585" s="91">
        <f t="shared" si="450"/>
        <v>8.5489920000000001</v>
      </c>
      <c r="L585" s="87">
        <f t="shared" si="450"/>
        <v>8.5265160000000009</v>
      </c>
      <c r="M585" s="88">
        <f t="shared" si="451"/>
        <v>17.075507999999999</v>
      </c>
      <c r="N585" s="89">
        <f t="shared" si="452"/>
        <v>7.5015510000000001</v>
      </c>
      <c r="O585" s="90">
        <f t="shared" si="452"/>
        <v>7.5064450000000003</v>
      </c>
      <c r="P585" s="88">
        <f t="shared" si="453"/>
        <v>15.007996</v>
      </c>
      <c r="Q585" s="86">
        <f t="shared" si="459"/>
        <v>-2.0675119999999989</v>
      </c>
      <c r="R585" s="84">
        <f t="shared" si="460"/>
        <v>-0.12108055584642044</v>
      </c>
      <c r="S585" s="85">
        <f t="shared" si="454"/>
        <v>1.2888707556465843E-2</v>
      </c>
      <c r="T585" s="85">
        <f t="shared" si="455"/>
        <v>1</v>
      </c>
      <c r="U585" s="122"/>
      <c r="V585" s="121"/>
    </row>
    <row r="586" spans="1:22" hidden="1" outlineLevel="1">
      <c r="A586" s="79" t="s">
        <v>1365</v>
      </c>
      <c r="B586" s="86">
        <f>INDEX(Data!2250:2250,1,$U$1-2)/1000000</f>
        <v>6.1279370000000002</v>
      </c>
      <c r="C586" s="87">
        <f>INDEX(Data!2250:2250,1,$U$1-1)/1000000</f>
        <v>6.1269799999999996</v>
      </c>
      <c r="D586" s="88">
        <f t="shared" si="448"/>
        <v>12.254916999999999</v>
      </c>
      <c r="E586" s="89">
        <f>INDEX(Data!2250:2250,1,$U$1)/1000000</f>
        <v>4.1206930000000002</v>
      </c>
      <c r="F586" s="90">
        <f>INDEX(Data!2250:2250,1,$U$1+1)/1000000</f>
        <v>4.1247740000000004</v>
      </c>
      <c r="G586" s="88">
        <f t="shared" si="449"/>
        <v>8.2454670000000014</v>
      </c>
      <c r="H586" s="86">
        <f t="shared" si="456"/>
        <v>-4.0094499999999975</v>
      </c>
      <c r="I586" s="84">
        <f t="shared" si="457"/>
        <v>-0.32717071849609408</v>
      </c>
      <c r="J586" s="412">
        <f t="shared" si="458"/>
        <v>7.0811194798752457E-3</v>
      </c>
      <c r="K586" s="91">
        <f t="shared" si="450"/>
        <v>6.1279370000000002</v>
      </c>
      <c r="L586" s="87">
        <f t="shared" si="450"/>
        <v>6.1269799999999996</v>
      </c>
      <c r="M586" s="88">
        <f t="shared" si="451"/>
        <v>12.254916999999999</v>
      </c>
      <c r="N586" s="89">
        <f t="shared" si="452"/>
        <v>4.1206930000000002</v>
      </c>
      <c r="O586" s="90">
        <f t="shared" si="452"/>
        <v>4.1247740000000004</v>
      </c>
      <c r="P586" s="88">
        <f t="shared" si="453"/>
        <v>8.2454670000000014</v>
      </c>
      <c r="Q586" s="86">
        <f t="shared" si="459"/>
        <v>-4.0094499999999975</v>
      </c>
      <c r="R586" s="84">
        <f t="shared" si="460"/>
        <v>-0.32717071849609408</v>
      </c>
      <c r="S586" s="85">
        <f t="shared" si="454"/>
        <v>7.0811194798752457E-3</v>
      </c>
      <c r="T586" s="85">
        <f t="shared" si="455"/>
        <v>1</v>
      </c>
      <c r="U586" s="122"/>
      <c r="V586" s="121"/>
    </row>
    <row r="587" spans="1:22" hidden="1" outlineLevel="1">
      <c r="A587" s="79" t="s">
        <v>730</v>
      </c>
      <c r="B587" s="86">
        <f>INDEX(Data!2251:2251,1,$U$1-2)/1000000</f>
        <v>7.1298399999999997</v>
      </c>
      <c r="C587" s="87">
        <f>INDEX(Data!2251:2251,1,$U$1-1)/1000000</f>
        <v>7.1295970000000004</v>
      </c>
      <c r="D587" s="88">
        <f t="shared" si="448"/>
        <v>14.259437</v>
      </c>
      <c r="E587" s="89">
        <f>INDEX(Data!2251:2251,1,$U$1)/1000000</f>
        <v>5.1961250000000003</v>
      </c>
      <c r="F587" s="90">
        <f>INDEX(Data!2251:2251,1,$U$1+1)/1000000</f>
        <v>5.1072749999999996</v>
      </c>
      <c r="G587" s="88">
        <f t="shared" si="449"/>
        <v>10.3034</v>
      </c>
      <c r="H587" s="86">
        <f t="shared" si="456"/>
        <v>-3.9560370000000002</v>
      </c>
      <c r="I587" s="84">
        <f t="shared" si="457"/>
        <v>-0.2774329028558421</v>
      </c>
      <c r="J587" s="412">
        <f t="shared" si="458"/>
        <v>8.848450481815838E-3</v>
      </c>
      <c r="K587" s="91">
        <f t="shared" si="450"/>
        <v>7.1298399999999997</v>
      </c>
      <c r="L587" s="87">
        <f t="shared" si="450"/>
        <v>7.1295970000000004</v>
      </c>
      <c r="M587" s="88">
        <f t="shared" si="451"/>
        <v>14.259437</v>
      </c>
      <c r="N587" s="89">
        <f t="shared" si="452"/>
        <v>5.1961250000000003</v>
      </c>
      <c r="O587" s="90">
        <f t="shared" si="452"/>
        <v>5.1072749999999996</v>
      </c>
      <c r="P587" s="88">
        <f t="shared" si="453"/>
        <v>10.3034</v>
      </c>
      <c r="Q587" s="86">
        <f t="shared" si="459"/>
        <v>-3.9560370000000002</v>
      </c>
      <c r="R587" s="84">
        <f t="shared" si="460"/>
        <v>-0.2774329028558421</v>
      </c>
      <c r="S587" s="85">
        <f t="shared" si="454"/>
        <v>8.848450481815838E-3</v>
      </c>
      <c r="T587" s="85">
        <f t="shared" si="455"/>
        <v>1</v>
      </c>
      <c r="U587" s="122"/>
      <c r="V587" s="121"/>
    </row>
    <row r="588" spans="1:22" hidden="1" outlineLevel="1">
      <c r="A588" s="79" t="s">
        <v>731</v>
      </c>
      <c r="B588" s="86">
        <f>INDEX(Data!2253:2253,1,$U$1-2)/1000000</f>
        <v>11.528185000000001</v>
      </c>
      <c r="C588" s="87">
        <f>INDEX(Data!2253:2253,1,$U$1-1)/1000000</f>
        <v>11.524988</v>
      </c>
      <c r="D588" s="88">
        <f t="shared" si="448"/>
        <v>23.053173000000001</v>
      </c>
      <c r="E588" s="89">
        <f>INDEX(Data!2253:2253,1,$U$1)/1000000</f>
        <v>10.012950999999999</v>
      </c>
      <c r="F588" s="90">
        <f>INDEX(Data!2253:2253,1,$U$1+1)/1000000</f>
        <v>10.014938000000001</v>
      </c>
      <c r="G588" s="88">
        <f t="shared" si="449"/>
        <v>20.027889000000002</v>
      </c>
      <c r="H588" s="86">
        <f t="shared" si="456"/>
        <v>-3.0252839999999992</v>
      </c>
      <c r="I588" s="84">
        <f t="shared" si="457"/>
        <v>-0.13123069869817916</v>
      </c>
      <c r="J588" s="412">
        <f t="shared" si="458"/>
        <v>1.7199738345769759E-2</v>
      </c>
      <c r="K588" s="91">
        <f t="shared" si="450"/>
        <v>11.528185000000001</v>
      </c>
      <c r="L588" s="87">
        <f t="shared" si="450"/>
        <v>11.524988</v>
      </c>
      <c r="M588" s="88">
        <f t="shared" si="451"/>
        <v>23.053173000000001</v>
      </c>
      <c r="N588" s="89">
        <f t="shared" si="452"/>
        <v>10.012950999999999</v>
      </c>
      <c r="O588" s="90">
        <f t="shared" si="452"/>
        <v>10.014938000000001</v>
      </c>
      <c r="P588" s="88">
        <f t="shared" si="453"/>
        <v>20.027889000000002</v>
      </c>
      <c r="Q588" s="86">
        <f t="shared" si="459"/>
        <v>-3.0252839999999992</v>
      </c>
      <c r="R588" s="84">
        <f t="shared" si="460"/>
        <v>-0.13123069869817916</v>
      </c>
      <c r="S588" s="85">
        <f t="shared" si="454"/>
        <v>1.7199738345769759E-2</v>
      </c>
      <c r="T588" s="85">
        <f t="shared" si="455"/>
        <v>1</v>
      </c>
      <c r="U588" s="122"/>
      <c r="V588" s="121"/>
    </row>
    <row r="589" spans="1:22" hidden="1" outlineLevel="1">
      <c r="A589" s="79" t="s">
        <v>1689</v>
      </c>
      <c r="B589" s="86">
        <f>INDEX(Data!2254:2254,1,$U$1-2)/1000000</f>
        <v>7.9333330000000002</v>
      </c>
      <c r="C589" s="87">
        <f>INDEX(Data!2254:2254,1,$U$1-1)/1000000</f>
        <v>7.9282079999999997</v>
      </c>
      <c r="D589" s="88">
        <f t="shared" si="448"/>
        <v>15.861540999999999</v>
      </c>
      <c r="E589" s="89">
        <f>INDEX(Data!2254:2254,1,$U$1)/1000000</f>
        <v>7.8275839999999999</v>
      </c>
      <c r="F589" s="90">
        <f>INDEX(Data!2254:2254,1,$U$1+1)/1000000</f>
        <v>7.8189690000000001</v>
      </c>
      <c r="G589" s="88">
        <f t="shared" si="449"/>
        <v>15.646553000000001</v>
      </c>
      <c r="H589" s="86">
        <f t="shared" si="456"/>
        <v>-0.21498799999999818</v>
      </c>
      <c r="I589" s="84">
        <f t="shared" si="457"/>
        <v>-1.3554042447704053E-2</v>
      </c>
      <c r="J589" s="412">
        <f t="shared" si="458"/>
        <v>1.3437093525594178E-2</v>
      </c>
      <c r="K589" s="91">
        <f t="shared" si="450"/>
        <v>7.9333330000000002</v>
      </c>
      <c r="L589" s="87">
        <f t="shared" si="450"/>
        <v>7.9282079999999997</v>
      </c>
      <c r="M589" s="88">
        <f t="shared" si="451"/>
        <v>15.861540999999999</v>
      </c>
      <c r="N589" s="89">
        <f t="shared" si="452"/>
        <v>7.8275839999999999</v>
      </c>
      <c r="O589" s="90">
        <f t="shared" si="452"/>
        <v>7.8189690000000001</v>
      </c>
      <c r="P589" s="88">
        <f t="shared" si="453"/>
        <v>15.646553000000001</v>
      </c>
      <c r="Q589" s="86">
        <f t="shared" si="459"/>
        <v>-0.21498799999999818</v>
      </c>
      <c r="R589" s="84">
        <f t="shared" si="460"/>
        <v>-1.3554042447704053E-2</v>
      </c>
      <c r="S589" s="85">
        <f t="shared" si="454"/>
        <v>1.3437093525594178E-2</v>
      </c>
      <c r="T589" s="85">
        <f t="shared" si="455"/>
        <v>1</v>
      </c>
      <c r="U589" s="122"/>
      <c r="V589" s="121"/>
    </row>
    <row r="590" spans="1:22" hidden="1" outlineLevel="1">
      <c r="A590" s="79" t="s">
        <v>1426</v>
      </c>
      <c r="B590" s="86">
        <f>INDEX(Data!2255:2255,1,$U$1-2)/1000000</f>
        <v>7.4451159999999996</v>
      </c>
      <c r="C590" s="87">
        <f>INDEX(Data!2255:2255,1,$U$1-1)/1000000</f>
        <v>7.4404159999999999</v>
      </c>
      <c r="D590" s="88">
        <f t="shared" si="448"/>
        <v>14.885532</v>
      </c>
      <c r="E590" s="89">
        <f>INDEX(Data!2255:2255,1,$U$1)/1000000</f>
        <v>6.4404560000000002</v>
      </c>
      <c r="F590" s="90">
        <f>INDEX(Data!2255:2255,1,$U$1+1)/1000000</f>
        <v>5.3879999999999999</v>
      </c>
      <c r="G590" s="88">
        <f t="shared" si="449"/>
        <v>11.828455999999999</v>
      </c>
      <c r="H590" s="86">
        <f t="shared" si="456"/>
        <v>-3.0570760000000003</v>
      </c>
      <c r="I590" s="84">
        <f t="shared" si="457"/>
        <v>-0.20537230379135932</v>
      </c>
      <c r="J590" s="412">
        <f t="shared" si="458"/>
        <v>1.0158152376141608E-2</v>
      </c>
      <c r="K590" s="91">
        <f t="shared" si="450"/>
        <v>7.4451159999999996</v>
      </c>
      <c r="L590" s="87">
        <f t="shared" si="450"/>
        <v>7.4404159999999999</v>
      </c>
      <c r="M590" s="88">
        <f t="shared" si="451"/>
        <v>14.885532</v>
      </c>
      <c r="N590" s="89">
        <f t="shared" si="452"/>
        <v>6.4404560000000002</v>
      </c>
      <c r="O590" s="90">
        <f t="shared" si="452"/>
        <v>5.3879999999999999</v>
      </c>
      <c r="P590" s="88">
        <f t="shared" si="453"/>
        <v>11.828455999999999</v>
      </c>
      <c r="Q590" s="86">
        <f t="shared" si="459"/>
        <v>-3.0570760000000003</v>
      </c>
      <c r="R590" s="84">
        <f t="shared" si="460"/>
        <v>-0.20537230379135932</v>
      </c>
      <c r="S590" s="85">
        <f t="shared" si="454"/>
        <v>1.0158152376141608E-2</v>
      </c>
      <c r="T590" s="85">
        <f t="shared" si="455"/>
        <v>1</v>
      </c>
      <c r="U590" s="122"/>
      <c r="V590" s="121"/>
    </row>
    <row r="591" spans="1:22" hidden="1" outlineLevel="1">
      <c r="A591" s="79" t="s">
        <v>733</v>
      </c>
      <c r="B591" s="86">
        <f>INDEX(Data!2256:2256,1,$U$1-2)/1000000</f>
        <v>13.025537999999999</v>
      </c>
      <c r="C591" s="87">
        <f>INDEX(Data!2256:2256,1,$U$1-1)/1000000</f>
        <v>13.017638</v>
      </c>
      <c r="D591" s="88">
        <f t="shared" si="448"/>
        <v>26.043175999999999</v>
      </c>
      <c r="E591" s="89">
        <f>INDEX(Data!2256:2256,1,$U$1)/1000000</f>
        <v>13.268988</v>
      </c>
      <c r="F591" s="90">
        <f>INDEX(Data!2256:2256,1,$U$1+1)/1000000</f>
        <v>13.271019000000001</v>
      </c>
      <c r="G591" s="88">
        <f t="shared" si="449"/>
        <v>26.540007000000003</v>
      </c>
      <c r="H591" s="86">
        <f t="shared" si="456"/>
        <v>0.4968310000000038</v>
      </c>
      <c r="I591" s="84">
        <f t="shared" si="457"/>
        <v>1.9077204715738351E-2</v>
      </c>
      <c r="J591" s="412">
        <f t="shared" si="458"/>
        <v>2.2792276115315889E-2</v>
      </c>
      <c r="K591" s="91">
        <f t="shared" si="450"/>
        <v>13.025537999999999</v>
      </c>
      <c r="L591" s="87">
        <f t="shared" si="450"/>
        <v>13.017638</v>
      </c>
      <c r="M591" s="88">
        <f t="shared" si="451"/>
        <v>26.043175999999999</v>
      </c>
      <c r="N591" s="89">
        <f t="shared" si="452"/>
        <v>13.268988</v>
      </c>
      <c r="O591" s="90">
        <f t="shared" si="452"/>
        <v>13.271019000000001</v>
      </c>
      <c r="P591" s="88">
        <f t="shared" si="453"/>
        <v>26.540007000000003</v>
      </c>
      <c r="Q591" s="86">
        <f t="shared" si="459"/>
        <v>0.4968310000000038</v>
      </c>
      <c r="R591" s="84">
        <f t="shared" si="460"/>
        <v>1.9077204715738351E-2</v>
      </c>
      <c r="S591" s="85">
        <f t="shared" si="454"/>
        <v>2.2792276115315889E-2</v>
      </c>
      <c r="T591" s="85">
        <f t="shared" si="455"/>
        <v>1</v>
      </c>
      <c r="U591" s="122"/>
      <c r="V591" s="121"/>
    </row>
    <row r="592" spans="1:22" hidden="1" outlineLevel="1">
      <c r="A592" s="79" t="s">
        <v>735</v>
      </c>
      <c r="B592" s="86">
        <f>INDEX(Data!2258:2258,1,$U$1-2)/1000000</f>
        <v>14.513382999999999</v>
      </c>
      <c r="C592" s="87">
        <f>INDEX(Data!2258:2258,1,$U$1-1)/1000000</f>
        <v>14.484496</v>
      </c>
      <c r="D592" s="88">
        <f t="shared" si="448"/>
        <v>28.997878999999998</v>
      </c>
      <c r="E592" s="89">
        <f>INDEX(Data!2258:2258,1,$U$1)/1000000</f>
        <v>13.502981</v>
      </c>
      <c r="F592" s="90">
        <f>INDEX(Data!2258:2258,1,$U$1+1)/1000000</f>
        <v>13.493859</v>
      </c>
      <c r="G592" s="88">
        <f t="shared" si="449"/>
        <v>26.996839999999999</v>
      </c>
      <c r="H592" s="86">
        <f t="shared" si="456"/>
        <v>-2.0010389999999987</v>
      </c>
      <c r="I592" s="84">
        <f t="shared" si="457"/>
        <v>-6.9006391812311468E-2</v>
      </c>
      <c r="J592" s="412">
        <f t="shared" si="458"/>
        <v>2.3184599443436642E-2</v>
      </c>
      <c r="K592" s="91">
        <f t="shared" si="450"/>
        <v>14.513382999999999</v>
      </c>
      <c r="L592" s="87">
        <f t="shared" si="450"/>
        <v>14.484496</v>
      </c>
      <c r="M592" s="88">
        <f t="shared" si="451"/>
        <v>28.997878999999998</v>
      </c>
      <c r="N592" s="89">
        <f t="shared" si="452"/>
        <v>13.502981</v>
      </c>
      <c r="O592" s="90">
        <f t="shared" si="452"/>
        <v>13.493859</v>
      </c>
      <c r="P592" s="88">
        <f t="shared" si="453"/>
        <v>26.996839999999999</v>
      </c>
      <c r="Q592" s="86">
        <f t="shared" si="459"/>
        <v>-2.0010389999999987</v>
      </c>
      <c r="R592" s="84">
        <f t="shared" si="460"/>
        <v>-6.9006391812311468E-2</v>
      </c>
      <c r="S592" s="85">
        <f t="shared" si="454"/>
        <v>2.3184599443436642E-2</v>
      </c>
      <c r="T592" s="85">
        <f t="shared" si="455"/>
        <v>1</v>
      </c>
      <c r="U592" s="122"/>
      <c r="V592" s="121"/>
    </row>
    <row r="593" spans="1:22" hidden="1" outlineLevel="1">
      <c r="A593" s="79" t="s">
        <v>855</v>
      </c>
      <c r="B593" s="86">
        <f>INDEX(Data!2259:2259,1,$U$1-2)/1000000</f>
        <v>4.3816899999999999</v>
      </c>
      <c r="C593" s="87">
        <f>INDEX(Data!2259:2259,1,$U$1-1)/1000000</f>
        <v>2.877024</v>
      </c>
      <c r="D593" s="88">
        <f t="shared" si="448"/>
        <v>7.2587139999999994</v>
      </c>
      <c r="E593" s="89">
        <f>INDEX(Data!2259:2259,1,$U$1)/1000000</f>
        <v>2.8795470000000001</v>
      </c>
      <c r="F593" s="90">
        <f>INDEX(Data!2259:2259,1,$U$1+1)/1000000</f>
        <v>2.8600430000000001</v>
      </c>
      <c r="G593" s="88">
        <f t="shared" si="449"/>
        <v>5.7395899999999997</v>
      </c>
      <c r="H593" s="86">
        <f t="shared" si="456"/>
        <v>-1.5191239999999997</v>
      </c>
      <c r="I593" s="84">
        <f t="shared" si="457"/>
        <v>-0.20928280133367974</v>
      </c>
      <c r="J593" s="412">
        <f t="shared" si="458"/>
        <v>4.9290989285988478E-3</v>
      </c>
      <c r="K593" s="91">
        <f t="shared" si="450"/>
        <v>4.3816899999999999</v>
      </c>
      <c r="L593" s="87">
        <f t="shared" si="450"/>
        <v>2.877024</v>
      </c>
      <c r="M593" s="88">
        <f t="shared" si="451"/>
        <v>7.2587139999999994</v>
      </c>
      <c r="N593" s="89">
        <f t="shared" si="452"/>
        <v>2.8795470000000001</v>
      </c>
      <c r="O593" s="90">
        <f t="shared" si="452"/>
        <v>2.8600430000000001</v>
      </c>
      <c r="P593" s="88">
        <f t="shared" si="453"/>
        <v>5.7395899999999997</v>
      </c>
      <c r="Q593" s="86">
        <f t="shared" si="459"/>
        <v>-1.5191239999999997</v>
      </c>
      <c r="R593" s="84">
        <f t="shared" si="460"/>
        <v>-0.20928280133367974</v>
      </c>
      <c r="S593" s="85">
        <f t="shared" si="454"/>
        <v>4.9290989285988478E-3</v>
      </c>
      <c r="T593" s="85">
        <f t="shared" si="455"/>
        <v>1</v>
      </c>
      <c r="U593" s="122"/>
      <c r="V593" s="121"/>
    </row>
    <row r="594" spans="1:22" hidden="1" outlineLevel="1">
      <c r="A594" s="79" t="s">
        <v>737</v>
      </c>
      <c r="B594" s="86">
        <f>INDEX(Data!2260:2260,1,$U$1-2)/1000000</f>
        <v>7.1159860000000004</v>
      </c>
      <c r="C594" s="87">
        <f>INDEX(Data!2260:2260,1,$U$1-1)/1000000</f>
        <v>7.114986</v>
      </c>
      <c r="D594" s="88">
        <f t="shared" si="448"/>
        <v>14.230972000000001</v>
      </c>
      <c r="E594" s="89">
        <f>INDEX(Data!2260:2260,1,$U$1)/1000000</f>
        <v>6.2490500000000004</v>
      </c>
      <c r="F594" s="90">
        <f>INDEX(Data!2260:2260,1,$U$1+1)/1000000</f>
        <v>6.2397749999999998</v>
      </c>
      <c r="G594" s="88">
        <f t="shared" si="449"/>
        <v>12.488825</v>
      </c>
      <c r="H594" s="86">
        <f t="shared" si="456"/>
        <v>-1.742147000000001</v>
      </c>
      <c r="I594" s="84">
        <f t="shared" si="457"/>
        <v>-0.12241939622957594</v>
      </c>
      <c r="J594" s="412">
        <f t="shared" si="458"/>
        <v>1.072527025919247E-2</v>
      </c>
      <c r="K594" s="91">
        <f t="shared" si="450"/>
        <v>7.1159860000000004</v>
      </c>
      <c r="L594" s="87">
        <f t="shared" si="450"/>
        <v>7.114986</v>
      </c>
      <c r="M594" s="88">
        <f t="shared" si="451"/>
        <v>14.230972000000001</v>
      </c>
      <c r="N594" s="89">
        <f t="shared" si="452"/>
        <v>6.2490500000000004</v>
      </c>
      <c r="O594" s="90">
        <f t="shared" si="452"/>
        <v>6.2397749999999998</v>
      </c>
      <c r="P594" s="88">
        <f t="shared" si="453"/>
        <v>12.488825</v>
      </c>
      <c r="Q594" s="86">
        <f t="shared" si="459"/>
        <v>-1.742147000000001</v>
      </c>
      <c r="R594" s="84">
        <f t="shared" si="460"/>
        <v>-0.12241939622957594</v>
      </c>
      <c r="S594" s="85">
        <f t="shared" si="454"/>
        <v>1.072527025919247E-2</v>
      </c>
      <c r="T594" s="85">
        <f t="shared" si="455"/>
        <v>1</v>
      </c>
      <c r="U594" s="122"/>
      <c r="V594" s="121"/>
    </row>
    <row r="595" spans="1:22" hidden="1" outlineLevel="1">
      <c r="A595" s="79" t="s">
        <v>738</v>
      </c>
      <c r="B595" s="86">
        <f>INDEX(Data!2262:2262,1,$U$1-2)/1000000</f>
        <v>7.007244</v>
      </c>
      <c r="C595" s="87">
        <f>INDEX(Data!2262:2262,1,$U$1-1)/1000000</f>
        <v>6.4701380000000004</v>
      </c>
      <c r="D595" s="88">
        <f t="shared" si="448"/>
        <v>13.477382</v>
      </c>
      <c r="E595" s="89">
        <f>INDEX(Data!2262:2262,1,$U$1)/1000000</f>
        <v>6.4612379999999998</v>
      </c>
      <c r="F595" s="90">
        <f>INDEX(Data!2262:2262,1,$U$1+1)/1000000</f>
        <v>6.405348</v>
      </c>
      <c r="G595" s="88">
        <f t="shared" si="449"/>
        <v>12.866586</v>
      </c>
      <c r="H595" s="86">
        <f t="shared" si="456"/>
        <v>-0.61079600000000056</v>
      </c>
      <c r="I595" s="84">
        <f t="shared" si="457"/>
        <v>-4.5320077742101582E-2</v>
      </c>
      <c r="J595" s="412">
        <f t="shared" si="458"/>
        <v>1.1049687393581238E-2</v>
      </c>
      <c r="K595" s="91">
        <f t="shared" si="450"/>
        <v>7.007244</v>
      </c>
      <c r="L595" s="87">
        <f t="shared" si="450"/>
        <v>6.4701380000000004</v>
      </c>
      <c r="M595" s="88">
        <f t="shared" si="451"/>
        <v>13.477382</v>
      </c>
      <c r="N595" s="89">
        <f t="shared" si="452"/>
        <v>6.4612379999999998</v>
      </c>
      <c r="O595" s="90">
        <f t="shared" si="452"/>
        <v>6.405348</v>
      </c>
      <c r="P595" s="88">
        <f t="shared" si="453"/>
        <v>12.866586</v>
      </c>
      <c r="Q595" s="86">
        <f t="shared" si="459"/>
        <v>-0.61079600000000056</v>
      </c>
      <c r="R595" s="84">
        <f t="shared" si="460"/>
        <v>-4.5320077742101582E-2</v>
      </c>
      <c r="S595" s="85">
        <f t="shared" si="454"/>
        <v>1.1049687393581238E-2</v>
      </c>
      <c r="T595" s="85">
        <f t="shared" si="455"/>
        <v>1</v>
      </c>
      <c r="U595" s="122"/>
      <c r="V595" s="121"/>
    </row>
    <row r="596" spans="1:22" hidden="1" outlineLevel="1">
      <c r="A596" s="79" t="s">
        <v>1367</v>
      </c>
      <c r="B596" s="86">
        <f>INDEX(Data!2266:2266,1,$U$1-2)/1000000</f>
        <v>6.1487999999999996</v>
      </c>
      <c r="C596" s="87">
        <f>INDEX(Data!2266:2266,1,$U$1-1)/1000000</f>
        <v>5.6463000000000001</v>
      </c>
      <c r="D596" s="88">
        <f t="shared" si="448"/>
        <v>11.7951</v>
      </c>
      <c r="E596" s="89">
        <f>INDEX(Data!2266:2266,1,$U$1)/1000000</f>
        <v>5.6461699999999997</v>
      </c>
      <c r="F596" s="90">
        <f>INDEX(Data!2266:2266,1,$U$1+1)/1000000</f>
        <v>5.5199689999999997</v>
      </c>
      <c r="G596" s="88">
        <f t="shared" si="449"/>
        <v>11.166138999999999</v>
      </c>
      <c r="H596" s="86">
        <f t="shared" si="456"/>
        <v>-0.62896100000000033</v>
      </c>
      <c r="I596" s="84">
        <f t="shared" si="457"/>
        <v>-5.3323922645844492E-2</v>
      </c>
      <c r="J596" s="412">
        <f t="shared" si="458"/>
        <v>9.5893615713815456E-3</v>
      </c>
      <c r="K596" s="91">
        <f t="shared" si="450"/>
        <v>6.1487999999999996</v>
      </c>
      <c r="L596" s="87">
        <f t="shared" si="450"/>
        <v>5.6463000000000001</v>
      </c>
      <c r="M596" s="88">
        <f t="shared" si="451"/>
        <v>11.7951</v>
      </c>
      <c r="N596" s="89">
        <f t="shared" si="452"/>
        <v>5.6461699999999997</v>
      </c>
      <c r="O596" s="90">
        <f t="shared" si="452"/>
        <v>5.5199689999999997</v>
      </c>
      <c r="P596" s="88">
        <f t="shared" si="453"/>
        <v>11.166138999999999</v>
      </c>
      <c r="Q596" s="86">
        <f t="shared" si="459"/>
        <v>-0.62896100000000033</v>
      </c>
      <c r="R596" s="84">
        <f t="shared" si="460"/>
        <v>-5.3323922645844492E-2</v>
      </c>
      <c r="S596" s="85">
        <f t="shared" si="454"/>
        <v>9.5893615713815456E-3</v>
      </c>
      <c r="T596" s="85">
        <f t="shared" si="455"/>
        <v>1</v>
      </c>
      <c r="U596" s="122"/>
      <c r="V596" s="121"/>
    </row>
    <row r="597" spans="1:22" hidden="1" outlineLevel="1">
      <c r="A597" s="79" t="s">
        <v>1094</v>
      </c>
      <c r="B597" s="86">
        <f>INDEX(Data!2267:2267,1,$U$1-2)/1000000</f>
        <v>18.740276999999999</v>
      </c>
      <c r="C597" s="87">
        <f>INDEX(Data!2267:2267,1,$U$1-1)/1000000</f>
        <v>17.387991</v>
      </c>
      <c r="D597" s="88">
        <f t="shared" si="448"/>
        <v>36.128267999999998</v>
      </c>
      <c r="E597" s="89">
        <f>INDEX(Data!2267:2267,1,$U$1)/1000000</f>
        <v>17.369675999999998</v>
      </c>
      <c r="F597" s="90">
        <f>INDEX(Data!2267:2267,1,$U$1+1)/1000000</f>
        <v>16.777480000000001</v>
      </c>
      <c r="G597" s="88">
        <f t="shared" si="449"/>
        <v>34.147155999999995</v>
      </c>
      <c r="H597" s="86">
        <f t="shared" si="456"/>
        <v>-1.9811120000000031</v>
      </c>
      <c r="I597" s="84">
        <f t="shared" si="457"/>
        <v>-5.4835509966876993E-2</v>
      </c>
      <c r="J597" s="412">
        <f t="shared" si="458"/>
        <v>2.9325214876724241E-2</v>
      </c>
      <c r="K597" s="91">
        <f t="shared" si="450"/>
        <v>18.740276999999999</v>
      </c>
      <c r="L597" s="87">
        <f t="shared" si="450"/>
        <v>17.387991</v>
      </c>
      <c r="M597" s="88">
        <f t="shared" si="451"/>
        <v>36.128267999999998</v>
      </c>
      <c r="N597" s="89">
        <f t="shared" si="452"/>
        <v>17.369675999999998</v>
      </c>
      <c r="O597" s="90">
        <f t="shared" si="452"/>
        <v>16.777480000000001</v>
      </c>
      <c r="P597" s="88">
        <f t="shared" si="453"/>
        <v>34.147155999999995</v>
      </c>
      <c r="Q597" s="86">
        <f t="shared" si="459"/>
        <v>-1.9811120000000031</v>
      </c>
      <c r="R597" s="84">
        <f t="shared" si="460"/>
        <v>-5.4835509966876993E-2</v>
      </c>
      <c r="S597" s="85">
        <f t="shared" si="454"/>
        <v>2.9325214876724241E-2</v>
      </c>
      <c r="T597" s="85">
        <f t="shared" si="455"/>
        <v>1</v>
      </c>
      <c r="U597" s="122"/>
      <c r="V597" s="121"/>
    </row>
    <row r="598" spans="1:22" hidden="1" outlineLevel="1">
      <c r="A598" s="79" t="s">
        <v>859</v>
      </c>
      <c r="B598" s="86">
        <f>INDEX(Data!2268:2268,1,$U$1-2)/1000000</f>
        <v>2.7248000000000001</v>
      </c>
      <c r="C598" s="87">
        <f>INDEX(Data!2268:2268,1,$U$1-1)/1000000</f>
        <v>1.5309330000000001</v>
      </c>
      <c r="D598" s="88">
        <f t="shared" si="448"/>
        <v>4.2557330000000002</v>
      </c>
      <c r="E598" s="89">
        <f>INDEX(Data!2268:2268,1,$U$1)/1000000</f>
        <v>1.531018</v>
      </c>
      <c r="F598" s="90">
        <f>INDEX(Data!2268:2268,1,$U$1+1)/1000000</f>
        <v>1.493487</v>
      </c>
      <c r="G598" s="88">
        <f t="shared" si="449"/>
        <v>3.024505</v>
      </c>
      <c r="H598" s="86">
        <f t="shared" si="456"/>
        <v>-1.2312280000000002</v>
      </c>
      <c r="I598" s="84">
        <f t="shared" si="457"/>
        <v>-0.28931044311285509</v>
      </c>
      <c r="J598" s="412">
        <f t="shared" si="458"/>
        <v>2.5974127690378333E-3</v>
      </c>
      <c r="K598" s="91">
        <f t="shared" si="450"/>
        <v>2.7248000000000001</v>
      </c>
      <c r="L598" s="87">
        <f t="shared" si="450"/>
        <v>1.5309330000000001</v>
      </c>
      <c r="M598" s="88">
        <f t="shared" si="451"/>
        <v>4.2557330000000002</v>
      </c>
      <c r="N598" s="89">
        <f t="shared" si="452"/>
        <v>1.531018</v>
      </c>
      <c r="O598" s="90">
        <f t="shared" si="452"/>
        <v>1.493487</v>
      </c>
      <c r="P598" s="88">
        <f t="shared" si="453"/>
        <v>3.024505</v>
      </c>
      <c r="Q598" s="86">
        <f t="shared" si="459"/>
        <v>-1.2312280000000002</v>
      </c>
      <c r="R598" s="84">
        <f t="shared" si="460"/>
        <v>-0.28931044311285509</v>
      </c>
      <c r="S598" s="85">
        <f t="shared" si="454"/>
        <v>2.5974127690378333E-3</v>
      </c>
      <c r="T598" s="85">
        <f t="shared" si="455"/>
        <v>1</v>
      </c>
      <c r="U598" s="122"/>
      <c r="V598" s="121"/>
    </row>
    <row r="599" spans="1:22" ht="25.5" hidden="1" outlineLevel="1">
      <c r="A599" s="79" t="s">
        <v>1427</v>
      </c>
      <c r="B599" s="86">
        <f>INDEX(Data!2269:2269,1,$U$1-2)/1000000</f>
        <v>0</v>
      </c>
      <c r="C599" s="87">
        <f>INDEX(Data!2269:2269,1,$U$1-1)/1000000</f>
        <v>0</v>
      </c>
      <c r="D599" s="88">
        <f t="shared" si="448"/>
        <v>0</v>
      </c>
      <c r="E599" s="89">
        <f>INDEX(Data!2269:2269,1,$U$1)/1000000</f>
        <v>0</v>
      </c>
      <c r="F599" s="90">
        <f>INDEX(Data!2269:2269,1,$U$1+1)/1000000</f>
        <v>0</v>
      </c>
      <c r="G599" s="88">
        <f t="shared" si="449"/>
        <v>0</v>
      </c>
      <c r="H599" s="86">
        <f t="shared" si="456"/>
        <v>0</v>
      </c>
      <c r="I599" s="84" t="str">
        <f t="shared" si="457"/>
        <v/>
      </c>
      <c r="J599" s="412">
        <f t="shared" si="458"/>
        <v>0</v>
      </c>
      <c r="K599" s="91">
        <f t="shared" si="450"/>
        <v>0</v>
      </c>
      <c r="L599" s="87">
        <f t="shared" si="450"/>
        <v>0</v>
      </c>
      <c r="M599" s="88">
        <f t="shared" si="451"/>
        <v>0</v>
      </c>
      <c r="N599" s="89">
        <f t="shared" si="452"/>
        <v>0</v>
      </c>
      <c r="O599" s="90">
        <f t="shared" si="452"/>
        <v>0</v>
      </c>
      <c r="P599" s="88">
        <f t="shared" si="453"/>
        <v>0</v>
      </c>
      <c r="Q599" s="86">
        <f t="shared" si="459"/>
        <v>0</v>
      </c>
      <c r="R599" s="84" t="str">
        <f t="shared" si="460"/>
        <v/>
      </c>
      <c r="S599" s="85">
        <f t="shared" si="454"/>
        <v>0</v>
      </c>
      <c r="T599" s="85" t="str">
        <f t="shared" si="455"/>
        <v/>
      </c>
      <c r="U599" s="122"/>
      <c r="V599" s="121"/>
    </row>
    <row r="600" spans="1:22" collapsed="1">
      <c r="A600" s="113" t="s">
        <v>784</v>
      </c>
      <c r="B600" s="105">
        <f>SUM(B561:B599)</f>
        <v>350.16417799999999</v>
      </c>
      <c r="C600" s="106">
        <f>SUM(C561:C599)</f>
        <v>344.31585699999999</v>
      </c>
      <c r="D600" s="107">
        <f>SUM(D561:D599)</f>
        <v>694.48003500000016</v>
      </c>
      <c r="E600" s="114">
        <f>SUM(E561:E599)</f>
        <v>332.67448799999988</v>
      </c>
      <c r="F600" s="115">
        <f>SUM(F561:F599)</f>
        <v>330.60523200000006</v>
      </c>
      <c r="G600" s="107">
        <f t="shared" ref="G600:H600" si="476">SUM(G561:G599)</f>
        <v>663.27971999999988</v>
      </c>
      <c r="H600" s="105">
        <f t="shared" si="476"/>
        <v>-31.200314999999993</v>
      </c>
      <c r="I600" s="449">
        <f t="shared" si="457"/>
        <v>-4.4926151116784781E-2</v>
      </c>
      <c r="J600" s="454">
        <f t="shared" si="458"/>
        <v>0.56961757847047312</v>
      </c>
      <c r="K600" s="405">
        <f t="shared" ref="K600:Q600" si="477">SUM(K561:K599)</f>
        <v>350.16417799999999</v>
      </c>
      <c r="L600" s="106">
        <f t="shared" si="477"/>
        <v>344.31585699999999</v>
      </c>
      <c r="M600" s="107">
        <f t="shared" si="477"/>
        <v>694.48003500000016</v>
      </c>
      <c r="N600" s="114">
        <f t="shared" si="477"/>
        <v>332.67448799999988</v>
      </c>
      <c r="O600" s="115">
        <f t="shared" si="477"/>
        <v>330.60523200000006</v>
      </c>
      <c r="P600" s="107">
        <f t="shared" si="477"/>
        <v>663.27971999999988</v>
      </c>
      <c r="Q600" s="105">
        <f t="shared" si="477"/>
        <v>-31.200314999999993</v>
      </c>
      <c r="R600" s="449">
        <f t="shared" si="460"/>
        <v>-4.4926151116784781E-2</v>
      </c>
      <c r="S600" s="454">
        <f t="shared" si="454"/>
        <v>0.56961757847047312</v>
      </c>
      <c r="T600" s="454">
        <f t="shared" si="455"/>
        <v>1</v>
      </c>
      <c r="U600" s="122"/>
      <c r="V600" s="121"/>
    </row>
    <row r="601" spans="1:22" ht="14.25" hidden="1" customHeight="1" outlineLevel="1">
      <c r="A601" s="79" t="s">
        <v>1428</v>
      </c>
      <c r="B601" s="86">
        <f>INDEX(Data!2222:2222,1,$U$1-2)/1000000</f>
        <v>0</v>
      </c>
      <c r="C601" s="87">
        <f>INDEX(Data!2222:2222,1,$U$1-1)/1000000</f>
        <v>0</v>
      </c>
      <c r="D601" s="88">
        <f t="shared" ref="D601:D606" si="478">B601+C601</f>
        <v>0</v>
      </c>
      <c r="E601" s="89">
        <f>INDEX(Data!2222:2222,1,$U$1)/1000000</f>
        <v>0</v>
      </c>
      <c r="F601" s="90">
        <f>INDEX(Data!2222:2222,1,$U$1+1)/1000000</f>
        <v>0</v>
      </c>
      <c r="G601" s="88">
        <f t="shared" ref="G601:G606" si="479">E601+F601</f>
        <v>0</v>
      </c>
      <c r="H601" s="86">
        <f t="shared" ref="H601:H606" si="480">G601-D601</f>
        <v>0</v>
      </c>
      <c r="I601" s="447" t="str">
        <f t="shared" si="457"/>
        <v/>
      </c>
      <c r="J601" s="453">
        <f t="shared" si="458"/>
        <v>0</v>
      </c>
      <c r="K601" s="91">
        <f t="shared" ref="K601:L606" si="481">B601</f>
        <v>0</v>
      </c>
      <c r="L601" s="87">
        <f t="shared" si="481"/>
        <v>0</v>
      </c>
      <c r="M601" s="88">
        <f t="shared" ref="M601:M606" si="482">K601+L601</f>
        <v>0</v>
      </c>
      <c r="N601" s="89">
        <f t="shared" ref="N601:O606" si="483">E601</f>
        <v>0</v>
      </c>
      <c r="O601" s="90">
        <f t="shared" si="483"/>
        <v>0</v>
      </c>
      <c r="P601" s="88">
        <f t="shared" ref="P601:P606" si="484">N601+O601</f>
        <v>0</v>
      </c>
      <c r="Q601" s="86">
        <f t="shared" ref="Q601:Q606" si="485">P601-M601</f>
        <v>0</v>
      </c>
      <c r="R601" s="447" t="str">
        <f t="shared" si="460"/>
        <v/>
      </c>
      <c r="S601" s="453">
        <f t="shared" si="454"/>
        <v>0</v>
      </c>
      <c r="T601" s="453" t="str">
        <f t="shared" si="455"/>
        <v/>
      </c>
      <c r="U601" s="122"/>
      <c r="V601" s="123"/>
    </row>
    <row r="602" spans="1:22" hidden="1" outlineLevel="1">
      <c r="A602" s="79" t="s">
        <v>40</v>
      </c>
      <c r="B602" s="86">
        <f>INDEX(Data!2233:2233,1,$U$1-2)/1000000</f>
        <v>0</v>
      </c>
      <c r="C602" s="87">
        <f>INDEX(Data!2233:2233,1,$U$1-1)/1000000</f>
        <v>0</v>
      </c>
      <c r="D602" s="88">
        <f t="shared" si="478"/>
        <v>0</v>
      </c>
      <c r="E602" s="89">
        <f>INDEX(Data!2233:2233,1,$U$1)/1000000</f>
        <v>0</v>
      </c>
      <c r="F602" s="90">
        <f>INDEX(Data!2233:2233,1,$U$1+1)/1000000</f>
        <v>0</v>
      </c>
      <c r="G602" s="88">
        <f t="shared" si="479"/>
        <v>0</v>
      </c>
      <c r="H602" s="86">
        <f t="shared" si="480"/>
        <v>0</v>
      </c>
      <c r="I602" s="447" t="str">
        <f t="shared" si="457"/>
        <v/>
      </c>
      <c r="J602" s="453">
        <f t="shared" si="458"/>
        <v>0</v>
      </c>
      <c r="K602" s="91">
        <f t="shared" si="481"/>
        <v>0</v>
      </c>
      <c r="L602" s="87">
        <f t="shared" si="481"/>
        <v>0</v>
      </c>
      <c r="M602" s="88">
        <f t="shared" si="482"/>
        <v>0</v>
      </c>
      <c r="N602" s="89">
        <f t="shared" si="483"/>
        <v>0</v>
      </c>
      <c r="O602" s="90">
        <f t="shared" si="483"/>
        <v>0</v>
      </c>
      <c r="P602" s="88">
        <f t="shared" si="484"/>
        <v>0</v>
      </c>
      <c r="Q602" s="86">
        <f t="shared" si="485"/>
        <v>0</v>
      </c>
      <c r="R602" s="447" t="str">
        <f t="shared" si="460"/>
        <v/>
      </c>
      <c r="S602" s="453">
        <f t="shared" si="454"/>
        <v>0</v>
      </c>
      <c r="T602" s="453" t="str">
        <f t="shared" si="455"/>
        <v/>
      </c>
      <c r="U602" s="122"/>
      <c r="V602" s="121"/>
    </row>
    <row r="603" spans="1:22" hidden="1" outlineLevel="1">
      <c r="A603" s="79" t="s">
        <v>45</v>
      </c>
      <c r="B603" s="86">
        <f>INDEX(Data!2246:2246,1,$U$1-2)/1000000</f>
        <v>5.3589229999999999</v>
      </c>
      <c r="C603" s="87">
        <f>INDEX(Data!2246:2246,1,$U$1-1)/1000000</f>
        <v>5.3452599999999997</v>
      </c>
      <c r="D603" s="88">
        <f t="shared" si="478"/>
        <v>10.704183</v>
      </c>
      <c r="E603" s="89">
        <f>INDEX(Data!2246:2246,1,$U$1)/1000000</f>
        <v>4.7173749999999997</v>
      </c>
      <c r="F603" s="90">
        <f>INDEX(Data!2246:2246,1,$U$1+1)/1000000</f>
        <v>4.7117500000000003</v>
      </c>
      <c r="G603" s="88">
        <f t="shared" si="479"/>
        <v>9.4291249999999991</v>
      </c>
      <c r="H603" s="86">
        <f t="shared" si="480"/>
        <v>-1.2750580000000014</v>
      </c>
      <c r="I603" s="447">
        <f t="shared" si="457"/>
        <v>-0.11911773182502591</v>
      </c>
      <c r="J603" s="453">
        <f t="shared" si="458"/>
        <v>8.0976323979804494E-3</v>
      </c>
      <c r="K603" s="91">
        <f t="shared" si="481"/>
        <v>5.3589229999999999</v>
      </c>
      <c r="L603" s="87">
        <f t="shared" si="481"/>
        <v>5.3452599999999997</v>
      </c>
      <c r="M603" s="88">
        <f t="shared" si="482"/>
        <v>10.704183</v>
      </c>
      <c r="N603" s="89">
        <f t="shared" si="483"/>
        <v>4.7173749999999997</v>
      </c>
      <c r="O603" s="90">
        <f t="shared" si="483"/>
        <v>4.7117500000000003</v>
      </c>
      <c r="P603" s="88">
        <f t="shared" si="484"/>
        <v>9.4291249999999991</v>
      </c>
      <c r="Q603" s="86">
        <f t="shared" si="485"/>
        <v>-1.2750580000000014</v>
      </c>
      <c r="R603" s="447">
        <f t="shared" si="460"/>
        <v>-0.11911773182502591</v>
      </c>
      <c r="S603" s="453">
        <f t="shared" si="454"/>
        <v>8.0976323979804494E-3</v>
      </c>
      <c r="T603" s="453">
        <f t="shared" si="455"/>
        <v>1</v>
      </c>
      <c r="U603" s="122"/>
      <c r="V603" s="121"/>
    </row>
    <row r="604" spans="1:22" hidden="1" outlineLevel="1">
      <c r="A604" s="79" t="s">
        <v>51</v>
      </c>
      <c r="B604" s="86">
        <f>INDEX(Data!2252:2252,1,$U$1-2)/1000000</f>
        <v>4.36775</v>
      </c>
      <c r="C604" s="87">
        <f>INDEX(Data!2252:2252,1,$U$1-1)/1000000</f>
        <v>4.36625</v>
      </c>
      <c r="D604" s="88">
        <f t="shared" si="478"/>
        <v>8.734</v>
      </c>
      <c r="E604" s="89">
        <f>INDEX(Data!2252:2252,1,$U$1)/1000000</f>
        <v>4.3571970000000002</v>
      </c>
      <c r="F604" s="90">
        <f>INDEX(Data!2252:2252,1,$U$1+1)/1000000</f>
        <v>4.3618439999999996</v>
      </c>
      <c r="G604" s="88">
        <f t="shared" si="479"/>
        <v>8.7190410000000007</v>
      </c>
      <c r="H604" s="86">
        <f t="shared" si="480"/>
        <v>-1.4958999999999278E-2</v>
      </c>
      <c r="I604" s="447">
        <f t="shared" si="457"/>
        <v>-1.7127318525302585E-3</v>
      </c>
      <c r="J604" s="453">
        <f t="shared" si="458"/>
        <v>7.4878198009804579E-3</v>
      </c>
      <c r="K604" s="91">
        <f t="shared" si="481"/>
        <v>4.36775</v>
      </c>
      <c r="L604" s="87">
        <f t="shared" si="481"/>
        <v>4.36625</v>
      </c>
      <c r="M604" s="88">
        <f t="shared" si="482"/>
        <v>8.734</v>
      </c>
      <c r="N604" s="89">
        <f t="shared" si="483"/>
        <v>4.3571970000000002</v>
      </c>
      <c r="O604" s="90">
        <f t="shared" si="483"/>
        <v>4.3618439999999996</v>
      </c>
      <c r="P604" s="88">
        <f t="shared" si="484"/>
        <v>8.7190410000000007</v>
      </c>
      <c r="Q604" s="86">
        <f t="shared" si="485"/>
        <v>-1.4958999999999278E-2</v>
      </c>
      <c r="R604" s="447">
        <f t="shared" si="460"/>
        <v>-1.7127318525302585E-3</v>
      </c>
      <c r="S604" s="453">
        <f t="shared" si="454"/>
        <v>7.4878198009804579E-3</v>
      </c>
      <c r="T604" s="453">
        <f t="shared" si="455"/>
        <v>1</v>
      </c>
      <c r="U604" s="122"/>
      <c r="V604" s="121"/>
    </row>
    <row r="605" spans="1:22" hidden="1" outlineLevel="1">
      <c r="A605" s="79" t="s">
        <v>56</v>
      </c>
      <c r="B605" s="86">
        <f>INDEX(Data!2257:2257,1,$U$1-2)/1000000</f>
        <v>0</v>
      </c>
      <c r="C605" s="87">
        <f>INDEX(Data!2257:2257,1,$U$1-1)/1000000</f>
        <v>0</v>
      </c>
      <c r="D605" s="88">
        <f t="shared" si="478"/>
        <v>0</v>
      </c>
      <c r="E605" s="89">
        <f>INDEX(Data!2257:2257,1,$U$1)/1000000</f>
        <v>0</v>
      </c>
      <c r="F605" s="90">
        <f>INDEX(Data!2257:2257,1,$U$1+1)/1000000</f>
        <v>0</v>
      </c>
      <c r="G605" s="88">
        <f t="shared" si="479"/>
        <v>0</v>
      </c>
      <c r="H605" s="86">
        <f t="shared" si="480"/>
        <v>0</v>
      </c>
      <c r="I605" s="447" t="str">
        <f t="shared" si="457"/>
        <v/>
      </c>
      <c r="J605" s="453">
        <f t="shared" si="458"/>
        <v>0</v>
      </c>
      <c r="K605" s="91">
        <f t="shared" si="481"/>
        <v>0</v>
      </c>
      <c r="L605" s="87">
        <f t="shared" si="481"/>
        <v>0</v>
      </c>
      <c r="M605" s="88">
        <f t="shared" si="482"/>
        <v>0</v>
      </c>
      <c r="N605" s="89">
        <f t="shared" si="483"/>
        <v>0</v>
      </c>
      <c r="O605" s="90">
        <f t="shared" si="483"/>
        <v>0</v>
      </c>
      <c r="P605" s="88">
        <f t="shared" si="484"/>
        <v>0</v>
      </c>
      <c r="Q605" s="86">
        <f t="shared" si="485"/>
        <v>0</v>
      </c>
      <c r="R605" s="447" t="str">
        <f t="shared" si="460"/>
        <v/>
      </c>
      <c r="S605" s="453">
        <f t="shared" si="454"/>
        <v>0</v>
      </c>
      <c r="T605" s="453" t="str">
        <f t="shared" si="455"/>
        <v/>
      </c>
      <c r="U605" s="122"/>
      <c r="V605" s="121"/>
    </row>
    <row r="606" spans="1:22" hidden="1" outlineLevel="1">
      <c r="A606" s="79" t="s">
        <v>60</v>
      </c>
      <c r="B606" s="86">
        <f>INDEX(Data!2261:2261,1,$U$1-2)/1000000</f>
        <v>0</v>
      </c>
      <c r="C606" s="87">
        <f>INDEX(Data!2261:2261,1,$U$1-1)/1000000</f>
        <v>0</v>
      </c>
      <c r="D606" s="88">
        <f t="shared" si="478"/>
        <v>0</v>
      </c>
      <c r="E606" s="89">
        <f>INDEX(Data!2261:2261,1,$U$1)/1000000</f>
        <v>0</v>
      </c>
      <c r="F606" s="90">
        <f>INDEX(Data!2261:2261,1,$U$1+1)/1000000</f>
        <v>0</v>
      </c>
      <c r="G606" s="88">
        <f t="shared" si="479"/>
        <v>0</v>
      </c>
      <c r="H606" s="86">
        <f t="shared" si="480"/>
        <v>0</v>
      </c>
      <c r="I606" s="447" t="str">
        <f t="shared" si="457"/>
        <v/>
      </c>
      <c r="J606" s="453">
        <f t="shared" si="458"/>
        <v>0</v>
      </c>
      <c r="K606" s="91">
        <f t="shared" si="481"/>
        <v>0</v>
      </c>
      <c r="L606" s="87">
        <f t="shared" si="481"/>
        <v>0</v>
      </c>
      <c r="M606" s="88">
        <f t="shared" si="482"/>
        <v>0</v>
      </c>
      <c r="N606" s="89">
        <f t="shared" si="483"/>
        <v>0</v>
      </c>
      <c r="O606" s="90">
        <f t="shared" si="483"/>
        <v>0</v>
      </c>
      <c r="P606" s="88">
        <f t="shared" si="484"/>
        <v>0</v>
      </c>
      <c r="Q606" s="86">
        <f t="shared" si="485"/>
        <v>0</v>
      </c>
      <c r="R606" s="447" t="str">
        <f t="shared" si="460"/>
        <v/>
      </c>
      <c r="S606" s="453">
        <f t="shared" si="454"/>
        <v>0</v>
      </c>
      <c r="T606" s="453" t="str">
        <f t="shared" si="455"/>
        <v/>
      </c>
      <c r="U606" s="122"/>
      <c r="V606" s="121"/>
    </row>
    <row r="607" spans="1:22" collapsed="1">
      <c r="A607" s="113" t="s">
        <v>1830</v>
      </c>
      <c r="B607" s="105">
        <f>SUM(B601:B606)</f>
        <v>9.7266729999999999</v>
      </c>
      <c r="C607" s="106">
        <f>SUM(C601:C606)</f>
        <v>9.7115100000000005</v>
      </c>
      <c r="D607" s="107">
        <f>SUM(D601:D606)</f>
        <v>19.438183000000002</v>
      </c>
      <c r="E607" s="114">
        <f>SUM(E601:E606)</f>
        <v>9.0745719999999999</v>
      </c>
      <c r="F607" s="115">
        <f>SUM(F601:F606)</f>
        <v>9.0735939999999999</v>
      </c>
      <c r="G607" s="107">
        <f t="shared" ref="G607:H607" si="486">SUM(G601:G606)</f>
        <v>18.148166</v>
      </c>
      <c r="H607" s="105">
        <f t="shared" si="486"/>
        <v>-1.2900170000000006</v>
      </c>
      <c r="I607" s="449">
        <f t="shared" si="457"/>
        <v>-6.636510212914451E-2</v>
      </c>
      <c r="J607" s="454">
        <f t="shared" si="458"/>
        <v>1.5585452198960906E-2</v>
      </c>
      <c r="K607" s="405">
        <f t="shared" ref="K607:Q607" si="487">SUM(K601:K606)</f>
        <v>9.7266729999999999</v>
      </c>
      <c r="L607" s="106">
        <f t="shared" si="487"/>
        <v>9.7115100000000005</v>
      </c>
      <c r="M607" s="107">
        <f t="shared" si="487"/>
        <v>19.438183000000002</v>
      </c>
      <c r="N607" s="114">
        <f t="shared" si="487"/>
        <v>9.0745719999999999</v>
      </c>
      <c r="O607" s="115">
        <f t="shared" si="487"/>
        <v>9.0735939999999999</v>
      </c>
      <c r="P607" s="107">
        <f t="shared" si="487"/>
        <v>18.148166</v>
      </c>
      <c r="Q607" s="105">
        <f t="shared" si="487"/>
        <v>-1.2900170000000006</v>
      </c>
      <c r="R607" s="449">
        <f t="shared" si="460"/>
        <v>-6.636510212914451E-2</v>
      </c>
      <c r="S607" s="454">
        <f t="shared" si="454"/>
        <v>1.5585452198960906E-2</v>
      </c>
      <c r="T607" s="454">
        <f t="shared" si="455"/>
        <v>1</v>
      </c>
      <c r="U607" s="122"/>
      <c r="V607" s="121"/>
    </row>
    <row r="608" spans="1:22" ht="25.5" hidden="1" outlineLevel="1">
      <c r="A608" s="79" t="s">
        <v>1433</v>
      </c>
      <c r="B608" s="86">
        <f>INDEX(Data!2270:2270,1,$U$1-2)/1000000</f>
        <v>18.520130999999999</v>
      </c>
      <c r="C608" s="87">
        <f>INDEX(Data!2270:2270,1,$U$1-1)/1000000</f>
        <v>18.520130999999999</v>
      </c>
      <c r="D608" s="88">
        <f t="shared" ref="D608:D616" si="488">B608+C608</f>
        <v>37.040261999999998</v>
      </c>
      <c r="E608" s="89">
        <f>INDEX(Data!2270:2270,1,$U$1)/1000000</f>
        <v>18.515699999999999</v>
      </c>
      <c r="F608" s="90">
        <f>INDEX(Data!2270:2270,1,$U$1+1)/1000000</f>
        <v>18.516400000000001</v>
      </c>
      <c r="G608" s="88">
        <f t="shared" ref="G608:G616" si="489">E608+F608</f>
        <v>37.0321</v>
      </c>
      <c r="H608" s="86">
        <f t="shared" ref="H608:H616" si="490">G608-D608</f>
        <v>-8.1619999999986703E-3</v>
      </c>
      <c r="I608" s="447">
        <f t="shared" si="457"/>
        <v>-2.2035481282499218E-4</v>
      </c>
      <c r="J608" s="453">
        <f t="shared" si="458"/>
        <v>3.1802774141317651E-2</v>
      </c>
      <c r="K608" s="91">
        <f t="shared" ref="K608:L616" si="491">B608</f>
        <v>18.520130999999999</v>
      </c>
      <c r="L608" s="87">
        <f t="shared" si="491"/>
        <v>18.520130999999999</v>
      </c>
      <c r="M608" s="88">
        <f t="shared" ref="M608:M616" si="492">K608+L608</f>
        <v>37.040261999999998</v>
      </c>
      <c r="N608" s="89">
        <f t="shared" ref="N608:O616" si="493">E608</f>
        <v>18.515699999999999</v>
      </c>
      <c r="O608" s="90">
        <f t="shared" si="493"/>
        <v>18.516400000000001</v>
      </c>
      <c r="P608" s="88">
        <f t="shared" ref="P608:P616" si="494">N608+O608</f>
        <v>37.0321</v>
      </c>
      <c r="Q608" s="86">
        <f t="shared" ref="Q608:Q616" si="495">P608-M608</f>
        <v>-8.1619999999986703E-3</v>
      </c>
      <c r="R608" s="447">
        <f t="shared" si="460"/>
        <v>-2.2035481282499218E-4</v>
      </c>
      <c r="S608" s="453">
        <f t="shared" si="454"/>
        <v>3.1802774141317651E-2</v>
      </c>
      <c r="T608" s="453">
        <f t="shared" si="455"/>
        <v>1</v>
      </c>
      <c r="U608" s="122"/>
      <c r="V608" s="121"/>
    </row>
    <row r="609" spans="1:22" ht="25.5" hidden="1" outlineLevel="1">
      <c r="A609" s="79" t="s">
        <v>1434</v>
      </c>
      <c r="B609" s="86">
        <f>INDEX(Data!2271:2271,1,$U$1-2)/1000000</f>
        <v>22.428442</v>
      </c>
      <c r="C609" s="87">
        <f>INDEX(Data!2271:2271,1,$U$1-1)/1000000</f>
        <v>22.428442</v>
      </c>
      <c r="D609" s="88">
        <f t="shared" si="488"/>
        <v>44.856884000000001</v>
      </c>
      <c r="E609" s="89">
        <f>INDEX(Data!2271:2271,1,$U$1)/1000000</f>
        <v>22.424399999999999</v>
      </c>
      <c r="F609" s="90">
        <f>INDEX(Data!2271:2271,1,$U$1+1)/1000000</f>
        <v>22.4239</v>
      </c>
      <c r="G609" s="88">
        <f t="shared" si="489"/>
        <v>44.848299999999995</v>
      </c>
      <c r="H609" s="86">
        <f t="shared" si="490"/>
        <v>-8.5840000000061423E-3</v>
      </c>
      <c r="I609" s="447">
        <f t="shared" si="457"/>
        <v>-1.9136416163026711E-4</v>
      </c>
      <c r="J609" s="453">
        <f t="shared" si="458"/>
        <v>3.8515243681078205E-2</v>
      </c>
      <c r="K609" s="91">
        <f t="shared" si="491"/>
        <v>22.428442</v>
      </c>
      <c r="L609" s="87">
        <f t="shared" si="491"/>
        <v>22.428442</v>
      </c>
      <c r="M609" s="88">
        <f t="shared" si="492"/>
        <v>44.856884000000001</v>
      </c>
      <c r="N609" s="89">
        <f t="shared" si="493"/>
        <v>22.424399999999999</v>
      </c>
      <c r="O609" s="90">
        <f t="shared" si="493"/>
        <v>22.4239</v>
      </c>
      <c r="P609" s="88">
        <f t="shared" si="494"/>
        <v>44.848299999999995</v>
      </c>
      <c r="Q609" s="86">
        <f t="shared" si="495"/>
        <v>-8.5840000000061423E-3</v>
      </c>
      <c r="R609" s="447">
        <f t="shared" si="460"/>
        <v>-1.9136416163026711E-4</v>
      </c>
      <c r="S609" s="453">
        <f t="shared" si="454"/>
        <v>3.8515243681078205E-2</v>
      </c>
      <c r="T609" s="453">
        <f t="shared" si="455"/>
        <v>1</v>
      </c>
      <c r="U609" s="122"/>
      <c r="V609" s="121"/>
    </row>
    <row r="610" spans="1:22" ht="25.5" hidden="1" outlineLevel="1">
      <c r="A610" s="79" t="s">
        <v>1435</v>
      </c>
      <c r="B610" s="86">
        <f>INDEX(Data!2272:2272,1,$U$1-2)/1000000</f>
        <v>18.749811000000001</v>
      </c>
      <c r="C610" s="87">
        <f>INDEX(Data!2272:2272,1,$U$1-1)/1000000</f>
        <v>18.749811000000001</v>
      </c>
      <c r="D610" s="88">
        <f t="shared" si="488"/>
        <v>37.499622000000002</v>
      </c>
      <c r="E610" s="89">
        <f>INDEX(Data!2272:2272,1,$U$1)/1000000</f>
        <v>18.749649999999999</v>
      </c>
      <c r="F610" s="90">
        <f>INDEX(Data!2272:2272,1,$U$1+1)/1000000</f>
        <v>18.74935</v>
      </c>
      <c r="G610" s="88">
        <f t="shared" si="489"/>
        <v>37.498999999999995</v>
      </c>
      <c r="H610" s="86">
        <f t="shared" si="490"/>
        <v>-6.2200000000700584E-4</v>
      </c>
      <c r="I610" s="447">
        <f t="shared" si="457"/>
        <v>-1.658683386213882E-5</v>
      </c>
      <c r="J610" s="453">
        <f t="shared" si="458"/>
        <v>3.2203742902111157E-2</v>
      </c>
      <c r="K610" s="91">
        <f t="shared" si="491"/>
        <v>18.749811000000001</v>
      </c>
      <c r="L610" s="87">
        <f t="shared" si="491"/>
        <v>18.749811000000001</v>
      </c>
      <c r="M610" s="88">
        <f t="shared" si="492"/>
        <v>37.499622000000002</v>
      </c>
      <c r="N610" s="89">
        <f t="shared" si="493"/>
        <v>18.749649999999999</v>
      </c>
      <c r="O610" s="90">
        <f t="shared" si="493"/>
        <v>18.74935</v>
      </c>
      <c r="P610" s="88">
        <f t="shared" si="494"/>
        <v>37.498999999999995</v>
      </c>
      <c r="Q610" s="86">
        <f t="shared" si="495"/>
        <v>-6.2200000000700584E-4</v>
      </c>
      <c r="R610" s="447">
        <f t="shared" si="460"/>
        <v>-1.658683386213882E-5</v>
      </c>
      <c r="S610" s="453">
        <f t="shared" si="454"/>
        <v>3.2203742902111157E-2</v>
      </c>
      <c r="T610" s="453">
        <f t="shared" si="455"/>
        <v>1</v>
      </c>
      <c r="U610" s="122"/>
      <c r="V610" s="121"/>
    </row>
    <row r="611" spans="1:22" ht="25.5" hidden="1" outlineLevel="1">
      <c r="A611" s="79" t="s">
        <v>1436</v>
      </c>
      <c r="B611" s="86">
        <f>INDEX(Data!2273:2273,1,$U$1-2)/1000000</f>
        <v>15.896576</v>
      </c>
      <c r="C611" s="87">
        <f>INDEX(Data!2273:2273,1,$U$1-1)/1000000</f>
        <v>15.896576</v>
      </c>
      <c r="D611" s="88">
        <f t="shared" si="488"/>
        <v>31.793151999999999</v>
      </c>
      <c r="E611" s="89">
        <f>INDEX(Data!2273:2273,1,$U$1)/1000000</f>
        <v>15.895613000000001</v>
      </c>
      <c r="F611" s="90">
        <f>INDEX(Data!2273:2273,1,$U$1+1)/1000000</f>
        <v>15.895849999999999</v>
      </c>
      <c r="G611" s="88">
        <f t="shared" si="489"/>
        <v>31.791463</v>
      </c>
      <c r="H611" s="86">
        <f t="shared" si="490"/>
        <v>-1.6889999999989413E-3</v>
      </c>
      <c r="I611" s="447">
        <f t="shared" si="457"/>
        <v>-5.3124647722847405E-5</v>
      </c>
      <c r="J611" s="453">
        <f t="shared" si="458"/>
        <v>2.730217074945944E-2</v>
      </c>
      <c r="K611" s="91">
        <f t="shared" si="491"/>
        <v>15.896576</v>
      </c>
      <c r="L611" s="87">
        <f t="shared" si="491"/>
        <v>15.896576</v>
      </c>
      <c r="M611" s="88">
        <f t="shared" si="492"/>
        <v>31.793151999999999</v>
      </c>
      <c r="N611" s="89">
        <f t="shared" si="493"/>
        <v>15.895613000000001</v>
      </c>
      <c r="O611" s="90">
        <f t="shared" si="493"/>
        <v>15.895849999999999</v>
      </c>
      <c r="P611" s="88">
        <f t="shared" si="494"/>
        <v>31.791463</v>
      </c>
      <c r="Q611" s="86">
        <f t="shared" si="495"/>
        <v>-1.6889999999989413E-3</v>
      </c>
      <c r="R611" s="447">
        <f t="shared" si="460"/>
        <v>-5.3124647722847405E-5</v>
      </c>
      <c r="S611" s="453">
        <f t="shared" si="454"/>
        <v>2.730217074945944E-2</v>
      </c>
      <c r="T611" s="453">
        <f t="shared" si="455"/>
        <v>1</v>
      </c>
      <c r="U611" s="122"/>
      <c r="V611" s="121"/>
    </row>
    <row r="612" spans="1:22" ht="25.5" hidden="1" outlineLevel="1">
      <c r="A612" s="79" t="s">
        <v>1668</v>
      </c>
      <c r="B612" s="86">
        <f>INDEX(Data!2274:2274,1,$U$1-2)/1000000</f>
        <v>0</v>
      </c>
      <c r="C612" s="87">
        <f>INDEX(Data!2274:2274,1,$U$1-1)/1000000</f>
        <v>0</v>
      </c>
      <c r="D612" s="88">
        <f t="shared" ref="D612" si="496">B612+C612</f>
        <v>0</v>
      </c>
      <c r="E612" s="89">
        <f>INDEX(Data!2274:2274,1,$U$1)/1000000</f>
        <v>0</v>
      </c>
      <c r="F612" s="90">
        <f>INDEX(Data!2274:2274,1,$U$1+1)/1000000</f>
        <v>0</v>
      </c>
      <c r="G612" s="88">
        <f t="shared" ref="G612" si="497">E612+F612</f>
        <v>0</v>
      </c>
      <c r="H612" s="86">
        <f t="shared" ref="H612" si="498">G612-D612</f>
        <v>0</v>
      </c>
      <c r="I612" s="447" t="str">
        <f t="shared" ref="I612" si="499">IFERROR(H612/D612,"")</f>
        <v/>
      </c>
      <c r="J612" s="453">
        <f t="shared" ref="J612" si="500">IFERROR(G612/G$456,"")</f>
        <v>0</v>
      </c>
      <c r="K612" s="91">
        <f t="shared" ref="K612" si="501">B612</f>
        <v>0</v>
      </c>
      <c r="L612" s="87">
        <f t="shared" ref="L612" si="502">C612</f>
        <v>0</v>
      </c>
      <c r="M612" s="88">
        <f t="shared" ref="M612" si="503">K612+L612</f>
        <v>0</v>
      </c>
      <c r="N612" s="89">
        <f t="shared" ref="N612" si="504">E612</f>
        <v>0</v>
      </c>
      <c r="O612" s="90">
        <f t="shared" ref="O612" si="505">F612</f>
        <v>0</v>
      </c>
      <c r="P612" s="88">
        <f t="shared" ref="P612" si="506">N612+O612</f>
        <v>0</v>
      </c>
      <c r="Q612" s="86">
        <f t="shared" ref="Q612" si="507">P612-M612</f>
        <v>0</v>
      </c>
      <c r="R612" s="447" t="str">
        <f t="shared" ref="R612" si="508">IFERROR(Q612/M612,"")</f>
        <v/>
      </c>
      <c r="S612" s="453">
        <f t="shared" ref="S612" si="509">IFERROR(P612/P$456,"")</f>
        <v>0</v>
      </c>
      <c r="T612" s="453" t="str">
        <f t="shared" ref="T612" si="510">IFERROR(P612/G612,"")</f>
        <v/>
      </c>
      <c r="U612" s="122"/>
      <c r="V612" s="121"/>
    </row>
    <row r="613" spans="1:22" ht="25.5" hidden="1" outlineLevel="1">
      <c r="A613" s="79" t="s">
        <v>1437</v>
      </c>
      <c r="B613" s="86">
        <f>INDEX(Data!2275:2275,1,$U$1-2)/1000000</f>
        <v>11.327949</v>
      </c>
      <c r="C613" s="87">
        <f>INDEX(Data!2275:2275,1,$U$1-1)/1000000</f>
        <v>11.327949</v>
      </c>
      <c r="D613" s="88">
        <f t="shared" si="488"/>
        <v>22.655898000000001</v>
      </c>
      <c r="E613" s="89">
        <f>INDEX(Data!2275:2275,1,$U$1)/1000000</f>
        <v>11.327</v>
      </c>
      <c r="F613" s="90">
        <f>INDEX(Data!2275:2275,1,$U$1+1)/1000000</f>
        <v>11.327349999999999</v>
      </c>
      <c r="G613" s="88">
        <f t="shared" si="489"/>
        <v>22.654350000000001</v>
      </c>
      <c r="H613" s="86">
        <f t="shared" si="490"/>
        <v>-1.5479999999996608E-3</v>
      </c>
      <c r="I613" s="447">
        <f t="shared" si="457"/>
        <v>-6.8326578800790007E-5</v>
      </c>
      <c r="J613" s="453">
        <f t="shared" si="458"/>
        <v>1.945531515545593E-2</v>
      </c>
      <c r="K613" s="91">
        <f t="shared" si="491"/>
        <v>11.327949</v>
      </c>
      <c r="L613" s="87">
        <f t="shared" si="491"/>
        <v>11.327949</v>
      </c>
      <c r="M613" s="88">
        <f t="shared" si="492"/>
        <v>22.655898000000001</v>
      </c>
      <c r="N613" s="89">
        <f t="shared" si="493"/>
        <v>11.327</v>
      </c>
      <c r="O613" s="90">
        <f t="shared" si="493"/>
        <v>11.327349999999999</v>
      </c>
      <c r="P613" s="88">
        <f t="shared" si="494"/>
        <v>22.654350000000001</v>
      </c>
      <c r="Q613" s="86">
        <f t="shared" si="495"/>
        <v>-1.5479999999996608E-3</v>
      </c>
      <c r="R613" s="447">
        <f t="shared" si="460"/>
        <v>-6.8326578800790007E-5</v>
      </c>
      <c r="S613" s="453">
        <f t="shared" si="454"/>
        <v>1.945531515545593E-2</v>
      </c>
      <c r="T613" s="453">
        <f t="shared" si="455"/>
        <v>1</v>
      </c>
      <c r="U613" s="122"/>
      <c r="V613" s="121"/>
    </row>
    <row r="614" spans="1:22" ht="12.75" hidden="1" customHeight="1" outlineLevel="1">
      <c r="A614" s="79" t="s">
        <v>1438</v>
      </c>
      <c r="B614" s="86">
        <f>INDEX(Data!2276:2276,1,$U$1-2)/1000000</f>
        <v>3.7217660000000001</v>
      </c>
      <c r="C614" s="87">
        <f>INDEX(Data!2276:2276,1,$U$1-1)/1000000</f>
        <v>3.7217660000000001</v>
      </c>
      <c r="D614" s="88">
        <f t="shared" si="488"/>
        <v>7.4435320000000003</v>
      </c>
      <c r="E614" s="89">
        <f>INDEX(Data!2276:2276,1,$U$1)/1000000</f>
        <v>3.7215500000000001</v>
      </c>
      <c r="F614" s="90">
        <f>INDEX(Data!2276:2276,1,$U$1+1)/1000000</f>
        <v>3.7213500000000002</v>
      </c>
      <c r="G614" s="88">
        <f t="shared" si="489"/>
        <v>7.4428999999999998</v>
      </c>
      <c r="H614" s="86">
        <f t="shared" si="490"/>
        <v>-6.3200000000041001E-4</v>
      </c>
      <c r="I614" s="447">
        <f t="shared" si="457"/>
        <v>-8.4905929067062515E-5</v>
      </c>
      <c r="J614" s="453">
        <f t="shared" si="458"/>
        <v>6.3918834647890112E-3</v>
      </c>
      <c r="K614" s="91">
        <f t="shared" si="491"/>
        <v>3.7217660000000001</v>
      </c>
      <c r="L614" s="87">
        <f t="shared" si="491"/>
        <v>3.7217660000000001</v>
      </c>
      <c r="M614" s="88">
        <f t="shared" si="492"/>
        <v>7.4435320000000003</v>
      </c>
      <c r="N614" s="89">
        <f t="shared" si="493"/>
        <v>3.7215500000000001</v>
      </c>
      <c r="O614" s="90">
        <f t="shared" si="493"/>
        <v>3.7213500000000002</v>
      </c>
      <c r="P614" s="88">
        <f t="shared" si="494"/>
        <v>7.4428999999999998</v>
      </c>
      <c r="Q614" s="86">
        <f t="shared" si="495"/>
        <v>-6.3200000000041001E-4</v>
      </c>
      <c r="R614" s="447">
        <f t="shared" si="460"/>
        <v>-8.4905929067062515E-5</v>
      </c>
      <c r="S614" s="453">
        <f t="shared" si="454"/>
        <v>6.3918834647890112E-3</v>
      </c>
      <c r="T614" s="453">
        <f t="shared" si="455"/>
        <v>1</v>
      </c>
      <c r="U614" s="122"/>
      <c r="V614" s="121"/>
    </row>
    <row r="615" spans="1:22" ht="25.5" hidden="1" outlineLevel="1">
      <c r="A615" s="79" t="s">
        <v>1439</v>
      </c>
      <c r="B615" s="86">
        <f>INDEX(Data!2277:2277,1,$U$1-2)/1000000</f>
        <v>18.731960999999998</v>
      </c>
      <c r="C615" s="87">
        <f>INDEX(Data!2277:2277,1,$U$1-1)/1000000</f>
        <v>18.732157000000001</v>
      </c>
      <c r="D615" s="88">
        <f t="shared" si="488"/>
        <v>37.464117999999999</v>
      </c>
      <c r="E615" s="89">
        <f>INDEX(Data!2277:2277,1,$U$1)/1000000</f>
        <v>18.546547</v>
      </c>
      <c r="F615" s="90">
        <f>INDEX(Data!2277:2277,1,$U$1+1)/1000000</f>
        <v>18.550937999999999</v>
      </c>
      <c r="G615" s="88">
        <f t="shared" si="489"/>
        <v>37.097484999999999</v>
      </c>
      <c r="H615" s="86">
        <f t="shared" si="490"/>
        <v>-0.36663300000000021</v>
      </c>
      <c r="I615" s="447">
        <f t="shared" si="457"/>
        <v>-9.7862440001924029E-3</v>
      </c>
      <c r="J615" s="453">
        <f t="shared" si="458"/>
        <v>3.1858926084826933E-2</v>
      </c>
      <c r="K615" s="91">
        <f t="shared" si="491"/>
        <v>18.731960999999998</v>
      </c>
      <c r="L615" s="87">
        <f t="shared" si="491"/>
        <v>18.732157000000001</v>
      </c>
      <c r="M615" s="88">
        <f t="shared" si="492"/>
        <v>37.464117999999999</v>
      </c>
      <c r="N615" s="89">
        <f t="shared" si="493"/>
        <v>18.546547</v>
      </c>
      <c r="O615" s="90">
        <f t="shared" si="493"/>
        <v>18.550937999999999</v>
      </c>
      <c r="P615" s="88">
        <f t="shared" si="494"/>
        <v>37.097484999999999</v>
      </c>
      <c r="Q615" s="86">
        <f t="shared" si="495"/>
        <v>-0.36663300000000021</v>
      </c>
      <c r="R615" s="447">
        <f t="shared" si="460"/>
        <v>-9.7862440001924029E-3</v>
      </c>
      <c r="S615" s="453">
        <f t="shared" si="454"/>
        <v>3.1858926084826933E-2</v>
      </c>
      <c r="T615" s="453">
        <f t="shared" si="455"/>
        <v>1</v>
      </c>
      <c r="U615" s="122"/>
      <c r="V615" s="121"/>
    </row>
    <row r="616" spans="1:22" ht="25.5" hidden="1" outlineLevel="1">
      <c r="A616" s="79" t="s">
        <v>1440</v>
      </c>
      <c r="B616" s="86">
        <f>INDEX(Data!2278:2278,1,$U$1-2)/1000000</f>
        <v>12.384903</v>
      </c>
      <c r="C616" s="87">
        <f>INDEX(Data!2278:2278,1,$U$1-1)/1000000</f>
        <v>12.38064</v>
      </c>
      <c r="D616" s="88">
        <f t="shared" si="488"/>
        <v>24.765543000000001</v>
      </c>
      <c r="E616" s="89">
        <f>INDEX(Data!2278:2278,1,$U$1)/1000000</f>
        <v>10.985046000000001</v>
      </c>
      <c r="F616" s="90">
        <f>INDEX(Data!2278:2278,1,$U$1+1)/1000000</f>
        <v>10.975682000000001</v>
      </c>
      <c r="G616" s="88">
        <f t="shared" si="489"/>
        <v>21.960728000000003</v>
      </c>
      <c r="H616" s="86">
        <f t="shared" si="490"/>
        <v>-2.8048149999999978</v>
      </c>
      <c r="I616" s="447">
        <f t="shared" si="457"/>
        <v>-0.11325473461252183</v>
      </c>
      <c r="J616" s="453">
        <f t="shared" si="458"/>
        <v>1.8859639949203817E-2</v>
      </c>
      <c r="K616" s="91">
        <f t="shared" si="491"/>
        <v>12.384903</v>
      </c>
      <c r="L616" s="87">
        <f t="shared" si="491"/>
        <v>12.38064</v>
      </c>
      <c r="M616" s="88">
        <f t="shared" si="492"/>
        <v>24.765543000000001</v>
      </c>
      <c r="N616" s="89">
        <f t="shared" si="493"/>
        <v>10.985046000000001</v>
      </c>
      <c r="O616" s="90">
        <f t="shared" si="493"/>
        <v>10.975682000000001</v>
      </c>
      <c r="P616" s="88">
        <f t="shared" si="494"/>
        <v>21.960728000000003</v>
      </c>
      <c r="Q616" s="86">
        <f t="shared" si="495"/>
        <v>-2.8048149999999978</v>
      </c>
      <c r="R616" s="447">
        <f t="shared" si="460"/>
        <v>-0.11325473461252183</v>
      </c>
      <c r="S616" s="453">
        <f t="shared" si="454"/>
        <v>1.8859639949203817E-2</v>
      </c>
      <c r="T616" s="453">
        <f t="shared" si="455"/>
        <v>1</v>
      </c>
      <c r="U616" s="122"/>
      <c r="V616" s="121"/>
    </row>
    <row r="617" spans="1:22" ht="25.5" hidden="1" outlineLevel="1">
      <c r="A617" s="1104" t="s">
        <v>942</v>
      </c>
      <c r="B617" s="86">
        <f>INDEX(Data!2279:2279,1,$U$1-2)/1000000</f>
        <v>13.629621999999999</v>
      </c>
      <c r="C617" s="87">
        <f>INDEX(Data!2279:2279,1,$U$1-1)/1000000</f>
        <v>13.583178</v>
      </c>
      <c r="D617" s="88">
        <f>B617+C617</f>
        <v>27.212800000000001</v>
      </c>
      <c r="E617" s="89">
        <f>INDEX(Data!2279:2279,1,$U$1)/1000000</f>
        <v>21.872890000000002</v>
      </c>
      <c r="F617" s="90">
        <f>INDEX(Data!2279:2279,1,$U$1+1)/1000000</f>
        <v>21.856211999999999</v>
      </c>
      <c r="G617" s="88">
        <f>E617+F617</f>
        <v>43.729101999999997</v>
      </c>
      <c r="H617" s="86">
        <f>G617-D617</f>
        <v>16.516301999999996</v>
      </c>
      <c r="I617" s="447">
        <f>IFERROR(H617/D617,"")</f>
        <v>0.60693137053151436</v>
      </c>
      <c r="J617" s="453">
        <f>IFERROR(G617/G$456,"")</f>
        <v>3.7554088326307231E-2</v>
      </c>
      <c r="K617" s="91">
        <f>B617</f>
        <v>13.629621999999999</v>
      </c>
      <c r="L617" s="87">
        <f>C617</f>
        <v>13.583178</v>
      </c>
      <c r="M617" s="88">
        <f>K617+L617</f>
        <v>27.212800000000001</v>
      </c>
      <c r="N617" s="89">
        <f>E617</f>
        <v>21.872890000000002</v>
      </c>
      <c r="O617" s="90">
        <f>F617</f>
        <v>21.856211999999999</v>
      </c>
      <c r="P617" s="88">
        <f>N617+O617</f>
        <v>43.729101999999997</v>
      </c>
      <c r="Q617" s="86">
        <f>P617-M617</f>
        <v>16.516301999999996</v>
      </c>
      <c r="R617" s="447">
        <f>IFERROR(Q617/M617,"")</f>
        <v>0.60693137053151436</v>
      </c>
      <c r="S617" s="453">
        <f>IFERROR(P617/P$456,"")</f>
        <v>3.7554088326307231E-2</v>
      </c>
      <c r="T617" s="453">
        <f>IFERROR(P617/G617,"")</f>
        <v>1</v>
      </c>
      <c r="U617" s="122"/>
      <c r="V617" s="121"/>
    </row>
    <row r="618" spans="1:22" ht="25.5" hidden="1" outlineLevel="1">
      <c r="A618" s="1104" t="s">
        <v>1556</v>
      </c>
      <c r="B618" s="86">
        <f>INDEX(Data!2280:2280,1,$U$1-2)/1000000</f>
        <v>11.007289</v>
      </c>
      <c r="C618" s="87">
        <f>INDEX(Data!2280:2280,1,$U$1-1)/1000000</f>
        <v>10.932107999999999</v>
      </c>
      <c r="D618" s="88">
        <f>B618+C618</f>
        <v>21.939397</v>
      </c>
      <c r="E618" s="89">
        <f>INDEX(Data!2280:2280,1,$U$1)/1000000</f>
        <v>14.061731999999999</v>
      </c>
      <c r="F618" s="90">
        <f>INDEX(Data!2280:2280,1,$U$1+1)/1000000</f>
        <v>14.046124000000001</v>
      </c>
      <c r="G618" s="88">
        <f>E618+F618</f>
        <v>28.107855999999998</v>
      </c>
      <c r="H618" s="86">
        <f>G618-D618</f>
        <v>6.1684589999999986</v>
      </c>
      <c r="I618" s="447">
        <f>IFERROR(H618/D618,"")</f>
        <v>0.28115900359522183</v>
      </c>
      <c r="J618" s="453">
        <f>IFERROR(G618/G$456,"")</f>
        <v>2.4138728183513227E-2</v>
      </c>
      <c r="K618" s="91">
        <f>B618</f>
        <v>11.007289</v>
      </c>
      <c r="L618" s="87">
        <f>C618</f>
        <v>10.932107999999999</v>
      </c>
      <c r="M618" s="88">
        <f>K618+L618</f>
        <v>21.939397</v>
      </c>
      <c r="N618" s="89">
        <f>E618</f>
        <v>14.061731999999999</v>
      </c>
      <c r="O618" s="90">
        <f>F618</f>
        <v>14.046124000000001</v>
      </c>
      <c r="P618" s="88">
        <f>N618+O618</f>
        <v>28.107855999999998</v>
      </c>
      <c r="Q618" s="86">
        <f>P618-M618</f>
        <v>6.1684589999999986</v>
      </c>
      <c r="R618" s="447">
        <f>IFERROR(Q618/M618,"")</f>
        <v>0.28115900359522183</v>
      </c>
      <c r="S618" s="453">
        <f>IFERROR(P618/P$456,"")</f>
        <v>2.4138728183513227E-2</v>
      </c>
      <c r="T618" s="453">
        <f>IFERROR(P618/G618,"")</f>
        <v>1</v>
      </c>
      <c r="U618" s="122"/>
      <c r="V618" s="121"/>
    </row>
    <row r="619" spans="1:22" collapsed="1">
      <c r="A619" s="113" t="s">
        <v>786</v>
      </c>
      <c r="B619" s="105">
        <f>SUM(B608:B618)</f>
        <v>146.39845000000003</v>
      </c>
      <c r="C619" s="105">
        <f t="shared" ref="C619:H619" si="511">SUM(C608:C618)</f>
        <v>146.27275800000001</v>
      </c>
      <c r="D619" s="105">
        <f t="shared" si="511"/>
        <v>292.67120799999998</v>
      </c>
      <c r="E619" s="105">
        <f t="shared" si="511"/>
        <v>156.10012800000001</v>
      </c>
      <c r="F619" s="105">
        <f t="shared" si="511"/>
        <v>156.06315599999999</v>
      </c>
      <c r="G619" s="105">
        <f t="shared" si="511"/>
        <v>312.16328399999998</v>
      </c>
      <c r="H619" s="105">
        <f t="shared" si="511"/>
        <v>19.492075999999987</v>
      </c>
      <c r="I619" s="449">
        <f t="shared" si="457"/>
        <v>6.6600592976675685E-2</v>
      </c>
      <c r="J619" s="454">
        <f t="shared" si="458"/>
        <v>0.2680825126380626</v>
      </c>
      <c r="K619" s="105">
        <f t="shared" ref="K619:Q619" si="512">SUM(K608:K618)</f>
        <v>146.39845000000003</v>
      </c>
      <c r="L619" s="105">
        <f t="shared" si="512"/>
        <v>146.27275800000001</v>
      </c>
      <c r="M619" s="105">
        <f t="shared" si="512"/>
        <v>292.67120799999998</v>
      </c>
      <c r="N619" s="105">
        <f t="shared" si="512"/>
        <v>156.10012800000001</v>
      </c>
      <c r="O619" s="105">
        <f t="shared" si="512"/>
        <v>156.06315599999999</v>
      </c>
      <c r="P619" s="105">
        <f t="shared" si="512"/>
        <v>312.16328399999998</v>
      </c>
      <c r="Q619" s="105">
        <f t="shared" si="512"/>
        <v>19.492075999999987</v>
      </c>
      <c r="R619" s="449">
        <f t="shared" si="460"/>
        <v>6.6600592976675685E-2</v>
      </c>
      <c r="S619" s="454">
        <f t="shared" si="454"/>
        <v>0.2680825126380626</v>
      </c>
      <c r="T619" s="454">
        <f t="shared" si="455"/>
        <v>1</v>
      </c>
      <c r="U619" s="122"/>
      <c r="V619" s="121"/>
    </row>
    <row r="620" spans="1:22" ht="25.5" hidden="1" outlineLevel="1">
      <c r="A620" s="79" t="s">
        <v>1441</v>
      </c>
      <c r="B620" s="86">
        <f>INDEX(Data!2281:2281,1,$U$1-2)/1000000</f>
        <v>0</v>
      </c>
      <c r="C620" s="87">
        <f>INDEX(Data!2281:2281,1,$U$1-1)/1000000</f>
        <v>0</v>
      </c>
      <c r="D620" s="88">
        <f>B620+C620</f>
        <v>0</v>
      </c>
      <c r="E620" s="89">
        <f>INDEX(Data!2281:2281,1,$U$1)/1000000</f>
        <v>0</v>
      </c>
      <c r="F620" s="90">
        <f>INDEX(Data!2281:2281,1,$U$1+1)/1000000</f>
        <v>0</v>
      </c>
      <c r="G620" s="88">
        <f t="shared" ref="G620:G624" si="513">E620+F620</f>
        <v>0</v>
      </c>
      <c r="H620" s="86">
        <f t="shared" ref="H620:H624" si="514">G620-D620</f>
        <v>0</v>
      </c>
      <c r="I620" s="447" t="str">
        <f t="shared" si="457"/>
        <v/>
      </c>
      <c r="J620" s="453">
        <f t="shared" si="458"/>
        <v>0</v>
      </c>
      <c r="K620" s="91">
        <f t="shared" ref="K620:L624" si="515">B620</f>
        <v>0</v>
      </c>
      <c r="L620" s="87">
        <f t="shared" si="515"/>
        <v>0</v>
      </c>
      <c r="M620" s="88">
        <f t="shared" ref="M620:M624" si="516">K620+L620</f>
        <v>0</v>
      </c>
      <c r="N620" s="89">
        <f t="shared" ref="N620:O624" si="517">E620</f>
        <v>0</v>
      </c>
      <c r="O620" s="90">
        <f t="shared" si="517"/>
        <v>0</v>
      </c>
      <c r="P620" s="88">
        <f t="shared" ref="P620:P624" si="518">N620+O620</f>
        <v>0</v>
      </c>
      <c r="Q620" s="86">
        <f t="shared" ref="Q620:Q624" si="519">P620-M620</f>
        <v>0</v>
      </c>
      <c r="R620" s="447" t="str">
        <f t="shared" si="460"/>
        <v/>
      </c>
      <c r="S620" s="453">
        <f t="shared" si="454"/>
        <v>0</v>
      </c>
      <c r="T620" s="453" t="str">
        <f t="shared" si="455"/>
        <v/>
      </c>
      <c r="U620" s="122"/>
      <c r="V620" s="121"/>
    </row>
    <row r="621" spans="1:22" ht="15.75" hidden="1" customHeight="1" outlineLevel="1">
      <c r="A621" s="79" t="s">
        <v>1442</v>
      </c>
      <c r="B621" s="86">
        <f>INDEX(Data!2282:2282,1,$U$1-2)/1000000</f>
        <v>0.4834</v>
      </c>
      <c r="C621" s="87">
        <f>INDEX(Data!2282:2282,1,$U$1-1)/1000000</f>
        <v>0.48549700000000001</v>
      </c>
      <c r="D621" s="88">
        <f>B621+C621</f>
        <v>0.96889700000000001</v>
      </c>
      <c r="E621" s="89">
        <f>INDEX(Data!2282:2282,1,$U$1)/1000000</f>
        <v>0.48582500000000001</v>
      </c>
      <c r="F621" s="90">
        <f>INDEX(Data!2282:2282,1,$U$1+1)/1000000</f>
        <v>0.48647200000000002</v>
      </c>
      <c r="G621" s="88">
        <f t="shared" si="513"/>
        <v>0.97229699999999997</v>
      </c>
      <c r="H621" s="86">
        <f t="shared" si="514"/>
        <v>3.3999999999999586E-3</v>
      </c>
      <c r="I621" s="447">
        <f t="shared" si="457"/>
        <v>3.5091449349104794E-3</v>
      </c>
      <c r="J621" s="453">
        <f t="shared" si="458"/>
        <v>8.3499833628880701E-4</v>
      </c>
      <c r="K621" s="91">
        <f t="shared" si="515"/>
        <v>0.4834</v>
      </c>
      <c r="L621" s="87">
        <f t="shared" si="515"/>
        <v>0.48549700000000001</v>
      </c>
      <c r="M621" s="88">
        <f t="shared" si="516"/>
        <v>0.96889700000000001</v>
      </c>
      <c r="N621" s="89">
        <f t="shared" si="517"/>
        <v>0.48582500000000001</v>
      </c>
      <c r="O621" s="90">
        <f t="shared" si="517"/>
        <v>0.48647200000000002</v>
      </c>
      <c r="P621" s="88">
        <f t="shared" si="518"/>
        <v>0.97229699999999997</v>
      </c>
      <c r="Q621" s="86">
        <f t="shared" si="519"/>
        <v>3.3999999999999586E-3</v>
      </c>
      <c r="R621" s="447">
        <f t="shared" si="460"/>
        <v>3.5091449349104794E-3</v>
      </c>
      <c r="S621" s="453">
        <f t="shared" si="454"/>
        <v>8.3499833628880701E-4</v>
      </c>
      <c r="T621" s="453">
        <f t="shared" si="455"/>
        <v>1</v>
      </c>
      <c r="U621" s="122"/>
      <c r="V621" s="121"/>
    </row>
    <row r="622" spans="1:22" ht="25.5" hidden="1" outlineLevel="1">
      <c r="A622" s="79" t="s">
        <v>1443</v>
      </c>
      <c r="B622" s="86">
        <f>INDEX(Data!2283:2283,1,$U$1-2)/1000000</f>
        <v>0.94075699999999995</v>
      </c>
      <c r="C622" s="87">
        <f>INDEX(Data!2283:2283,1,$U$1-1)/1000000</f>
        <v>0.94167900000000004</v>
      </c>
      <c r="D622" s="88">
        <f>B622+C622</f>
        <v>1.882436</v>
      </c>
      <c r="E622" s="89">
        <f>INDEX(Data!2283:2283,1,$U$1)/1000000</f>
        <v>0.94323400000000002</v>
      </c>
      <c r="F622" s="90">
        <f>INDEX(Data!2283:2283,1,$U$1+1)/1000000</f>
        <v>0.94310400000000005</v>
      </c>
      <c r="G622" s="88">
        <f t="shared" si="513"/>
        <v>1.8863380000000001</v>
      </c>
      <c r="H622" s="86">
        <f t="shared" si="514"/>
        <v>3.9020000000000721E-3</v>
      </c>
      <c r="I622" s="447">
        <f t="shared" si="457"/>
        <v>2.0728460356687142E-3</v>
      </c>
      <c r="J622" s="453">
        <f t="shared" si="458"/>
        <v>1.6199670385472296E-3</v>
      </c>
      <c r="K622" s="91">
        <f t="shared" si="515"/>
        <v>0.94075699999999995</v>
      </c>
      <c r="L622" s="87">
        <f t="shared" si="515"/>
        <v>0.94167900000000004</v>
      </c>
      <c r="M622" s="88">
        <f t="shared" si="516"/>
        <v>1.882436</v>
      </c>
      <c r="N622" s="89">
        <f t="shared" si="517"/>
        <v>0.94323400000000002</v>
      </c>
      <c r="O622" s="90">
        <f t="shared" si="517"/>
        <v>0.94310400000000005</v>
      </c>
      <c r="P622" s="88">
        <f t="shared" si="518"/>
        <v>1.8863380000000001</v>
      </c>
      <c r="Q622" s="86">
        <f t="shared" si="519"/>
        <v>3.9020000000000721E-3</v>
      </c>
      <c r="R622" s="447">
        <f t="shared" si="460"/>
        <v>2.0728460356687142E-3</v>
      </c>
      <c r="S622" s="453">
        <f t="shared" si="454"/>
        <v>1.6199670385472296E-3</v>
      </c>
      <c r="T622" s="453">
        <f t="shared" si="455"/>
        <v>1</v>
      </c>
      <c r="U622" s="122"/>
      <c r="V622" s="121"/>
    </row>
    <row r="623" spans="1:22" hidden="1" outlineLevel="1">
      <c r="A623" s="79" t="s">
        <v>1444</v>
      </c>
      <c r="B623" s="86">
        <f>INDEX(Data!2284:2284,1,$U$1-2)/1000000</f>
        <v>0.12665699999999999</v>
      </c>
      <c r="C623" s="87">
        <f>INDEX(Data!2284:2284,1,$U$1-1)/1000000</f>
        <v>0.12661500000000001</v>
      </c>
      <c r="D623" s="88">
        <f>B623+C623</f>
        <v>0.253272</v>
      </c>
      <c r="E623" s="89">
        <f>INDEX(Data!2284:2284,1,$U$1)/1000000</f>
        <v>0.126328</v>
      </c>
      <c r="F623" s="90">
        <f>INDEX(Data!2284:2284,1,$U$1+1)/1000000</f>
        <v>0.12661500000000001</v>
      </c>
      <c r="G623" s="88">
        <f t="shared" si="513"/>
        <v>0.25294300000000003</v>
      </c>
      <c r="H623" s="86">
        <f t="shared" si="514"/>
        <v>-3.2899999999996821E-4</v>
      </c>
      <c r="I623" s="447">
        <f t="shared" si="457"/>
        <v>-1.298998704949494E-3</v>
      </c>
      <c r="J623" s="453">
        <f t="shared" si="458"/>
        <v>2.1722476175067878E-4</v>
      </c>
      <c r="K623" s="91">
        <f t="shared" si="515"/>
        <v>0.12665699999999999</v>
      </c>
      <c r="L623" s="87">
        <f t="shared" si="515"/>
        <v>0.12661500000000001</v>
      </c>
      <c r="M623" s="88">
        <f t="shared" si="516"/>
        <v>0.253272</v>
      </c>
      <c r="N623" s="89">
        <f t="shared" si="517"/>
        <v>0.126328</v>
      </c>
      <c r="O623" s="90">
        <f t="shared" si="517"/>
        <v>0.12661500000000001</v>
      </c>
      <c r="P623" s="88">
        <f t="shared" si="518"/>
        <v>0.25294300000000003</v>
      </c>
      <c r="Q623" s="86">
        <f t="shared" si="519"/>
        <v>-3.2899999999996821E-4</v>
      </c>
      <c r="R623" s="447">
        <f t="shared" si="460"/>
        <v>-1.298998704949494E-3</v>
      </c>
      <c r="S623" s="453">
        <f t="shared" si="454"/>
        <v>2.1722476175067878E-4</v>
      </c>
      <c r="T623" s="453">
        <f t="shared" si="455"/>
        <v>1</v>
      </c>
      <c r="U623" s="122"/>
      <c r="V623" s="121"/>
    </row>
    <row r="624" spans="1:22" hidden="1" outlineLevel="1">
      <c r="A624" s="79" t="s">
        <v>1445</v>
      </c>
      <c r="B624" s="86">
        <f>INDEX(Data!2285:2285,1,$U$1-2)/1000000</f>
        <v>0.52300000000000002</v>
      </c>
      <c r="C624" s="87">
        <f>INDEX(Data!2285:2285,1,$U$1-1)/1000000</f>
        <v>0.50369699999999995</v>
      </c>
      <c r="D624" s="88">
        <f>B624+C624</f>
        <v>1.026697</v>
      </c>
      <c r="E624" s="89">
        <f>INDEX(Data!2285:2285,1,$U$1)/1000000</f>
        <v>0.51032500000000003</v>
      </c>
      <c r="F624" s="90">
        <f>INDEX(Data!2285:2285,1,$U$1+1)/1000000</f>
        <v>0.51147200000000004</v>
      </c>
      <c r="G624" s="88">
        <f t="shared" si="513"/>
        <v>1.0217970000000001</v>
      </c>
      <c r="H624" s="86">
        <f t="shared" si="514"/>
        <v>-4.8999999999999044E-3</v>
      </c>
      <c r="I624" s="447">
        <f t="shared" si="457"/>
        <v>-4.7725862644966378E-3</v>
      </c>
      <c r="J624" s="453">
        <f t="shared" si="458"/>
        <v>8.7750841052157337E-4</v>
      </c>
      <c r="K624" s="91">
        <f t="shared" si="515"/>
        <v>0.52300000000000002</v>
      </c>
      <c r="L624" s="87">
        <f t="shared" si="515"/>
        <v>0.50369699999999995</v>
      </c>
      <c r="M624" s="88">
        <f t="shared" si="516"/>
        <v>1.026697</v>
      </c>
      <c r="N624" s="89">
        <f t="shared" si="517"/>
        <v>0.51032500000000003</v>
      </c>
      <c r="O624" s="90">
        <f t="shared" si="517"/>
        <v>0.51147200000000004</v>
      </c>
      <c r="P624" s="88">
        <f t="shared" si="518"/>
        <v>1.0217970000000001</v>
      </c>
      <c r="Q624" s="86">
        <f t="shared" si="519"/>
        <v>-4.8999999999999044E-3</v>
      </c>
      <c r="R624" s="447">
        <f t="shared" si="460"/>
        <v>-4.7725862644966378E-3</v>
      </c>
      <c r="S624" s="453">
        <f t="shared" si="454"/>
        <v>8.7750841052157337E-4</v>
      </c>
      <c r="T624" s="453">
        <f t="shared" si="455"/>
        <v>1</v>
      </c>
      <c r="U624" s="122"/>
      <c r="V624" s="121"/>
    </row>
    <row r="625" spans="1:22" collapsed="1">
      <c r="A625" s="113" t="s">
        <v>788</v>
      </c>
      <c r="B625" s="105">
        <f>SUM(B620:B624)</f>
        <v>2.073814</v>
      </c>
      <c r="C625" s="106">
        <f>SUM(C620:C624)</f>
        <v>2.0574879999999998</v>
      </c>
      <c r="D625" s="107">
        <f>SUM(D620:D624)</f>
        <v>4.1313019999999998</v>
      </c>
      <c r="E625" s="114">
        <f>SUM(E620:E624)</f>
        <v>2.065712</v>
      </c>
      <c r="F625" s="115">
        <f>SUM(F620:F624)</f>
        <v>2.067663</v>
      </c>
      <c r="G625" s="107">
        <f t="shared" ref="G625:H625" si="520">SUM(G620:G624)</f>
        <v>4.133375</v>
      </c>
      <c r="H625" s="105">
        <f t="shared" si="520"/>
        <v>2.073000000000158E-3</v>
      </c>
      <c r="I625" s="449">
        <f t="shared" si="457"/>
        <v>5.0177885809368522E-4</v>
      </c>
      <c r="J625" s="454">
        <f t="shared" si="458"/>
        <v>3.5496985471082884E-3</v>
      </c>
      <c r="K625" s="405">
        <f t="shared" ref="K625:Q625" si="521">SUM(K620:K624)</f>
        <v>2.073814</v>
      </c>
      <c r="L625" s="106">
        <f t="shared" si="521"/>
        <v>2.0574879999999998</v>
      </c>
      <c r="M625" s="107">
        <f t="shared" si="521"/>
        <v>4.1313019999999998</v>
      </c>
      <c r="N625" s="114">
        <f t="shared" si="521"/>
        <v>2.065712</v>
      </c>
      <c r="O625" s="115">
        <f t="shared" si="521"/>
        <v>2.067663</v>
      </c>
      <c r="P625" s="107">
        <f t="shared" si="521"/>
        <v>4.133375</v>
      </c>
      <c r="Q625" s="105">
        <f t="shared" si="521"/>
        <v>2.073000000000158E-3</v>
      </c>
      <c r="R625" s="449">
        <f t="shared" si="460"/>
        <v>5.0177885809368522E-4</v>
      </c>
      <c r="S625" s="454">
        <f t="shared" si="454"/>
        <v>3.5496985471082884E-3</v>
      </c>
      <c r="T625" s="454">
        <f t="shared" si="455"/>
        <v>1</v>
      </c>
      <c r="U625" s="122"/>
      <c r="V625" s="121"/>
    </row>
    <row r="626" spans="1:22" hidden="1" outlineLevel="1">
      <c r="A626" s="79" t="s">
        <v>1446</v>
      </c>
      <c r="B626" s="86">
        <f>INDEX(Data!2263:2263,1,$U$1-2)/1000000</f>
        <v>1.476081</v>
      </c>
      <c r="C626" s="87">
        <f>INDEX(Data!2263:2263,1,$U$1-1)/1000000</f>
        <v>1.332052</v>
      </c>
      <c r="D626" s="88">
        <f>B626+C626</f>
        <v>2.8081329999999998</v>
      </c>
      <c r="E626" s="89">
        <f>INDEX(Data!2263:2263,1,$U$1)/1000000</f>
        <v>1.3336920000000001</v>
      </c>
      <c r="F626" s="90">
        <f>INDEX(Data!2263:2263,1,$U$1+1)/1000000</f>
        <v>1.319086</v>
      </c>
      <c r="G626" s="88">
        <f t="shared" ref="G626:G628" si="522">E626+F626</f>
        <v>2.6527780000000001</v>
      </c>
      <c r="H626" s="86">
        <f t="shared" ref="H626:H628" si="523">G626-D626</f>
        <v>-0.15535499999999969</v>
      </c>
      <c r="I626" s="447">
        <f t="shared" si="457"/>
        <v>-5.5323234333986213E-2</v>
      </c>
      <c r="J626" s="453">
        <f t="shared" si="458"/>
        <v>2.2781775697585708E-3</v>
      </c>
      <c r="K626" s="91">
        <f t="shared" ref="K626:L628" si="524">B626</f>
        <v>1.476081</v>
      </c>
      <c r="L626" s="87">
        <f t="shared" si="524"/>
        <v>1.332052</v>
      </c>
      <c r="M626" s="88">
        <f t="shared" ref="M626:M628" si="525">K626+L626</f>
        <v>2.8081329999999998</v>
      </c>
      <c r="N626" s="89">
        <f t="shared" ref="N626:O628" si="526">E626</f>
        <v>1.3336920000000001</v>
      </c>
      <c r="O626" s="90">
        <f t="shared" si="526"/>
        <v>1.319086</v>
      </c>
      <c r="P626" s="88">
        <f t="shared" ref="P626:P628" si="527">N626+O626</f>
        <v>2.6527780000000001</v>
      </c>
      <c r="Q626" s="86">
        <f t="shared" ref="Q626:Q628" si="528">P626-M626</f>
        <v>-0.15535499999999969</v>
      </c>
      <c r="R626" s="447">
        <f t="shared" si="460"/>
        <v>-5.5323234333986213E-2</v>
      </c>
      <c r="S626" s="453">
        <f t="shared" si="454"/>
        <v>2.2781775697585708E-3</v>
      </c>
      <c r="T626" s="453">
        <f t="shared" si="455"/>
        <v>1</v>
      </c>
      <c r="U626" s="122"/>
      <c r="V626" s="121"/>
    </row>
    <row r="627" spans="1:22" hidden="1" outlineLevel="1">
      <c r="A627" s="79" t="s">
        <v>1447</v>
      </c>
      <c r="B627" s="86">
        <f>INDEX(Data!2264:2264,1,$U$1-2)/1000000</f>
        <v>1.1584030000000001</v>
      </c>
      <c r="C627" s="87">
        <f>INDEX(Data!2264:2264,1,$U$1-1)/1000000</f>
        <v>0.91955900000000002</v>
      </c>
      <c r="D627" s="88">
        <f>B627+C627</f>
        <v>2.0779620000000003</v>
      </c>
      <c r="E627" s="89">
        <f>INDEX(Data!2264:2264,1,$U$1)/1000000</f>
        <v>0.91831499999999999</v>
      </c>
      <c r="F627" s="90">
        <f>INDEX(Data!2264:2264,1,$U$1+1)/1000000</f>
        <v>0.91233699999999995</v>
      </c>
      <c r="G627" s="88">
        <f t="shared" si="522"/>
        <v>1.8306519999999999</v>
      </c>
      <c r="H627" s="86">
        <f t="shared" si="523"/>
        <v>-0.24731000000000036</v>
      </c>
      <c r="I627" s="447">
        <f t="shared" si="457"/>
        <v>-0.11901565091180702</v>
      </c>
      <c r="J627" s="453">
        <f t="shared" si="458"/>
        <v>1.5721444932194351E-3</v>
      </c>
      <c r="K627" s="91">
        <f t="shared" si="524"/>
        <v>1.1584030000000001</v>
      </c>
      <c r="L627" s="87">
        <f t="shared" si="524"/>
        <v>0.91955900000000002</v>
      </c>
      <c r="M627" s="88">
        <f t="shared" si="525"/>
        <v>2.0779620000000003</v>
      </c>
      <c r="N627" s="89">
        <f t="shared" si="526"/>
        <v>0.91831499999999999</v>
      </c>
      <c r="O627" s="90">
        <f t="shared" si="526"/>
        <v>0.91233699999999995</v>
      </c>
      <c r="P627" s="88">
        <f t="shared" si="527"/>
        <v>1.8306519999999999</v>
      </c>
      <c r="Q627" s="86">
        <f t="shared" si="528"/>
        <v>-0.24731000000000036</v>
      </c>
      <c r="R627" s="447">
        <f t="shared" si="460"/>
        <v>-0.11901565091180702</v>
      </c>
      <c r="S627" s="453">
        <f t="shared" si="454"/>
        <v>1.5721444932194351E-3</v>
      </c>
      <c r="T627" s="453">
        <f t="shared" si="455"/>
        <v>1</v>
      </c>
      <c r="U627" s="122"/>
      <c r="V627" s="121"/>
    </row>
    <row r="628" spans="1:22" hidden="1" outlineLevel="1">
      <c r="A628" s="79" t="s">
        <v>1448</v>
      </c>
      <c r="B628" s="86">
        <f>INDEX(Data!2265:2265,1,$U$1-2)/1000000</f>
        <v>1.4662109999999999</v>
      </c>
      <c r="C628" s="87">
        <f>INDEX(Data!2265:2265,1,$U$1-1)/1000000</f>
        <v>1.2681800000000001</v>
      </c>
      <c r="D628" s="88">
        <f>B628+C628</f>
        <v>2.734391</v>
      </c>
      <c r="E628" s="89">
        <f>INDEX(Data!2265:2265,1,$U$1)/1000000</f>
        <v>1.272753</v>
      </c>
      <c r="F628" s="90">
        <f>INDEX(Data!2265:2265,1,$U$1+1)/1000000</f>
        <v>1.2524930000000001</v>
      </c>
      <c r="G628" s="88">
        <f t="shared" si="522"/>
        <v>2.5252460000000001</v>
      </c>
      <c r="H628" s="86">
        <f t="shared" si="523"/>
        <v>-0.20914499999999991</v>
      </c>
      <c r="I628" s="447">
        <f t="shared" si="457"/>
        <v>-7.6486866728276939E-2</v>
      </c>
      <c r="J628" s="453">
        <f t="shared" si="458"/>
        <v>2.1686544427473959E-3</v>
      </c>
      <c r="K628" s="91">
        <f t="shared" si="524"/>
        <v>1.4662109999999999</v>
      </c>
      <c r="L628" s="87">
        <f t="shared" si="524"/>
        <v>1.2681800000000001</v>
      </c>
      <c r="M628" s="88">
        <f t="shared" si="525"/>
        <v>2.734391</v>
      </c>
      <c r="N628" s="89">
        <f t="shared" si="526"/>
        <v>1.272753</v>
      </c>
      <c r="O628" s="90">
        <f t="shared" si="526"/>
        <v>1.2524930000000001</v>
      </c>
      <c r="P628" s="88">
        <f t="shared" si="527"/>
        <v>2.5252460000000001</v>
      </c>
      <c r="Q628" s="86">
        <f t="shared" si="528"/>
        <v>-0.20914499999999991</v>
      </c>
      <c r="R628" s="447">
        <f t="shared" si="460"/>
        <v>-7.6486866728276939E-2</v>
      </c>
      <c r="S628" s="453">
        <f t="shared" ref="S628:S630" si="529">IFERROR(P628/P$456,"")</f>
        <v>2.1686544427473959E-3</v>
      </c>
      <c r="T628" s="453">
        <f t="shared" ref="T628:T630" si="530">IFERROR(P628/G628,"")</f>
        <v>1</v>
      </c>
      <c r="U628" s="122"/>
      <c r="V628" s="121"/>
    </row>
    <row r="629" spans="1:22" collapsed="1">
      <c r="A629" s="113" t="s">
        <v>789</v>
      </c>
      <c r="B629" s="105">
        <f>SUM(B626:B628)</f>
        <v>4.100695</v>
      </c>
      <c r="C629" s="106">
        <f t="shared" ref="C629:H629" si="531">SUM(C626:C628)</f>
        <v>3.5197910000000001</v>
      </c>
      <c r="D629" s="107">
        <f t="shared" si="531"/>
        <v>7.6204859999999996</v>
      </c>
      <c r="E629" s="114">
        <f t="shared" si="531"/>
        <v>3.5247599999999997</v>
      </c>
      <c r="F629" s="115">
        <f t="shared" si="531"/>
        <v>3.4839159999999998</v>
      </c>
      <c r="G629" s="107">
        <f t="shared" si="531"/>
        <v>7.0086760000000004</v>
      </c>
      <c r="H629" s="105">
        <f t="shared" si="531"/>
        <v>-0.61180999999999996</v>
      </c>
      <c r="I629" s="449">
        <f t="shared" ref="I629:I630" si="532">IFERROR(H629/D629,"")</f>
        <v>-8.0284905713362636E-2</v>
      </c>
      <c r="J629" s="454">
        <f t="shared" ref="J629:J630" si="533">IFERROR(G629/G$456,"")</f>
        <v>6.0189765057254022E-3</v>
      </c>
      <c r="K629" s="405">
        <f t="shared" ref="K629:Q629" si="534">SUM(K626:K628)</f>
        <v>4.100695</v>
      </c>
      <c r="L629" s="106">
        <f t="shared" si="534"/>
        <v>3.5197910000000001</v>
      </c>
      <c r="M629" s="107">
        <f t="shared" si="534"/>
        <v>7.6204859999999996</v>
      </c>
      <c r="N629" s="114">
        <f t="shared" si="534"/>
        <v>3.5247599999999997</v>
      </c>
      <c r="O629" s="115">
        <f t="shared" si="534"/>
        <v>3.4839159999999998</v>
      </c>
      <c r="P629" s="107">
        <f t="shared" si="534"/>
        <v>7.0086760000000004</v>
      </c>
      <c r="Q629" s="105">
        <f t="shared" si="534"/>
        <v>-0.61180999999999996</v>
      </c>
      <c r="R629" s="449">
        <f t="shared" ref="R629:R630" si="535">IFERROR(Q629/M629,"")</f>
        <v>-8.0284905713362636E-2</v>
      </c>
      <c r="S629" s="454">
        <f t="shared" si="529"/>
        <v>6.0189765057254022E-3</v>
      </c>
      <c r="T629" s="454">
        <f t="shared" si="530"/>
        <v>1</v>
      </c>
      <c r="U629" s="122"/>
    </row>
    <row r="630" spans="1:22" ht="13.5" thickBot="1">
      <c r="A630" s="95" t="s">
        <v>280</v>
      </c>
      <c r="B630" s="96">
        <f>B600+B607+B619+B625+B629</f>
        <v>512.46381000000008</v>
      </c>
      <c r="C630" s="97">
        <f t="shared" ref="C630:H630" si="536">C600+C607+C619+C625+C629</f>
        <v>505.87740399999996</v>
      </c>
      <c r="D630" s="98">
        <f t="shared" si="536"/>
        <v>1018.3412140000002</v>
      </c>
      <c r="E630" s="96">
        <f t="shared" si="536"/>
        <v>503.43965999999995</v>
      </c>
      <c r="F630" s="97">
        <f t="shared" si="536"/>
        <v>501.29356100000007</v>
      </c>
      <c r="G630" s="98">
        <f t="shared" si="536"/>
        <v>1004.7332209999998</v>
      </c>
      <c r="H630" s="96">
        <f t="shared" si="536"/>
        <v>-13.607993000000009</v>
      </c>
      <c r="I630" s="451">
        <f t="shared" si="532"/>
        <v>-1.3362901169980543E-2</v>
      </c>
      <c r="J630" s="455">
        <f t="shared" si="533"/>
        <v>0.86285421836033038</v>
      </c>
      <c r="K630" s="100">
        <f t="shared" ref="K630:Q630" si="537">K600+K607+K619+K625+K629</f>
        <v>512.46381000000008</v>
      </c>
      <c r="L630" s="97">
        <f t="shared" si="537"/>
        <v>505.87740399999996</v>
      </c>
      <c r="M630" s="98">
        <f t="shared" si="537"/>
        <v>1018.3412140000002</v>
      </c>
      <c r="N630" s="96">
        <f t="shared" si="537"/>
        <v>503.43965999999995</v>
      </c>
      <c r="O630" s="97">
        <f t="shared" si="537"/>
        <v>501.29356100000007</v>
      </c>
      <c r="P630" s="98">
        <f t="shared" si="537"/>
        <v>1004.7332209999998</v>
      </c>
      <c r="Q630" s="96">
        <f t="shared" si="537"/>
        <v>-13.607993000000009</v>
      </c>
      <c r="R630" s="451">
        <f t="shared" si="535"/>
        <v>-1.3362901169980543E-2</v>
      </c>
      <c r="S630" s="455">
        <f t="shared" si="529"/>
        <v>0.86285421836033038</v>
      </c>
      <c r="T630" s="455">
        <f t="shared" si="530"/>
        <v>1</v>
      </c>
      <c r="U630" s="122"/>
    </row>
    <row r="631" spans="1:22">
      <c r="T631" s="1180"/>
    </row>
    <row r="632" spans="1:22">
      <c r="T632" s="410"/>
    </row>
    <row r="633" spans="1:22">
      <c r="T633" s="410"/>
    </row>
    <row r="634" spans="1:22">
      <c r="T634" s="410"/>
    </row>
    <row r="635" spans="1:22">
      <c r="T635" s="410"/>
    </row>
    <row r="636" spans="1:22">
      <c r="T636" s="410"/>
    </row>
    <row r="637" spans="1:22">
      <c r="T637" s="410"/>
    </row>
    <row r="638" spans="1:22">
      <c r="T638" s="410"/>
    </row>
    <row r="639" spans="1:22">
      <c r="T639" s="410"/>
    </row>
    <row r="640" spans="1:22">
      <c r="T640" s="410"/>
    </row>
    <row r="641" spans="1:20">
      <c r="T641" s="410"/>
    </row>
    <row r="642" spans="1:20">
      <c r="T642" s="410"/>
    </row>
    <row r="643" spans="1:20">
      <c r="T643" s="410"/>
    </row>
    <row r="644" spans="1:20">
      <c r="T644" s="410"/>
    </row>
    <row r="645" spans="1:20">
      <c r="T645" s="410"/>
    </row>
    <row r="646" spans="1:20">
      <c r="T646" s="410"/>
    </row>
    <row r="647" spans="1:20">
      <c r="T647" s="410"/>
    </row>
    <row r="648" spans="1:20">
      <c r="T648" s="410"/>
    </row>
    <row r="649" spans="1:20">
      <c r="J649" s="411"/>
      <c r="T649" s="411"/>
    </row>
    <row r="650" spans="1:20" ht="13.5" thickBot="1">
      <c r="T650" s="1179"/>
    </row>
    <row r="651" spans="1:20" ht="13.5" customHeight="1" thickBot="1">
      <c r="A651" s="536" t="s">
        <v>811</v>
      </c>
      <c r="B651" s="537"/>
      <c r="C651" s="537"/>
      <c r="D651" s="537"/>
      <c r="E651" s="537"/>
      <c r="F651" s="537"/>
      <c r="G651" s="537"/>
      <c r="H651" s="537"/>
      <c r="I651" s="537"/>
      <c r="J651" s="537"/>
      <c r="K651" s="537"/>
      <c r="L651" s="537"/>
      <c r="M651" s="537"/>
      <c r="N651" s="537"/>
      <c r="O651" s="537"/>
      <c r="P651" s="537"/>
      <c r="Q651" s="537"/>
      <c r="R651" s="537"/>
      <c r="S651" s="537"/>
      <c r="T651" s="538"/>
    </row>
    <row r="652" spans="1:20" ht="13.5" thickBot="1">
      <c r="A652" s="535" t="s">
        <v>1318</v>
      </c>
      <c r="B652" s="1292" t="s">
        <v>2</v>
      </c>
      <c r="C652" s="1293"/>
      <c r="D652" s="1293"/>
      <c r="E652" s="1293"/>
      <c r="F652" s="1293"/>
      <c r="G652" s="1293"/>
      <c r="H652" s="1293"/>
      <c r="I652" s="1293"/>
      <c r="J652" s="1294"/>
      <c r="K652" s="1295" t="s">
        <v>764</v>
      </c>
      <c r="L652" s="1295"/>
      <c r="M652" s="1295"/>
      <c r="N652" s="1295"/>
      <c r="O652" s="1295"/>
      <c r="P652" s="1295"/>
      <c r="Q652" s="1295"/>
      <c r="R652" s="1295"/>
      <c r="S652" s="1295"/>
      <c r="T652" s="1296"/>
    </row>
    <row r="653" spans="1:20" ht="25.5">
      <c r="A653" s="73" t="s">
        <v>772</v>
      </c>
      <c r="B653" s="74">
        <f>E653-2</f>
        <v>2018</v>
      </c>
      <c r="C653" s="75">
        <f>B653+1</f>
        <v>2019</v>
      </c>
      <c r="D653" s="76" t="str">
        <f>B653&amp;"-"&amp;C653</f>
        <v>2018-2019</v>
      </c>
      <c r="E653" s="74" t="str">
        <f>$T$1</f>
        <v>2020</v>
      </c>
      <c r="F653" s="75">
        <f>E653+1</f>
        <v>2021</v>
      </c>
      <c r="G653" s="76" t="str">
        <f>E653&amp;"-"&amp;F653</f>
        <v>2020-2021</v>
      </c>
      <c r="H653" s="74" t="s">
        <v>767</v>
      </c>
      <c r="I653" s="75" t="s">
        <v>768</v>
      </c>
      <c r="J653" s="77" t="s">
        <v>769</v>
      </c>
      <c r="K653" s="77">
        <f>N653-2</f>
        <v>2018</v>
      </c>
      <c r="L653" s="75">
        <f>K653+1</f>
        <v>2019</v>
      </c>
      <c r="M653" s="76" t="str">
        <f>K653&amp;"-"&amp;L653</f>
        <v>2018-2019</v>
      </c>
      <c r="N653" s="74" t="str">
        <f>$T$1</f>
        <v>2020</v>
      </c>
      <c r="O653" s="75">
        <f>N653+1</f>
        <v>2021</v>
      </c>
      <c r="P653" s="76" t="str">
        <f>N653&amp;"-"&amp;O653</f>
        <v>2020-2021</v>
      </c>
      <c r="Q653" s="74" t="s">
        <v>767</v>
      </c>
      <c r="R653" s="75" t="s">
        <v>768</v>
      </c>
      <c r="S653" s="78" t="s">
        <v>769</v>
      </c>
      <c r="T653" s="78" t="s">
        <v>770</v>
      </c>
    </row>
    <row r="654" spans="1:20" ht="25.5" hidden="1" outlineLevel="1">
      <c r="A654" s="79" t="s">
        <v>812</v>
      </c>
      <c r="B654" s="86">
        <f>(INDEX(Data!2297:2297,1,$U$1-2)+INDEX(Data!2310:2310,1,$U$1-2))/1000000</f>
        <v>1.224</v>
      </c>
      <c r="C654" s="87">
        <f>(INDEX(Data!2297:2297,1,$U$1-1)+INDEX(Data!2310:2310,1,$U$1-1))/1000000</f>
        <v>1.224</v>
      </c>
      <c r="D654" s="82">
        <f t="shared" ref="D654" si="538">B654+C654</f>
        <v>2.448</v>
      </c>
      <c r="E654" s="89">
        <f>(INDEX(Data!2297:2297,1,$U$1)+INDEX(Data!2310:2310,1,$U$1))/1000000</f>
        <v>1.256</v>
      </c>
      <c r="F654" s="90">
        <f>(INDEX(Data!2297:2297,1,$U$1+1)+INDEX(Data!2310:2310,1,$U$1+1))/1000000</f>
        <v>1.256</v>
      </c>
      <c r="G654" s="88">
        <f t="shared" ref="G654" si="539">E654+F654</f>
        <v>2.512</v>
      </c>
      <c r="H654" s="86">
        <f t="shared" ref="H654" si="540">G654-D654</f>
        <v>6.4000000000000057E-2</v>
      </c>
      <c r="I654" s="84">
        <f t="shared" ref="I654:I672" si="541">IFERROR(H654/D654,"")</f>
        <v>2.6143790849673228E-2</v>
      </c>
      <c r="J654" s="412">
        <f t="shared" ref="J654:J672" si="542">IFERROR(G654/G$672,"")</f>
        <v>1.1218132732517773E-2</v>
      </c>
      <c r="K654" s="91"/>
      <c r="L654" s="87"/>
      <c r="M654" s="88"/>
      <c r="N654" s="89"/>
      <c r="O654" s="90"/>
      <c r="P654" s="88"/>
      <c r="Q654" s="86"/>
      <c r="R654" s="84"/>
      <c r="S654" s="85"/>
      <c r="T654" s="85"/>
    </row>
    <row r="655" spans="1:20" collapsed="1">
      <c r="A655" s="104" t="s">
        <v>784</v>
      </c>
      <c r="B655" s="105">
        <f t="shared" ref="B655:H655" si="543">SUM(B654:B654)</f>
        <v>1.224</v>
      </c>
      <c r="C655" s="106">
        <f t="shared" si="543"/>
        <v>1.224</v>
      </c>
      <c r="D655" s="124">
        <f t="shared" si="543"/>
        <v>2.448</v>
      </c>
      <c r="E655" s="105">
        <f t="shared" si="543"/>
        <v>1.256</v>
      </c>
      <c r="F655" s="106">
        <f t="shared" si="543"/>
        <v>1.256</v>
      </c>
      <c r="G655" s="107">
        <f t="shared" si="543"/>
        <v>2.512</v>
      </c>
      <c r="H655" s="105">
        <f t="shared" si="543"/>
        <v>6.4000000000000057E-2</v>
      </c>
      <c r="I655" s="447">
        <f t="shared" si="541"/>
        <v>2.6143790849673228E-2</v>
      </c>
      <c r="J655" s="453">
        <f t="shared" si="542"/>
        <v>1.1218132732517773E-2</v>
      </c>
      <c r="K655" s="485"/>
      <c r="L655" s="467"/>
      <c r="M655" s="467"/>
      <c r="N655" s="467"/>
      <c r="O655" s="467"/>
      <c r="P655" s="467"/>
      <c r="Q655" s="467"/>
      <c r="R655" s="486"/>
      <c r="S655" s="486"/>
      <c r="T655" s="487"/>
    </row>
    <row r="656" spans="1:20" ht="25.5" hidden="1" outlineLevel="1">
      <c r="A656" s="79" t="s">
        <v>1433</v>
      </c>
      <c r="B656" s="86">
        <f>(INDEX(Data!2298:2298,1,$U$1-2)+INDEX(Data!2311:2311,1,$U$1-2))/1000000</f>
        <v>5.7449719999999997</v>
      </c>
      <c r="C656" s="87">
        <f>(INDEX(Data!2298:2298,1,$U$1-1)+INDEX(Data!2311:2311,1,$U$1-1))/1000000</f>
        <v>5.7449719999999997</v>
      </c>
      <c r="D656" s="82">
        <f t="shared" ref="D656:D667" si="544">B656+C656</f>
        <v>11.489943999999999</v>
      </c>
      <c r="E656" s="89">
        <f>(INDEX(Data!2298:2298,1,$U$1)+INDEX(Data!2311:2311,1,$U$1))/1000000</f>
        <v>6.0263640000000001</v>
      </c>
      <c r="F656" s="90">
        <f>(INDEX(Data!2298:2298,1,$U$1+1)+INDEX(Data!2311:2311,1,$U$1+1))/1000000</f>
        <v>6.0263640000000001</v>
      </c>
      <c r="G656" s="88">
        <f t="shared" ref="G656:G667" si="545">E656+F656</f>
        <v>12.052728</v>
      </c>
      <c r="H656" s="86">
        <f t="shared" ref="H656:H667" si="546">G656-D656</f>
        <v>0.56278400000000062</v>
      </c>
      <c r="I656" s="447">
        <f t="shared" si="541"/>
        <v>4.8980569444028677E-2</v>
      </c>
      <c r="J656" s="453">
        <f t="shared" si="542"/>
        <v>5.3825279654830201E-2</v>
      </c>
      <c r="K656" s="475"/>
      <c r="L656" s="469"/>
      <c r="M656" s="469"/>
      <c r="N656" s="131"/>
      <c r="O656" s="131"/>
      <c r="P656" s="469"/>
      <c r="Q656" s="469"/>
      <c r="R656" s="476"/>
      <c r="S656" s="476"/>
      <c r="T656" s="477"/>
    </row>
    <row r="657" spans="1:20" ht="25.5" hidden="1" outlineLevel="1">
      <c r="A657" s="79" t="s">
        <v>1434</v>
      </c>
      <c r="B657" s="86">
        <f>(INDEX(Data!2299:2299,1,$U$1-2)+INDEX(Data!2312:2312,1,$U$1-2))/1000000</f>
        <v>3.4814419999999999</v>
      </c>
      <c r="C657" s="87">
        <f>(INDEX(Data!2299:2299,1,$U$1-1)+INDEX(Data!2312:2312,1,$U$1-1))/1000000</f>
        <v>3.4814419999999999</v>
      </c>
      <c r="D657" s="82">
        <f t="shared" si="544"/>
        <v>6.9628839999999999</v>
      </c>
      <c r="E657" s="89">
        <f>(INDEX(Data!2299:2299,1,$U$1)+INDEX(Data!2312:2312,1,$U$1))/1000000</f>
        <v>3.4814419999999999</v>
      </c>
      <c r="F657" s="90">
        <f>(INDEX(Data!2299:2299,1,$U$1+1)+INDEX(Data!2312:2312,1,$U$1+1))/1000000</f>
        <v>3.4814419999999999</v>
      </c>
      <c r="G657" s="88">
        <f t="shared" si="545"/>
        <v>6.9628839999999999</v>
      </c>
      <c r="H657" s="86">
        <f t="shared" si="546"/>
        <v>0</v>
      </c>
      <c r="I657" s="449">
        <f t="shared" si="541"/>
        <v>0</v>
      </c>
      <c r="J657" s="454">
        <f t="shared" si="542"/>
        <v>3.109496692401444E-2</v>
      </c>
      <c r="K657" s="475"/>
      <c r="L657" s="469"/>
      <c r="M657" s="469"/>
      <c r="N657" s="131"/>
      <c r="O657" s="131"/>
      <c r="P657" s="469"/>
      <c r="Q657" s="469"/>
      <c r="R657" s="476"/>
      <c r="S657" s="476"/>
      <c r="T657" s="477"/>
    </row>
    <row r="658" spans="1:20" ht="25.5" hidden="1" outlineLevel="1">
      <c r="A658" s="79" t="s">
        <v>1435</v>
      </c>
      <c r="B658" s="86">
        <f>(INDEX(Data!2300:2300,1,$U$1-2)+INDEX(Data!2313:2313,1,$U$1-2))/1000000</f>
        <v>3.581248</v>
      </c>
      <c r="C658" s="87">
        <f>(INDEX(Data!2300:2300,1,$U$1-1)+INDEX(Data!2313:2313,1,$U$1-1))/1000000</f>
        <v>3.581248</v>
      </c>
      <c r="D658" s="82">
        <f t="shared" si="544"/>
        <v>7.162496</v>
      </c>
      <c r="E658" s="89">
        <f>(INDEX(Data!2300:2300,1,$U$1)+INDEX(Data!2313:2313,1,$U$1))/1000000</f>
        <v>3.6380140000000001</v>
      </c>
      <c r="F658" s="90">
        <f>(INDEX(Data!2300:2300,1,$U$1+1)+INDEX(Data!2313:2313,1,$U$1+1))/1000000</f>
        <v>3.6380140000000001</v>
      </c>
      <c r="G658" s="88">
        <f t="shared" si="545"/>
        <v>7.2760280000000002</v>
      </c>
      <c r="H658" s="86">
        <f t="shared" si="546"/>
        <v>0.11353200000000019</v>
      </c>
      <c r="I658" s="447">
        <f t="shared" si="541"/>
        <v>1.5850898904515996E-2</v>
      </c>
      <c r="J658" s="453">
        <f t="shared" si="542"/>
        <v>3.2493410776081137E-2</v>
      </c>
      <c r="K658" s="475"/>
      <c r="L658" s="469"/>
      <c r="M658" s="469"/>
      <c r="N658" s="131"/>
      <c r="O658" s="131"/>
      <c r="P658" s="469"/>
      <c r="Q658" s="469"/>
      <c r="R658" s="476"/>
      <c r="S658" s="476"/>
      <c r="T658" s="477"/>
    </row>
    <row r="659" spans="1:20" ht="25.5" hidden="1" outlineLevel="1">
      <c r="A659" s="79" t="s">
        <v>1436</v>
      </c>
      <c r="B659" s="86">
        <f>(INDEX(Data!2301:2301,1,$U$1-2)+INDEX(Data!2314:2314,1,$U$1-2))/1000000</f>
        <v>13.936055</v>
      </c>
      <c r="C659" s="87">
        <f>(INDEX(Data!2301:2301,1,$U$1-1)+INDEX(Data!2314:2314,1,$U$1-1))/1000000</f>
        <v>13.936055</v>
      </c>
      <c r="D659" s="82">
        <f t="shared" si="544"/>
        <v>27.872109999999999</v>
      </c>
      <c r="E659" s="89">
        <f>(INDEX(Data!2301:2301,1,$U$1)+INDEX(Data!2314:2314,1,$U$1))/1000000</f>
        <v>14.505179999999999</v>
      </c>
      <c r="F659" s="90">
        <f>(INDEX(Data!2301:2301,1,$U$1+1)+INDEX(Data!2314:2314,1,$U$1+1))/1000000</f>
        <v>14.505179999999999</v>
      </c>
      <c r="G659" s="88">
        <f t="shared" si="545"/>
        <v>29.010359999999999</v>
      </c>
      <c r="H659" s="86">
        <f t="shared" si="546"/>
        <v>1.1382499999999993</v>
      </c>
      <c r="I659" s="447">
        <f t="shared" si="541"/>
        <v>4.0838314716754469E-2</v>
      </c>
      <c r="J659" s="453">
        <f t="shared" si="542"/>
        <v>0.12955496381294754</v>
      </c>
      <c r="K659" s="475"/>
      <c r="L659" s="469"/>
      <c r="M659" s="469"/>
      <c r="N659" s="131"/>
      <c r="O659" s="131"/>
      <c r="P659" s="469"/>
      <c r="Q659" s="469"/>
      <c r="R659" s="476"/>
      <c r="S659" s="476"/>
      <c r="T659" s="477"/>
    </row>
    <row r="660" spans="1:20" ht="25.5" hidden="1" outlineLevel="1">
      <c r="A660" s="79" t="s">
        <v>1668</v>
      </c>
      <c r="B660" s="86">
        <f>(INDEX(Data!2302:2302,1,$U$1-2)+INDEX(Data!2315:2315,1,$U$1-2))/1000000</f>
        <v>1.2495000000000001</v>
      </c>
      <c r="C660" s="87">
        <f>(INDEX(Data!2302:2302,1,$U$1-1)+INDEX(Data!2315:2315,1,$U$1-1))/1000000</f>
        <v>1.2495000000000001</v>
      </c>
      <c r="D660" s="82">
        <f t="shared" ref="D660" si="547">B660+C660</f>
        <v>2.4990000000000001</v>
      </c>
      <c r="E660" s="89">
        <f>(INDEX(Data!2302:2302,1,$U$1)+INDEX(Data!2315:2315,1,$U$1))/1000000</f>
        <v>1.2495000000000001</v>
      </c>
      <c r="F660" s="90">
        <f>(INDEX(Data!2302:2302,1,$U$1+1)+INDEX(Data!2315:2315,1,$U$1+1))/1000000</f>
        <v>1.2495000000000001</v>
      </c>
      <c r="G660" s="88">
        <f t="shared" ref="G660" si="548">E660+F660</f>
        <v>2.4990000000000001</v>
      </c>
      <c r="H660" s="86">
        <f t="shared" ref="H660" si="549">G660-D660</f>
        <v>0</v>
      </c>
      <c r="I660" s="447">
        <f t="shared" ref="I660" si="550">IFERROR(H660/D660,"")</f>
        <v>0</v>
      </c>
      <c r="J660" s="453">
        <f t="shared" si="542"/>
        <v>1.1160077109300124E-2</v>
      </c>
      <c r="K660" s="475"/>
      <c r="L660" s="469"/>
      <c r="M660" s="469"/>
      <c r="N660" s="131"/>
      <c r="O660" s="131"/>
      <c r="P660" s="469"/>
      <c r="Q660" s="469"/>
      <c r="R660" s="476"/>
      <c r="S660" s="476"/>
      <c r="T660" s="477"/>
    </row>
    <row r="661" spans="1:20" ht="25.5" hidden="1" outlineLevel="1">
      <c r="A661" s="79" t="s">
        <v>1437</v>
      </c>
      <c r="B661" s="86">
        <f>(INDEX(Data!2303:2303,1,$U$1-2)+INDEX(Data!2316:2316,1,$U$1-2))/1000000</f>
        <v>8.639678</v>
      </c>
      <c r="C661" s="87">
        <f>(INDEX(Data!2303:2303,1,$U$1-1)+INDEX(Data!2316:2316,1,$U$1-1))/1000000</f>
        <v>8.639678</v>
      </c>
      <c r="D661" s="82">
        <f t="shared" si="544"/>
        <v>17.279356</v>
      </c>
      <c r="E661" s="89">
        <f>(INDEX(Data!2303:2303,1,$U$1)+INDEX(Data!2316:2316,1,$U$1))/1000000</f>
        <v>8.9050580000000004</v>
      </c>
      <c r="F661" s="90">
        <f>(INDEX(Data!2303:2303,1,$U$1+1)+INDEX(Data!2316:2316,1,$U$1+1))/1000000</f>
        <v>8.9050580000000004</v>
      </c>
      <c r="G661" s="88">
        <f t="shared" si="545"/>
        <v>17.810116000000001</v>
      </c>
      <c r="H661" s="86">
        <f t="shared" si="546"/>
        <v>0.53076000000000079</v>
      </c>
      <c r="I661" s="447">
        <f t="shared" si="541"/>
        <v>3.0716422533339831E-2</v>
      </c>
      <c r="J661" s="453">
        <f t="shared" si="542"/>
        <v>7.9536721842969144E-2</v>
      </c>
      <c r="K661" s="475"/>
      <c r="L661" s="469"/>
      <c r="M661" s="469"/>
      <c r="N661" s="131"/>
      <c r="O661" s="131"/>
      <c r="P661" s="469"/>
      <c r="Q661" s="469"/>
      <c r="R661" s="476"/>
      <c r="S661" s="476"/>
      <c r="T661" s="477"/>
    </row>
    <row r="662" spans="1:20" ht="15.75" hidden="1" customHeight="1" outlineLevel="1">
      <c r="A662" s="79" t="s">
        <v>1438</v>
      </c>
      <c r="B662" s="86">
        <f>(INDEX(Data!2304:2304,1,$U$1-2)+INDEX(Data!2317:2317,1,$U$1-2))/1000000</f>
        <v>2.8960560000000002</v>
      </c>
      <c r="C662" s="87">
        <f>(INDEX(Data!2304:2304,1,$U$1-1)+INDEX(Data!2317:2317,1,$U$1-1))/1000000</f>
        <v>2.8960560000000002</v>
      </c>
      <c r="D662" s="82">
        <f t="shared" si="544"/>
        <v>5.7921120000000004</v>
      </c>
      <c r="E662" s="89">
        <f>(INDEX(Data!2304:2304,1,$U$1)+INDEX(Data!2317:2317,1,$U$1))/1000000</f>
        <v>2.9892050000000001</v>
      </c>
      <c r="F662" s="90">
        <f>(INDEX(Data!2304:2304,1,$U$1+1)+INDEX(Data!2317:2317,1,$U$1+1))/1000000</f>
        <v>2.9892050000000001</v>
      </c>
      <c r="G662" s="88">
        <f t="shared" si="545"/>
        <v>5.9784100000000002</v>
      </c>
      <c r="H662" s="86">
        <f t="shared" si="546"/>
        <v>0.18629799999999985</v>
      </c>
      <c r="I662" s="447">
        <f t="shared" si="541"/>
        <v>3.2164087987248839E-2</v>
      </c>
      <c r="J662" s="453">
        <f t="shared" si="542"/>
        <v>2.6698486030816711E-2</v>
      </c>
      <c r="K662" s="475"/>
      <c r="L662" s="469"/>
      <c r="M662" s="469"/>
      <c r="N662" s="131"/>
      <c r="O662" s="131"/>
      <c r="P662" s="469"/>
      <c r="Q662" s="469"/>
      <c r="R662" s="476"/>
      <c r="S662" s="476"/>
      <c r="T662" s="477"/>
    </row>
    <row r="663" spans="1:20" ht="25.5" hidden="1" outlineLevel="1">
      <c r="A663" s="79" t="s">
        <v>1439</v>
      </c>
      <c r="B663" s="86">
        <f>(INDEX(Data!2305:2305,1,$U$1-2)+INDEX(Data!2318:2318,1,$U$1-2))/1000000</f>
        <v>2.6891929999999999</v>
      </c>
      <c r="C663" s="87">
        <f>(INDEX(Data!2305:2305,1,$U$1-1)+INDEX(Data!2318:2318,1,$U$1-1))/1000000</f>
        <v>2.6891929999999999</v>
      </c>
      <c r="D663" s="82">
        <f t="shared" si="544"/>
        <v>5.3783859999999999</v>
      </c>
      <c r="E663" s="89">
        <f>(INDEX(Data!2305:2305,1,$U$1)+INDEX(Data!2318:2318,1,$U$1))/1000000</f>
        <v>2.6891929999999999</v>
      </c>
      <c r="F663" s="90">
        <f>(INDEX(Data!2305:2305,1,$U$1+1)+INDEX(Data!2318:2318,1,$U$1+1))/1000000</f>
        <v>2.6891929999999999</v>
      </c>
      <c r="G663" s="88">
        <f t="shared" si="545"/>
        <v>5.3783859999999999</v>
      </c>
      <c r="H663" s="86">
        <f t="shared" si="546"/>
        <v>0</v>
      </c>
      <c r="I663" s="447">
        <f t="shared" si="541"/>
        <v>0</v>
      </c>
      <c r="J663" s="453">
        <f t="shared" si="542"/>
        <v>2.4018888548851643E-2</v>
      </c>
      <c r="K663" s="475"/>
      <c r="L663" s="469"/>
      <c r="M663" s="469"/>
      <c r="N663" s="131"/>
      <c r="O663" s="131"/>
      <c r="P663" s="469"/>
      <c r="Q663" s="469"/>
      <c r="R663" s="476"/>
      <c r="S663" s="476"/>
      <c r="T663" s="477"/>
    </row>
    <row r="664" spans="1:20" ht="25.5" hidden="1" outlineLevel="1">
      <c r="A664" s="79" t="s">
        <v>1440</v>
      </c>
      <c r="B664" s="86">
        <f>(INDEX(Data!2306:2306,1,$U$1-2)+INDEX(Data!2319:2319,1,$U$1-2))/1000000</f>
        <v>2.169613</v>
      </c>
      <c r="C664" s="87">
        <f>(INDEX(Data!2306:2306,1,$U$1-1)+INDEX(Data!2319:2319,1,$U$1-1))/1000000</f>
        <v>2.169613</v>
      </c>
      <c r="D664" s="82">
        <f t="shared" si="544"/>
        <v>4.339226</v>
      </c>
      <c r="E664" s="89">
        <f>(INDEX(Data!2306:2306,1,$U$1)+INDEX(Data!2319:2319,1,$U$1))/1000000</f>
        <v>2.169613</v>
      </c>
      <c r="F664" s="90">
        <f>(INDEX(Data!2306:2306,1,$U$1+1)+INDEX(Data!2319:2319,1,$U$1+1))/1000000</f>
        <v>2.169613</v>
      </c>
      <c r="G664" s="88">
        <f t="shared" si="545"/>
        <v>4.339226</v>
      </c>
      <c r="H664" s="86">
        <f t="shared" si="546"/>
        <v>0</v>
      </c>
      <c r="I664" s="447">
        <f t="shared" si="541"/>
        <v>0</v>
      </c>
      <c r="J664" s="453">
        <f t="shared" si="542"/>
        <v>1.9378189977863121E-2</v>
      </c>
      <c r="K664" s="475"/>
      <c r="L664" s="469"/>
      <c r="M664" s="469"/>
      <c r="N664" s="131"/>
      <c r="O664" s="131"/>
      <c r="P664" s="469"/>
      <c r="Q664" s="469"/>
      <c r="R664" s="476"/>
      <c r="S664" s="476"/>
      <c r="T664" s="477"/>
    </row>
    <row r="665" spans="1:20" ht="25.5" hidden="1" outlineLevel="1">
      <c r="A665" s="79" t="s">
        <v>942</v>
      </c>
      <c r="B665" s="86">
        <f>(INDEX(Data!2307:2307,1,$U$1-2)+INDEX(Data!2321:2321,1,$U$1-2))/1000000</f>
        <v>2.95</v>
      </c>
      <c r="C665" s="87">
        <f>(INDEX(Data!2307:2307,1,$U$1-1)+INDEX(Data!2321:2321,1,$U$1-1))/1000000</f>
        <v>2.95</v>
      </c>
      <c r="D665" s="82">
        <f t="shared" si="544"/>
        <v>5.9</v>
      </c>
      <c r="E665" s="89">
        <f>(INDEX(Data!2307:2307,1,$U$1)+INDEX(Data!2321:2321,1,$U$1))/1000000</f>
        <v>2.95</v>
      </c>
      <c r="F665" s="90">
        <f>(INDEX(Data!2307:2307,1,$U$1+1)+INDEX(Data!2321:2321,1,$U$1+1))/1000000</f>
        <v>2.95</v>
      </c>
      <c r="G665" s="88">
        <f t="shared" si="545"/>
        <v>5.9</v>
      </c>
      <c r="H665" s="86">
        <f t="shared" si="546"/>
        <v>0</v>
      </c>
      <c r="I665" s="447">
        <f t="shared" si="541"/>
        <v>0</v>
      </c>
      <c r="J665" s="453">
        <f t="shared" si="542"/>
        <v>2.6348321306470881E-2</v>
      </c>
      <c r="K665" s="475"/>
      <c r="L665" s="469"/>
      <c r="M665" s="469"/>
      <c r="N665" s="131"/>
      <c r="O665" s="131"/>
      <c r="P665" s="469"/>
      <c r="Q665" s="469"/>
      <c r="R665" s="476"/>
      <c r="S665" s="476"/>
      <c r="T665" s="477"/>
    </row>
    <row r="666" spans="1:20" ht="25.5" hidden="1" outlineLevel="1">
      <c r="A666" s="79" t="s">
        <v>1556</v>
      </c>
      <c r="B666" s="86">
        <f>(INDEX(Data!2308:2308,1,$U$1-2)+INDEX(Data!2322:2322,1,$U$1-2))/1000000</f>
        <v>54.803663</v>
      </c>
      <c r="C666" s="87">
        <f>(INDEX(Data!2308:2308,1,$U$1-1)+INDEX(Data!2322:2322,1,$U$1-1))/1000000</f>
        <v>54.803663</v>
      </c>
      <c r="D666" s="82">
        <f t="shared" ref="D666" si="551">B666+C666</f>
        <v>109.607326</v>
      </c>
      <c r="E666" s="89">
        <f>(INDEX(Data!2308:2308,1,$U$1)+INDEX(Data!2322:2322,1,$U$1))/1000000</f>
        <v>55.812469</v>
      </c>
      <c r="F666" s="90">
        <f>(INDEX(Data!2308:2308,1,$U$1+1)+INDEX(Data!2322:2322,1,$U$1+1))/1000000</f>
        <v>55.812469</v>
      </c>
      <c r="G666" s="88">
        <f t="shared" ref="G666" si="552">E666+F666</f>
        <v>111.624938</v>
      </c>
      <c r="H666" s="86">
        <f t="shared" ref="H666" si="553">G666-D666</f>
        <v>2.0176119999999997</v>
      </c>
      <c r="I666" s="447">
        <f t="shared" ref="I666" si="554">IFERROR(H666/D666,"")</f>
        <v>1.8407638190169877E-2</v>
      </c>
      <c r="J666" s="453">
        <f t="shared" si="542"/>
        <v>0.4984965647862527</v>
      </c>
      <c r="K666" s="475"/>
      <c r="L666" s="469"/>
      <c r="M666" s="469"/>
      <c r="N666" s="131"/>
      <c r="O666" s="131"/>
      <c r="P666" s="469"/>
      <c r="Q666" s="469"/>
      <c r="R666" s="476"/>
      <c r="S666" s="476"/>
      <c r="T666" s="477"/>
    </row>
    <row r="667" spans="1:20" hidden="1" outlineLevel="1">
      <c r="A667" s="79" t="s">
        <v>221</v>
      </c>
      <c r="B667" s="86">
        <f>(INDEX(Data!1100:1100,1,$U$1-2)+INDEX(Data!1101:1101,1,$U$1-2)+INDEX(Data!1065:1065,1,$U$1-2)+INDEX(Data!1066:1066,1,$U$1-2))/1000000</f>
        <v>3.3391929999999999</v>
      </c>
      <c r="C667" s="87">
        <f>(INDEX(Data!1100:1100,1,$U$1-1)+INDEX(Data!1101:1101,1,$U$1-1)+INDEX(Data!1065:1065,1,$U$1-1)+INDEX(Data!1066:1066,1,$U$1-1))/1000000</f>
        <v>3.3391929999999999</v>
      </c>
      <c r="D667" s="82">
        <f t="shared" si="544"/>
        <v>6.6783859999999997</v>
      </c>
      <c r="E667" s="89">
        <f>(INDEX(Data!1100:1100,1,$U$1)+INDEX(Data!1101:1101,1,$U$1)+INDEX(Data!1065:1065,1,$U$1)+INDEX(Data!1066:1066,1,$U$1))/1000000</f>
        <v>3.3391929999999999</v>
      </c>
      <c r="F667" s="90">
        <f>(INDEX(Data!1100:1100,1,$U$1+1)+INDEX(Data!1101:1101,1,$U$1+1)+INDEX(Data!1065:1065,1,$U$1+1)+INDEX(Data!1066:1066,1,$U$1+1))/1000000</f>
        <v>3.3391929999999999</v>
      </c>
      <c r="G667" s="88">
        <f t="shared" si="545"/>
        <v>6.6783859999999997</v>
      </c>
      <c r="H667" s="86">
        <f t="shared" si="546"/>
        <v>0</v>
      </c>
      <c r="I667" s="447">
        <f t="shared" si="541"/>
        <v>0</v>
      </c>
      <c r="J667" s="453">
        <f t="shared" si="542"/>
        <v>2.9824450870616411E-2</v>
      </c>
      <c r="K667" s="475"/>
      <c r="L667" s="469"/>
      <c r="M667" s="469"/>
      <c r="N667" s="131"/>
      <c r="O667" s="131"/>
      <c r="P667" s="469"/>
      <c r="Q667" s="469"/>
      <c r="R667" s="476"/>
      <c r="S667" s="476"/>
      <c r="T667" s="477"/>
    </row>
    <row r="668" spans="1:20" ht="25.5" collapsed="1">
      <c r="A668" s="104" t="s">
        <v>1292</v>
      </c>
      <c r="B668" s="105">
        <f>SUM(B656:B667)</f>
        <v>105.48061300000001</v>
      </c>
      <c r="C668" s="106">
        <f t="shared" ref="C668:H668" si="555">SUM(C656:C667)</f>
        <v>105.48061300000001</v>
      </c>
      <c r="D668" s="124">
        <f t="shared" si="555"/>
        <v>210.96122600000001</v>
      </c>
      <c r="E668" s="105">
        <f t="shared" si="555"/>
        <v>107.75523100000001</v>
      </c>
      <c r="F668" s="106">
        <f t="shared" si="555"/>
        <v>107.75523100000001</v>
      </c>
      <c r="G668" s="107">
        <f t="shared" si="555"/>
        <v>215.51046200000002</v>
      </c>
      <c r="H668" s="105">
        <f t="shared" si="555"/>
        <v>4.5492360000000005</v>
      </c>
      <c r="I668" s="447">
        <f t="shared" si="541"/>
        <v>2.1564322914960687E-2</v>
      </c>
      <c r="J668" s="453">
        <f t="shared" si="542"/>
        <v>0.96243032164101416</v>
      </c>
      <c r="K668" s="478"/>
      <c r="L668" s="468"/>
      <c r="M668" s="468"/>
      <c r="N668" s="468"/>
      <c r="O668" s="468"/>
      <c r="P668" s="468"/>
      <c r="Q668" s="468"/>
      <c r="R668" s="479"/>
      <c r="S668" s="479"/>
      <c r="T668" s="480"/>
    </row>
    <row r="669" spans="1:20" ht="25.5" hidden="1" outlineLevel="1">
      <c r="A669" s="79" t="s">
        <v>813</v>
      </c>
      <c r="B669" s="86">
        <f>INDEX(Data!1098:1098,1,$U$1-2)/1000000</f>
        <v>3.97234</v>
      </c>
      <c r="C669" s="87">
        <f>INDEX(Data!1098:1098,1,$U$1-1)/1000000</f>
        <v>3.97234</v>
      </c>
      <c r="D669" s="82">
        <f>B669+C669</f>
        <v>7.94468</v>
      </c>
      <c r="E669" s="89">
        <f>INDEX(Data!1098:1098,1,$U$1)/1000000</f>
        <v>1.066551</v>
      </c>
      <c r="F669" s="90">
        <f>INDEX(Data!1098:1098,1,$U$1+1)/1000000</f>
        <v>1.066551</v>
      </c>
      <c r="G669" s="88">
        <f t="shared" ref="G669:G670" si="556">E669+F669</f>
        <v>2.1331020000000001</v>
      </c>
      <c r="H669" s="86">
        <f t="shared" ref="H669:H670" si="557">G669-D669</f>
        <v>-5.8115779999999999</v>
      </c>
      <c r="I669" s="447">
        <f t="shared" si="541"/>
        <v>-0.73150561130215441</v>
      </c>
      <c r="J669" s="453">
        <f t="shared" si="542"/>
        <v>9.5260435382162126E-3</v>
      </c>
      <c r="K669" s="475"/>
      <c r="L669" s="469"/>
      <c r="M669" s="469"/>
      <c r="N669" s="131"/>
      <c r="O669" s="131"/>
      <c r="P669" s="469"/>
      <c r="Q669" s="469"/>
      <c r="R669" s="476"/>
      <c r="S669" s="476"/>
      <c r="T669" s="477"/>
    </row>
    <row r="670" spans="1:20" ht="38.25" hidden="1" outlineLevel="1">
      <c r="A670" s="79" t="s">
        <v>814</v>
      </c>
      <c r="B670" s="86">
        <f>INDEX(Data!1099:1099,1,$U$1-2)/1000000</f>
        <v>5.4203239999999999</v>
      </c>
      <c r="C670" s="87">
        <f>INDEX(Data!1099:1099,1,$U$1-1)/1000000</f>
        <v>5.4203239999999999</v>
      </c>
      <c r="D670" s="82">
        <f>B670+C670</f>
        <v>10.840648</v>
      </c>
      <c r="E670" s="89">
        <f>INDEX(Data!1099:1099,1,$U$1)/1000000</f>
        <v>1.88381</v>
      </c>
      <c r="F670" s="90">
        <f>INDEX(Data!1099:1099,1,$U$1+1)/1000000</f>
        <v>1.88381</v>
      </c>
      <c r="G670" s="88">
        <f t="shared" si="556"/>
        <v>3.76762</v>
      </c>
      <c r="H670" s="86">
        <f t="shared" si="557"/>
        <v>-7.0730279999999999</v>
      </c>
      <c r="I670" s="449">
        <f t="shared" si="541"/>
        <v>-0.65245435512711047</v>
      </c>
      <c r="J670" s="454">
        <f t="shared" si="542"/>
        <v>1.6825502088251836E-2</v>
      </c>
      <c r="K670" s="475"/>
      <c r="L670" s="469"/>
      <c r="M670" s="469"/>
      <c r="N670" s="131"/>
      <c r="O670" s="131"/>
      <c r="P670" s="469"/>
      <c r="Q670" s="469"/>
      <c r="R670" s="476"/>
      <c r="S670" s="476"/>
      <c r="T670" s="477"/>
    </row>
    <row r="671" spans="1:20" ht="25.5" collapsed="1">
      <c r="A671" s="104" t="s">
        <v>815</v>
      </c>
      <c r="B671" s="105">
        <f>SUM(B669:B670)</f>
        <v>9.3926639999999999</v>
      </c>
      <c r="C671" s="106">
        <f t="shared" ref="C671:H671" si="558">SUM(C669:C670)</f>
        <v>9.3926639999999999</v>
      </c>
      <c r="D671" s="124">
        <f t="shared" si="558"/>
        <v>18.785328</v>
      </c>
      <c r="E671" s="105">
        <f t="shared" si="558"/>
        <v>2.950361</v>
      </c>
      <c r="F671" s="106">
        <f t="shared" si="558"/>
        <v>2.950361</v>
      </c>
      <c r="G671" s="107">
        <f t="shared" si="558"/>
        <v>5.900722</v>
      </c>
      <c r="H671" s="105">
        <f t="shared" si="558"/>
        <v>-12.884606</v>
      </c>
      <c r="I671" s="447">
        <f t="shared" si="541"/>
        <v>-0.68588666644521723</v>
      </c>
      <c r="J671" s="453">
        <f t="shared" si="542"/>
        <v>2.6351545626468045E-2</v>
      </c>
      <c r="K671" s="478"/>
      <c r="L671" s="468"/>
      <c r="M671" s="468"/>
      <c r="N671" s="468"/>
      <c r="O671" s="468"/>
      <c r="P671" s="468"/>
      <c r="Q671" s="468"/>
      <c r="R671" s="479"/>
      <c r="S671" s="479"/>
      <c r="T671" s="480"/>
    </row>
    <row r="672" spans="1:20" ht="13.5" thickBot="1">
      <c r="A672" s="95" t="s">
        <v>280</v>
      </c>
      <c r="B672" s="96">
        <f>B655+B668+B671</f>
        <v>116.09727700000001</v>
      </c>
      <c r="C672" s="97">
        <f t="shared" ref="C672:H672" si="559">C655+C668+C671</f>
        <v>116.09727700000001</v>
      </c>
      <c r="D672" s="98">
        <f t="shared" si="559"/>
        <v>232.19455400000001</v>
      </c>
      <c r="E672" s="116">
        <f t="shared" si="559"/>
        <v>111.96159200000001</v>
      </c>
      <c r="F672" s="117">
        <f t="shared" si="559"/>
        <v>111.96159200000001</v>
      </c>
      <c r="G672" s="98">
        <f t="shared" si="559"/>
        <v>223.92318400000002</v>
      </c>
      <c r="H672" s="96">
        <f t="shared" si="559"/>
        <v>-8.2713699999999992</v>
      </c>
      <c r="I672" s="447">
        <f t="shared" si="541"/>
        <v>-3.5622583981879258E-2</v>
      </c>
      <c r="J672" s="453">
        <f t="shared" si="542"/>
        <v>1</v>
      </c>
      <c r="K672" s="481"/>
      <c r="L672" s="472"/>
      <c r="M672" s="472"/>
      <c r="N672" s="473"/>
      <c r="O672" s="473"/>
      <c r="P672" s="472"/>
      <c r="Q672" s="472"/>
      <c r="R672" s="482"/>
      <c r="S672" s="482"/>
      <c r="T672" s="483"/>
    </row>
    <row r="673" spans="1:1">
      <c r="A673" s="125"/>
    </row>
    <row r="674" spans="1:1">
      <c r="A674" s="125"/>
    </row>
    <row r="675" spans="1:1">
      <c r="A675" s="125"/>
    </row>
    <row r="676" spans="1:1">
      <c r="A676" s="125"/>
    </row>
    <row r="677" spans="1:1">
      <c r="A677" s="125"/>
    </row>
    <row r="678" spans="1:1">
      <c r="A678" s="125"/>
    </row>
    <row r="679" spans="1:1">
      <c r="A679" s="125"/>
    </row>
  </sheetData>
  <mergeCells count="22">
    <mergeCell ref="B559:J559"/>
    <mergeCell ref="K559:T559"/>
    <mergeCell ref="B652:J652"/>
    <mergeCell ref="K652:T652"/>
    <mergeCell ref="B343:J343"/>
    <mergeCell ref="K343:T343"/>
    <mergeCell ref="B380:J380"/>
    <mergeCell ref="K380:T380"/>
    <mergeCell ref="B478:J478"/>
    <mergeCell ref="K478:T478"/>
    <mergeCell ref="B2:J2"/>
    <mergeCell ref="K2:T2"/>
    <mergeCell ref="B26:J26"/>
    <mergeCell ref="K26:T26"/>
    <mergeCell ref="B61:J61"/>
    <mergeCell ref="K61:T61"/>
    <mergeCell ref="B98:J98"/>
    <mergeCell ref="K98:T98"/>
    <mergeCell ref="B276:J276"/>
    <mergeCell ref="K276:T276"/>
    <mergeCell ref="B307:J307"/>
    <mergeCell ref="K307:T307"/>
  </mergeCells>
  <hyperlinks>
    <hyperlink ref="A26" location="Start!B44" display="Return" xr:uid="{00000000-0004-0000-0200-000000000000}"/>
    <hyperlink ref="A61" location="Start!B47" display="Return" xr:uid="{00000000-0004-0000-0200-000001000000}"/>
    <hyperlink ref="A98" location="Start!B50" display="Return" xr:uid="{00000000-0004-0000-0200-000002000000}"/>
    <hyperlink ref="A276" location="Start!B54" display="Return" xr:uid="{00000000-0004-0000-0200-000003000000}"/>
    <hyperlink ref="A307" location="Start!B58" display="Return" xr:uid="{00000000-0004-0000-0200-000004000000}"/>
    <hyperlink ref="A343" location="Start!B62" display="Return" xr:uid="{00000000-0004-0000-0200-000005000000}"/>
    <hyperlink ref="A380" location="Start!B65" display="Return" xr:uid="{00000000-0004-0000-0200-000006000000}"/>
    <hyperlink ref="A478" location="Start!B70" display="Return" xr:uid="{00000000-0004-0000-0200-000007000000}"/>
    <hyperlink ref="A559" location="Start!B75" display="Return" xr:uid="{00000000-0004-0000-0200-000008000000}"/>
    <hyperlink ref="A652" location="Start!B81" display="Return" xr:uid="{00000000-0004-0000-0200-000009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V679"/>
  <sheetViews>
    <sheetView showGridLines="0" workbookViewId="0">
      <pane xSplit="1" ySplit="3" topLeftCell="B4" activePane="bottomRight" state="frozen"/>
      <selection activeCell="F8" sqref="F8"/>
      <selection pane="topRight" activeCell="F8" sqref="F8"/>
      <selection pane="bottomLeft" activeCell="F8" sqref="F8"/>
      <selection pane="bottomRight" activeCell="D1" sqref="D1"/>
    </sheetView>
  </sheetViews>
  <sheetFormatPr defaultRowHeight="12.75" outlineLevelRow="1"/>
  <cols>
    <col min="1" max="1" width="35.85546875" style="67" customWidth="1"/>
    <col min="2" max="3" width="17.140625" style="67" customWidth="1"/>
    <col min="4" max="4" width="17.5703125" style="67" customWidth="1"/>
    <col min="5" max="5" width="18" style="67" customWidth="1"/>
    <col min="6" max="6" width="17.42578125" style="463" bestFit="1" customWidth="1"/>
    <col min="7" max="8" width="18.28515625" style="67" customWidth="1"/>
    <col min="9" max="9" width="18.5703125" style="67" customWidth="1"/>
    <col min="10" max="10" width="18.42578125" style="67" customWidth="1"/>
    <col min="11" max="11" width="18.7109375" style="67" customWidth="1"/>
    <col min="12" max="12" width="9.5703125" style="67" bestFit="1" customWidth="1"/>
    <col min="13" max="13" width="16.140625" style="67" customWidth="1"/>
  </cols>
  <sheetData>
    <row r="1" spans="1:18" ht="15.75" customHeight="1" thickBot="1">
      <c r="A1" s="66" t="s">
        <v>160</v>
      </c>
      <c r="E1" s="68"/>
      <c r="F1" s="510"/>
      <c r="K1" s="69"/>
      <c r="M1" s="1165" t="str">
        <f>'Summary - Millions'!R1</f>
        <v>2020-2021</v>
      </c>
      <c r="N1" s="1166" t="s">
        <v>763</v>
      </c>
      <c r="O1" s="1164" t="str">
        <f>LEFT(M1,4)</f>
        <v>2020</v>
      </c>
      <c r="P1" s="1164">
        <f>MATCH(VALUE(LEFT(M1,4)),Data!1:1,0)</f>
        <v>42</v>
      </c>
      <c r="Q1" s="1164" t="e">
        <f>MATCH(VALUE(LEFT(M1,4)),Footnotes!1:1,0)</f>
        <v>#N/A</v>
      </c>
      <c r="R1" s="462"/>
    </row>
    <row r="2" spans="1:18" ht="26.25" thickBot="1">
      <c r="A2" s="72" t="s">
        <v>1337</v>
      </c>
      <c r="B2" s="1292" t="s">
        <v>2</v>
      </c>
      <c r="C2" s="1293"/>
      <c r="D2" s="1293"/>
      <c r="E2" s="1293"/>
      <c r="F2" s="1293"/>
      <c r="G2" s="1295" t="s">
        <v>764</v>
      </c>
      <c r="H2" s="1295"/>
      <c r="I2" s="1295"/>
      <c r="J2" s="1295"/>
      <c r="K2" s="1295"/>
    </row>
    <row r="3" spans="1:18" s="1044" customFormat="1" ht="13.5" thickBot="1">
      <c r="A3" s="73" t="s">
        <v>766</v>
      </c>
      <c r="B3" s="466" t="str">
        <f>$O$1-8&amp;" - "&amp;$O$1-7</f>
        <v>2012 - 2013</v>
      </c>
      <c r="C3" s="75" t="str">
        <f>$O$1-6&amp;" - "&amp;$O$1-5</f>
        <v>2014 - 2015</v>
      </c>
      <c r="D3" s="75" t="str">
        <f>$O$1-4&amp;" - "&amp;$O$1-3</f>
        <v>2016 - 2017</v>
      </c>
      <c r="E3" s="75" t="str">
        <f>$O$1-2&amp;" - "&amp;$O$1-1</f>
        <v>2018 - 2019</v>
      </c>
      <c r="F3" s="78" t="str">
        <f>$O$1&amp;" - "&amp;$O$1+1</f>
        <v>2020 - 2021</v>
      </c>
      <c r="G3" s="509" t="str">
        <f>$O$1-8&amp;" - "&amp;$O$1-7</f>
        <v>2012 - 2013</v>
      </c>
      <c r="H3" s="75" t="str">
        <f>$O$1-6&amp;" - "&amp;$O$1-5</f>
        <v>2014 - 2015</v>
      </c>
      <c r="I3" s="75" t="str">
        <f>$O$1-4&amp;" - "&amp;$O$1-3</f>
        <v>2016 - 2017</v>
      </c>
      <c r="J3" s="75" t="str">
        <f>$O$1-2&amp;" - "&amp;$O$1-1</f>
        <v>2018 - 2019</v>
      </c>
      <c r="K3" s="78" t="str">
        <f>$O$1&amp;" - "&amp;$O$1+1</f>
        <v>2020 - 2021</v>
      </c>
      <c r="L3" s="67"/>
      <c r="M3" s="67"/>
    </row>
    <row r="4" spans="1:18" s="173" customFormat="1">
      <c r="A4" s="1175"/>
      <c r="B4" s="422"/>
      <c r="C4" s="423"/>
      <c r="D4" s="422"/>
      <c r="E4" s="422"/>
      <c r="F4" s="1176"/>
      <c r="G4" s="422"/>
      <c r="H4" s="422"/>
      <c r="I4" s="422"/>
      <c r="J4" s="422"/>
      <c r="K4" s="1176"/>
      <c r="L4" s="129"/>
      <c r="M4" s="129"/>
    </row>
    <row r="5" spans="1:18">
      <c r="K5" s="463"/>
    </row>
    <row r="6" spans="1:18">
      <c r="K6" s="463"/>
    </row>
    <row r="7" spans="1:18">
      <c r="K7" s="463"/>
    </row>
    <row r="8" spans="1:18">
      <c r="K8" s="463"/>
    </row>
    <row r="9" spans="1:18">
      <c r="K9" s="463"/>
    </row>
    <row r="10" spans="1:18">
      <c r="K10" s="463"/>
    </row>
    <row r="11" spans="1:18">
      <c r="K11" s="463"/>
    </row>
    <row r="12" spans="1:18">
      <c r="K12" s="463"/>
    </row>
    <row r="13" spans="1:18">
      <c r="K13" s="463"/>
    </row>
    <row r="14" spans="1:18">
      <c r="K14" s="463"/>
    </row>
    <row r="15" spans="1:18">
      <c r="K15" s="463"/>
    </row>
    <row r="16" spans="1:18">
      <c r="K16" s="463"/>
    </row>
    <row r="17" spans="1:22">
      <c r="K17" s="463"/>
    </row>
    <row r="18" spans="1:22">
      <c r="K18" s="463"/>
    </row>
    <row r="19" spans="1:22">
      <c r="K19" s="463"/>
    </row>
    <row r="20" spans="1:22">
      <c r="K20" s="463"/>
    </row>
    <row r="21" spans="1:22">
      <c r="K21" s="463"/>
    </row>
    <row r="22" spans="1:22">
      <c r="K22" s="463"/>
    </row>
    <row r="23" spans="1:22">
      <c r="K23" s="463"/>
    </row>
    <row r="24" spans="1:22" ht="13.5" thickBot="1">
      <c r="F24" s="464"/>
      <c r="K24" s="464"/>
    </row>
    <row r="25" spans="1:22" ht="13.5" customHeight="1" thickBot="1">
      <c r="A25" s="536" t="s">
        <v>765</v>
      </c>
      <c r="B25" s="537"/>
      <c r="C25" s="537"/>
      <c r="D25" s="537"/>
      <c r="E25" s="537"/>
      <c r="F25" s="537"/>
      <c r="G25" s="537"/>
      <c r="H25" s="537"/>
      <c r="I25" s="537"/>
      <c r="J25" s="537"/>
      <c r="K25" s="537"/>
      <c r="L25" s="537"/>
      <c r="M25" s="537"/>
      <c r="N25" s="537"/>
      <c r="O25" s="537"/>
      <c r="P25" s="537"/>
      <c r="Q25" s="537"/>
      <c r="R25" s="537"/>
      <c r="S25" s="537"/>
      <c r="T25" s="538"/>
      <c r="U25" s="67"/>
      <c r="V25" s="67"/>
    </row>
    <row r="26" spans="1:22" ht="13.5" thickBot="1">
      <c r="A26" s="535" t="s">
        <v>1318</v>
      </c>
      <c r="B26" s="1292" t="s">
        <v>2</v>
      </c>
      <c r="C26" s="1293"/>
      <c r="D26" s="1293"/>
      <c r="E26" s="1293"/>
      <c r="F26" s="1293"/>
      <c r="G26" s="1295" t="s">
        <v>764</v>
      </c>
      <c r="H26" s="1295"/>
      <c r="I26" s="1295"/>
      <c r="J26" s="1295"/>
      <c r="K26" s="1295"/>
    </row>
    <row r="27" spans="1:22">
      <c r="A27" s="73" t="s">
        <v>766</v>
      </c>
      <c r="B27" s="466" t="str">
        <f>$O$1-8&amp;" - "&amp;$O$1-7</f>
        <v>2012 - 2013</v>
      </c>
      <c r="C27" s="75" t="str">
        <f>$O$1-6&amp;" - "&amp;$O$1-5</f>
        <v>2014 - 2015</v>
      </c>
      <c r="D27" s="75" t="str">
        <f>$O$1-4&amp;" - "&amp;$O$1-3</f>
        <v>2016 - 2017</v>
      </c>
      <c r="E27" s="75" t="str">
        <f>$O$1-2&amp;" - "&amp;$O$1-1</f>
        <v>2018 - 2019</v>
      </c>
      <c r="F27" s="78" t="str">
        <f>$O$1&amp;" - "&amp;$O$1+1</f>
        <v>2020 - 2021</v>
      </c>
      <c r="G27" s="509" t="str">
        <f>$O$1-8&amp;" - "&amp;$O$1-7</f>
        <v>2012 - 2013</v>
      </c>
      <c r="H27" s="75" t="str">
        <f>$O$1-6&amp;" - "&amp;$O$1-5</f>
        <v>2014 - 2015</v>
      </c>
      <c r="I27" s="75" t="str">
        <f>$O$1-4&amp;" - "&amp;$O$1-3</f>
        <v>2016 - 2017</v>
      </c>
      <c r="J27" s="75" t="str">
        <f>$O$1-2&amp;" - "&amp;$O$1-1</f>
        <v>2018 - 2019</v>
      </c>
      <c r="K27" s="78" t="str">
        <f>$O$1&amp;" - "&amp;$O$1+1</f>
        <v>2020 - 2021</v>
      </c>
    </row>
    <row r="28" spans="1:22">
      <c r="A28" s="79" t="s">
        <v>3</v>
      </c>
      <c r="B28" s="80">
        <f>(INDEX(Data!4:4,1,$P$1-8)-INDEX(Data!1236:1236,1,$P$1-8))+(INDEX(Data!4:4,1,$P$1-7)-INDEX(Data!1236:1236,1,$P$1-7))</f>
        <v>4492870315</v>
      </c>
      <c r="C28" s="81">
        <f>(INDEX(Data!4:4,1,$P$1-6)-INDEX(Data!1236:1236,1,$P$1-6))+(INDEX(Data!4:4,1,$P$1-5)-INDEX(Data!1236:1236,1,$P$1-5))</f>
        <v>4840290214</v>
      </c>
      <c r="D28" s="402">
        <f>(INDEX(Data!4:4,1,$P$1-4)-INDEX(Data!1236:1236,1,$P$1-4))+(INDEX(Data!4:4,1,$P$1-3)-INDEX(Data!1236:1236,1,$P$1-3))</f>
        <v>6252556685</v>
      </c>
      <c r="E28" s="81">
        <f>(INDEX(Data!4:4,1,$P$1-2)-INDEX(Data!1236:1236,1,$P$1-2))+(INDEX(Data!4:4,1,$P$1-1)-INDEX(Data!1236:1236,1,$P$1-1))</f>
        <v>6243090661</v>
      </c>
      <c r="F28" s="82">
        <f>(INDEX(Data!4:4,1,$P$1)-INDEX(Data!1236:1236,1,$P$1))+(INDEX(Data!4:4,1,$P$1+1)-INDEX(Data!1236:1236,1,$P$1+1))</f>
        <v>7452689424</v>
      </c>
      <c r="G28" s="402">
        <f>(INDEX(Data!17:17,1,$P$1-8)-INDEX(Data!1393:1393,1,$P$1-8))+(INDEX(Data!17:17,1,$P$1-7)-INDEX(Data!1393:1393,1,$P$1-7))</f>
        <v>2092669626</v>
      </c>
      <c r="H28" s="81">
        <f>(INDEX(Data!17:17,1,$P$1-6)-INDEX(Data!1393:1393,1,$P$1-6))+(INDEX(Data!17:17,1,$P$1-5)-INDEX(Data!1393:1393,1,$P$1-5))</f>
        <v>2530802062</v>
      </c>
      <c r="I28" s="402">
        <f>(INDEX(Data!17:17,1,$P$1-4)-INDEX(Data!1393:1393,1,$P$1-4))+(INDEX(Data!17:17,1,$P$1-3)-INDEX(Data!1393:1393,1,$P$1-3))</f>
        <v>2918841469</v>
      </c>
      <c r="J28" s="81">
        <f>(INDEX(Data!17:17,1,$P$1-2)-INDEX(Data!1393:1393,1,$P$1-2))+(INDEX(Data!17:17,1,$P$1-1)-INDEX(Data!1393:1393,1,$P$1-1))</f>
        <v>3273756822</v>
      </c>
      <c r="K28" s="82">
        <f>(INDEX(Data!17:17,1,$P$1)-INDEX(Data!1393:1393,1,$P$1))+(INDEX(Data!17:17,1,$P$1+1)-INDEX(Data!1393:1393,1,$P$1+1))</f>
        <v>4028634745</v>
      </c>
    </row>
    <row r="29" spans="1:22">
      <c r="A29" s="79" t="s">
        <v>4</v>
      </c>
      <c r="B29" s="86">
        <f>(INDEX(Data!5:5,1,$P$1-8)-INDEX(Data!1237:1237,1,$P$1-8))+(INDEX(Data!5:5,1,$P$1-7)-INDEX(Data!1237:1237,1,$P$1-7))</f>
        <v>56067059761</v>
      </c>
      <c r="C29" s="87">
        <f>(INDEX(Data!5:5,1,$P$1-6)-INDEX(Data!1237:1237,1,$P$1-6))+(INDEX(Data!5:5,1,$P$1-5)-INDEX(Data!1237:1237,1,$P$1-5))</f>
        <v>73891925032</v>
      </c>
      <c r="D29" s="404">
        <f>(INDEX(Data!5:5,1,$P$1-4)-INDEX(Data!1237:1237,1,$P$1-4))+(INDEX(Data!5:5,1,$P$1-3)-INDEX(Data!1237:1237,1,$P$1-3))</f>
        <v>77199773745</v>
      </c>
      <c r="E29" s="90">
        <f>(INDEX(Data!5:5,1,$P$1-2)-INDEX(Data!1237:1237,1,$P$1-2))+(INDEX(Data!5:5,1,$P$1-1)-INDEX(Data!1237:1237,1,$P$1-1))</f>
        <v>78871657229</v>
      </c>
      <c r="F29" s="88">
        <f>(INDEX(Data!5:5,1,$P$1)-INDEX(Data!1237:1237,1,$P$1))+(INDEX(Data!5:5,1,$P$1+1)-INDEX(Data!1237:1237,1,$P$1+1))</f>
        <v>84303829071</v>
      </c>
      <c r="G29" s="508">
        <f>(INDEX(Data!18:18,1,$P$1-8)-INDEX(Data!1394:1394,1,$P$1-8))+(INDEX(Data!18:18,1,$P$1-7)-INDEX(Data!1394:1394,1,$P$1-7))</f>
        <v>23392615817</v>
      </c>
      <c r="H29" s="87">
        <f>(INDEX(Data!18:18,1,$P$1-6)-INDEX(Data!1394:1394,1,$P$1-6))+(INDEX(Data!18:18,1,$P$1-5)-INDEX(Data!1394:1394,1,$P$1-5))</f>
        <v>29652528294</v>
      </c>
      <c r="I29" s="508">
        <f>(INDEX(Data!18:18,1,$P$1-4)-INDEX(Data!1394:1394,1,$P$1-4))+(INDEX(Data!18:18,1,$P$1-3)-INDEX(Data!1394:1394,1,$P$1-3))</f>
        <v>32201003386</v>
      </c>
      <c r="J29" s="87">
        <f>(INDEX(Data!18:18,1,$P$1-2)-INDEX(Data!1394:1394,1,$P$1-2))+(INDEX(Data!18:18,1,$P$1-1)-INDEX(Data!1394:1394,1,$P$1-1))</f>
        <v>32888403404</v>
      </c>
      <c r="K29" s="88">
        <f>(INDEX(Data!18:18,1,$P$1)-INDEX(Data!1394:1394,1,$P$1))+(INDEX(Data!18:18,1,$P$1+1)-INDEX(Data!1394:1394,1,$P$1+1))</f>
        <v>33643256982</v>
      </c>
    </row>
    <row r="30" spans="1:22">
      <c r="A30" s="421" t="s">
        <v>5</v>
      </c>
      <c r="B30" s="86">
        <f t="shared" ref="B30:K30" si="0">B75</f>
        <v>74862068675</v>
      </c>
      <c r="C30" s="87">
        <f t="shared" si="0"/>
        <v>74199044813</v>
      </c>
      <c r="D30" s="91">
        <f t="shared" si="0"/>
        <v>78560786017</v>
      </c>
      <c r="E30" s="87">
        <f t="shared" si="0"/>
        <v>81002275878</v>
      </c>
      <c r="F30" s="88">
        <f t="shared" ref="F30" si="1">F75</f>
        <v>95901920858</v>
      </c>
      <c r="G30" s="91">
        <f t="shared" si="0"/>
        <v>47907553941</v>
      </c>
      <c r="H30" s="87">
        <f t="shared" si="0"/>
        <v>50760395559</v>
      </c>
      <c r="I30" s="91">
        <f t="shared" si="0"/>
        <v>55999139575</v>
      </c>
      <c r="J30" s="87">
        <f t="shared" si="0"/>
        <v>56459796949</v>
      </c>
      <c r="K30" s="88">
        <f t="shared" si="0"/>
        <v>65714937963.231262</v>
      </c>
    </row>
    <row r="31" spans="1:22">
      <c r="A31" s="92" t="s">
        <v>7</v>
      </c>
      <c r="B31" s="86">
        <f>(INDEX(Data!8:8,1,$P$1-8)-INDEX(Data!1239:1239,1,$P$1-8))+(INDEX(Data!8:8,1,$P$1-7)-INDEX(Data!1239:1239,1,$P$1-7))</f>
        <v>11645081802</v>
      </c>
      <c r="C31" s="87">
        <f>(INDEX(Data!8:8,1,$P$1-6)-INDEX(Data!1239:1239,1,$P$1-6))+(INDEX(Data!8:8,1,$P$1-5)-INDEX(Data!1239:1239,1,$P$1-5))</f>
        <v>11682047599</v>
      </c>
      <c r="D31" s="407">
        <f>(INDEX(Data!8:8,1,$P$1-4)-INDEX(Data!1239:1239,1,$P$1-4))+(INDEX(Data!8:8,1,$P$1-3)-INDEX(Data!1239:1239,1,$P$1-3))</f>
        <v>12432622852</v>
      </c>
      <c r="E31" s="94">
        <f>(INDEX(Data!8:8,1,$P$1-2)-INDEX(Data!1239:1239,1,$P$1-2))+(INDEX(Data!8:8,1,$P$1-1)-INDEX(Data!1239:1239,1,$P$1-1))</f>
        <v>12305654059</v>
      </c>
      <c r="F31" s="88">
        <f>(INDEX(Data!8:8,1,$P$1)-INDEX(Data!1239:1239,1,$P$1))+(INDEX(Data!8:8,1,$P$1+1)-INDEX(Data!1239:1239,1,$P$1+1))</f>
        <v>12548895438</v>
      </c>
      <c r="G31" s="91">
        <f>(INDEX(Data!21:21,1,$P$1-8)-INDEX(Data!1396:1396,1,$P$1-8))+(INDEX(Data!21:21,1,$P$1-7)-INDEX(Data!1396:1396,1,$P$1-7))</f>
        <v>8340954006</v>
      </c>
      <c r="H31" s="87">
        <f>(INDEX(Data!21:21,1,$P$1-6)-INDEX(Data!1396:1396,1,$P$1-6))+(INDEX(Data!21:21,1,$P$1-5)-INDEX(Data!1396:1396,1,$P$1-5))</f>
        <v>9110999778</v>
      </c>
      <c r="I31" s="407">
        <f>(INDEX(Data!21:21,1,$P$1-4)-INDEX(Data!1396:1396,1,$P$1-4))+(INDEX(Data!21:21,1,$P$1-3)-INDEX(Data!1396:1396,1,$P$1-3))</f>
        <v>11409022796</v>
      </c>
      <c r="J31" s="94">
        <f>(INDEX(Data!21:21,1,$P$1-2)-INDEX(Data!1396:1396,1,$P$1-2))+(INDEX(Data!21:21,1,$P$1-1)-INDEX(Data!1396:1396,1,$P$1-1))</f>
        <v>11411358100</v>
      </c>
      <c r="K31" s="88">
        <f>(INDEX(Data!21:21,1,$P$1)-INDEX(Data!1396:1396,1,$P$1))+(INDEX(Data!21:21,1,$P$1+1)-INDEX(Data!1396:1396,1,$P$1+1))</f>
        <v>12072254834</v>
      </c>
    </row>
    <row r="32" spans="1:22">
      <c r="A32" s="92" t="s">
        <v>6</v>
      </c>
      <c r="B32" s="86">
        <f>(INDEX(Data!7:7,1,$P$1-8)-INDEX(Data!1238:1238,1,$P$1-8))+(INDEX(Data!7:7,1,$P$1-7)-INDEX(Data!1238:1238,1,$P$1-7))</f>
        <v>643132612</v>
      </c>
      <c r="C32" s="87">
        <f>(INDEX(Data!7:7,1,$P$1-6)-INDEX(Data!1238:1238,1,$P$1-6))+(INDEX(Data!7:7,1,$P$1-5)-INDEX(Data!1238:1238,1,$P$1-5))</f>
        <v>757004569</v>
      </c>
      <c r="D32" s="407">
        <f>(INDEX(Data!7:7,1,$P$1-4)-INDEX(Data!1238:1238,1,$P$1-4))+(INDEX(Data!7:7,1,$P$1-3)-INDEX(Data!1238:1238,1,$P$1-3))</f>
        <v>807750108</v>
      </c>
      <c r="E32" s="94">
        <f>(INDEX(Data!7:7,1,$P$1-2)-INDEX(Data!1238:1238,1,$P$1-2))+(INDEX(Data!7:7,1,$P$1-1)-INDEX(Data!1238:1238,1,$P$1-1))</f>
        <v>830594100</v>
      </c>
      <c r="F32" s="88">
        <f>(INDEX(Data!7:7,1,$P$1)-INDEX(Data!1238:1238,1,$P$1))+(INDEX(Data!7:7,1,$P$1+1)-INDEX(Data!1238:1238,1,$P$1+1))</f>
        <v>933755098</v>
      </c>
      <c r="G32" s="91">
        <f>(INDEX(Data!20:20,1,$P$1-8)-INDEX(Data!1395:1395,1,$P$1-8))+(INDEX(Data!20:20,1,$P$1-7)-INDEX(Data!1395:1395,1,$P$1-7))</f>
        <v>381263413</v>
      </c>
      <c r="H32" s="87">
        <f>(INDEX(Data!20:20,1,$P$1-6)-INDEX(Data!1395:1395,1,$P$1-6))+(INDEX(Data!20:20,1,$P$1-5)-INDEX(Data!1395:1395,1,$P$1-5))</f>
        <v>438826198</v>
      </c>
      <c r="I32" s="407">
        <f>(INDEX(Data!20:20,1,$P$1-4)-INDEX(Data!1395:1395,1,$P$1-4))+(INDEX(Data!20:20,1,$P$1-3)-INDEX(Data!1395:1395,1,$P$1-3))</f>
        <v>481644163</v>
      </c>
      <c r="J32" s="94">
        <f>(INDEX(Data!20:20,1,$P$1-2)-INDEX(Data!1395:1395,1,$P$1-2))+(INDEX(Data!20:20,1,$P$1-1)-INDEX(Data!1395:1395,1,$P$1-1))</f>
        <v>491430358</v>
      </c>
      <c r="K32" s="88">
        <f>(INDEX(Data!20:20,1,$P$1)-INDEX(Data!1395:1395,1,$P$1))+(INDEX(Data!20:20,1,$P$1+1)-INDEX(Data!1395:1395,1,$P$1+1))</f>
        <v>545698341</v>
      </c>
    </row>
    <row r="33" spans="1:11">
      <c r="A33" s="92" t="s">
        <v>8</v>
      </c>
      <c r="B33" s="86">
        <f>(INDEX(Data!9:9,1,$P$1-8)-INDEX(Data!1240:1240,1,$P$1-8))+(INDEX(Data!9:9,1,$P$1-7)-INDEX(Data!1240:1240,1,$P$1-7))</f>
        <v>5921755906</v>
      </c>
      <c r="C33" s="87">
        <f>(INDEX(Data!9:9,1,$P$1-6)-INDEX(Data!1240:1240,1,$P$1-6))+(INDEX(Data!9:9,1,$P$1-5)-INDEX(Data!1240:1240,1,$P$1-5))</f>
        <v>6763415524</v>
      </c>
      <c r="D33" s="407">
        <f>(INDEX(Data!9:9,1,$P$1-4)-INDEX(Data!1240:1240,1,$P$1-4))+(INDEX(Data!9:9,1,$P$1-3)-INDEX(Data!1240:1240,1,$P$1-3))</f>
        <v>4367540085</v>
      </c>
      <c r="E33" s="94">
        <f>(INDEX(Data!9:9,1,$P$1-2)-INDEX(Data!1240:1240,1,$P$1-2))+(INDEX(Data!9:9,1,$P$1-1)-INDEX(Data!1240:1240,1,$P$1-1))</f>
        <v>4454841820</v>
      </c>
      <c r="F33" s="88">
        <f>(INDEX(Data!9:9,1,$P$1)-INDEX(Data!1240:1240,1,$P$1))+(INDEX(Data!9:9,1,$P$1+1)-INDEX(Data!1240:1240,1,$P$1+1))</f>
        <v>9012375041</v>
      </c>
      <c r="G33" s="91">
        <f>(INDEX(Data!22:22,1,$P$1-8)-INDEX(Data!1397:1397,1,$P$1-8))+(INDEX(Data!22:22,1,$P$1-7)-INDEX(Data!1397:1397,1,$P$1-7))</f>
        <v>2652151686</v>
      </c>
      <c r="H33" s="87">
        <f>(INDEX(Data!22:22,1,$P$1-6)-INDEX(Data!1397:1397,1,$P$1-6))+(INDEX(Data!22:22,1,$P$1-5)-INDEX(Data!1397:1397,1,$P$1-5))</f>
        <v>724056304</v>
      </c>
      <c r="I33" s="407">
        <f>(INDEX(Data!22:22,1,$P$1-4)-INDEX(Data!1397:1397,1,$P$1-4))+(INDEX(Data!22:22,1,$P$1-3)-INDEX(Data!1397:1397,1,$P$1-3))</f>
        <v>832069021</v>
      </c>
      <c r="J33" s="94">
        <f>(INDEX(Data!22:22,1,$P$1-2)-INDEX(Data!1397:1397,1,$P$1-2))+(INDEX(Data!22:22,1,$P$1-1)-INDEX(Data!1397:1397,1,$P$1-1))</f>
        <v>890340902</v>
      </c>
      <c r="K33" s="88">
        <f>(INDEX(Data!22:22,1,$P$1)-INDEX(Data!1397:1397,1,$P$1))+(INDEX(Data!22:22,1,$P$1+1)-INDEX(Data!1397:1397,1,$P$1+1))</f>
        <v>1011728952</v>
      </c>
    </row>
    <row r="34" spans="1:11">
      <c r="A34" s="92" t="s">
        <v>9</v>
      </c>
      <c r="B34" s="86">
        <f>(INDEX(Data!10:10,1,$P$1-8)-INDEX(Data!1241:1241,1,$P$1-8))+(INDEX(Data!10:10,1,$P$1-7)-INDEX(Data!1241:1241,1,$P$1-7))</f>
        <v>24455821632</v>
      </c>
      <c r="C34" s="87">
        <f>(INDEX(Data!10:10,1,$P$1-6)-INDEX(Data!1241:1241,1,$P$1-6))+(INDEX(Data!10:10,1,$P$1-5)-INDEX(Data!1241:1241,1,$P$1-5))</f>
        <v>26292390754</v>
      </c>
      <c r="D34" s="407">
        <f>(INDEX(Data!10:10,1,$P$1-4)-INDEX(Data!1241:1241,1,$P$1-4))+(INDEX(Data!10:10,1,$P$1-3)-INDEX(Data!1241:1241,1,$P$1-3))</f>
        <v>27762174597</v>
      </c>
      <c r="E34" s="94">
        <f>(INDEX(Data!10:10,1,$P$1-2)-INDEX(Data!1241:1241,1,$P$1-2))+(INDEX(Data!10:10,1,$P$1-1)-INDEX(Data!1241:1241,1,$P$1-1))</f>
        <v>31841630980</v>
      </c>
      <c r="F34" s="88">
        <f>(INDEX(Data!10:10,1,$P$1)-INDEX(Data!1241:1241,1,$P$1))+(INDEX(Data!10:10,1,$P$1+1)-INDEX(Data!1241:1241,1,$P$1+1))</f>
        <v>37061108187</v>
      </c>
      <c r="G34" s="91">
        <f>(INDEX(Data!23:23,1,$P$1-8)-INDEX(Data!1398:1398,1,$P$1-8))+(INDEX(Data!23:23,1,$P$1-7)-INDEX(Data!1398:1398,1,$P$1-7))</f>
        <v>1372945479</v>
      </c>
      <c r="H34" s="87">
        <f>(INDEX(Data!23:23,1,$P$1-6)-INDEX(Data!1398:1398,1,$P$1-6))+(INDEX(Data!23:23,1,$P$1-5)-INDEX(Data!1398:1398,1,$P$1-5))</f>
        <v>962009675</v>
      </c>
      <c r="I34" s="407">
        <f>(INDEX(Data!23:23,1,$P$1-4)-INDEX(Data!1398:1398,1,$P$1-4))+(INDEX(Data!23:23,1,$P$1-3)-INDEX(Data!1398:1398,1,$P$1-3))</f>
        <v>1168398971</v>
      </c>
      <c r="J34" s="94">
        <f>(INDEX(Data!23:23,1,$P$1-2)-INDEX(Data!1398:1398,1,$P$1-2))+(INDEX(Data!23:23,1,$P$1-1)-INDEX(Data!1398:1398,1,$P$1-1))</f>
        <v>513605868</v>
      </c>
      <c r="K34" s="88">
        <f>(INDEX(Data!23:23,1,$P$1)-INDEX(Data!1398:1398,1,$P$1))+(INDEX(Data!23:23,1,$P$1+1)-INDEX(Data!1398:1398,1,$P$1+1))</f>
        <v>525871565</v>
      </c>
    </row>
    <row r="35" spans="1:11">
      <c r="A35" s="92" t="s">
        <v>10</v>
      </c>
      <c r="B35" s="86">
        <f>(INDEX(Data!11:11,1,$P$1-8)-INDEX(Data!1242:1242,1,$P$1-8))+(INDEX(Data!11:11,1,$P$1-7)-INDEX(Data!1242:1242,1,$P$1-7))</f>
        <v>677842453</v>
      </c>
      <c r="C35" s="87">
        <f>(INDEX(Data!11:11,1,$P$1-6)-INDEX(Data!1242:1242,1,$P$1-6))+(INDEX(Data!11:11,1,$P$1-5)-INDEX(Data!1242:1242,1,$P$1-5))</f>
        <v>1286051526</v>
      </c>
      <c r="D35" s="407">
        <f>(INDEX(Data!11:11,1,$P$1-4)-INDEX(Data!1242:1242,1,$P$1-4))+(INDEX(Data!11:11,1,$P$1-3)-INDEX(Data!1242:1242,1,$P$1-3))</f>
        <v>934230341</v>
      </c>
      <c r="E35" s="94">
        <f>(INDEX(Data!11:11,1,$P$1-2)-INDEX(Data!1242:1242,1,$P$1-2))+(INDEX(Data!11:11,1,$P$1-1)-INDEX(Data!1242:1242,1,$P$1-1))</f>
        <v>675252755</v>
      </c>
      <c r="F35" s="88">
        <f>(INDEX(Data!11:11,1,$P$1)-INDEX(Data!1242:1242,1,$P$1))+(INDEX(Data!11:11,1,$P$1+1)-INDEX(Data!1242:1242,1,$P$1+1))</f>
        <v>707033698</v>
      </c>
      <c r="G35" s="91">
        <f>(INDEX(Data!24:24,1,$P$1-8)-INDEX(Data!1399:1399,1,$P$1-8))+(INDEX(Data!24:24,1,$P$1-7)-INDEX(Data!1399:1399,1,$P$1-7))</f>
        <v>264359112</v>
      </c>
      <c r="H35" s="87">
        <f>(INDEX(Data!24:24,1,$P$1-6)-INDEX(Data!1399:1399,1,$P$1-6))+(INDEX(Data!24:24,1,$P$1-5)-INDEX(Data!1399:1399,1,$P$1-5))</f>
        <v>276266505</v>
      </c>
      <c r="I35" s="407">
        <f>(INDEX(Data!24:24,1,$P$1-4)-INDEX(Data!1399:1399,1,$P$1-4))+(INDEX(Data!24:24,1,$P$1-3)-INDEX(Data!1399:1399,1,$P$1-3))</f>
        <v>332871577</v>
      </c>
      <c r="J35" s="94">
        <f>(INDEX(Data!24:24,1,$P$1-2)-INDEX(Data!1399:1399,1,$P$1-2))+(INDEX(Data!24:24,1,$P$1-1)-INDEX(Data!1399:1399,1,$P$1-1))</f>
        <v>347229770</v>
      </c>
      <c r="K35" s="88">
        <f>(INDEX(Data!24:24,1,$P$1)-INDEX(Data!1399:1399,1,$P$1))+(INDEX(Data!24:24,1,$P$1+1)-INDEX(Data!1399:1399,1,$P$1+1))</f>
        <v>379190182</v>
      </c>
    </row>
    <row r="36" spans="1:11">
      <c r="A36" s="92" t="s">
        <v>11</v>
      </c>
      <c r="B36" s="86">
        <f>(INDEX(Data!12:12,1,$P$1-8)-INDEX(Data!1243:1243,1,$P$1-8))+(INDEX(Data!12:12,1,$P$1-7)-INDEX(Data!1243:1243,1,$P$1-7))</f>
        <v>0</v>
      </c>
      <c r="C36" s="87">
        <f>(INDEX(Data!12:12,1,$P$1-6)-INDEX(Data!1243:1243,1,$P$1-6))+(INDEX(Data!12:12,1,$P$1-5)-INDEX(Data!1243:1243,1,$P$1-5))</f>
        <v>349312566</v>
      </c>
      <c r="D36" s="407">
        <f>(INDEX(Data!12:12,1,$P$1-4)-INDEX(Data!1243:1243,1,$P$1-4))+(INDEX(Data!12:12,1,$P$1-3)-INDEX(Data!1243:1243,1,$P$1-3))</f>
        <v>390203486</v>
      </c>
      <c r="E36" s="94">
        <f>(INDEX(Data!12:12,1,$P$1-2)-INDEX(Data!1243:1243,1,$P$1-2))+(INDEX(Data!12:12,1,$P$1-1)-INDEX(Data!1243:1243,1,$P$1-1))</f>
        <v>0</v>
      </c>
      <c r="F36" s="88">
        <f>(INDEX(Data!12:12,1,$P$1)-INDEX(Data!1243:1243,1,$P$1))+(INDEX(Data!12:12,1,$P$1+1)-INDEX(Data!1243:1243,1,$P$1+1))</f>
        <v>0</v>
      </c>
      <c r="G36" s="91">
        <f>(INDEX(Data!25:25,1,$P$1-8)-INDEX(Data!1400:1400,1,$P$1-8))+(INDEX(Data!25:25,1,$P$1-7)-INDEX(Data!1400:1400,1,$P$1-7))</f>
        <v>0</v>
      </c>
      <c r="H36" s="87">
        <f>(INDEX(Data!25:25,1,$P$1-6)-INDEX(Data!1400:1400,1,$P$1-6))+(INDEX(Data!25:25,1,$P$1-5)-INDEX(Data!1400:1400,1,$P$1-5))</f>
        <v>161634534</v>
      </c>
      <c r="I36" s="407">
        <f>(INDEX(Data!25:25,1,$P$1-4)-INDEX(Data!1400:1400,1,$P$1-4))+(INDEX(Data!25:25,1,$P$1-3)-INDEX(Data!1400:1400,1,$P$1-3))</f>
        <v>276200156</v>
      </c>
      <c r="J36" s="94">
        <f>(INDEX(Data!25:25,1,$P$1-2)-INDEX(Data!1400:1400,1,$P$1-2))+(INDEX(Data!25:25,1,$P$1-1)-INDEX(Data!1400:1400,1,$P$1-1))</f>
        <v>0</v>
      </c>
      <c r="K36" s="88">
        <f>(INDEX(Data!25:25,1,$P$1)-INDEX(Data!1400:1400,1,$P$1))+(INDEX(Data!25:25,1,$P$1+1)-INDEX(Data!1400:1400,1,$P$1+1))</f>
        <v>0</v>
      </c>
    </row>
    <row r="37" spans="1:11">
      <c r="A37" s="79" t="s">
        <v>12</v>
      </c>
      <c r="B37" s="86">
        <f>(INDEX(Data!13:13,1,$P$1-8)-INDEX(Data!1244:1244,1,$P$1-8))+(INDEX(Data!13:13,1,$P$1-7)-INDEX(Data!1244:1244,1,$P$1-7))</f>
        <v>339925873</v>
      </c>
      <c r="C37" s="87">
        <f>(INDEX(Data!13:13,1,$P$1-6)-INDEX(Data!1244:1244,1,$P$1-6))+(INDEX(Data!13:13,1,$P$1-5)-INDEX(Data!1244:1244,1,$P$1-5))</f>
        <v>359648216</v>
      </c>
      <c r="D37" s="407">
        <f>(INDEX(Data!13:13,1,$P$1-4)-INDEX(Data!1244:1244,1,$P$1-4))+(INDEX(Data!13:13,1,$P$1-3)-INDEX(Data!1244:1244,1,$P$1-3))</f>
        <v>386066309</v>
      </c>
      <c r="E37" s="94">
        <f>(INDEX(Data!13:13,1,$P$1-2)-INDEX(Data!1244:1244,1,$P$1-2))+(INDEX(Data!13:13,1,$P$1-1)-INDEX(Data!1244:1244,1,$P$1-1))</f>
        <v>387517003</v>
      </c>
      <c r="F37" s="88">
        <f>(INDEX(Data!13:13,1,$P$1)-INDEX(Data!1244:1244,1,$P$1))+(INDEX(Data!13:13,1,$P$1+1)-INDEX(Data!1244:1244,1,$P$1+1))</f>
        <v>392227255</v>
      </c>
      <c r="G37" s="91">
        <f>(INDEX(Data!26:26,1,$P$1-8)-INDEX(Data!1401:1401,1,$P$1-8))+(INDEX(Data!26:26,1,$P$1-7)-INDEX(Data!1401:1401,1,$P$1-7))</f>
        <v>339363073</v>
      </c>
      <c r="H37" s="87">
        <f>(INDEX(Data!26:26,1,$P$1-6)-INDEX(Data!1401:1401,1,$P$1-6))+(INDEX(Data!26:26,1,$P$1-5)-INDEX(Data!1401:1401,1,$P$1-5))</f>
        <v>359443216</v>
      </c>
      <c r="I37" s="407">
        <f>(INDEX(Data!26:26,1,$P$1-4)-INDEX(Data!1401:1401,1,$P$1-4))+(INDEX(Data!26:26,1,$P$1-3)-INDEX(Data!1401:1401,1,$P$1-3))</f>
        <v>385863459</v>
      </c>
      <c r="J37" s="94">
        <f>(INDEX(Data!26:26,1,$P$1-2)-INDEX(Data!1401:1401,1,$P$1-2))+(INDEX(Data!26:26,1,$P$1-1)-INDEX(Data!1401:1401,1,$P$1-1))</f>
        <v>387314153</v>
      </c>
      <c r="K37" s="88">
        <f>(INDEX(Data!26:26,1,$P$1)-INDEX(Data!1401:1401,1,$P$1))+(INDEX(Data!26:26,1,$P$1+1)-INDEX(Data!1401:1401,1,$P$1+1))</f>
        <v>392024405</v>
      </c>
    </row>
    <row r="38" spans="1:11">
      <c r="A38" s="92" t="s">
        <v>715</v>
      </c>
      <c r="B38" s="86">
        <f t="shared" ref="B38:E38" si="2">SUM(B32:B37)</f>
        <v>32038478476</v>
      </c>
      <c r="C38" s="87">
        <f t="shared" si="2"/>
        <v>35807823155</v>
      </c>
      <c r="D38" s="407">
        <f t="shared" si="2"/>
        <v>34647964926</v>
      </c>
      <c r="E38" s="94">
        <f t="shared" si="2"/>
        <v>38189836658</v>
      </c>
      <c r="F38" s="88">
        <f t="shared" ref="F38" si="3">SUM(F32:F37)</f>
        <v>48106499279</v>
      </c>
      <c r="G38" s="91">
        <f t="shared" ref="G38:K38" si="4">SUM(G32:G37)</f>
        <v>5010082763</v>
      </c>
      <c r="H38" s="87">
        <f t="shared" si="4"/>
        <v>2922236432</v>
      </c>
      <c r="I38" s="407">
        <f t="shared" si="4"/>
        <v>3477047347</v>
      </c>
      <c r="J38" s="94">
        <f t="shared" si="4"/>
        <v>2629921051</v>
      </c>
      <c r="K38" s="88">
        <f t="shared" si="4"/>
        <v>2854513445</v>
      </c>
    </row>
    <row r="39" spans="1:11" ht="13.5" thickBot="1">
      <c r="A39" s="95" t="s">
        <v>280</v>
      </c>
      <c r="B39" s="96">
        <f t="shared" ref="B39:C39" si="5">SUM(B28:B37)</f>
        <v>179105559029</v>
      </c>
      <c r="C39" s="97">
        <f t="shared" si="5"/>
        <v>200421130813</v>
      </c>
      <c r="D39" s="100">
        <f t="shared" ref="D39:F39" si="6">SUM(D28:D37)</f>
        <v>209093704225</v>
      </c>
      <c r="E39" s="97">
        <f t="shared" si="6"/>
        <v>216612514485</v>
      </c>
      <c r="F39" s="98">
        <f t="shared" si="6"/>
        <v>248313834070</v>
      </c>
      <c r="G39" s="100">
        <f t="shared" ref="G39:K39" si="7">SUM(G28:G37)</f>
        <v>86743876153</v>
      </c>
      <c r="H39" s="97">
        <f t="shared" si="7"/>
        <v>94976962125</v>
      </c>
      <c r="I39" s="100">
        <f t="shared" si="7"/>
        <v>106005054573</v>
      </c>
      <c r="J39" s="97">
        <f t="shared" si="7"/>
        <v>106663236326</v>
      </c>
      <c r="K39" s="98">
        <f t="shared" si="7"/>
        <v>118313597969.23126</v>
      </c>
    </row>
    <row r="40" spans="1:11">
      <c r="K40" s="1177"/>
    </row>
    <row r="41" spans="1:11">
      <c r="K41" s="463"/>
    </row>
    <row r="42" spans="1:11">
      <c r="K42" s="463"/>
    </row>
    <row r="43" spans="1:11">
      <c r="K43" s="463"/>
    </row>
    <row r="44" spans="1:11">
      <c r="K44" s="463"/>
    </row>
    <row r="45" spans="1:11">
      <c r="K45" s="463"/>
    </row>
    <row r="46" spans="1:11">
      <c r="K46" s="463"/>
    </row>
    <row r="47" spans="1:11">
      <c r="K47" s="463"/>
    </row>
    <row r="48" spans="1:11">
      <c r="K48" s="463"/>
    </row>
    <row r="49" spans="1:22">
      <c r="K49" s="463"/>
    </row>
    <row r="50" spans="1:22">
      <c r="K50" s="463"/>
    </row>
    <row r="51" spans="1:22">
      <c r="K51" s="463"/>
    </row>
    <row r="52" spans="1:22">
      <c r="K52" s="463"/>
    </row>
    <row r="53" spans="1:22">
      <c r="K53" s="463"/>
    </row>
    <row r="54" spans="1:22">
      <c r="K54" s="463"/>
    </row>
    <row r="55" spans="1:22">
      <c r="K55" s="463"/>
    </row>
    <row r="56" spans="1:22">
      <c r="K56" s="463"/>
    </row>
    <row r="57" spans="1:22">
      <c r="K57" s="463"/>
    </row>
    <row r="58" spans="1:22">
      <c r="K58" s="463"/>
    </row>
    <row r="59" spans="1:22" ht="13.5" thickBot="1">
      <c r="K59" s="464"/>
    </row>
    <row r="60" spans="1:22" ht="13.5" customHeight="1" thickBot="1">
      <c r="A60" s="536" t="s">
        <v>771</v>
      </c>
      <c r="B60" s="537"/>
      <c r="C60" s="537"/>
      <c r="D60" s="537"/>
      <c r="E60" s="537"/>
      <c r="F60" s="537"/>
      <c r="G60" s="537"/>
      <c r="H60" s="537"/>
      <c r="I60" s="537"/>
      <c r="J60" s="537"/>
      <c r="K60" s="537"/>
      <c r="L60" s="537"/>
      <c r="M60" s="537"/>
      <c r="N60" s="537"/>
      <c r="O60" s="537"/>
      <c r="P60" s="537"/>
      <c r="Q60" s="537"/>
      <c r="R60" s="537"/>
      <c r="S60" s="537"/>
      <c r="T60" s="538"/>
      <c r="U60" s="67"/>
      <c r="V60" s="67"/>
    </row>
    <row r="61" spans="1:22" ht="13.5" thickBot="1">
      <c r="A61" s="535" t="s">
        <v>1318</v>
      </c>
      <c r="B61" s="1292" t="s">
        <v>2</v>
      </c>
      <c r="C61" s="1293"/>
      <c r="D61" s="1293"/>
      <c r="E61" s="1293"/>
      <c r="F61" s="1293"/>
      <c r="G61" s="1295" t="s">
        <v>764</v>
      </c>
      <c r="H61" s="1295"/>
      <c r="I61" s="1295"/>
      <c r="J61" s="1295"/>
      <c r="K61" s="1295"/>
    </row>
    <row r="62" spans="1:22">
      <c r="A62" s="73" t="s">
        <v>772</v>
      </c>
      <c r="B62" s="466" t="str">
        <f>$O$1-8&amp;" - "&amp;$O$1-7</f>
        <v>2012 - 2013</v>
      </c>
      <c r="C62" s="75" t="str">
        <f>$O$1-6&amp;" - "&amp;$O$1-5</f>
        <v>2014 - 2015</v>
      </c>
      <c r="D62" s="75" t="str">
        <f>$O$1-4&amp;" - "&amp;$O$1-3</f>
        <v>2016 - 2017</v>
      </c>
      <c r="E62" s="75" t="str">
        <f>$O$1-2&amp;" - "&amp;$O$1-1</f>
        <v>2018 - 2019</v>
      </c>
      <c r="F62" s="78" t="str">
        <f>$O$1&amp;" - "&amp;$O$1+1</f>
        <v>2020 - 2021</v>
      </c>
      <c r="G62" s="509" t="str">
        <f>$O$1-8&amp;" - "&amp;$O$1-7</f>
        <v>2012 - 2013</v>
      </c>
      <c r="H62" s="75" t="str">
        <f>$O$1-6&amp;" - "&amp;$O$1-5</f>
        <v>2014 - 2015</v>
      </c>
      <c r="I62" s="75" t="str">
        <f>$O$1-4&amp;" - "&amp;$O$1-3</f>
        <v>2016 - 2017</v>
      </c>
      <c r="J62" s="75" t="str">
        <f>$O$1-2&amp;" - "&amp;$O$1-1</f>
        <v>2018 - 2019</v>
      </c>
      <c r="K62" s="78" t="str">
        <f>$O$1&amp;" - "&amp;$O$1+1</f>
        <v>2020 - 2021</v>
      </c>
    </row>
    <row r="63" spans="1:22" hidden="1" outlineLevel="1">
      <c r="A63" s="79" t="s">
        <v>19</v>
      </c>
      <c r="B63" s="83">
        <f>(INDEX(Data!30:30,1,$P$1-8)-INDEX(Data!1245:1245,1,$P$1-8))+(INDEX(Data!30:30,1,$P$1-7)-INDEX(Data!1245:1245,1,$P$1-7))</f>
        <v>49089730388</v>
      </c>
      <c r="C63" s="81">
        <f>(INDEX(Data!30:30,1,$P$1-6)-INDEX(Data!1245:1245,1,$P$1-6))+(INDEX(Data!30:30,1,$P$1-5)-INDEX(Data!1245:1245,1,$P$1-5))</f>
        <v>52735842697</v>
      </c>
      <c r="D63" s="403">
        <f>(INDEX(Data!30:30,1,$P$1-4)-INDEX(Data!1245:1245,1,$P$1-4))+(INDEX(Data!30:30,1,$P$1-3)-INDEX(Data!1245:1245,1,$P$1-3))</f>
        <v>54503077672</v>
      </c>
      <c r="E63" s="103">
        <f>(INDEX(Data!30:30,1,$P$1-2)-INDEX(Data!1245:1245,1,$P$1-2))+(INDEX(Data!30:30,1,$P$1-1)-INDEX(Data!1245:1245,1,$P$1-1))</f>
        <v>55358561904</v>
      </c>
      <c r="F63" s="82">
        <f>(INDEX(Data!30:30,1,$P$1)-INDEX(Data!1245:1245,1,$P$1))+(INDEX(Data!30:30,1,$P$1+1)-INDEX(Data!1245:1245,1,$P$1+1))</f>
        <v>64612778563</v>
      </c>
      <c r="G63" s="403">
        <f>(INDEX(Data!131:131,1,$P$1-8)-INDEX(Data!1402:1402,1,$P$1-8))+(INDEX(Data!131:131,1,$P$1-7)-INDEX(Data!1402:1402,1,$P$1-7))</f>
        <v>32227224526</v>
      </c>
      <c r="H63" s="103">
        <f>(INDEX(Data!131:131,1,$P$1-6)-INDEX(Data!1402:1402,1,$P$1-6))+(INDEX(Data!131:131,1,$P$1-5)-INDEX(Data!1402:1402,1,$P$1-5))</f>
        <v>34307951794</v>
      </c>
      <c r="I63" s="403">
        <f>(INDEX(Data!131:131,1,$P$1-4)-INDEX(Data!1402:1402,1,$P$1-4))+(INDEX(Data!131:131,1,$P$1-3)-INDEX(Data!1402:1402,1,$P$1-3))</f>
        <v>37479547874</v>
      </c>
      <c r="J63" s="103">
        <f>(INDEX(Data!131:131,1,$P$1-2)-INDEX(Data!1402:1402,1,$P$1-2))+(INDEX(Data!131:131,1,$P$1-1)-INDEX(Data!1402:1402,1,$P$1-1))</f>
        <v>36615146493</v>
      </c>
      <c r="K63" s="82">
        <f>(INDEX(Data!131:131,1,$P$1)-INDEX(Data!1402:1402,1,$P$1))+(INDEX(Data!131:131,1,$P$1+1)-INDEX(Data!1402:1402,1,$P$1+1))</f>
        <v>44721862657</v>
      </c>
    </row>
    <row r="64" spans="1:22" hidden="1" outlineLevel="1">
      <c r="A64" s="79" t="s">
        <v>773</v>
      </c>
      <c r="B64" s="86">
        <f>(INDEX(Data!31:31,1,$P$1-8)-INDEX(Data!1246:1246,1,$P$1-8))+(INDEX(Data!31:31,1,$P$1-7)-INDEX(Data!1246:1246,1,$P$1-7))</f>
        <v>0</v>
      </c>
      <c r="C64" s="87">
        <f>(INDEX(Data!31:31,1,$P$1-6)-INDEX(Data!1246:1246,1,$P$1-6))+(INDEX(Data!31:31,1,$P$1-5)-INDEX(Data!1246:1246,1,$P$1-5))</f>
        <v>0</v>
      </c>
      <c r="D64" s="404">
        <f>(INDEX(Data!31:31,1,$P$1-4)-INDEX(Data!1246:1246,1,$P$1-4))+(INDEX(Data!31:31,1,$P$1-3)-INDEX(Data!1246:1246,1,$P$1-3))</f>
        <v>0</v>
      </c>
      <c r="E64" s="90">
        <f>(INDEX(Data!31:31,1,$P$1-2)-INDEX(Data!1246:1246,1,$P$1-2))+(INDEX(Data!31:31,1,$P$1-1)-INDEX(Data!1246:1246,1,$P$1-1))</f>
        <v>0</v>
      </c>
      <c r="F64" s="88">
        <f>(INDEX(Data!31:31,1,$P$1)-INDEX(Data!1246:1246,1,$P$1))+(INDEX(Data!31:31,1,$P$1+1)-INDEX(Data!1246:1246,1,$P$1+1))</f>
        <v>0</v>
      </c>
      <c r="G64" s="404">
        <f>(INDEX(Data!132:132,1,$P$1-8)-INDEX(Data!1403:1403,1,$P$1-8))+(INDEX(Data!132:132,1,$P$1-7)-INDEX(Data!1403:1403,1,$P$1-7))</f>
        <v>0</v>
      </c>
      <c r="H64" s="90">
        <f>(INDEX(Data!132:132,1,$P$1-6)-INDEX(Data!1403:1403,1,$P$1-6))+(INDEX(Data!132:132,1,$P$1-5)-INDEX(Data!1403:1403,1,$P$1-5))</f>
        <v>0</v>
      </c>
      <c r="I64" s="404">
        <f>(INDEX(Data!132:132,1,$P$1-4)-INDEX(Data!1403:1403,1,$P$1-4))+(INDEX(Data!132:132,1,$P$1-3)-INDEX(Data!1403:1403,1,$P$1-3))</f>
        <v>0</v>
      </c>
      <c r="J64" s="90">
        <f>(INDEX(Data!132:132,1,$P$1-2)-INDEX(Data!1403:1403,1,$P$1-2))+(INDEX(Data!132:132,1,$P$1-1)-INDEX(Data!1403:1403,1,$P$1-1))</f>
        <v>0</v>
      </c>
      <c r="K64" s="88">
        <f>(INDEX(Data!132:132,1,$P$1)-INDEX(Data!1403:1403,1,$P$1))+(INDEX(Data!132:132,1,$P$1+1)-INDEX(Data!1403:1403,1,$P$1+1))</f>
        <v>0</v>
      </c>
    </row>
    <row r="65" spans="1:11" ht="25.5" hidden="1" outlineLevel="1">
      <c r="A65" s="79" t="s">
        <v>774</v>
      </c>
      <c r="B65" s="86">
        <f>(INDEX(Data!32:32,1,$P$1-8)-INDEX(Data!1247:1247,1,$P$1-8))+(INDEX(Data!32:32,1,$P$1-7)-INDEX(Data!1247:1247,1,$P$1-7))</f>
        <v>41245345</v>
      </c>
      <c r="C65" s="87">
        <f>(INDEX(Data!32:32,1,$P$1-6)-INDEX(Data!1247:1247,1,$P$1-6))+(INDEX(Data!32:32,1,$P$1-5)-INDEX(Data!1247:1247,1,$P$1-5))</f>
        <v>44341007</v>
      </c>
      <c r="D65" s="404">
        <f>(INDEX(Data!32:32,1,$P$1-4)-INDEX(Data!1247:1247,1,$P$1-4))+(INDEX(Data!32:32,1,$P$1-3)-INDEX(Data!1247:1247,1,$P$1-3))</f>
        <v>47633690</v>
      </c>
      <c r="E65" s="90">
        <f>(INDEX(Data!32:32,1,$P$1-2)-INDEX(Data!1247:1247,1,$P$1-2))+(INDEX(Data!32:32,1,$P$1-1)-INDEX(Data!1247:1247,1,$P$1-1))</f>
        <v>53588740</v>
      </c>
      <c r="F65" s="88">
        <f>(INDEX(Data!32:32,1,$P$1)-INDEX(Data!1247:1247,1,$P$1))+(INDEX(Data!32:32,1,$P$1+1)-INDEX(Data!1247:1247,1,$P$1+1))</f>
        <v>48284006</v>
      </c>
      <c r="G65" s="404">
        <f>(INDEX(Data!133:133,1,$P$1-8)-INDEX(Data!1404:1404,1,$P$1-8))+(INDEX(Data!133:133,1,$P$1-7)-INDEX(Data!1404:1404,1,$P$1-7))</f>
        <v>29152947</v>
      </c>
      <c r="H65" s="90">
        <f>(INDEX(Data!133:133,1,$P$1-6)-INDEX(Data!1404:1404,1,$P$1-6))+(INDEX(Data!133:133,1,$P$1-5)-INDEX(Data!1404:1404,1,$P$1-5))</f>
        <v>29381251</v>
      </c>
      <c r="I65" s="404">
        <f>(INDEX(Data!133:133,1,$P$1-4)-INDEX(Data!1404:1404,1,$P$1-4))+(INDEX(Data!133:133,1,$P$1-3)-INDEX(Data!1404:1404,1,$P$1-3))</f>
        <v>29027942</v>
      </c>
      <c r="J65" s="90">
        <f>(INDEX(Data!133:133,1,$P$1-2)-INDEX(Data!1404:1404,1,$P$1-2))+(INDEX(Data!133:133,1,$P$1-1)-INDEX(Data!1404:1404,1,$P$1-1))</f>
        <v>31285258</v>
      </c>
      <c r="K65" s="88">
        <f>(INDEX(Data!133:133,1,$P$1)-INDEX(Data!1404:1404,1,$P$1))+(INDEX(Data!133:133,1,$P$1+1)-INDEX(Data!1404:1404,1,$P$1+1))</f>
        <v>33019450</v>
      </c>
    </row>
    <row r="66" spans="1:11" hidden="1" outlineLevel="1">
      <c r="A66" s="79" t="s">
        <v>775</v>
      </c>
      <c r="B66" s="86">
        <f>(INDEX(Data!33:33,1,$P$1-8)-INDEX(Data!1248:1248,1,$P$1-8))+(INDEX(Data!33:33,1,$P$1-7)-INDEX(Data!1248:1248,1,$P$1-7))</f>
        <v>52695245</v>
      </c>
      <c r="C66" s="87">
        <f>(INDEX(Data!33:33,1,$P$1-6)-INDEX(Data!1248:1248,1,$P$1-6))+(INDEX(Data!33:33,1,$P$1-5)-INDEX(Data!1248:1248,1,$P$1-5))</f>
        <v>53467158</v>
      </c>
      <c r="D66" s="404">
        <f>(INDEX(Data!33:33,1,$P$1-4)-INDEX(Data!1248:1248,1,$P$1-4))+(INDEX(Data!33:33,1,$P$1-3)-INDEX(Data!1248:1248,1,$P$1-3))</f>
        <v>55184086</v>
      </c>
      <c r="E66" s="90">
        <f>(INDEX(Data!33:33,1,$P$1-2)-INDEX(Data!1248:1248,1,$P$1-2))+(INDEX(Data!33:33,1,$P$1-1)-INDEX(Data!1248:1248,1,$P$1-1))</f>
        <v>76142922</v>
      </c>
      <c r="F66" s="88">
        <f>(INDEX(Data!33:33,1,$P$1)-INDEX(Data!1248:1248,1,$P$1))+(INDEX(Data!33:33,1,$P$1+1)-INDEX(Data!1248:1248,1,$P$1+1))</f>
        <v>65223611</v>
      </c>
      <c r="G66" s="404">
        <f>(INDEX(Data!134:134,1,$P$1-8)-INDEX(Data!1405:1405,1,$P$1-8))+(INDEX(Data!134:134,1,$P$1-7)-INDEX(Data!1405:1405,1,$P$1-7))</f>
        <v>36216478</v>
      </c>
      <c r="H66" s="90">
        <f>(INDEX(Data!134:134,1,$P$1-6)-INDEX(Data!1405:1405,1,$P$1-6))+(INDEX(Data!134:134,1,$P$1-5)-INDEX(Data!1405:1405,1,$P$1-5))</f>
        <v>35225009</v>
      </c>
      <c r="I66" s="404">
        <f>(INDEX(Data!134:134,1,$P$1-4)-INDEX(Data!1405:1405,1,$P$1-4))+(INDEX(Data!134:134,1,$P$1-3)-INDEX(Data!1405:1405,1,$P$1-3))</f>
        <v>35041074</v>
      </c>
      <c r="J66" s="90">
        <f>(INDEX(Data!134:134,1,$P$1-2)-INDEX(Data!1405:1405,1,$P$1-2))+(INDEX(Data!134:134,1,$P$1-1)-INDEX(Data!1405:1405,1,$P$1-1))</f>
        <v>37279363</v>
      </c>
      <c r="K66" s="88">
        <f>(INDEX(Data!134:134,1,$P$1)-INDEX(Data!1405:1405,1,$P$1))+(INDEX(Data!134:134,1,$P$1+1)-INDEX(Data!1405:1405,1,$P$1+1))</f>
        <v>43701049</v>
      </c>
    </row>
    <row r="67" spans="1:11" collapsed="1">
      <c r="A67" s="104" t="s">
        <v>776</v>
      </c>
      <c r="B67" s="429">
        <f t="shared" ref="B67:E67" si="8">SUM(B63:B66)</f>
        <v>49183670978</v>
      </c>
      <c r="C67" s="431">
        <f t="shared" si="8"/>
        <v>52833650862</v>
      </c>
      <c r="D67" s="442">
        <f t="shared" si="8"/>
        <v>54605895448</v>
      </c>
      <c r="E67" s="429">
        <f t="shared" si="8"/>
        <v>55488293566</v>
      </c>
      <c r="F67" s="429">
        <f t="shared" ref="F67" si="9">SUM(F63:F66)</f>
        <v>64726286180</v>
      </c>
      <c r="G67" s="442">
        <f t="shared" ref="G67:J67" si="10">SUM(G63:G66)</f>
        <v>32292593951</v>
      </c>
      <c r="H67" s="431">
        <f t="shared" si="10"/>
        <v>34372558054</v>
      </c>
      <c r="I67" s="442">
        <f t="shared" si="10"/>
        <v>37543616890</v>
      </c>
      <c r="J67" s="429">
        <f t="shared" si="10"/>
        <v>36683711114</v>
      </c>
      <c r="K67" s="429">
        <f t="shared" ref="K67" si="11">SUM(K63:K66)</f>
        <v>44798583156</v>
      </c>
    </row>
    <row r="68" spans="1:11" ht="25.5" hidden="1">
      <c r="A68" s="104" t="s">
        <v>777</v>
      </c>
      <c r="B68" s="105">
        <f>(INDEX(Data!34:34,1,$P$1-8)-INDEX(Data!1249:1249,1,$P$1-8))+(INDEX(Data!34:34,1,$P$1-7)-INDEX(Data!1249:1249,1,$P$1-7))</f>
        <v>0</v>
      </c>
      <c r="C68" s="106">
        <f>(INDEX(Data!34:34,1,$P$1-6)-INDEX(Data!1249:1249,1,$P$1-6))+(INDEX(Data!34:34,1,$P$1-5)-INDEX(Data!1249:1249,1,$P$1-5))</f>
        <v>0</v>
      </c>
      <c r="D68" s="406">
        <f>(INDEX(Data!34:34,1,$P$1-4)-INDEX(Data!1249:1249,1,$P$1-4))+(INDEX(Data!34:34,1,$P$1-3)-INDEX(Data!1249:1249,1,$P$1-3))</f>
        <v>0</v>
      </c>
      <c r="E68" s="111">
        <f>(INDEX(Data!34:34,1,$P$1-2)-INDEX(Data!1249:1249,1,$P$1-2))+(INDEX(Data!34:34,1,$P$1-1)-INDEX(Data!1249:1249,1,$P$1-1))</f>
        <v>0</v>
      </c>
      <c r="F68" s="107">
        <f>(INDEX(Data!34:34,1,$P$1)-INDEX(Data!1249:1249,1,$P$1))+(INDEX(Data!34:34,1,$P$1+1)-INDEX(Data!1249:1249,1,$P$1+1))</f>
        <v>0</v>
      </c>
      <c r="G68" s="406">
        <f>(INDEX(Data!135:135,1,$P$1-8)-INDEX(Data!1406:1406,1,$P$1-8))+(INDEX(Data!135:135,1,$P$1-7)-INDEX(Data!1406:1406,1,$P$1-7))</f>
        <v>0</v>
      </c>
      <c r="H68" s="111">
        <f>(INDEX(Data!135:135,1,$P$1-6)-INDEX(Data!1406:1406,1,$P$1-6))+(INDEX(Data!135:135,1,$P$1-5)-INDEX(Data!1406:1406,1,$P$1-5))</f>
        <v>0</v>
      </c>
      <c r="I68" s="406">
        <f>(INDEX(Data!135:135,1,$P$1-4)-INDEX(Data!1406:1406,1,$P$1-4))+(INDEX(Data!135:135,1,$P$1-3)-INDEX(Data!1406:1406,1,$P$1-3))</f>
        <v>0</v>
      </c>
      <c r="J68" s="111">
        <f>(INDEX(Data!135:135,1,$P$1-2)-INDEX(Data!1406:1406,1,$P$1-2))+(INDEX(Data!135:135,1,$P$1-1)-INDEX(Data!1406:1406,1,$P$1-1))</f>
        <v>0</v>
      </c>
      <c r="K68" s="107">
        <f>(INDEX(Data!135:135,1,$P$1)-INDEX(Data!1406:1406,1,$P$1))+(INDEX(Data!135:135,1,$P$1+1)-INDEX(Data!1406:1406,1,$P$1+1))</f>
        <v>0</v>
      </c>
    </row>
    <row r="69" spans="1:11" hidden="1" outlineLevel="1">
      <c r="A69" s="92" t="s">
        <v>778</v>
      </c>
      <c r="B69" s="492">
        <f>(INDEX(Data!35:35,1,$P$1-8)-INDEX(Data!1250:1250,1,$P$1-8))+(INDEX(Data!35:35,1,$P$1-7)-INDEX(Data!1250:1250,1,$P$1-7))</f>
        <v>3797393090</v>
      </c>
      <c r="C69" s="87">
        <f>(INDEX(Data!35:35,1,$P$1-6)-INDEX(Data!1250:1250,1,$P$1-6))+(INDEX(Data!35:35,1,$P$1-5)-INDEX(Data!1250:1250,1,$P$1-5))</f>
        <v>3904702348</v>
      </c>
      <c r="D69" s="407">
        <f>(INDEX(Data!35:35,1,$P$1-4)-INDEX(Data!1250:1250,1,$P$1-4))+(INDEX(Data!35:35,1,$P$1-3)-INDEX(Data!1250:1250,1,$P$1-3))</f>
        <v>4346762489</v>
      </c>
      <c r="E69" s="94">
        <f>(INDEX(Data!35:35,1,$P$1-2)-INDEX(Data!1250:1250,1,$P$1-2))+(INDEX(Data!35:35,1,$P$1-1)-INDEX(Data!1250:1250,1,$P$1-1))</f>
        <v>5398348290</v>
      </c>
      <c r="F69" s="88">
        <f>(INDEX(Data!35:35,1,$P$1)-INDEX(Data!1250:1250,1,$P$1))+(INDEX(Data!35:35,1,$P$1+1)-INDEX(Data!1250:1250,1,$P$1+1))</f>
        <v>6027747251</v>
      </c>
      <c r="G69" s="407">
        <f>(INDEX(Data!136:136,1,$P$1-8)-INDEX(Data!1407:1407,1,$P$1-8))+(INDEX(Data!136:136,1,$P$1-7)-INDEX(Data!1407:1407,1,$P$1-7))</f>
        <v>3431139479</v>
      </c>
      <c r="H69" s="94">
        <f>(INDEX(Data!136:136,1,$P$1-6)-INDEX(Data!1407:1407,1,$P$1-6))+(INDEX(Data!136:136,1,$P$1-5)-INDEX(Data!1407:1407,1,$P$1-5))</f>
        <v>3506667817</v>
      </c>
      <c r="I69" s="407">
        <f>(INDEX(Data!136:136,1,$P$1-4)-INDEX(Data!1407:1407,1,$P$1-4))+(INDEX(Data!136:136,1,$P$1-3)-INDEX(Data!1407:1407,1,$P$1-3))</f>
        <v>4049383824</v>
      </c>
      <c r="J69" s="94">
        <f>(INDEX(Data!136:136,1,$P$1-2)-INDEX(Data!1407:1407,1,$P$1-2))+(INDEX(Data!136:136,1,$P$1-1)-INDEX(Data!1407:1407,1,$P$1-1))</f>
        <v>5077961727</v>
      </c>
      <c r="K69" s="88">
        <f>(INDEX(Data!136:136,1,$P$1)-INDEX(Data!1407:1407,1,$P$1))+(INDEX(Data!136:136,1,$P$1+1)-INDEX(Data!1407:1407,1,$P$1+1))</f>
        <v>5173412184</v>
      </c>
    </row>
    <row r="70" spans="1:11" hidden="1" outlineLevel="1">
      <c r="A70" s="92" t="s">
        <v>25</v>
      </c>
      <c r="B70" s="86">
        <f>(INDEX(Data!36:36,1,$P$1-8)-INDEX(Data!1251:1251,1,$P$1-8))+(INDEX(Data!36:36,1,$P$1-7)-INDEX(Data!1251:1251,1,$P$1-7))</f>
        <v>247905975</v>
      </c>
      <c r="C70" s="87">
        <f>(INDEX(Data!36:36,1,$P$1-6)-INDEX(Data!1251:1251,1,$P$1-6))+(INDEX(Data!36:36,1,$P$1-5)-INDEX(Data!1251:1251,1,$P$1-5))</f>
        <v>263442121</v>
      </c>
      <c r="D70" s="407">
        <f>(INDEX(Data!36:36,1,$P$1-4)-INDEX(Data!1251:1251,1,$P$1-4))+(INDEX(Data!36:36,1,$P$1-3)-INDEX(Data!1251:1251,1,$P$1-3))</f>
        <v>326259443</v>
      </c>
      <c r="E70" s="94">
        <f>(INDEX(Data!36:36,1,$P$1-2)-INDEX(Data!1251:1251,1,$P$1-2))+(INDEX(Data!36:36,1,$P$1-1)-INDEX(Data!1251:1251,1,$P$1-1))</f>
        <v>344608634</v>
      </c>
      <c r="F70" s="88">
        <f>(INDEX(Data!36:36,1,$P$1)-INDEX(Data!1251:1251,1,$P$1))+(INDEX(Data!36:36,1,$P$1+1)-INDEX(Data!1251:1251,1,$P$1+1))</f>
        <v>296805243</v>
      </c>
      <c r="G70" s="407">
        <f>(INDEX(Data!137:137,1,$P$1-8)-INDEX(Data!1408:1408,1,$P$1-8))+(INDEX(Data!137:137,1,$P$1-7)-INDEX(Data!1408:1408,1,$P$1-7))</f>
        <v>205341297</v>
      </c>
      <c r="H70" s="94">
        <f>(INDEX(Data!137:137,1,$P$1-6)-INDEX(Data!1408:1408,1,$P$1-6))+(INDEX(Data!137:137,1,$P$1-5)-INDEX(Data!1408:1408,1,$P$1-5))</f>
        <v>208866893</v>
      </c>
      <c r="I70" s="407">
        <f>(INDEX(Data!137:137,1,$P$1-4)-INDEX(Data!1408:1408,1,$P$1-4))+(INDEX(Data!137:137,1,$P$1-3)-INDEX(Data!1408:1408,1,$P$1-3))</f>
        <v>258757827</v>
      </c>
      <c r="J70" s="94">
        <f>(INDEX(Data!137:137,1,$P$1-2)-INDEX(Data!1408:1408,1,$P$1-2))+(INDEX(Data!137:137,1,$P$1-1)-INDEX(Data!1408:1408,1,$P$1-1))</f>
        <v>245793122</v>
      </c>
      <c r="K70" s="88">
        <f>(INDEX(Data!137:137,1,$P$1)-INDEX(Data!1408:1408,1,$P$1))+(INDEX(Data!137:137,1,$P$1+1)-INDEX(Data!1408:1408,1,$P$1+1))</f>
        <v>243228738</v>
      </c>
    </row>
    <row r="71" spans="1:11" hidden="1" outlineLevel="1">
      <c r="A71" s="92" t="s">
        <v>779</v>
      </c>
      <c r="B71" s="86">
        <f>(INDEX(Data!123:123,1,$P$1-8)-INDEX(Data!1252:1252,1,$P$1-8))+(INDEX(Data!123:123,1,$P$1-7)-INDEX(Data!1252:1252,1,$P$1-7))</f>
        <v>641554464</v>
      </c>
      <c r="C71" s="87">
        <f>(INDEX(Data!123:123,1,$P$1-6)-INDEX(Data!1252:1252,1,$P$1-6))+(INDEX(Data!123:123,1,$P$1-5)-INDEX(Data!1252:1252,1,$P$1-5))</f>
        <v>608381942</v>
      </c>
      <c r="D71" s="407">
        <f>(INDEX(Data!123:123,1,$P$1-4)-INDEX(Data!1252:1252,1,$P$1-4))+(INDEX(Data!123:123,1,$P$1-3)-INDEX(Data!1252:1252,1,$P$1-3))</f>
        <v>670436084</v>
      </c>
      <c r="E71" s="94">
        <f>(INDEX(Data!123:123,1,$P$1-2)-INDEX(Data!1252:1252,1,$P$1-2))+(INDEX(Data!123:123,1,$P$1-1)-INDEX(Data!1252:1252,1,$P$1-1))</f>
        <v>754306493</v>
      </c>
      <c r="F71" s="88">
        <f>(INDEX(Data!123:123,1,$P$1)-INDEX(Data!1252:1252,1,$P$1))+(INDEX(Data!123:123,1,$P$1+1)-INDEX(Data!1252:1252,1,$P$1+1))</f>
        <v>793233068</v>
      </c>
      <c r="G71" s="407">
        <f>(INDEX(Data!222:222,1,$P$1-8)-INDEX(Data!1409:1409,1,$P$1-8))+(INDEX(Data!222:222,1,$P$1-7)-INDEX(Data!1409:1409,1,$P$1-7))</f>
        <v>525776780</v>
      </c>
      <c r="H71" s="94">
        <f>(INDEX(Data!222:222,1,$P$1-6)-INDEX(Data!1409:1409,1,$P$1-6))+(INDEX(Data!222:222,1,$P$1-5)-INDEX(Data!1409:1409,1,$P$1-5))</f>
        <v>480305745</v>
      </c>
      <c r="I71" s="407">
        <f>(INDEX(Data!222:222,1,$P$1-4)-INDEX(Data!1409:1409,1,$P$1-4))+(INDEX(Data!222:222,1,$P$1-3)-INDEX(Data!1409:1409,1,$P$1-3))</f>
        <v>534686385</v>
      </c>
      <c r="J71" s="94">
        <f>(INDEX(Data!222:222,1,$P$1-2)-INDEX(Data!1409:1409,1,$P$1-2))+(INDEX(Data!222:222,1,$P$1-1)-INDEX(Data!1409:1409,1,$P$1-1))</f>
        <v>594368469</v>
      </c>
      <c r="K71" s="88">
        <f>(INDEX(Data!222:222,1,$P$1)-INDEX(Data!1409:1409,1,$P$1))+(INDEX(Data!222:222,1,$P$1+1)-INDEX(Data!1409:1409,1,$P$1+1))</f>
        <v>620320382</v>
      </c>
    </row>
    <row r="72" spans="1:11" hidden="1" outlineLevel="1">
      <c r="A72" s="112" t="s">
        <v>780</v>
      </c>
      <c r="B72" s="86">
        <f>(INDEX(Data!126:126,1,$P$1-8))+(INDEX(Data!126:126,1,$P$1-7))</f>
        <v>19862644</v>
      </c>
      <c r="C72" s="87">
        <f>(INDEX(Data!126:126,1,$P$1-6))+(INDEX(Data!126:126,1,$P$1-5))</f>
        <v>27765983</v>
      </c>
      <c r="D72" s="407">
        <f>(INDEX(Data!126:126,1,$P$1-4))+(INDEX(Data!126:126,1,$P$1-3))</f>
        <v>27613830</v>
      </c>
      <c r="E72" s="94">
        <f>(INDEX(Data!126:126,1,$P$1-2))+(INDEX(Data!126:126,1,$P$1-1))</f>
        <v>21171268</v>
      </c>
      <c r="F72" s="88">
        <f>(INDEX(Data!126:126,1,$P$1))+(INDEX(Data!126:126,1,$P$1+1))</f>
        <v>15161652</v>
      </c>
      <c r="G72" s="407">
        <f>(INDEX(Data!225:225,1,$P$1-8))+(INDEX(Data!225:225,1,$P$1-7))</f>
        <v>19544160</v>
      </c>
      <c r="H72" s="94">
        <f>(INDEX(Data!225:225,1,$P$1-6))+(INDEX(Data!225:225,1,$P$1-5))</f>
        <v>27447499</v>
      </c>
      <c r="I72" s="407">
        <f>(INDEX(Data!225:225,1,$P$1-4))+(INDEX(Data!225:225,1,$P$1-3))</f>
        <v>27302716</v>
      </c>
      <c r="J72" s="94">
        <f>(INDEX(Data!225:225,1,$P$1-2))+(INDEX(Data!225:225,1,$P$1-1))</f>
        <v>20858812</v>
      </c>
      <c r="K72" s="88">
        <f>(INDEX(Data!225:225,1,$P$1))+(INDEX(Data!225:225,1,$P$1+1))</f>
        <v>15161652</v>
      </c>
    </row>
    <row r="73" spans="1:11" collapsed="1">
      <c r="A73" s="104" t="s">
        <v>781</v>
      </c>
      <c r="B73" s="105">
        <f>SUM(B69:B72)</f>
        <v>4706716173</v>
      </c>
      <c r="C73" s="106">
        <f t="shared" ref="C73:E73" si="12">SUM(C69:C72)</f>
        <v>4804292394</v>
      </c>
      <c r="D73" s="405">
        <f t="shared" si="12"/>
        <v>5371071846</v>
      </c>
      <c r="E73" s="106">
        <f t="shared" si="12"/>
        <v>6518434685</v>
      </c>
      <c r="F73" s="107">
        <f>SUM(F69:F72)</f>
        <v>7132947214</v>
      </c>
      <c r="G73" s="405">
        <f t="shared" ref="G73:J73" si="13">SUM(G69:G72)</f>
        <v>4181801716</v>
      </c>
      <c r="H73" s="106">
        <f t="shared" si="13"/>
        <v>4223287954</v>
      </c>
      <c r="I73" s="405">
        <f t="shared" si="13"/>
        <v>4870130752</v>
      </c>
      <c r="J73" s="106">
        <f t="shared" si="13"/>
        <v>5938982130</v>
      </c>
      <c r="K73" s="107">
        <f t="shared" ref="K73" si="14">SUM(K69:K72)</f>
        <v>6052122956</v>
      </c>
    </row>
    <row r="74" spans="1:11">
      <c r="A74" s="113" t="s">
        <v>782</v>
      </c>
      <c r="B74" s="105">
        <f>B254</f>
        <v>20971681524</v>
      </c>
      <c r="C74" s="106">
        <f>C254</f>
        <v>16561101557</v>
      </c>
      <c r="D74" s="465">
        <f t="shared" ref="D74:E74" si="15">D254</f>
        <v>18583818723</v>
      </c>
      <c r="E74" s="115">
        <f t="shared" si="15"/>
        <v>18995547627</v>
      </c>
      <c r="F74" s="107">
        <f>F254</f>
        <v>24042687464</v>
      </c>
      <c r="G74" s="405">
        <f>G254</f>
        <v>11433158274</v>
      </c>
      <c r="H74" s="106">
        <f>H254</f>
        <v>12164549551</v>
      </c>
      <c r="I74" s="465">
        <f t="shared" ref="I74:K74" si="16">I254</f>
        <v>13585391933</v>
      </c>
      <c r="J74" s="115">
        <f t="shared" si="16"/>
        <v>13837103705</v>
      </c>
      <c r="K74" s="107">
        <f t="shared" si="16"/>
        <v>14864231851.231262</v>
      </c>
    </row>
    <row r="75" spans="1:11" ht="13.5" thickBot="1">
      <c r="A75" s="95" t="s">
        <v>783</v>
      </c>
      <c r="B75" s="96">
        <f>B67+B73+B74+B68</f>
        <v>74862068675</v>
      </c>
      <c r="C75" s="97">
        <f t="shared" ref="C75:E75" si="17">C67+C73+C74+C68</f>
        <v>74199044813</v>
      </c>
      <c r="D75" s="408">
        <f t="shared" si="17"/>
        <v>78560786017</v>
      </c>
      <c r="E75" s="117">
        <f t="shared" si="17"/>
        <v>81002275878</v>
      </c>
      <c r="F75" s="98">
        <f t="shared" ref="F75" si="18">F67+F73+F74+F68</f>
        <v>95901920858</v>
      </c>
      <c r="G75" s="408">
        <f t="shared" ref="G75:K75" si="19">G67+G73+G74+G68</f>
        <v>47907553941</v>
      </c>
      <c r="H75" s="117">
        <f t="shared" si="19"/>
        <v>50760395559</v>
      </c>
      <c r="I75" s="408">
        <f t="shared" si="19"/>
        <v>55999139575</v>
      </c>
      <c r="J75" s="117">
        <f t="shared" si="19"/>
        <v>56459796949</v>
      </c>
      <c r="K75" s="98">
        <f t="shared" si="19"/>
        <v>65714937963.231262</v>
      </c>
    </row>
    <row r="76" spans="1:11">
      <c r="A76" s="1181" t="s">
        <v>1610</v>
      </c>
      <c r="B76" s="627"/>
      <c r="C76" s="627"/>
      <c r="D76" s="628"/>
      <c r="E76" s="628"/>
      <c r="F76" s="630"/>
      <c r="G76" s="628"/>
      <c r="H76" s="631">
        <f>H74/H39</f>
        <v>0.12807894966139399</v>
      </c>
      <c r="I76" s="631">
        <f>I74/I39</f>
        <v>0.12815796367185933</v>
      </c>
      <c r="J76" s="631">
        <f>J74/J39</f>
        <v>0.12972701918315127</v>
      </c>
      <c r="K76" s="631">
        <f>K74/K39</f>
        <v>0.12563417989449419</v>
      </c>
    </row>
    <row r="77" spans="1:11">
      <c r="D77" s="118"/>
      <c r="E77" s="118"/>
      <c r="K77" s="463"/>
    </row>
    <row r="78" spans="1:11">
      <c r="K78" s="463"/>
    </row>
    <row r="79" spans="1:11">
      <c r="K79" s="463"/>
    </row>
    <row r="80" spans="1:11">
      <c r="K80" s="463"/>
    </row>
    <row r="81" spans="11:11">
      <c r="K81" s="463"/>
    </row>
    <row r="82" spans="11:11">
      <c r="K82" s="463"/>
    </row>
    <row r="83" spans="11:11">
      <c r="K83" s="463"/>
    </row>
    <row r="84" spans="11:11">
      <c r="K84" s="463"/>
    </row>
    <row r="85" spans="11:11">
      <c r="K85" s="463"/>
    </row>
    <row r="86" spans="11:11">
      <c r="K86" s="463"/>
    </row>
    <row r="87" spans="11:11">
      <c r="K87" s="463"/>
    </row>
    <row r="88" spans="11:11">
      <c r="K88" s="463"/>
    </row>
    <row r="89" spans="11:11">
      <c r="K89" s="463"/>
    </row>
    <row r="90" spans="11:11">
      <c r="K90" s="463"/>
    </row>
    <row r="91" spans="11:11">
      <c r="K91" s="463"/>
    </row>
    <row r="92" spans="11:11">
      <c r="K92" s="463"/>
    </row>
    <row r="93" spans="11:11">
      <c r="K93" s="463"/>
    </row>
    <row r="94" spans="11:11">
      <c r="K94" s="463"/>
    </row>
    <row r="95" spans="11:11">
      <c r="K95" s="463"/>
    </row>
    <row r="96" spans="11:11" ht="13.5" thickBot="1">
      <c r="K96" s="464"/>
    </row>
    <row r="97" spans="1:22" ht="13.5" customHeight="1" thickBot="1">
      <c r="A97" s="536" t="s">
        <v>1325</v>
      </c>
      <c r="B97" s="537"/>
      <c r="C97" s="537"/>
      <c r="D97" s="537"/>
      <c r="E97" s="537"/>
      <c r="F97" s="537"/>
      <c r="G97" s="537"/>
      <c r="H97" s="537"/>
      <c r="I97" s="537"/>
      <c r="J97" s="537"/>
      <c r="K97" s="537"/>
      <c r="L97" s="537"/>
      <c r="M97" s="537"/>
      <c r="N97" s="537"/>
      <c r="O97" s="537"/>
      <c r="P97" s="537"/>
      <c r="Q97" s="537"/>
      <c r="R97" s="537"/>
      <c r="S97" s="537"/>
      <c r="T97" s="538"/>
      <c r="U97" s="67"/>
      <c r="V97" s="67"/>
    </row>
    <row r="98" spans="1:22" ht="13.5" thickBot="1">
      <c r="A98" s="535" t="s">
        <v>1318</v>
      </c>
      <c r="B98" s="1292" t="s">
        <v>2</v>
      </c>
      <c r="C98" s="1293"/>
      <c r="D98" s="1293"/>
      <c r="E98" s="1293"/>
      <c r="F98" s="1293"/>
      <c r="G98" s="1295" t="s">
        <v>764</v>
      </c>
      <c r="H98" s="1295"/>
      <c r="I98" s="1295"/>
      <c r="J98" s="1295"/>
      <c r="K98" s="1295"/>
    </row>
    <row r="99" spans="1:22">
      <c r="A99" s="73" t="s">
        <v>766</v>
      </c>
      <c r="B99" s="466" t="str">
        <f>$O$1-8&amp;" - "&amp;$O$1-7</f>
        <v>2012 - 2013</v>
      </c>
      <c r="C99" s="75" t="str">
        <f>$O$1-6&amp;" - "&amp;$O$1-5</f>
        <v>2014 - 2015</v>
      </c>
      <c r="D99" s="75" t="str">
        <f>$O$1-4&amp;" - "&amp;$O$1-3</f>
        <v>2016 - 2017</v>
      </c>
      <c r="E99" s="75" t="str">
        <f>$O$1-2&amp;" - "&amp;$O$1-1</f>
        <v>2018 - 2019</v>
      </c>
      <c r="F99" s="78" t="str">
        <f>$O$1&amp;" - "&amp;$O$1+1</f>
        <v>2020 - 2021</v>
      </c>
      <c r="G99" s="509" t="str">
        <f>$O$1-8&amp;" - "&amp;$O$1-7</f>
        <v>2012 - 2013</v>
      </c>
      <c r="H99" s="75" t="str">
        <f>$O$1-6&amp;" - "&amp;$O$1-5</f>
        <v>2014 - 2015</v>
      </c>
      <c r="I99" s="75" t="str">
        <f>$O$1-4&amp;" - "&amp;$O$1-3</f>
        <v>2016 - 2017</v>
      </c>
      <c r="J99" s="75" t="str">
        <f>$O$1-2&amp;" - "&amp;$O$1-1</f>
        <v>2018 - 2019</v>
      </c>
      <c r="K99" s="78" t="str">
        <f>$O$1&amp;" - "&amp;$O$1+1</f>
        <v>2020 - 2021</v>
      </c>
    </row>
    <row r="100" spans="1:22" hidden="1" outlineLevel="1">
      <c r="A100" s="50" t="s">
        <v>754</v>
      </c>
      <c r="B100" s="83">
        <f>(INDEX(Data!44:44,1,$P$1-8)+INDEX(Data!425:425,1,$P$1-8)-INDEX(Data!1265:1265,1,$P$1-8))+(INDEX(Data!44:44,1,$P$1-7)+INDEX(Data!425:425,1,$P$1-7)-INDEX(Data!1265:1265,1,$P$1-7))</f>
        <v>306769019</v>
      </c>
      <c r="C100" s="81">
        <f>(INDEX(Data!44:44,1,$P$1-6)+INDEX(Data!425:425,1,$P$1-6)-INDEX(Data!1265:1265,1,$P$1-6))+(INDEX(Data!44:44,1,$P$1-5)+INDEX(Data!425:425,1,$P$1-5)-INDEX(Data!1265:1265,1,$P$1-5))</f>
        <v>331981835</v>
      </c>
      <c r="D100" s="403">
        <f>(INDEX(Data!44:44,1,$P$1-4)+INDEX(Data!425:425,1,$P$1-4)-INDEX(Data!1265:1265,1,$P$1-4))+(INDEX(Data!44:44,1,$P$1-3)+INDEX(Data!425:425,1,$P$1-3)-INDEX(Data!1265:1265,1,$P$1-3))</f>
        <v>370075114</v>
      </c>
      <c r="E100" s="103">
        <f>(INDEX(Data!44:44,1,$P$1-2)+INDEX(Data!425:425,1,$P$1-2)-INDEX(Data!1265:1265,1,$P$1-2))+(INDEX(Data!44:44,1,$P$1-1)+INDEX(Data!425:425,1,$P$1-1)-INDEX(Data!1265:1265,1,$P$1-1))</f>
        <v>391815527</v>
      </c>
      <c r="F100" s="82">
        <f>(INDEX(Data!44:44,1,$P$1)+INDEX(Data!425:425,1,$P$1)-INDEX(Data!1265:1265,1,$P$1))+(INDEX(Data!44:44,1,$P$1+1)+INDEX(Data!425:425,1,$P$1+1)-INDEX(Data!1265:1265,1,$P$1+1))</f>
        <v>418047132</v>
      </c>
      <c r="G100" s="409">
        <f>(INDEX(Data!143:143,1,$P$1-8)+INDEX(Data!425:425,1,$P$1-8)-INDEX(Data!1422:1422,1,$P$1-8))+(INDEX(Data!143:143,1,$P$1-7)+INDEX(Data!425:425,1,$P$1-7)-INDEX(Data!1422:1422,1,$P$1-7))</f>
        <v>201982657</v>
      </c>
      <c r="H100" s="81">
        <f>(INDEX(Data!143:143,1,$P$1-6)+INDEX(Data!425:425,1,$P$1-6)-INDEX(Data!1422:1422,1,$P$1-6))+(INDEX(Data!143:143,1,$P$1-5)+INDEX(Data!425:425,1,$P$1-5)-INDEX(Data!1422:1422,1,$P$1-5))</f>
        <v>212450644</v>
      </c>
      <c r="I100" s="403">
        <f>(INDEX(Data!143:143,1,$P$1-4)+INDEX(Data!425:425,1,$P$1-4)-INDEX(Data!1422:1422,1,$P$1-4))+(INDEX(Data!143:143,1,$P$1-3)+INDEX(Data!425:425,1,$P$1-3)-INDEX(Data!1422:1422,1,$P$1-3))</f>
        <v>239241852</v>
      </c>
      <c r="J100" s="103">
        <f>(INDEX(Data!143:143,1,$P$1-2)+INDEX(Data!425:425,1,$P$1-2)-INDEX(Data!1422:1422,1,$P$1-2))+(INDEX(Data!143:143,1,$P$1-1)+INDEX(Data!425:425,1,$P$1-1)-INDEX(Data!1422:1422,1,$P$1-1))</f>
        <v>238423872</v>
      </c>
      <c r="K100" s="82">
        <f>(INDEX(Data!143:143,1,$P$1)+INDEX(Data!425:425,1,$P$1)-INDEX(Data!1422:1422,1,$P$1))+(INDEX(Data!143:143,1,$P$1+1)+INDEX(Data!425:425,1,$P$1+1)-INDEX(Data!1422:1422,1,$P$1+1))</f>
        <v>274651336</v>
      </c>
    </row>
    <row r="101" spans="1:22" hidden="1" outlineLevel="1">
      <c r="A101" s="678" t="s">
        <v>749</v>
      </c>
      <c r="B101" s="86">
        <f>(INDEX(Data!45:45,1,$P$1-8)+INDEX(Data!426:426,1,$P$1-8)-INDEX(Data!1266:1266,1,$P$1-8))+(INDEX(Data!45:45,1,$P$1-7)+INDEX(Data!426:426,1,$P$1-7)-INDEX(Data!1266:1266,1,$P$1-7))</f>
        <v>750729426</v>
      </c>
      <c r="C101" s="87">
        <f>(INDEX(Data!45:45,1,$P$1-6)+INDEX(Data!426:426,1,$P$1-6)-INDEX(Data!1266:1266,1,$P$1-6))+(INDEX(Data!45:45,1,$P$1-5)+INDEX(Data!426:426,1,$P$1-5)-INDEX(Data!1266:1266,1,$P$1-5))</f>
        <v>815761711</v>
      </c>
      <c r="D101" s="404">
        <f>(INDEX(Data!45:45,1,$P$1-4)+INDEX(Data!426:426,1,$P$1-4)-INDEX(Data!1266:1266,1,$P$1-4))+(INDEX(Data!45:45,1,$P$1-3)+INDEX(Data!426:426,1,$P$1-3)-INDEX(Data!1266:1266,1,$P$1-3))</f>
        <v>872007259</v>
      </c>
      <c r="E101" s="90">
        <f>(INDEX(Data!45:45,1,$P$1-2)+INDEX(Data!426:426,1,$P$1-2)-INDEX(Data!1266:1266,1,$P$1-2))+(INDEX(Data!45:45,1,$P$1-1)+INDEX(Data!426:426,1,$P$1-1)-INDEX(Data!1266:1266,1,$P$1-1))</f>
        <v>882291145</v>
      </c>
      <c r="F101" s="88">
        <f>(INDEX(Data!45:45,1,$P$1)+INDEX(Data!426:426,1,$P$1)-INDEX(Data!1266:1266,1,$P$1))+(INDEX(Data!45:45,1,$P$1+1)+INDEX(Data!426:426,1,$P$1+1)-INDEX(Data!1266:1266,1,$P$1+1))</f>
        <v>899417490</v>
      </c>
      <c r="G101" s="91">
        <f>(INDEX(Data!144:144,1,$P$1-8)+INDEX(Data!426:426,1,$P$1-8)-INDEX(Data!1423:1423,1,$P$1-8))+(INDEX(Data!144:144,1,$P$1-7)+INDEX(Data!426:426,1,$P$1-7)-INDEX(Data!1423:1423,1,$P$1-7))</f>
        <v>540534492</v>
      </c>
      <c r="H101" s="87">
        <f>(INDEX(Data!144:144,1,$P$1-6)+INDEX(Data!426:426,1,$P$1-6)-INDEX(Data!1423:1423,1,$P$1-6))+(INDEX(Data!144:144,1,$P$1-5)+INDEX(Data!426:426,1,$P$1-5)-INDEX(Data!1423:1423,1,$P$1-5))</f>
        <v>580282165</v>
      </c>
      <c r="I101" s="404">
        <f>(INDEX(Data!144:144,1,$P$1-4)+INDEX(Data!426:426,1,$P$1-4)-INDEX(Data!1423:1423,1,$P$1-4))+(INDEX(Data!144:144,1,$P$1-3)+INDEX(Data!426:426,1,$P$1-3)-INDEX(Data!1423:1423,1,$P$1-3))</f>
        <v>639712433</v>
      </c>
      <c r="J101" s="90">
        <f>(INDEX(Data!144:144,1,$P$1-2)+INDEX(Data!426:426,1,$P$1-2)-INDEX(Data!1423:1423,1,$P$1-2))+(INDEX(Data!144:144,1,$P$1-1)+INDEX(Data!426:426,1,$P$1-1)-INDEX(Data!1423:1423,1,$P$1-1))</f>
        <v>644058146</v>
      </c>
      <c r="K101" s="88">
        <f>(INDEX(Data!144:144,1,$P$1)+INDEX(Data!426:426,1,$P$1)-INDEX(Data!1423:1423,1,$P$1))+(INDEX(Data!144:144,1,$P$1+1)+INDEX(Data!426:426,1,$P$1+1)-INDEX(Data!1423:1423,1,$P$1+1))</f>
        <v>655658476.23126221</v>
      </c>
    </row>
    <row r="102" spans="1:22" hidden="1" outlineLevel="1">
      <c r="A102" s="50" t="s">
        <v>755</v>
      </c>
      <c r="B102" s="86">
        <f>(INDEX(Data!46:46,1,$P$1-8)+INDEX(Data!427:427,1,$P$1-8)-INDEX(Data!1267:1267,1,$P$1-8))+(INDEX(Data!46:46,1,$P$1-7)+INDEX(Data!427:427,1,$P$1-7)-INDEX(Data!1267:1267,1,$P$1-7))</f>
        <v>236604239</v>
      </c>
      <c r="C102" s="87">
        <f>(INDEX(Data!46:46,1,$P$1-6)+INDEX(Data!427:427,1,$P$1-6)-INDEX(Data!1267:1267,1,$P$1-6))+(INDEX(Data!46:46,1,$P$1-5)+INDEX(Data!427:427,1,$P$1-5)-INDEX(Data!1267:1267,1,$P$1-5))</f>
        <v>283993782</v>
      </c>
      <c r="D102" s="404">
        <f>(INDEX(Data!46:46,1,$P$1-4)+INDEX(Data!427:427,1,$P$1-4)-INDEX(Data!1267:1267,1,$P$1-4))+(INDEX(Data!46:46,1,$P$1-3)+INDEX(Data!427:427,1,$P$1-3)-INDEX(Data!1267:1267,1,$P$1-3))</f>
        <v>313875620</v>
      </c>
      <c r="E102" s="90">
        <f>(INDEX(Data!46:46,1,$P$1-2)+INDEX(Data!427:427,1,$P$1-2)-INDEX(Data!1267:1267,1,$P$1-2))+(INDEX(Data!46:46,1,$P$1-1)+INDEX(Data!427:427,1,$P$1-1)-INDEX(Data!1267:1267,1,$P$1-1))</f>
        <v>347483148</v>
      </c>
      <c r="F102" s="88">
        <f>(INDEX(Data!46:46,1,$P$1)+INDEX(Data!427:427,1,$P$1)-INDEX(Data!1267:1267,1,$P$1))+(INDEX(Data!46:46,1,$P$1+1)+INDEX(Data!427:427,1,$P$1+1)-INDEX(Data!1267:1267,1,$P$1+1))</f>
        <v>363518011</v>
      </c>
      <c r="G102" s="91">
        <f>(INDEX(Data!145:145,1,$P$1-8)+INDEX(Data!427:427,1,$P$1-8)-INDEX(Data!1424:1424,1,$P$1-8))+(INDEX(Data!145:145,1,$P$1-7)+INDEX(Data!427:427,1,$P$1-7)-INDEX(Data!1424:1424,1,$P$1-7))</f>
        <v>161868758</v>
      </c>
      <c r="H102" s="87">
        <f>(INDEX(Data!145:145,1,$P$1-6)+INDEX(Data!427:427,1,$P$1-6)-INDEX(Data!1424:1424,1,$P$1-6))+(INDEX(Data!145:145,1,$P$1-5)+INDEX(Data!427:427,1,$P$1-5)-INDEX(Data!1424:1424,1,$P$1-5))</f>
        <v>188784538</v>
      </c>
      <c r="I102" s="404">
        <f>(INDEX(Data!145:145,1,$P$1-4)+INDEX(Data!427:427,1,$P$1-4)-INDEX(Data!1424:1424,1,$P$1-4))+(INDEX(Data!145:145,1,$P$1-3)+INDEX(Data!427:427,1,$P$1-3)-INDEX(Data!1424:1424,1,$P$1-3))</f>
        <v>190188902</v>
      </c>
      <c r="J102" s="90">
        <f>(INDEX(Data!145:145,1,$P$1-2)+INDEX(Data!427:427,1,$P$1-2)-INDEX(Data!1424:1424,1,$P$1-2))+(INDEX(Data!145:145,1,$P$1-1)+INDEX(Data!427:427,1,$P$1-1)-INDEX(Data!1424:1424,1,$P$1-1))</f>
        <v>197050386</v>
      </c>
      <c r="K102" s="88">
        <f>(INDEX(Data!145:145,1,$P$1)+INDEX(Data!427:427,1,$P$1)-INDEX(Data!1424:1424,1,$P$1))+(INDEX(Data!145:145,1,$P$1+1)+INDEX(Data!427:427,1,$P$1+1)-INDEX(Data!1424:1424,1,$P$1+1))</f>
        <v>215488743</v>
      </c>
    </row>
    <row r="103" spans="1:22" hidden="1" outlineLevel="1">
      <c r="A103" s="50" t="s">
        <v>756</v>
      </c>
      <c r="B103" s="86">
        <f>(INDEX(Data!47:47,1,$P$1-8)+INDEX(Data!428:428,1,$P$1-8)-INDEX(Data!1268:1268,1,$P$1-8))+(INDEX(Data!47:47,1,$P$1-7)+INDEX(Data!428:428,1,$P$1-7)-INDEX(Data!1268:1268,1,$P$1-7))</f>
        <v>216032182</v>
      </c>
      <c r="C103" s="87">
        <f>(INDEX(Data!47:47,1,$P$1-6)+INDEX(Data!428:428,1,$P$1-6)-INDEX(Data!1268:1268,1,$P$1-6))+(INDEX(Data!47:47,1,$P$1-5)+INDEX(Data!428:428,1,$P$1-5)-INDEX(Data!1268:1268,1,$P$1-5))</f>
        <v>234547294</v>
      </c>
      <c r="D103" s="404">
        <f>(INDEX(Data!47:47,1,$P$1-4)+INDEX(Data!428:428,1,$P$1-4)-INDEX(Data!1268:1268,1,$P$1-4))+(INDEX(Data!47:47,1,$P$1-3)+INDEX(Data!428:428,1,$P$1-3)-INDEX(Data!1268:1268,1,$P$1-3))</f>
        <v>254148111</v>
      </c>
      <c r="E103" s="90">
        <f>(INDEX(Data!47:47,1,$P$1-2)+INDEX(Data!428:428,1,$P$1-2)-INDEX(Data!1268:1268,1,$P$1-2))+(INDEX(Data!47:47,1,$P$1-1)+INDEX(Data!428:428,1,$P$1-1)-INDEX(Data!1268:1268,1,$P$1-1))</f>
        <v>255504649</v>
      </c>
      <c r="F103" s="88">
        <f>(INDEX(Data!47:47,1,$P$1)+INDEX(Data!428:428,1,$P$1)-INDEX(Data!1268:1268,1,$P$1))+(INDEX(Data!47:47,1,$P$1+1)+INDEX(Data!428:428,1,$P$1+1)-INDEX(Data!1268:1268,1,$P$1+1))</f>
        <v>275101761</v>
      </c>
      <c r="G103" s="91">
        <f>(INDEX(Data!146:146,1,$P$1-8)+INDEX(Data!428:428,1,$P$1-8)-INDEX(Data!1425:1425,1,$P$1-8))+(INDEX(Data!146:146,1,$P$1-7)+INDEX(Data!428:428,1,$P$1-7)-INDEX(Data!1425:1425,1,$P$1-7))</f>
        <v>158302796</v>
      </c>
      <c r="H103" s="87">
        <f>(INDEX(Data!146:146,1,$P$1-6)+INDEX(Data!428:428,1,$P$1-6)-INDEX(Data!1425:1425,1,$P$1-6))+(INDEX(Data!146:146,1,$P$1-5)+INDEX(Data!428:428,1,$P$1-5)-INDEX(Data!1425:1425,1,$P$1-5))</f>
        <v>172425717</v>
      </c>
      <c r="I103" s="404">
        <f>(INDEX(Data!146:146,1,$P$1-4)+INDEX(Data!428:428,1,$P$1-4)-INDEX(Data!1425:1425,1,$P$1-4))+(INDEX(Data!146:146,1,$P$1-3)+INDEX(Data!428:428,1,$P$1-3)-INDEX(Data!1425:1425,1,$P$1-3))</f>
        <v>193025066</v>
      </c>
      <c r="J103" s="90">
        <f>(INDEX(Data!146:146,1,$P$1-2)+INDEX(Data!428:428,1,$P$1-2)-INDEX(Data!1425:1425,1,$P$1-2))+(INDEX(Data!146:146,1,$P$1-1)+INDEX(Data!428:428,1,$P$1-1)-INDEX(Data!1425:1425,1,$P$1-1))</f>
        <v>192313295</v>
      </c>
      <c r="K103" s="88">
        <f>(INDEX(Data!146:146,1,$P$1)+INDEX(Data!428:428,1,$P$1)-INDEX(Data!1425:1425,1,$P$1))+(INDEX(Data!146:146,1,$P$1+1)+INDEX(Data!428:428,1,$P$1+1)-INDEX(Data!1425:1425,1,$P$1+1))</f>
        <v>204584764</v>
      </c>
    </row>
    <row r="104" spans="1:22" hidden="1" outlineLevel="1">
      <c r="A104" s="50" t="s">
        <v>1667</v>
      </c>
      <c r="B104" s="86">
        <f>(INDEX(Data!48:48,1,$P$1-8)+INDEX(Data!429:429,1,$P$1-8)-INDEX(Data!1269:1269,1,$P$1-8))+(INDEX(Data!48:48,1,$P$1-7)+INDEX(Data!429:429,1,$P$1-7)-INDEX(Data!1269:1269,1,$P$1-7))</f>
        <v>0</v>
      </c>
      <c r="C104" s="87">
        <f>(INDEX(Data!48:48,1,$P$1-6)+INDEX(Data!429:429,1,$P$1-6)-INDEX(Data!1269:1269,1,$P$1-6))+(INDEX(Data!48:48,1,$P$1-5)+INDEX(Data!429:429,1,$P$1-5)-INDEX(Data!1269:1269,1,$P$1-5))</f>
        <v>0</v>
      </c>
      <c r="D104" s="404">
        <f>(INDEX(Data!48:48,1,$P$1-4)+INDEX(Data!429:429,1,$P$1-4)-INDEX(Data!1269:1269,1,$P$1-4))+(INDEX(Data!48:48,1,$P$1-3)+INDEX(Data!429:429,1,$P$1-3)-INDEX(Data!1269:1269,1,$P$1-3))</f>
        <v>353305136</v>
      </c>
      <c r="E104" s="90">
        <f>(INDEX(Data!48:48,1,$P$1-2)+INDEX(Data!429:429,1,$P$1-2)-INDEX(Data!1269:1269,1,$P$1-2))+(INDEX(Data!48:48,1,$P$1-1)+INDEX(Data!429:429,1,$P$1-1)-INDEX(Data!1269:1269,1,$P$1-1))</f>
        <v>288881386</v>
      </c>
      <c r="F104" s="88">
        <f>(INDEX(Data!48:48,1,$P$1)+INDEX(Data!429:429,1,$P$1)-INDEX(Data!1269:1269,1,$P$1))+(INDEX(Data!48:48,1,$P$1+1)+INDEX(Data!429:429,1,$P$1+1)-INDEX(Data!1269:1269,1,$P$1+1))</f>
        <v>289698724</v>
      </c>
      <c r="G104" s="91">
        <f>(INDEX(Data!147:147,1,$P$1-8)+INDEX(Data!429:429,1,$P$1-8)-INDEX(Data!1426:1426,1,$P$1-8))+(INDEX(Data!147:147,1,$P$1-7)+INDEX(Data!429:429,1,$P$1-7)-INDEX(Data!1426:1426,1,$P$1-7))</f>
        <v>0</v>
      </c>
      <c r="H104" s="87">
        <f>(INDEX(Data!147:147,1,$P$1-6)+INDEX(Data!429:429,1,$P$1-6)-INDEX(Data!1426:1426,1,$P$1-6))+(INDEX(Data!147:147,1,$P$1-5)+INDEX(Data!429:429,1,$P$1-5)-INDEX(Data!1426:1426,1,$P$1-5))</f>
        <v>0</v>
      </c>
      <c r="I104" s="404">
        <f>(INDEX(Data!147:147,1,$P$1-4)+INDEX(Data!429:429,1,$P$1-4)-INDEX(Data!1426:1426,1,$P$1-4))+(INDEX(Data!147:147,1,$P$1-3)+INDEX(Data!429:429,1,$P$1-3)-INDEX(Data!1426:1426,1,$P$1-3))</f>
        <v>279203182</v>
      </c>
      <c r="J104" s="90">
        <f>(INDEX(Data!147:147,1,$P$1-2)+INDEX(Data!429:429,1,$P$1-2)-INDEX(Data!1426:1426,1,$P$1-2))+(INDEX(Data!147:147,1,$P$1-1)+INDEX(Data!429:429,1,$P$1-1)-INDEX(Data!1426:1426,1,$P$1-1))</f>
        <v>217076589</v>
      </c>
      <c r="K104" s="88">
        <f>(INDEX(Data!147:147,1,$P$1)+INDEX(Data!429:429,1,$P$1)-INDEX(Data!1426:1426,1,$P$1))+(INDEX(Data!147:147,1,$P$1+1)+INDEX(Data!429:429,1,$P$1+1)-INDEX(Data!1426:1426,1,$P$1+1))</f>
        <v>217737944</v>
      </c>
    </row>
    <row r="105" spans="1:22" hidden="1" outlineLevel="1">
      <c r="A105" s="50" t="s">
        <v>1356</v>
      </c>
      <c r="B105" s="86">
        <f>(INDEX(Data!49:49,1,$P$1-8)+INDEX(Data!430:430,1,$P$1-8)-INDEX(Data!1270:1270,1,$P$1-8))+(INDEX(Data!49:49,1,$P$1-7)+INDEX(Data!430:430,1,$P$1-7)-INDEX(Data!1270:1270,1,$P$1-7))</f>
        <v>176470188</v>
      </c>
      <c r="C105" s="87">
        <f>(INDEX(Data!49:49,1,$P$1-6)+INDEX(Data!430:430,1,$P$1-6)-INDEX(Data!1270:1270,1,$P$1-6))+(INDEX(Data!49:49,1,$P$1-5)+INDEX(Data!430:430,1,$P$1-5)-INDEX(Data!1270:1270,1,$P$1-5))</f>
        <v>187905136</v>
      </c>
      <c r="D105" s="404">
        <f>(INDEX(Data!49:49,1,$P$1-4)+INDEX(Data!430:430,1,$P$1-4)-INDEX(Data!1270:1270,1,$P$1-4))+(INDEX(Data!49:49,1,$P$1-3)+INDEX(Data!430:430,1,$P$1-3)-INDEX(Data!1270:1270,1,$P$1-3))</f>
        <v>0</v>
      </c>
      <c r="E105" s="90">
        <f>(INDEX(Data!49:49,1,$P$1-2)+INDEX(Data!430:430,1,$P$1-2)-INDEX(Data!1270:1270,1,$P$1-2))+(INDEX(Data!49:49,1,$P$1-1)+INDEX(Data!430:430,1,$P$1-1)-INDEX(Data!1270:1270,1,$P$1-1))</f>
        <v>0</v>
      </c>
      <c r="F105" s="88">
        <f>(INDEX(Data!49:49,1,$P$1)+INDEX(Data!430:430,1,$P$1)-INDEX(Data!1270:1270,1,$P$1))+(INDEX(Data!49:49,1,$P$1+1)+INDEX(Data!430:430,1,$P$1+1)-INDEX(Data!1270:1270,1,$P$1+1))</f>
        <v>0</v>
      </c>
      <c r="G105" s="91">
        <f>(INDEX(Data!148:148,1,$P$1-8)+INDEX(Data!430:430,1,$P$1-8)-INDEX(Data!1427:1427,1,$P$1-8))+(INDEX(Data!148:148,1,$P$1-7)+INDEX(Data!430:430,1,$P$1-7)-INDEX(Data!1427:1427,1,$P$1-7))</f>
        <v>124529618</v>
      </c>
      <c r="H105" s="87">
        <f>(INDEX(Data!148:148,1,$P$1-6)+INDEX(Data!430:430,1,$P$1-6)-INDEX(Data!1427:1427,1,$P$1-6))+(INDEX(Data!148:148,1,$P$1-5)+INDEX(Data!430:430,1,$P$1-5)-INDEX(Data!1427:1427,1,$P$1-5))</f>
        <v>134590213</v>
      </c>
      <c r="I105" s="404">
        <f>(INDEX(Data!148:148,1,$P$1-4)+INDEX(Data!430:430,1,$P$1-4)-INDEX(Data!1427:1427,1,$P$1-4))+(INDEX(Data!148:148,1,$P$1-3)+INDEX(Data!430:430,1,$P$1-3)-INDEX(Data!1427:1427,1,$P$1-3))</f>
        <v>0</v>
      </c>
      <c r="J105" s="90">
        <f>(INDEX(Data!148:148,1,$P$1-2)+INDEX(Data!430:430,1,$P$1-2)-INDEX(Data!1427:1427,1,$P$1-2))+(INDEX(Data!148:148,1,$P$1-1)+INDEX(Data!430:430,1,$P$1-1)-INDEX(Data!1427:1427,1,$P$1-1))</f>
        <v>0</v>
      </c>
      <c r="K105" s="88">
        <f>(INDEX(Data!148:148,1,$P$1)+INDEX(Data!430:430,1,$P$1)-INDEX(Data!1427:1427,1,$P$1))+(INDEX(Data!148:148,1,$P$1+1)+INDEX(Data!430:430,1,$P$1+1)-INDEX(Data!1427:1427,1,$P$1+1))</f>
        <v>0</v>
      </c>
    </row>
    <row r="106" spans="1:22" hidden="1" outlineLevel="1">
      <c r="A106" s="50" t="s">
        <v>1357</v>
      </c>
      <c r="B106" s="86">
        <f>(INDEX(Data!50:50,1,$P$1-8)+INDEX(Data!431:431,1,$P$1-8)-INDEX(Data!1271:1271,1,$P$1-8))+(INDEX(Data!50:50,1,$P$1-7)+INDEX(Data!431:431,1,$P$1-7)-INDEX(Data!1271:1271,1,$P$1-7))</f>
        <v>63663473</v>
      </c>
      <c r="C106" s="87">
        <f>(INDEX(Data!50:50,1,$P$1-6)+INDEX(Data!431:431,1,$P$1-6)-INDEX(Data!1271:1271,1,$P$1-6))+(INDEX(Data!50:50,1,$P$1-5)+INDEX(Data!431:431,1,$P$1-5)-INDEX(Data!1271:1271,1,$P$1-5))</f>
        <v>68917692</v>
      </c>
      <c r="D106" s="404">
        <f>(INDEX(Data!50:50,1,$P$1-4)+INDEX(Data!431:431,1,$P$1-4)-INDEX(Data!1271:1271,1,$P$1-4))+(INDEX(Data!50:50,1,$P$1-3)+INDEX(Data!431:431,1,$P$1-3)-INDEX(Data!1271:1271,1,$P$1-3))</f>
        <v>0</v>
      </c>
      <c r="E106" s="90">
        <f>(INDEX(Data!50:50,1,$P$1-2)+INDEX(Data!431:431,1,$P$1-2)-INDEX(Data!1271:1271,1,$P$1-2))+(INDEX(Data!50:50,1,$P$1-1)+INDEX(Data!431:431,1,$P$1-1)-INDEX(Data!1271:1271,1,$P$1-1))</f>
        <v>0</v>
      </c>
      <c r="F106" s="88">
        <f>(INDEX(Data!50:50,1,$P$1)+INDEX(Data!431:431,1,$P$1)-INDEX(Data!1271:1271,1,$P$1))+(INDEX(Data!50:50,1,$P$1+1)+INDEX(Data!431:431,1,$P$1+1)-INDEX(Data!1271:1271,1,$P$1+1))</f>
        <v>0</v>
      </c>
      <c r="G106" s="91">
        <f>(INDEX(Data!149:149,1,$P$1-8)+INDEX(Data!431:431,1,$P$1-8)-INDEX(Data!1428:1428,1,$P$1-8))+(INDEX(Data!149:149,1,$P$1-7)+INDEX(Data!431:431,1,$P$1-7)-INDEX(Data!1428:1428,1,$P$1-7))</f>
        <v>53459536</v>
      </c>
      <c r="H106" s="87">
        <f>(INDEX(Data!149:149,1,$P$1-6)+INDEX(Data!431:431,1,$P$1-6)-INDEX(Data!1428:1428,1,$P$1-6))+(INDEX(Data!149:149,1,$P$1-5)+INDEX(Data!431:431,1,$P$1-5)-INDEX(Data!1428:1428,1,$P$1-5))</f>
        <v>52575662</v>
      </c>
      <c r="I106" s="404">
        <f>(INDEX(Data!149:149,1,$P$1-4)+INDEX(Data!431:431,1,$P$1-4)-INDEX(Data!1428:1428,1,$P$1-4))+(INDEX(Data!149:149,1,$P$1-3)+INDEX(Data!431:431,1,$P$1-3)-INDEX(Data!1428:1428,1,$P$1-3))</f>
        <v>0</v>
      </c>
      <c r="J106" s="90">
        <f>(INDEX(Data!149:149,1,$P$1-2)+INDEX(Data!431:431,1,$P$1-2)-INDEX(Data!1428:1428,1,$P$1-2))+(INDEX(Data!149:149,1,$P$1-1)+INDEX(Data!431:431,1,$P$1-1)-INDEX(Data!1428:1428,1,$P$1-1))</f>
        <v>0</v>
      </c>
      <c r="K106" s="88">
        <f>(INDEX(Data!149:149,1,$P$1)+INDEX(Data!431:431,1,$P$1)-INDEX(Data!1428:1428,1,$P$1))+(INDEX(Data!149:149,1,$P$1+1)+INDEX(Data!431:431,1,$P$1+1)-INDEX(Data!1428:1428,1,$P$1+1))</f>
        <v>0</v>
      </c>
    </row>
    <row r="107" spans="1:22" hidden="1" outlineLevel="1">
      <c r="A107" s="50" t="s">
        <v>1358</v>
      </c>
      <c r="B107" s="86">
        <f>(INDEX(Data!51:51,1,$P$1-8)+INDEX(Data!432:432,1,$P$1-8)-INDEX(Data!1272:1272,1,$P$1-8))+(INDEX(Data!51:51,1,$P$1-7)+INDEX(Data!432:432,1,$P$1-7)-INDEX(Data!1272:1272,1,$P$1-7))</f>
        <v>62906330</v>
      </c>
      <c r="C107" s="87">
        <f>(INDEX(Data!51:51,1,$P$1-6)+INDEX(Data!432:432,1,$P$1-6)-INDEX(Data!1272:1272,1,$P$1-6))+(INDEX(Data!51:51,1,$P$1-5)+INDEX(Data!432:432,1,$P$1-5)-INDEX(Data!1272:1272,1,$P$1-5))</f>
        <v>66866097</v>
      </c>
      <c r="D107" s="404">
        <f>(INDEX(Data!51:51,1,$P$1-4)+INDEX(Data!432:432,1,$P$1-4)-INDEX(Data!1272:1272,1,$P$1-4))+(INDEX(Data!51:51,1,$P$1-3)+INDEX(Data!432:432,1,$P$1-3)-INDEX(Data!1272:1272,1,$P$1-3))</f>
        <v>76892459</v>
      </c>
      <c r="E107" s="90">
        <f>(INDEX(Data!51:51,1,$P$1-2)+INDEX(Data!432:432,1,$P$1-2)-INDEX(Data!1272:1272,1,$P$1-2))+(INDEX(Data!51:51,1,$P$1-1)+INDEX(Data!432:432,1,$P$1-1)-INDEX(Data!1272:1272,1,$P$1-1))</f>
        <v>84890651</v>
      </c>
      <c r="F107" s="88">
        <f>(INDEX(Data!51:51,1,$P$1)+INDEX(Data!432:432,1,$P$1)-INDEX(Data!1272:1272,1,$P$1))+(INDEX(Data!51:51,1,$P$1+1)+INDEX(Data!432:432,1,$P$1+1)-INDEX(Data!1272:1272,1,$P$1+1))</f>
        <v>83740633</v>
      </c>
      <c r="G107" s="91">
        <f>(INDEX(Data!150:150,1,$P$1-8)+INDEX(Data!432:432,1,$P$1-8)-INDEX(Data!1429:1429,1,$P$1-8))+(INDEX(Data!150:150,1,$P$1-7)+INDEX(Data!432:432,1,$P$1-7)-INDEX(Data!1429:1429,1,$P$1-7))</f>
        <v>52577009</v>
      </c>
      <c r="H107" s="87">
        <f>(INDEX(Data!150:150,1,$P$1-6)+INDEX(Data!432:432,1,$P$1-6)-INDEX(Data!1429:1429,1,$P$1-6))+(INDEX(Data!150:150,1,$P$1-5)+INDEX(Data!432:432,1,$P$1-5)-INDEX(Data!1429:1429,1,$P$1-5))</f>
        <v>55419537</v>
      </c>
      <c r="I107" s="404">
        <f>(INDEX(Data!150:150,1,$P$1-4)+INDEX(Data!432:432,1,$P$1-4)-INDEX(Data!1429:1429,1,$P$1-4))+(INDEX(Data!150:150,1,$P$1-3)+INDEX(Data!432:432,1,$P$1-3)-INDEX(Data!1429:1429,1,$P$1-3))</f>
        <v>64296951</v>
      </c>
      <c r="J107" s="90">
        <f>(INDEX(Data!150:150,1,$P$1-2)+INDEX(Data!432:432,1,$P$1-2)-INDEX(Data!1429:1429,1,$P$1-2))+(INDEX(Data!150:150,1,$P$1-1)+INDEX(Data!432:432,1,$P$1-1)-INDEX(Data!1429:1429,1,$P$1-1))</f>
        <v>68101106</v>
      </c>
      <c r="K107" s="88">
        <f>(INDEX(Data!150:150,1,$P$1)+INDEX(Data!432:432,1,$P$1)-INDEX(Data!1429:1429,1,$P$1))+(INDEX(Data!150:150,1,$P$1+1)+INDEX(Data!432:432,1,$P$1+1)-INDEX(Data!1429:1429,1,$P$1+1))</f>
        <v>67469742</v>
      </c>
    </row>
    <row r="108" spans="1:22" hidden="1" outlineLevel="1">
      <c r="A108" s="50" t="s">
        <v>757</v>
      </c>
      <c r="B108" s="86">
        <f>(INDEX(Data!52:52,1,$P$1-8)+INDEX(Data!433:433,1,$P$1-8)-INDEX(Data!1273:1273,1,$P$1-8))+(INDEX(Data!52:52,1,$P$1-7)+INDEX(Data!433:433,1,$P$1-7)-INDEX(Data!1273:1273,1,$P$1-7))</f>
        <v>281167943</v>
      </c>
      <c r="C108" s="87">
        <f>(INDEX(Data!52:52,1,$P$1-6)+INDEX(Data!433:433,1,$P$1-6)-INDEX(Data!1273:1273,1,$P$1-6))+(INDEX(Data!52:52,1,$P$1-5)+INDEX(Data!433:433,1,$P$1-5)-INDEX(Data!1273:1273,1,$P$1-5))</f>
        <v>308301393</v>
      </c>
      <c r="D108" s="404">
        <f>(INDEX(Data!52:52,1,$P$1-4)+INDEX(Data!433:433,1,$P$1-4)-INDEX(Data!1273:1273,1,$P$1-4))+(INDEX(Data!52:52,1,$P$1-3)+INDEX(Data!433:433,1,$P$1-3)-INDEX(Data!1273:1273,1,$P$1-3))</f>
        <v>313787991</v>
      </c>
      <c r="E108" s="90">
        <f>(INDEX(Data!52:52,1,$P$1-2)+INDEX(Data!433:433,1,$P$1-2)-INDEX(Data!1273:1273,1,$P$1-2))+(INDEX(Data!52:52,1,$P$1-1)+INDEX(Data!433:433,1,$P$1-1)-INDEX(Data!1273:1273,1,$P$1-1))</f>
        <v>313022613</v>
      </c>
      <c r="F108" s="88">
        <f>(INDEX(Data!52:52,1,$P$1)+INDEX(Data!433:433,1,$P$1)-INDEX(Data!1273:1273,1,$P$1))+(INDEX(Data!52:52,1,$P$1+1)+INDEX(Data!433:433,1,$P$1+1)-INDEX(Data!1273:1273,1,$P$1+1))</f>
        <v>341053281</v>
      </c>
      <c r="G108" s="91">
        <f>(INDEX(Data!151:151,1,$P$1-8)+INDEX(Data!433:433,1,$P$1-8)-INDEX(Data!1430:1430,1,$P$1-8))+(INDEX(Data!151:151,1,$P$1-7)+INDEX(Data!433:433,1,$P$1-7)-INDEX(Data!1430:1430,1,$P$1-7))</f>
        <v>199219435</v>
      </c>
      <c r="H108" s="87">
        <f>(INDEX(Data!151:151,1,$P$1-6)+INDEX(Data!433:433,1,$P$1-6)-INDEX(Data!1430:1430,1,$P$1-6))+(INDEX(Data!151:151,1,$P$1-5)+INDEX(Data!433:433,1,$P$1-5)-INDEX(Data!1430:1430,1,$P$1-5))</f>
        <v>219052492</v>
      </c>
      <c r="I108" s="404">
        <f>(INDEX(Data!151:151,1,$P$1-4)+INDEX(Data!433:433,1,$P$1-4)-INDEX(Data!1430:1430,1,$P$1-4))+(INDEX(Data!151:151,1,$P$1-3)+INDEX(Data!433:433,1,$P$1-3)-INDEX(Data!1430:1430,1,$P$1-3))</f>
        <v>218379337</v>
      </c>
      <c r="J108" s="90">
        <f>(INDEX(Data!151:151,1,$P$1-2)+INDEX(Data!433:433,1,$P$1-2)-INDEX(Data!1430:1430,1,$P$1-2))+(INDEX(Data!151:151,1,$P$1-1)+INDEX(Data!433:433,1,$P$1-1)-INDEX(Data!1430:1430,1,$P$1-1))</f>
        <v>228178434</v>
      </c>
      <c r="K108" s="88">
        <f>(INDEX(Data!151:151,1,$P$1)+INDEX(Data!433:433,1,$P$1)-INDEX(Data!1430:1430,1,$P$1))+(INDEX(Data!151:151,1,$P$1+1)+INDEX(Data!433:433,1,$P$1+1)-INDEX(Data!1430:1430,1,$P$1+1))</f>
        <v>254966074</v>
      </c>
    </row>
    <row r="109" spans="1:22" hidden="1" outlineLevel="1">
      <c r="A109" s="50" t="s">
        <v>1359</v>
      </c>
      <c r="B109" s="86">
        <f>(INDEX(Data!53:53,1,$P$1-8)+INDEX(Data!434:434,1,$P$1-8)-INDEX(Data!1274:1274,1,$P$1-8))+(INDEX(Data!53:53,1,$P$1-7)+INDEX(Data!434:434,1,$P$1-7)-INDEX(Data!1274:1274,1,$P$1-7))</f>
        <v>72356515</v>
      </c>
      <c r="C109" s="87">
        <f>(INDEX(Data!53:53,1,$P$1-6)+INDEX(Data!434:434,1,$P$1-6)-INDEX(Data!1274:1274,1,$P$1-6))+(INDEX(Data!53:53,1,$P$1-5)+INDEX(Data!434:434,1,$P$1-5)-INDEX(Data!1274:1274,1,$P$1-5))</f>
        <v>83378664</v>
      </c>
      <c r="D109" s="404">
        <f>(INDEX(Data!53:53,1,$P$1-4)+INDEX(Data!434:434,1,$P$1-4)-INDEX(Data!1274:1274,1,$P$1-4))+(INDEX(Data!53:53,1,$P$1-3)+INDEX(Data!434:434,1,$P$1-3)-INDEX(Data!1274:1274,1,$P$1-3))</f>
        <v>91411528</v>
      </c>
      <c r="E109" s="90">
        <f>(INDEX(Data!53:53,1,$P$1-2)+INDEX(Data!434:434,1,$P$1-2)-INDEX(Data!1274:1274,1,$P$1-2))+(INDEX(Data!53:53,1,$P$1-1)+INDEX(Data!434:434,1,$P$1-1)-INDEX(Data!1274:1274,1,$P$1-1))</f>
        <v>104211958</v>
      </c>
      <c r="F109" s="88">
        <f>(INDEX(Data!53:53,1,$P$1)+INDEX(Data!434:434,1,$P$1)-INDEX(Data!1274:1274,1,$P$1))+(INDEX(Data!53:53,1,$P$1+1)+INDEX(Data!434:434,1,$P$1+1)-INDEX(Data!1274:1274,1,$P$1+1))</f>
        <v>100650158</v>
      </c>
      <c r="G109" s="91">
        <f>(INDEX(Data!152:152,1,$P$1-8)+INDEX(Data!434:434,1,$P$1-8)-INDEX(Data!1431:1431,1,$P$1-8))+(INDEX(Data!152:152,1,$P$1-7)+INDEX(Data!434:434,1,$P$1-7)-INDEX(Data!1431:1431,1,$P$1-7))</f>
        <v>58013698</v>
      </c>
      <c r="H109" s="87">
        <f>(INDEX(Data!152:152,1,$P$1-6)+INDEX(Data!434:434,1,$P$1-6)-INDEX(Data!1431:1431,1,$P$1-6))+(INDEX(Data!152:152,1,$P$1-5)+INDEX(Data!434:434,1,$P$1-5)-INDEX(Data!1431:1431,1,$P$1-5))</f>
        <v>66260091</v>
      </c>
      <c r="I109" s="404">
        <f>(INDEX(Data!152:152,1,$P$1-4)+INDEX(Data!434:434,1,$P$1-4)-INDEX(Data!1431:1431,1,$P$1-4))+(INDEX(Data!152:152,1,$P$1-3)+INDEX(Data!434:434,1,$P$1-3)-INDEX(Data!1431:1431,1,$P$1-3))</f>
        <v>72681370</v>
      </c>
      <c r="J109" s="90">
        <f>(INDEX(Data!152:152,1,$P$1-2)+INDEX(Data!434:434,1,$P$1-2)-INDEX(Data!1431:1431,1,$P$1-2))+(INDEX(Data!152:152,1,$P$1-1)+INDEX(Data!434:434,1,$P$1-1)-INDEX(Data!1431:1431,1,$P$1-1))</f>
        <v>80966258</v>
      </c>
      <c r="K109" s="88">
        <f>(INDEX(Data!152:152,1,$P$1)+INDEX(Data!434:434,1,$P$1)-INDEX(Data!1431:1431,1,$P$1))+(INDEX(Data!152:152,1,$P$1+1)+INDEX(Data!434:434,1,$P$1+1)-INDEX(Data!1431:1431,1,$P$1+1))</f>
        <v>78812319</v>
      </c>
    </row>
    <row r="110" spans="1:22" hidden="1" outlineLevel="1">
      <c r="A110" s="50" t="s">
        <v>751</v>
      </c>
      <c r="B110" s="86">
        <f>(INDEX(Data!55:55,1,$P$1-8)+INDEX(Data!443:443,1,$P$1-8)-INDEX(Data!1276:1276,1,$P$1-8))+(INDEX(Data!55:55,1,$P$1-7)+INDEX(Data!443:443,1,$P$1-7)-INDEX(Data!1276:1276,1,$P$1-7))</f>
        <v>704264385</v>
      </c>
      <c r="C110" s="87">
        <f>(INDEX(Data!55:55,1,$P$1-6)+INDEX(Data!443:443,1,$P$1-6)-INDEX(Data!1276:1276,1,$P$1-6))+(INDEX(Data!55:55,1,$P$1-5)+INDEX(Data!443:443,1,$P$1-5)-INDEX(Data!1276:1276,1,$P$1-5))</f>
        <v>771432117</v>
      </c>
      <c r="D110" s="404">
        <f>(INDEX(Data!55:55,1,$P$1-4)+INDEX(Data!443:443,1,$P$1-4)-INDEX(Data!1276:1276,1,$P$1-4))+(INDEX(Data!55:55,1,$P$1-3)+INDEX(Data!443:443,1,$P$1-3)-INDEX(Data!1276:1276,1,$P$1-3))</f>
        <v>885128693</v>
      </c>
      <c r="E110" s="90">
        <f>(INDEX(Data!55:55,1,$P$1-2)+INDEX(Data!443:443,1,$P$1-2)-INDEX(Data!1276:1276,1,$P$1-2))+(INDEX(Data!55:55,1,$P$1-1)+INDEX(Data!443:443,1,$P$1-1)-INDEX(Data!1276:1276,1,$P$1-1))</f>
        <v>913583481</v>
      </c>
      <c r="F110" s="88">
        <f>(INDEX(Data!55:55,1,$P$1)+INDEX(Data!443:443,1,$P$1)-INDEX(Data!1276:1276,1,$P$1))+(INDEX(Data!55:55,1,$P$1+1)+INDEX(Data!443:443,1,$P$1+1)-INDEX(Data!1276:1276,1,$P$1+1))</f>
        <v>1025599664</v>
      </c>
      <c r="G110" s="91">
        <f>(INDEX(Data!154:154,1,$P$1-8)+INDEX(Data!443:443,1,$P$1-8)-INDEX(Data!1433:1433,1,$P$1-8))+(INDEX(Data!154:154,1,$P$1-7)+INDEX(Data!443:443,1,$P$1-7)-INDEX(Data!1433:1433,1,$P$1-7))</f>
        <v>510676226</v>
      </c>
      <c r="H110" s="87">
        <f>(INDEX(Data!154:154,1,$P$1-6)+INDEX(Data!443:443,1,$P$1-6)-INDEX(Data!1433:1433,1,$P$1-6))+(INDEX(Data!154:154,1,$P$1-5)+INDEX(Data!443:443,1,$P$1-5)-INDEX(Data!1433:1433,1,$P$1-5))</f>
        <v>560008165</v>
      </c>
      <c r="I110" s="404">
        <f>(INDEX(Data!154:154,1,$P$1-4)+INDEX(Data!443:443,1,$P$1-4)-INDEX(Data!1433:1433,1,$P$1-4))+(INDEX(Data!154:154,1,$P$1-3)+INDEX(Data!443:443,1,$P$1-3)-INDEX(Data!1433:1433,1,$P$1-3))</f>
        <v>639784158</v>
      </c>
      <c r="J110" s="90">
        <f>(INDEX(Data!154:154,1,$P$1-2)+INDEX(Data!443:443,1,$P$1-2)-INDEX(Data!1433:1433,1,$P$1-2))+(INDEX(Data!154:154,1,$P$1-1)+INDEX(Data!443:443,1,$P$1-1)-INDEX(Data!1433:1433,1,$P$1-1))</f>
        <v>663675954</v>
      </c>
      <c r="K110" s="88">
        <f>(INDEX(Data!154:154,1,$P$1)+INDEX(Data!443:443,1,$P$1)-INDEX(Data!1433:1433,1,$P$1))+(INDEX(Data!154:154,1,$P$1+1)+INDEX(Data!443:443,1,$P$1+1)-INDEX(Data!1433:1433,1,$P$1+1))</f>
        <v>762030693</v>
      </c>
    </row>
    <row r="111" spans="1:22" hidden="1" outlineLevel="1">
      <c r="A111" s="50" t="s">
        <v>876</v>
      </c>
      <c r="B111" s="86">
        <f>(INDEX(Data!56:56,1,$P$1-8)+INDEX(Data!445:445,1,$P$1-8)-INDEX(Data!1277:1277,1,$P$1-8))+(INDEX(Data!56:56,1,$P$1-7)+INDEX(Data!445:445,1,$P$1-7)-INDEX(Data!1277:1277,1,$P$1-7))</f>
        <v>40358984</v>
      </c>
      <c r="C111" s="87">
        <f>(INDEX(Data!56:56,1,$P$1-6)+INDEX(Data!445:445,1,$P$1-6)-INDEX(Data!1277:1277,1,$P$1-6))+(INDEX(Data!56:56,1,$P$1-5)+INDEX(Data!445:445,1,$P$1-5)-INDEX(Data!1277:1277,1,$P$1-5))</f>
        <v>43733863</v>
      </c>
      <c r="D111" s="404">
        <f>(INDEX(Data!56:56,1,$P$1-4)+INDEX(Data!445:445,1,$P$1-4)-INDEX(Data!1277:1277,1,$P$1-4))+(INDEX(Data!56:56,1,$P$1-3)+INDEX(Data!445:445,1,$P$1-3)-INDEX(Data!1277:1277,1,$P$1-3))</f>
        <v>48580692</v>
      </c>
      <c r="E111" s="90">
        <f>(INDEX(Data!56:56,1,$P$1-2)+INDEX(Data!445:445,1,$P$1-2)-INDEX(Data!1277:1277,1,$P$1-2))+(INDEX(Data!56:56,1,$P$1-1)+INDEX(Data!445:445,1,$P$1-1)-INDEX(Data!1277:1277,1,$P$1-1))</f>
        <v>56576678</v>
      </c>
      <c r="F111" s="88">
        <f>(INDEX(Data!56:56,1,$P$1)+INDEX(Data!445:445,1,$P$1)-INDEX(Data!1277:1277,1,$P$1))+(INDEX(Data!56:56,1,$P$1+1)+INDEX(Data!445:445,1,$P$1+1)-INDEX(Data!1277:1277,1,$P$1+1))</f>
        <v>54571502</v>
      </c>
      <c r="G111" s="91">
        <f>(INDEX(Data!155:155,1,$P$1-8)+INDEX(Data!445:445,1,$P$1-8)-INDEX(Data!1434:1434,1,$P$1-8))+(INDEX(Data!155:155,1,$P$1-7)+INDEX(Data!445:445,1,$P$1-7)-INDEX(Data!1434:1434,1,$P$1-7))</f>
        <v>33550036</v>
      </c>
      <c r="H111" s="87">
        <f>(INDEX(Data!155:155,1,$P$1-6)+INDEX(Data!445:445,1,$P$1-6)-INDEX(Data!1434:1434,1,$P$1-6))+(INDEX(Data!155:155,1,$P$1-5)+INDEX(Data!445:445,1,$P$1-5)-INDEX(Data!1434:1434,1,$P$1-5))</f>
        <v>36107412</v>
      </c>
      <c r="I111" s="404">
        <f>(INDEX(Data!155:155,1,$P$1-4)+INDEX(Data!445:445,1,$P$1-4)-INDEX(Data!1434:1434,1,$P$1-4))+(INDEX(Data!155:155,1,$P$1-3)+INDEX(Data!445:445,1,$P$1-3)-INDEX(Data!1434:1434,1,$P$1-3))</f>
        <v>39990270</v>
      </c>
      <c r="J111" s="90">
        <f>(INDEX(Data!155:155,1,$P$1-2)+INDEX(Data!445:445,1,$P$1-2)-INDEX(Data!1434:1434,1,$P$1-2))+(INDEX(Data!155:155,1,$P$1-1)+INDEX(Data!445:445,1,$P$1-1)-INDEX(Data!1434:1434,1,$P$1-1))</f>
        <v>47653681</v>
      </c>
      <c r="K111" s="88">
        <f>(INDEX(Data!155:155,1,$P$1)+INDEX(Data!445:445,1,$P$1)-INDEX(Data!1434:1434,1,$P$1))+(INDEX(Data!155:155,1,$P$1+1)+INDEX(Data!445:445,1,$P$1+1)-INDEX(Data!1434:1434,1,$P$1+1))</f>
        <v>48127814</v>
      </c>
    </row>
    <row r="112" spans="1:22" hidden="1" outlineLevel="1">
      <c r="A112" s="50" t="s">
        <v>750</v>
      </c>
      <c r="B112" s="86">
        <f>(INDEX(Data!57:57,1,$P$1-8)+INDEX(Data!446:446,1,$P$1-8)-INDEX(Data!1278:1278,1,$P$1-8))+(INDEX(Data!57:57,1,$P$1-7)+INDEX(Data!446:446,1,$P$1-7)-INDEX(Data!1278:1278,1,$P$1-7))</f>
        <v>131753587</v>
      </c>
      <c r="C112" s="87">
        <f>(INDEX(Data!57:57,1,$P$1-6)+INDEX(Data!446:446,1,$P$1-6)-INDEX(Data!1278:1278,1,$P$1-6))+(INDEX(Data!57:57,1,$P$1-5)+INDEX(Data!446:446,1,$P$1-5)-INDEX(Data!1278:1278,1,$P$1-5))</f>
        <v>137483024</v>
      </c>
      <c r="D112" s="404">
        <f>(INDEX(Data!57:57,1,$P$1-4)+INDEX(Data!446:446,1,$P$1-4)-INDEX(Data!1278:1278,1,$P$1-4))+(INDEX(Data!57:57,1,$P$1-3)+INDEX(Data!446:446,1,$P$1-3)-INDEX(Data!1278:1278,1,$P$1-3))</f>
        <v>139722579</v>
      </c>
      <c r="E112" s="90">
        <f>(INDEX(Data!57:57,1,$P$1-2)+INDEX(Data!446:446,1,$P$1-2)-INDEX(Data!1278:1278,1,$P$1-2))+(INDEX(Data!57:57,1,$P$1-1)+INDEX(Data!446:446,1,$P$1-1)-INDEX(Data!1278:1278,1,$P$1-1))</f>
        <v>142022095</v>
      </c>
      <c r="F112" s="88">
        <f>(INDEX(Data!57:57,1,$P$1)+INDEX(Data!446:446,1,$P$1)-INDEX(Data!1278:1278,1,$P$1))+(INDEX(Data!57:57,1,$P$1+1)+INDEX(Data!446:446,1,$P$1+1)-INDEX(Data!1278:1278,1,$P$1+1))</f>
        <v>145120630</v>
      </c>
      <c r="G112" s="91">
        <f>(INDEX(Data!156:156,1,$P$1-8)+INDEX(Data!446:446,1,$P$1-8)-INDEX(Data!1435:1435,1,$P$1-8))+(INDEX(Data!156:156,1,$P$1-7)+INDEX(Data!446:446,1,$P$1-7)-INDEX(Data!1435:1435,1,$P$1-7))</f>
        <v>100038076</v>
      </c>
      <c r="H112" s="87">
        <f>(INDEX(Data!156:156,1,$P$1-6)+INDEX(Data!446:446,1,$P$1-6)-INDEX(Data!1435:1435,1,$P$1-6))+(INDEX(Data!156:156,1,$P$1-5)+INDEX(Data!446:446,1,$P$1-5)-INDEX(Data!1435:1435,1,$P$1-5))</f>
        <v>94966864</v>
      </c>
      <c r="I112" s="404">
        <f>(INDEX(Data!156:156,1,$P$1-4)+INDEX(Data!446:446,1,$P$1-4)-INDEX(Data!1435:1435,1,$P$1-4))+(INDEX(Data!156:156,1,$P$1-3)+INDEX(Data!446:446,1,$P$1-3)-INDEX(Data!1435:1435,1,$P$1-3))</f>
        <v>105683182</v>
      </c>
      <c r="J112" s="90">
        <f>(INDEX(Data!156:156,1,$P$1-2)+INDEX(Data!446:446,1,$P$1-2)-INDEX(Data!1435:1435,1,$P$1-2))+(INDEX(Data!156:156,1,$P$1-1)+INDEX(Data!446:446,1,$P$1-1)-INDEX(Data!1435:1435,1,$P$1-1))</f>
        <v>107681480</v>
      </c>
      <c r="K112" s="88">
        <f>(INDEX(Data!156:156,1,$P$1)+INDEX(Data!446:446,1,$P$1)-INDEX(Data!1435:1435,1,$P$1))+(INDEX(Data!156:156,1,$P$1+1)+INDEX(Data!446:446,1,$P$1+1)-INDEX(Data!1435:1435,1,$P$1+1))</f>
        <v>107460640</v>
      </c>
    </row>
    <row r="113" spans="1:11" hidden="1" outlineLevel="1">
      <c r="A113" s="50" t="s">
        <v>1209</v>
      </c>
      <c r="B113" s="86">
        <f>(INDEX(Data!58:58,1,$P$1-8)+INDEX(Data!447:447,1,$P$1-8)-INDEX(Data!1279:1279,1,$P$1-8))+(INDEX(Data!58:58,1,$P$1-7)+INDEX(Data!447:447,1,$P$1-7)-INDEX(Data!1279:1279,1,$P$1-7))</f>
        <v>90181847</v>
      </c>
      <c r="C113" s="87">
        <f>(INDEX(Data!58:58,1,$P$1-6)+INDEX(Data!447:447,1,$P$1-6)-INDEX(Data!1279:1279,1,$P$1-6))+(INDEX(Data!58:58,1,$P$1-5)+INDEX(Data!447:447,1,$P$1-5)-INDEX(Data!1279:1279,1,$P$1-5))</f>
        <v>105265742</v>
      </c>
      <c r="D113" s="404">
        <f>(INDEX(Data!58:58,1,$P$1-4)+INDEX(Data!447:447,1,$P$1-4)-INDEX(Data!1279:1279,1,$P$1-4))+(INDEX(Data!58:58,1,$P$1-3)+INDEX(Data!447:447,1,$P$1-3)-INDEX(Data!1279:1279,1,$P$1-3))</f>
        <v>116581157</v>
      </c>
      <c r="E113" s="90">
        <f>(INDEX(Data!58:58,1,$P$1-2)+INDEX(Data!447:447,1,$P$1-2)-INDEX(Data!1279:1279,1,$P$1-2))+(INDEX(Data!58:58,1,$P$1-1)+INDEX(Data!447:447,1,$P$1-1)-INDEX(Data!1279:1279,1,$P$1-1))</f>
        <v>132924128</v>
      </c>
      <c r="F113" s="88">
        <f>(INDEX(Data!58:58,1,$P$1)+INDEX(Data!447:447,1,$P$1)-INDEX(Data!1279:1279,1,$P$1))+(INDEX(Data!58:58,1,$P$1+1)+INDEX(Data!447:447,1,$P$1+1)-INDEX(Data!1279:1279,1,$P$1+1))</f>
        <v>131936058</v>
      </c>
      <c r="G113" s="91">
        <f>(INDEX(Data!157:157,1,$P$1-8)+INDEX(Data!447:447,1,$P$1-8)-INDEX(Data!1436:1436,1,$P$1-8))+(INDEX(Data!157:157,1,$P$1-7)+INDEX(Data!447:447,1,$P$1-7)-INDEX(Data!1436:1436,1,$P$1-7))</f>
        <v>65696236</v>
      </c>
      <c r="H113" s="87">
        <f>(INDEX(Data!157:157,1,$P$1-6)+INDEX(Data!447:447,1,$P$1-6)-INDEX(Data!1436:1436,1,$P$1-6))+(INDEX(Data!157:157,1,$P$1-5)+INDEX(Data!447:447,1,$P$1-5)-INDEX(Data!1436:1436,1,$P$1-5))</f>
        <v>77907732</v>
      </c>
      <c r="I113" s="404">
        <f>(INDEX(Data!157:157,1,$P$1-4)+INDEX(Data!447:447,1,$P$1-4)-INDEX(Data!1436:1436,1,$P$1-4))+(INDEX(Data!157:157,1,$P$1-3)+INDEX(Data!447:447,1,$P$1-3)-INDEX(Data!1436:1436,1,$P$1-3))</f>
        <v>85894283</v>
      </c>
      <c r="J113" s="90">
        <f>(INDEX(Data!157:157,1,$P$1-2)+INDEX(Data!447:447,1,$P$1-2)-INDEX(Data!1436:1436,1,$P$1-2))+(INDEX(Data!157:157,1,$P$1-1)+INDEX(Data!447:447,1,$P$1-1)-INDEX(Data!1436:1436,1,$P$1-1))</f>
        <v>102330682</v>
      </c>
      <c r="K113" s="88">
        <f>(INDEX(Data!157:157,1,$P$1)+INDEX(Data!447:447,1,$P$1)-INDEX(Data!1436:1436,1,$P$1))+(INDEX(Data!157:157,1,$P$1+1)+INDEX(Data!447:447,1,$P$1+1)-INDEX(Data!1436:1436,1,$P$1+1))</f>
        <v>101948394</v>
      </c>
    </row>
    <row r="114" spans="1:11" hidden="1" outlineLevel="1">
      <c r="A114" s="678" t="s">
        <v>1210</v>
      </c>
      <c r="B114" s="86">
        <f>(INDEX(Data!59:59,1,$P$1-8)+INDEX(Data!449:449,1,$P$1-8)-INDEX(Data!1280:1280,1,$P$1-8))+(INDEX(Data!59:59,1,$P$1-7)+INDEX(Data!449:449,1,$P$1-7)-INDEX(Data!1280:1280,1,$P$1-7))</f>
        <v>31714417</v>
      </c>
      <c r="C114" s="87">
        <f>(INDEX(Data!59:59,1,$P$1-6)+INDEX(Data!449:449,1,$P$1-6)-INDEX(Data!1280:1280,1,$P$1-6))+(INDEX(Data!59:59,1,$P$1-5)+INDEX(Data!449:449,1,$P$1-5)-INDEX(Data!1280:1280,1,$P$1-5))</f>
        <v>34470506</v>
      </c>
      <c r="D114" s="404">
        <f>(INDEX(Data!59:59,1,$P$1-4)+INDEX(Data!449:449,1,$P$1-4)-INDEX(Data!1280:1280,1,$P$1-4))+(INDEX(Data!59:59,1,$P$1-3)+INDEX(Data!449:449,1,$P$1-3)-INDEX(Data!1280:1280,1,$P$1-3))</f>
        <v>36700752</v>
      </c>
      <c r="E114" s="90">
        <f>(INDEX(Data!59:59,1,$P$1-2)+INDEX(Data!449:449,1,$P$1-2)-INDEX(Data!1280:1280,1,$P$1-2))+(INDEX(Data!59:59,1,$P$1-1)+INDEX(Data!449:449,1,$P$1-1)-INDEX(Data!1280:1280,1,$P$1-1))</f>
        <v>47971524</v>
      </c>
      <c r="F114" s="88">
        <f>(INDEX(Data!59:59,1,$P$1)+INDEX(Data!449:449,1,$P$1)-INDEX(Data!1280:1280,1,$P$1))+(INDEX(Data!59:59,1,$P$1+1)+INDEX(Data!449:449,1,$P$1+1)-INDEX(Data!1280:1280,1,$P$1+1))</f>
        <v>41424611</v>
      </c>
      <c r="G114" s="91">
        <f>(INDEX(Data!158:158,1,$P$1-8)+INDEX(Data!449:449,1,$P$1-8)-INDEX(Data!1437:1437,1,$P$1-8))+(INDEX(Data!158:158,1,$P$1-7)+INDEX(Data!449:449,1,$P$1-7)-INDEX(Data!1437:1437,1,$P$1-7))</f>
        <v>26467642</v>
      </c>
      <c r="H114" s="87">
        <f>(INDEX(Data!158:158,1,$P$1-6)+INDEX(Data!449:449,1,$P$1-6)-INDEX(Data!1437:1437,1,$P$1-6))+(INDEX(Data!158:158,1,$P$1-5)+INDEX(Data!449:449,1,$P$1-5)-INDEX(Data!1437:1437,1,$P$1-5))</f>
        <v>28972713</v>
      </c>
      <c r="I114" s="404">
        <f>(INDEX(Data!158:158,1,$P$1-4)+INDEX(Data!449:449,1,$P$1-4)-INDEX(Data!1437:1437,1,$P$1-4))+(INDEX(Data!158:158,1,$P$1-3)+INDEX(Data!449:449,1,$P$1-3)-INDEX(Data!1437:1437,1,$P$1-3))</f>
        <v>31407814</v>
      </c>
      <c r="J114" s="90">
        <f>(INDEX(Data!158:158,1,$P$1-2)+INDEX(Data!449:449,1,$P$1-2)-INDEX(Data!1437:1437,1,$P$1-2))+(INDEX(Data!158:158,1,$P$1-1)+INDEX(Data!449:449,1,$P$1-1)-INDEX(Data!1437:1437,1,$P$1-1))</f>
        <v>43113309</v>
      </c>
      <c r="K114" s="88">
        <f>(INDEX(Data!158:158,1,$P$1)+INDEX(Data!449:449,1,$P$1)-INDEX(Data!1437:1437,1,$P$1))+(INDEX(Data!158:158,1,$P$1+1)+INDEX(Data!449:449,1,$P$1+1)-INDEX(Data!1437:1437,1,$P$1+1))</f>
        <v>36450265</v>
      </c>
    </row>
    <row r="115" spans="1:11" hidden="1" outlineLevel="1">
      <c r="A115" s="678" t="s">
        <v>1211</v>
      </c>
      <c r="B115" s="86">
        <f>(INDEX(Data!60:60,1,$P$1-8)+INDEX(Data!448:448,1,$P$1-8)-INDEX(Data!1281:1281,1,$P$1-8))+(INDEX(Data!60:60,1,$P$1-7)+INDEX(Data!448:448,1,$P$1-7)-INDEX(Data!1281:1281,1,$P$1-7))</f>
        <v>118283920</v>
      </c>
      <c r="C115" s="87">
        <f>(INDEX(Data!60:60,1,$P$1-6)+INDEX(Data!448:448,1,$P$1-6)-INDEX(Data!1281:1281,1,$P$1-6))+(INDEX(Data!60:60,1,$P$1-5)+INDEX(Data!448:448,1,$P$1-5)-INDEX(Data!1281:1281,1,$P$1-5))</f>
        <v>126377721</v>
      </c>
      <c r="D115" s="404">
        <f>(INDEX(Data!60:60,1,$P$1-4)+INDEX(Data!448:448,1,$P$1-4)-INDEX(Data!1281:1281,1,$P$1-4))+(INDEX(Data!60:60,1,$P$1-3)+INDEX(Data!448:448,1,$P$1-3)-INDEX(Data!1281:1281,1,$P$1-3))</f>
        <v>134771786</v>
      </c>
      <c r="E115" s="90">
        <f>(INDEX(Data!60:60,1,$P$1-2)+INDEX(Data!448:448,1,$P$1-2)-INDEX(Data!1281:1281,1,$P$1-2))+(INDEX(Data!60:60,1,$P$1-1)+INDEX(Data!448:448,1,$P$1-1)-INDEX(Data!1281:1281,1,$P$1-1))</f>
        <v>133008602</v>
      </c>
      <c r="F115" s="88">
        <f>(INDEX(Data!60:60,1,$P$1)+INDEX(Data!448:448,1,$P$1)-INDEX(Data!1281:1281,1,$P$1))+(INDEX(Data!60:60,1,$P$1+1)+INDEX(Data!448:448,1,$P$1+1)-INDEX(Data!1281:1281,1,$P$1+1))</f>
        <v>149501816</v>
      </c>
      <c r="G115" s="91">
        <f>(INDEX(Data!159:159,1,$P$1-8)+INDEX(Data!448:448,1,$P$1-8)-INDEX(Data!1438:1438,1,$P$1-8))+(INDEX(Data!159:159,1,$P$1-7)+INDEX(Data!448:448,1,$P$1-7)-INDEX(Data!1438:1438,1,$P$1-7))</f>
        <v>89625262</v>
      </c>
      <c r="H115" s="87">
        <f>(INDEX(Data!159:159,1,$P$1-6)+INDEX(Data!448:448,1,$P$1-6)-INDEX(Data!1438:1438,1,$P$1-6))+(INDEX(Data!159:159,1,$P$1-5)+INDEX(Data!448:448,1,$P$1-5)-INDEX(Data!1438:1438,1,$P$1-5))</f>
        <v>96322858</v>
      </c>
      <c r="I115" s="404">
        <f>(INDEX(Data!159:159,1,$P$1-4)+INDEX(Data!448:448,1,$P$1-4)-INDEX(Data!1438:1438,1,$P$1-4))+(INDEX(Data!159:159,1,$P$1-3)+INDEX(Data!448:448,1,$P$1-3)-INDEX(Data!1438:1438,1,$P$1-3))</f>
        <v>104265592</v>
      </c>
      <c r="J115" s="90">
        <f>(INDEX(Data!159:159,1,$P$1-2)+INDEX(Data!448:448,1,$P$1-2)-INDEX(Data!1438:1438,1,$P$1-2))+(INDEX(Data!159:159,1,$P$1-1)+INDEX(Data!448:448,1,$P$1-1)-INDEX(Data!1438:1438,1,$P$1-1))</f>
        <v>98068651</v>
      </c>
      <c r="K115" s="88">
        <f>(INDEX(Data!159:159,1,$P$1)+INDEX(Data!448:448,1,$P$1)-INDEX(Data!1438:1438,1,$P$1))+(INDEX(Data!159:159,1,$P$1+1)+INDEX(Data!448:448,1,$P$1+1)-INDEX(Data!1438:1438,1,$P$1+1))</f>
        <v>113934014</v>
      </c>
    </row>
    <row r="116" spans="1:11" hidden="1" outlineLevel="1">
      <c r="A116" s="678" t="s">
        <v>1212</v>
      </c>
      <c r="B116" s="86">
        <f>(INDEX(Data!61:61,1,$P$1-8)+INDEX(Data!451:451,1,$P$1-8)-INDEX(Data!1282:1282,1,$P$1-8))+(INDEX(Data!61:61,1,$P$1-7)+INDEX(Data!451:451,1,$P$1-7)-INDEX(Data!1282:1282,1,$P$1-7))</f>
        <v>83386566</v>
      </c>
      <c r="C116" s="87">
        <f>(INDEX(Data!61:61,1,$P$1-6)+INDEX(Data!451:451,1,$P$1-6)-INDEX(Data!1282:1282,1,$P$1-6))+(INDEX(Data!61:61,1,$P$1-5)+INDEX(Data!451:451,1,$P$1-5)-INDEX(Data!1282:1282,1,$P$1-5))</f>
        <v>94335169</v>
      </c>
      <c r="D116" s="404">
        <f>(INDEX(Data!61:61,1,$P$1-4)+INDEX(Data!451:451,1,$P$1-4)-INDEX(Data!1282:1282,1,$P$1-4))+(INDEX(Data!61:61,1,$P$1-3)+INDEX(Data!451:451,1,$P$1-3)-INDEX(Data!1282:1282,1,$P$1-3))</f>
        <v>117651143</v>
      </c>
      <c r="E116" s="90">
        <f>(INDEX(Data!61:61,1,$P$1-2)+INDEX(Data!451:451,1,$P$1-2)-INDEX(Data!1282:1282,1,$P$1-2))+(INDEX(Data!61:61,1,$P$1-1)+INDEX(Data!451:451,1,$P$1-1)-INDEX(Data!1282:1282,1,$P$1-1))</f>
        <v>134290437</v>
      </c>
      <c r="F116" s="88">
        <f>(INDEX(Data!61:61,1,$P$1)+INDEX(Data!451:451,1,$P$1)-INDEX(Data!1282:1282,1,$P$1))+(INDEX(Data!61:61,1,$P$1+1)+INDEX(Data!451:451,1,$P$1+1)-INDEX(Data!1282:1282,1,$P$1+1))</f>
        <v>119643068</v>
      </c>
      <c r="G116" s="91">
        <f>(INDEX(Data!160:160,1,$P$1-8)+INDEX(Data!451:451,1,$P$1-8)-INDEX(Data!1439:1439,1,$P$1-8))+(INDEX(Data!160:160,1,$P$1-7)+INDEX(Data!451:451,1,$P$1-7)-INDEX(Data!1439:1439,1,$P$1-7))</f>
        <v>62048515</v>
      </c>
      <c r="H116" s="87">
        <f>(INDEX(Data!160:160,1,$P$1-6)+INDEX(Data!451:451,1,$P$1-6)-INDEX(Data!1439:1439,1,$P$1-6))+(INDEX(Data!160:160,1,$P$1-5)+INDEX(Data!451:451,1,$P$1-5)-INDEX(Data!1439:1439,1,$P$1-5))</f>
        <v>73253283</v>
      </c>
      <c r="I116" s="404">
        <f>(INDEX(Data!160:160,1,$P$1-4)+INDEX(Data!451:451,1,$P$1-4)-INDEX(Data!1439:1439,1,$P$1-4))+(INDEX(Data!160:160,1,$P$1-3)+INDEX(Data!451:451,1,$P$1-3)-INDEX(Data!1439:1439,1,$P$1-3))</f>
        <v>85035936</v>
      </c>
      <c r="J116" s="90">
        <f>(INDEX(Data!160:160,1,$P$1-2)+INDEX(Data!451:451,1,$P$1-2)-INDEX(Data!1439:1439,1,$P$1-2))+(INDEX(Data!160:160,1,$P$1-1)+INDEX(Data!451:451,1,$P$1-1)-INDEX(Data!1439:1439,1,$P$1-1))</f>
        <v>86545077</v>
      </c>
      <c r="K116" s="88">
        <f>(INDEX(Data!160:160,1,$P$1)+INDEX(Data!451:451,1,$P$1)-INDEX(Data!1439:1439,1,$P$1))+(INDEX(Data!160:160,1,$P$1+1)+INDEX(Data!451:451,1,$P$1+1)-INDEX(Data!1439:1439,1,$P$1+1))</f>
        <v>88011717</v>
      </c>
    </row>
    <row r="117" spans="1:11" hidden="1" outlineLevel="1">
      <c r="A117" s="678" t="s">
        <v>1213</v>
      </c>
      <c r="B117" s="86">
        <f>(INDEX(Data!62:62,1,$P$1-8)+INDEX(Data!450:450,1,$P$1-8)-INDEX(Data!1283:1283,1,$P$1-8))+(INDEX(Data!62:62,1,$P$1-7)+INDEX(Data!450:450,1,$P$1-7)-INDEX(Data!1283:1283,1,$P$1-7))</f>
        <v>38405636</v>
      </c>
      <c r="C117" s="87">
        <f>(INDEX(Data!62:62,1,$P$1-6)+INDEX(Data!450:450,1,$P$1-6)-INDEX(Data!1283:1283,1,$P$1-6))+(INDEX(Data!62:62,1,$P$1-5)+INDEX(Data!450:450,1,$P$1-5)-INDEX(Data!1283:1283,1,$P$1-5))</f>
        <v>47384335</v>
      </c>
      <c r="D117" s="404">
        <f>(INDEX(Data!62:62,1,$P$1-4)+INDEX(Data!450:450,1,$P$1-4)-INDEX(Data!1283:1283,1,$P$1-4))+(INDEX(Data!62:62,1,$P$1-3)+INDEX(Data!450:450,1,$P$1-3)-INDEX(Data!1283:1283,1,$P$1-3))</f>
        <v>62288439</v>
      </c>
      <c r="E117" s="90">
        <f>(INDEX(Data!62:62,1,$P$1-2)+INDEX(Data!450:450,1,$P$1-2)-INDEX(Data!1283:1283,1,$P$1-2))+(INDEX(Data!62:62,1,$P$1-1)+INDEX(Data!450:450,1,$P$1-1)-INDEX(Data!1283:1283,1,$P$1-1))</f>
        <v>72226347</v>
      </c>
      <c r="F117" s="88">
        <f>(INDEX(Data!62:62,1,$P$1)+INDEX(Data!450:450,1,$P$1)-INDEX(Data!1283:1283,1,$P$1))+(INDEX(Data!62:62,1,$P$1+1)+INDEX(Data!450:450,1,$P$1+1)-INDEX(Data!1283:1283,1,$P$1+1))</f>
        <v>81557108</v>
      </c>
      <c r="G117" s="91">
        <f>(INDEX(Data!161:161,1,$P$1-8)+INDEX(Data!450:450,1,$P$1-8)-INDEX(Data!1440:1440,1,$P$1-8))+(INDEX(Data!161:161,1,$P$1-7)+INDEX(Data!450:450,1,$P$1-7)-INDEX(Data!1440:1440,1,$P$1-7))</f>
        <v>30567870</v>
      </c>
      <c r="H117" s="87">
        <f>(INDEX(Data!161:161,1,$P$1-6)+INDEX(Data!450:450,1,$P$1-6)-INDEX(Data!1440:1440,1,$P$1-6))+(INDEX(Data!161:161,1,$P$1-5)+INDEX(Data!450:450,1,$P$1-5)-INDEX(Data!1440:1440,1,$P$1-5))</f>
        <v>37728555</v>
      </c>
      <c r="I117" s="404">
        <f>(INDEX(Data!161:161,1,$P$1-4)+INDEX(Data!450:450,1,$P$1-4)-INDEX(Data!1440:1440,1,$P$1-4))+(INDEX(Data!161:161,1,$P$1-3)+INDEX(Data!450:450,1,$P$1-3)-INDEX(Data!1440:1440,1,$P$1-3))</f>
        <v>53062640</v>
      </c>
      <c r="J117" s="90">
        <f>(INDEX(Data!161:161,1,$P$1-2)+INDEX(Data!450:450,1,$P$1-2)-INDEX(Data!1440:1440,1,$P$1-2))+(INDEX(Data!161:161,1,$P$1-1)+INDEX(Data!450:450,1,$P$1-1)-INDEX(Data!1440:1440,1,$P$1-1))</f>
        <v>59494210</v>
      </c>
      <c r="K117" s="88">
        <f>(INDEX(Data!161:161,1,$P$1)+INDEX(Data!450:450,1,$P$1)-INDEX(Data!1440:1440,1,$P$1))+(INDEX(Data!161:161,1,$P$1+1)+INDEX(Data!450:450,1,$P$1+1)-INDEX(Data!1440:1440,1,$P$1+1))</f>
        <v>66997701</v>
      </c>
    </row>
    <row r="118" spans="1:11" hidden="1" outlineLevel="1">
      <c r="A118" s="50" t="s">
        <v>861</v>
      </c>
      <c r="B118" s="86">
        <f>(INDEX(Data!63:63,1,$P$1-8)+INDEX(Data!452:452,1,$P$1-8)-INDEX(Data!1284:1284,1,$P$1-8))+(INDEX(Data!63:63,1,$P$1-7)+INDEX(Data!452:452,1,$P$1-7)-INDEX(Data!1284:1284,1,$P$1-7))</f>
        <v>78078013</v>
      </c>
      <c r="C118" s="87">
        <f>(INDEX(Data!63:63,1,$P$1-6)+INDEX(Data!452:452,1,$P$1-6)-INDEX(Data!1284:1284,1,$P$1-6))+(INDEX(Data!63:63,1,$P$1-5)+INDEX(Data!452:452,1,$P$1-5)-INDEX(Data!1284:1284,1,$P$1-5))</f>
        <v>79979610</v>
      </c>
      <c r="D118" s="404">
        <f>(INDEX(Data!63:63,1,$P$1-4)+INDEX(Data!452:452,1,$P$1-4)-INDEX(Data!1284:1284,1,$P$1-4))+(INDEX(Data!63:63,1,$P$1-3)+INDEX(Data!452:452,1,$P$1-3)-INDEX(Data!1284:1284,1,$P$1-3))</f>
        <v>84738369</v>
      </c>
      <c r="E118" s="90">
        <f>(INDEX(Data!63:63,1,$P$1-2)+INDEX(Data!452:452,1,$P$1-2)-INDEX(Data!1284:1284,1,$P$1-2))+(INDEX(Data!63:63,1,$P$1-1)+INDEX(Data!452:452,1,$P$1-1)-INDEX(Data!1284:1284,1,$P$1-1))</f>
        <v>86988081</v>
      </c>
      <c r="F118" s="88">
        <f>(INDEX(Data!63:63,1,$P$1)+INDEX(Data!452:452,1,$P$1)-INDEX(Data!1284:1284,1,$P$1))+(INDEX(Data!63:63,1,$P$1+1)+INDEX(Data!452:452,1,$P$1+1)-INDEX(Data!1284:1284,1,$P$1+1))</f>
        <v>89917897</v>
      </c>
      <c r="G118" s="91">
        <f>(INDEX(Data!162:162,1,$P$1-8)+INDEX(Data!452:452,1,$P$1-8)-INDEX(Data!1441:1441,1,$P$1-8))+(INDEX(Data!162:162,1,$P$1-7)+INDEX(Data!452:452,1,$P$1-7)-INDEX(Data!1441:1441,1,$P$1-7))</f>
        <v>62271210</v>
      </c>
      <c r="H118" s="87">
        <f>(INDEX(Data!162:162,1,$P$1-6)+INDEX(Data!452:452,1,$P$1-6)-INDEX(Data!1441:1441,1,$P$1-6))+(INDEX(Data!162:162,1,$P$1-5)+INDEX(Data!452:452,1,$P$1-5)-INDEX(Data!1441:1441,1,$P$1-5))</f>
        <v>63258440</v>
      </c>
      <c r="I118" s="404">
        <f>(INDEX(Data!162:162,1,$P$1-4)+INDEX(Data!452:452,1,$P$1-4)-INDEX(Data!1441:1441,1,$P$1-4))+(INDEX(Data!162:162,1,$P$1-3)+INDEX(Data!452:452,1,$P$1-3)-INDEX(Data!1441:1441,1,$P$1-3))</f>
        <v>68096136</v>
      </c>
      <c r="J118" s="90">
        <f>(INDEX(Data!162:162,1,$P$1-2)+INDEX(Data!452:452,1,$P$1-2)-INDEX(Data!1441:1441,1,$P$1-2))+(INDEX(Data!162:162,1,$P$1-1)+INDEX(Data!452:452,1,$P$1-1)-INDEX(Data!1441:1441,1,$P$1-1))</f>
        <v>68411646</v>
      </c>
      <c r="K118" s="88">
        <f>(INDEX(Data!162:162,1,$P$1)+INDEX(Data!452:452,1,$P$1)-INDEX(Data!1441:1441,1,$P$1))+(INDEX(Data!162:162,1,$P$1+1)+INDEX(Data!452:452,1,$P$1+1)-INDEX(Data!1441:1441,1,$P$1+1))</f>
        <v>69858362</v>
      </c>
    </row>
    <row r="119" spans="1:11" hidden="1" outlineLevel="1">
      <c r="A119" s="50" t="s">
        <v>871</v>
      </c>
      <c r="B119" s="86">
        <f>(INDEX(Data!64:64,1,$P$1-8)+INDEX(Data!453:453,1,$P$1-8)-INDEX(Data!1285:1285,1,$P$1-8))+(INDEX(Data!64:64,1,$P$1-7)+INDEX(Data!453:453,1,$P$1-7)-INDEX(Data!1285:1285,1,$P$1-7))</f>
        <v>80782912</v>
      </c>
      <c r="C119" s="87">
        <f>(INDEX(Data!64:64,1,$P$1-6)+INDEX(Data!453:453,1,$P$1-6)-INDEX(Data!1285:1285,1,$P$1-6))+(INDEX(Data!64:64,1,$P$1-5)+INDEX(Data!453:453,1,$P$1-5)-INDEX(Data!1285:1285,1,$P$1-5))</f>
        <v>86644496</v>
      </c>
      <c r="D119" s="404">
        <f>(INDEX(Data!64:64,1,$P$1-4)+INDEX(Data!453:453,1,$P$1-4)-INDEX(Data!1285:1285,1,$P$1-4))+(INDEX(Data!64:64,1,$P$1-3)+INDEX(Data!453:453,1,$P$1-3)-INDEX(Data!1285:1285,1,$P$1-3))</f>
        <v>97024892</v>
      </c>
      <c r="E119" s="90">
        <f>(INDEX(Data!64:64,1,$P$1-2)+INDEX(Data!453:453,1,$P$1-2)-INDEX(Data!1285:1285,1,$P$1-2))+(INDEX(Data!64:64,1,$P$1-1)+INDEX(Data!453:453,1,$P$1-1)-INDEX(Data!1285:1285,1,$P$1-1))</f>
        <v>101932151</v>
      </c>
      <c r="F119" s="88">
        <f>(INDEX(Data!64:64,1,$P$1)+INDEX(Data!453:453,1,$P$1)-INDEX(Data!1285:1285,1,$P$1))+(INDEX(Data!64:64,1,$P$1+1)+INDEX(Data!453:453,1,$P$1+1)-INDEX(Data!1285:1285,1,$P$1+1))</f>
        <v>106929953</v>
      </c>
      <c r="G119" s="91">
        <f>(INDEX(Data!163:163,1,$P$1-8)+INDEX(Data!453:453,1,$P$1-8)-INDEX(Data!1442:1442,1,$P$1-8))+(INDEX(Data!163:163,1,$P$1-7)+INDEX(Data!453:453,1,$P$1-7)-INDEX(Data!1442:1442,1,$P$1-7))</f>
        <v>61218049</v>
      </c>
      <c r="H119" s="87">
        <f>(INDEX(Data!163:163,1,$P$1-6)+INDEX(Data!453:453,1,$P$1-6)-INDEX(Data!1442:1442,1,$P$1-6))+(INDEX(Data!163:163,1,$P$1-5)+INDEX(Data!453:453,1,$P$1-5)-INDEX(Data!1442:1442,1,$P$1-5))</f>
        <v>61851422</v>
      </c>
      <c r="I119" s="404">
        <f>(INDEX(Data!163:163,1,$P$1-4)+INDEX(Data!453:453,1,$P$1-4)-INDEX(Data!1442:1442,1,$P$1-4))+(INDEX(Data!163:163,1,$P$1-3)+INDEX(Data!453:453,1,$P$1-3)-INDEX(Data!1442:1442,1,$P$1-3))</f>
        <v>71575082</v>
      </c>
      <c r="J119" s="90">
        <f>(INDEX(Data!163:163,1,$P$1-2)+INDEX(Data!453:453,1,$P$1-2)-INDEX(Data!1442:1442,1,$P$1-2))+(INDEX(Data!163:163,1,$P$1-1)+INDEX(Data!453:453,1,$P$1-1)-INDEX(Data!1442:1442,1,$P$1-1))</f>
        <v>75873829</v>
      </c>
      <c r="K119" s="88">
        <f>(INDEX(Data!163:163,1,$P$1)+INDEX(Data!453:453,1,$P$1)-INDEX(Data!1442:1442,1,$P$1))+(INDEX(Data!163:163,1,$P$1+1)+INDEX(Data!453:453,1,$P$1+1)-INDEX(Data!1442:1442,1,$P$1+1))</f>
        <v>79750349</v>
      </c>
    </row>
    <row r="120" spans="1:11" hidden="1" outlineLevel="1">
      <c r="A120" s="678" t="s">
        <v>1361</v>
      </c>
      <c r="B120" s="86">
        <f>(INDEX(Data!65:65,1,$P$1-8)+INDEX(Data!454:454,1,$P$1-8)-INDEX(Data!1286:1286,1,$P$1-8))+(INDEX(Data!65:65,1,$P$1-7)+INDEX(Data!454:454,1,$P$1-7)-INDEX(Data!1286:1286,1,$P$1-7))</f>
        <v>98525478</v>
      </c>
      <c r="C120" s="87">
        <f>(INDEX(Data!65:65,1,$P$1-6)+INDEX(Data!454:454,1,$P$1-6)-INDEX(Data!1286:1286,1,$P$1-6))+(INDEX(Data!65:65,1,$P$1-5)+INDEX(Data!454:454,1,$P$1-5)-INDEX(Data!1286:1286,1,$P$1-5))</f>
        <v>116292409</v>
      </c>
      <c r="D120" s="404">
        <f>(INDEX(Data!65:65,1,$P$1-4)+INDEX(Data!454:454,1,$P$1-4)-INDEX(Data!1286:1286,1,$P$1-4))+(INDEX(Data!65:65,1,$P$1-3)+INDEX(Data!454:454,1,$P$1-3)-INDEX(Data!1286:1286,1,$P$1-3))</f>
        <v>123585219</v>
      </c>
      <c r="E120" s="90">
        <f>(INDEX(Data!65:65,1,$P$1-2)+INDEX(Data!454:454,1,$P$1-2)-INDEX(Data!1286:1286,1,$P$1-2))+(INDEX(Data!65:65,1,$P$1-1)+INDEX(Data!454:454,1,$P$1-1)-INDEX(Data!1286:1286,1,$P$1-1))</f>
        <v>134534096</v>
      </c>
      <c r="F120" s="88">
        <f>(INDEX(Data!65:65,1,$P$1)+INDEX(Data!454:454,1,$P$1)-INDEX(Data!1286:1286,1,$P$1))+(INDEX(Data!65:65,1,$P$1+1)+INDEX(Data!454:454,1,$P$1+1)-INDEX(Data!1286:1286,1,$P$1+1))</f>
        <v>129387493</v>
      </c>
      <c r="G120" s="91">
        <f>(INDEX(Data!164:164,1,$P$1-8)+INDEX(Data!454:454,1,$P$1-8)-INDEX(Data!1443:1443,1,$P$1-8))+(INDEX(Data!164:164,1,$P$1-7)+INDEX(Data!454:454,1,$P$1-7)-INDEX(Data!1443:1443,1,$P$1-7))</f>
        <v>75186076</v>
      </c>
      <c r="H120" s="87">
        <f>(INDEX(Data!164:164,1,$P$1-6)+INDEX(Data!454:454,1,$P$1-6)-INDEX(Data!1443:1443,1,$P$1-6))+(INDEX(Data!164:164,1,$P$1-5)+INDEX(Data!454:454,1,$P$1-5)-INDEX(Data!1443:1443,1,$P$1-5))</f>
        <v>82042304</v>
      </c>
      <c r="I120" s="404">
        <f>(INDEX(Data!164:164,1,$P$1-4)+INDEX(Data!454:454,1,$P$1-4)-INDEX(Data!1443:1443,1,$P$1-4))+(INDEX(Data!164:164,1,$P$1-3)+INDEX(Data!454:454,1,$P$1-3)-INDEX(Data!1443:1443,1,$P$1-3))</f>
        <v>89525052</v>
      </c>
      <c r="J120" s="90">
        <f>(INDEX(Data!164:164,1,$P$1-2)+INDEX(Data!454:454,1,$P$1-2)-INDEX(Data!1443:1443,1,$P$1-2))+(INDEX(Data!164:164,1,$P$1-1)+INDEX(Data!454:454,1,$P$1-1)-INDEX(Data!1443:1443,1,$P$1-1))</f>
        <v>95414531</v>
      </c>
      <c r="K120" s="88">
        <f>(INDEX(Data!164:164,1,$P$1)+INDEX(Data!454:454,1,$P$1)-INDEX(Data!1443:1443,1,$P$1))+(INDEX(Data!164:164,1,$P$1+1)+INDEX(Data!454:454,1,$P$1+1)-INDEX(Data!1443:1443,1,$P$1+1))</f>
        <v>97492914</v>
      </c>
    </row>
    <row r="121" spans="1:11" hidden="1" outlineLevel="1">
      <c r="A121" s="50" t="s">
        <v>1425</v>
      </c>
      <c r="B121" s="86">
        <f>(INDEX(Data!66:66,1,$P$1-8)+INDEX(Data!455:455,1,$P$1-8)-INDEX(Data!1287:1287,1,$P$1-8))+(INDEX(Data!66:66,1,$P$1-7)+INDEX(Data!455:455,1,$P$1-7)-INDEX(Data!1287:1287,1,$P$1-7))</f>
        <v>36926800</v>
      </c>
      <c r="C121" s="87">
        <f>(INDEX(Data!66:66,1,$P$1-6)+INDEX(Data!455:455,1,$P$1-6)-INDEX(Data!1287:1287,1,$P$1-6))+(INDEX(Data!66:66,1,$P$1-5)+INDEX(Data!455:455,1,$P$1-5)-INDEX(Data!1287:1287,1,$P$1-5))</f>
        <v>39151521</v>
      </c>
      <c r="D121" s="404">
        <f>(INDEX(Data!66:66,1,$P$1-4)+INDEX(Data!455:455,1,$P$1-4)-INDEX(Data!1287:1287,1,$P$1-4))+(INDEX(Data!66:66,1,$P$1-3)+INDEX(Data!455:455,1,$P$1-3)-INDEX(Data!1287:1287,1,$P$1-3))</f>
        <v>44176446</v>
      </c>
      <c r="E121" s="90">
        <f>(INDEX(Data!66:66,1,$P$1-2)+INDEX(Data!455:455,1,$P$1-2)-INDEX(Data!1287:1287,1,$P$1-2))+(INDEX(Data!66:66,1,$P$1-1)+INDEX(Data!455:455,1,$P$1-1)-INDEX(Data!1287:1287,1,$P$1-1))</f>
        <v>48445315</v>
      </c>
      <c r="F121" s="88">
        <f>(INDEX(Data!66:66,1,$P$1)+INDEX(Data!455:455,1,$P$1)-INDEX(Data!1287:1287,1,$P$1))+(INDEX(Data!66:66,1,$P$1+1)+INDEX(Data!455:455,1,$P$1+1)-INDEX(Data!1287:1287,1,$P$1+1))</f>
        <v>53465963</v>
      </c>
      <c r="G121" s="91">
        <f>(INDEX(Data!165:165,1,$P$1-8)+INDEX(Data!455:455,1,$P$1-8)-INDEX(Data!1444:1444,1,$P$1-8))+(INDEX(Data!165:165,1,$P$1-7)+INDEX(Data!455:455,1,$P$1-7)-INDEX(Data!1444:1444,1,$P$1-7))</f>
        <v>32542487</v>
      </c>
      <c r="H121" s="87">
        <f>(INDEX(Data!165:165,1,$P$1-6)+INDEX(Data!455:455,1,$P$1-6)-INDEX(Data!1444:1444,1,$P$1-6))+(INDEX(Data!165:165,1,$P$1-5)+INDEX(Data!455:455,1,$P$1-5)-INDEX(Data!1444:1444,1,$P$1-5))</f>
        <v>35026641</v>
      </c>
      <c r="I121" s="404">
        <f>(INDEX(Data!165:165,1,$P$1-4)+INDEX(Data!455:455,1,$P$1-4)-INDEX(Data!1444:1444,1,$P$1-4))+(INDEX(Data!165:165,1,$P$1-3)+INDEX(Data!455:455,1,$P$1-3)-INDEX(Data!1444:1444,1,$P$1-3))</f>
        <v>39457315</v>
      </c>
      <c r="J121" s="90">
        <f>(INDEX(Data!165:165,1,$P$1-2)+INDEX(Data!455:455,1,$P$1-2)-INDEX(Data!1444:1444,1,$P$1-2))+(INDEX(Data!165:165,1,$P$1-1)+INDEX(Data!455:455,1,$P$1-1)-INDEX(Data!1444:1444,1,$P$1-1))</f>
        <v>43260855</v>
      </c>
      <c r="K121" s="88">
        <f>(INDEX(Data!165:165,1,$P$1)+INDEX(Data!455:455,1,$P$1)-INDEX(Data!1444:1444,1,$P$1))+(INDEX(Data!165:165,1,$P$1+1)+INDEX(Data!455:455,1,$P$1+1)-INDEX(Data!1444:1444,1,$P$1+1))</f>
        <v>48737025</v>
      </c>
    </row>
    <row r="122" spans="1:11" hidden="1" outlineLevel="1">
      <c r="A122" s="50" t="s">
        <v>726</v>
      </c>
      <c r="B122" s="86">
        <f>(INDEX(Data!68:68,1,$P$1-8)+INDEX(Data!465:465,1,$P$1-8)-INDEX(Data!1289:1289,1,$P$1-8))+(INDEX(Data!68:68,1,$P$1-7)+INDEX(Data!465:465,1,$P$1-7)-INDEX(Data!1289:1289,1,$P$1-7))</f>
        <v>424045197</v>
      </c>
      <c r="C122" s="87">
        <f>(INDEX(Data!68:68,1,$P$1-6)+INDEX(Data!465:465,1,$P$1-6)-INDEX(Data!1289:1289,1,$P$1-6))+(INDEX(Data!68:68,1,$P$1-5)+INDEX(Data!465:465,1,$P$1-5)-INDEX(Data!1289:1289,1,$P$1-5))</f>
        <v>488226948</v>
      </c>
      <c r="D122" s="404">
        <f>(INDEX(Data!68:68,1,$P$1-4)+INDEX(Data!465:465,1,$P$1-4)-INDEX(Data!1289:1289,1,$P$1-4))+(INDEX(Data!68:68,1,$P$1-3)+INDEX(Data!465:465,1,$P$1-3)-INDEX(Data!1289:1289,1,$P$1-3))</f>
        <v>504673549</v>
      </c>
      <c r="E122" s="90">
        <f>(INDEX(Data!68:68,1,$P$1-2)+INDEX(Data!465:465,1,$P$1-2)-INDEX(Data!1289:1289,1,$P$1-2))+(INDEX(Data!68:68,1,$P$1-1)+INDEX(Data!465:465,1,$P$1-1)-INDEX(Data!1289:1289,1,$P$1-1))</f>
        <v>519183204</v>
      </c>
      <c r="F122" s="88">
        <f>(INDEX(Data!68:68,1,$P$1)+INDEX(Data!465:465,1,$P$1)-INDEX(Data!1289:1289,1,$P$1))+(INDEX(Data!68:68,1,$P$1+1)+INDEX(Data!465:465,1,$P$1+1)-INDEX(Data!1289:1289,1,$P$1+1))</f>
        <v>597657923</v>
      </c>
      <c r="G122" s="91">
        <f>(INDEX(Data!167:167,1,$P$1-8)+INDEX(Data!465:465,1,$P$1-8)-INDEX(Data!1446:1446,1,$P$1-8))+(INDEX(Data!167:167,1,$P$1-7)+INDEX(Data!465:465,1,$P$1-7)-INDEX(Data!1446:1446,1,$P$1-7))</f>
        <v>286561468</v>
      </c>
      <c r="H122" s="87">
        <f>(INDEX(Data!167:167,1,$P$1-6)+INDEX(Data!465:465,1,$P$1-6)-INDEX(Data!1446:1446,1,$P$1-6))+(INDEX(Data!167:167,1,$P$1-5)+INDEX(Data!465:465,1,$P$1-5)-INDEX(Data!1446:1446,1,$P$1-5))</f>
        <v>338177099</v>
      </c>
      <c r="I122" s="404">
        <f>(INDEX(Data!167:167,1,$P$1-4)+INDEX(Data!465:465,1,$P$1-4)-INDEX(Data!1446:1446,1,$P$1-4))+(INDEX(Data!167:167,1,$P$1-3)+INDEX(Data!465:465,1,$P$1-3)-INDEX(Data!1446:1446,1,$P$1-3))</f>
        <v>347478196</v>
      </c>
      <c r="J122" s="90">
        <f>(INDEX(Data!167:167,1,$P$1-2)+INDEX(Data!465:465,1,$P$1-2)-INDEX(Data!1446:1446,1,$P$1-2))+(INDEX(Data!167:167,1,$P$1-1)+INDEX(Data!465:465,1,$P$1-1)-INDEX(Data!1446:1446,1,$P$1-1))</f>
        <v>352740932</v>
      </c>
      <c r="K122" s="88">
        <f>(INDEX(Data!167:167,1,$P$1)+INDEX(Data!465:465,1,$P$1)-INDEX(Data!1446:1446,1,$P$1))+(INDEX(Data!167:167,1,$P$1+1)+INDEX(Data!465:465,1,$P$1+1)-INDEX(Data!1446:1446,1,$P$1+1))</f>
        <v>432238250</v>
      </c>
    </row>
    <row r="123" spans="1:11" hidden="1" outlineLevel="1">
      <c r="A123" s="50" t="s">
        <v>1363</v>
      </c>
      <c r="B123" s="86">
        <f>(INDEX(Data!69:69,1,$P$1-8)+INDEX(Data!466:466,1,$P$1-8)-INDEX(Data!1290:1290,1,$P$1-8))+(INDEX(Data!69:69,1,$P$1-7)+INDEX(Data!466:466,1,$P$1-7)-INDEX(Data!1290:1290,1,$P$1-7))</f>
        <v>77507804</v>
      </c>
      <c r="C123" s="87">
        <f>(INDEX(Data!69:69,1,$P$1-6)+INDEX(Data!466:466,1,$P$1-6)-INDEX(Data!1290:1290,1,$P$1-6))+(INDEX(Data!69:69,1,$P$1-5)+INDEX(Data!466:466,1,$P$1-5)-INDEX(Data!1290:1290,1,$P$1-5))</f>
        <v>86902316</v>
      </c>
      <c r="D123" s="404">
        <f>(INDEX(Data!69:69,1,$P$1-4)+INDEX(Data!466:466,1,$P$1-4)-INDEX(Data!1290:1290,1,$P$1-4))+(INDEX(Data!69:69,1,$P$1-3)+INDEX(Data!466:466,1,$P$1-3)-INDEX(Data!1290:1290,1,$P$1-3))</f>
        <v>97744788</v>
      </c>
      <c r="E123" s="90">
        <f>(INDEX(Data!69:69,1,$P$1-2)+INDEX(Data!466:466,1,$P$1-2)-INDEX(Data!1290:1290,1,$P$1-2))+(INDEX(Data!69:69,1,$P$1-1)+INDEX(Data!466:466,1,$P$1-1)-INDEX(Data!1290:1290,1,$P$1-1))</f>
        <v>94463432</v>
      </c>
      <c r="F123" s="88">
        <f>(INDEX(Data!69:69,1,$P$1)+INDEX(Data!466:466,1,$P$1)-INDEX(Data!1290:1290,1,$P$1))+(INDEX(Data!69:69,1,$P$1+1)+INDEX(Data!466:466,1,$P$1+1)-INDEX(Data!1290:1290,1,$P$1+1))</f>
        <v>93793811</v>
      </c>
      <c r="G123" s="91">
        <f>(INDEX(Data!168:168,1,$P$1-8)+INDEX(Data!466:466,1,$P$1-8)-INDEX(Data!1447:1447,1,$P$1-8))+(INDEX(Data!168:168,1,$P$1-7)+INDEX(Data!466:466,1,$P$1-7)-INDEX(Data!1447:1447,1,$P$1-7))</f>
        <v>52112221</v>
      </c>
      <c r="H123" s="87">
        <f>(INDEX(Data!168:168,1,$P$1-6)+INDEX(Data!466:466,1,$P$1-6)-INDEX(Data!1447:1447,1,$P$1-6))+(INDEX(Data!168:168,1,$P$1-5)+INDEX(Data!466:466,1,$P$1-5)-INDEX(Data!1447:1447,1,$P$1-5))</f>
        <v>61125772</v>
      </c>
      <c r="I123" s="404">
        <f>(INDEX(Data!168:168,1,$P$1-4)+INDEX(Data!466:466,1,$P$1-4)-INDEX(Data!1447:1447,1,$P$1-4))+(INDEX(Data!168:168,1,$P$1-3)+INDEX(Data!466:466,1,$P$1-3)-INDEX(Data!1447:1447,1,$P$1-3))</f>
        <v>65629489</v>
      </c>
      <c r="J123" s="90">
        <f>(INDEX(Data!168:168,1,$P$1-2)+INDEX(Data!466:466,1,$P$1-2)-INDEX(Data!1447:1447,1,$P$1-2))+(INDEX(Data!168:168,1,$P$1-1)+INDEX(Data!466:466,1,$P$1-1)-INDEX(Data!1447:1447,1,$P$1-1))</f>
        <v>59703758</v>
      </c>
      <c r="K123" s="88">
        <f>(INDEX(Data!168:168,1,$P$1)+INDEX(Data!466:466,1,$P$1)-INDEX(Data!1447:1447,1,$P$1))+(INDEX(Data!168:168,1,$P$1+1)+INDEX(Data!466:466,1,$P$1+1)-INDEX(Data!1447:1447,1,$P$1+1))</f>
        <v>65970289</v>
      </c>
    </row>
    <row r="124" spans="1:11" hidden="1" outlineLevel="1">
      <c r="A124" s="50" t="s">
        <v>1364</v>
      </c>
      <c r="B124" s="86">
        <f>(INDEX(Data!70:70,1,$P$1-8)+INDEX(Data!467:467,1,$P$1-8)-INDEX(Data!1291:1291,1,$P$1-8))+(INDEX(Data!70:70,1,$P$1-7)+INDEX(Data!467:467,1,$P$1-7)-INDEX(Data!1291:1291,1,$P$1-7))</f>
        <v>72391924</v>
      </c>
      <c r="C124" s="87">
        <f>(INDEX(Data!70:70,1,$P$1-6)+INDEX(Data!467:467,1,$P$1-6)-INDEX(Data!1291:1291,1,$P$1-6))+(INDEX(Data!70:70,1,$P$1-5)+INDEX(Data!467:467,1,$P$1-5)-INDEX(Data!1291:1291,1,$P$1-5))</f>
        <v>94879976</v>
      </c>
      <c r="D124" s="404">
        <f>(INDEX(Data!70:70,1,$P$1-4)+INDEX(Data!467:467,1,$P$1-4)-INDEX(Data!1291:1291,1,$P$1-4))+(INDEX(Data!70:70,1,$P$1-3)+INDEX(Data!467:467,1,$P$1-3)-INDEX(Data!1291:1291,1,$P$1-3))</f>
        <v>88725507</v>
      </c>
      <c r="E124" s="90">
        <f>(INDEX(Data!70:70,1,$P$1-2)+INDEX(Data!467:467,1,$P$1-2)-INDEX(Data!1291:1291,1,$P$1-2))+(INDEX(Data!70:70,1,$P$1-1)+INDEX(Data!467:467,1,$P$1-1)-INDEX(Data!1291:1291,1,$P$1-1))</f>
        <v>90485517</v>
      </c>
      <c r="F124" s="88">
        <f>(INDEX(Data!70:70,1,$P$1)+INDEX(Data!467:467,1,$P$1)-INDEX(Data!1291:1291,1,$P$1))+(INDEX(Data!70:70,1,$P$1+1)+INDEX(Data!467:467,1,$P$1+1)-INDEX(Data!1291:1291,1,$P$1+1))</f>
        <v>92830131</v>
      </c>
      <c r="G124" s="91">
        <f>(INDEX(Data!169:169,1,$P$1-8)+INDEX(Data!467:467,1,$P$1-8)-INDEX(Data!1448:1448,1,$P$1-8))+(INDEX(Data!169:169,1,$P$1-7)+INDEX(Data!467:467,1,$P$1-7)-INDEX(Data!1448:1448,1,$P$1-7))</f>
        <v>44438497</v>
      </c>
      <c r="H124" s="87">
        <f>(INDEX(Data!169:169,1,$P$1-6)+INDEX(Data!467:467,1,$P$1-6)-INDEX(Data!1448:1448,1,$P$1-6))+(INDEX(Data!169:169,1,$P$1-5)+INDEX(Data!467:467,1,$P$1-5)-INDEX(Data!1448:1448,1,$P$1-5))</f>
        <v>60946260</v>
      </c>
      <c r="I124" s="404">
        <f>(INDEX(Data!169:169,1,$P$1-4)+INDEX(Data!467:467,1,$P$1-4)-INDEX(Data!1448:1448,1,$P$1-4))+(INDEX(Data!169:169,1,$P$1-3)+INDEX(Data!467:467,1,$P$1-3)-INDEX(Data!1448:1448,1,$P$1-3))</f>
        <v>54267007</v>
      </c>
      <c r="J124" s="90">
        <f>(INDEX(Data!169:169,1,$P$1-2)+INDEX(Data!467:467,1,$P$1-2)-INDEX(Data!1448:1448,1,$P$1-2))+(INDEX(Data!169:169,1,$P$1-1)+INDEX(Data!467:467,1,$P$1-1)-INDEX(Data!1448:1448,1,$P$1-1))</f>
        <v>55777914</v>
      </c>
      <c r="K124" s="88">
        <f>(INDEX(Data!169:169,1,$P$1)+INDEX(Data!467:467,1,$P$1)-INDEX(Data!1448:1448,1,$P$1))+(INDEX(Data!169:169,1,$P$1+1)+INDEX(Data!467:467,1,$P$1+1)-INDEX(Data!1448:1448,1,$P$1+1))</f>
        <v>57943228</v>
      </c>
    </row>
    <row r="125" spans="1:11" hidden="1" outlineLevel="1">
      <c r="A125" s="50" t="s">
        <v>1365</v>
      </c>
      <c r="B125" s="86">
        <f>(INDEX(Data!71:71,1,$P$1-8)+INDEX(Data!468:468,1,$P$1-8)-INDEX(Data!1292:1292,1,$P$1-8))+(INDEX(Data!71:71,1,$P$1-7)+INDEX(Data!468:468,1,$P$1-7)-INDEX(Data!1292:1292,1,$P$1-7))</f>
        <v>42380907</v>
      </c>
      <c r="C125" s="87">
        <f>(INDEX(Data!71:71,1,$P$1-6)+INDEX(Data!468:468,1,$P$1-6)-INDEX(Data!1292:1292,1,$P$1-6))+(INDEX(Data!71:71,1,$P$1-5)+INDEX(Data!468:468,1,$P$1-5)-INDEX(Data!1292:1292,1,$P$1-5))</f>
        <v>52696253</v>
      </c>
      <c r="D125" s="404">
        <f>(INDEX(Data!71:71,1,$P$1-4)+INDEX(Data!468:468,1,$P$1-4)-INDEX(Data!1292:1292,1,$P$1-4))+(INDEX(Data!71:71,1,$P$1-3)+INDEX(Data!468:468,1,$P$1-3)-INDEX(Data!1292:1292,1,$P$1-3))</f>
        <v>47030201</v>
      </c>
      <c r="E125" s="90">
        <f>(INDEX(Data!71:71,1,$P$1-2)+INDEX(Data!468:468,1,$P$1-2)-INDEX(Data!1292:1292,1,$P$1-2))+(INDEX(Data!71:71,1,$P$1-1)+INDEX(Data!468:468,1,$P$1-1)-INDEX(Data!1292:1292,1,$P$1-1))</f>
        <v>42136816</v>
      </c>
      <c r="F125" s="88">
        <f>(INDEX(Data!71:71,1,$P$1)+INDEX(Data!468:468,1,$P$1)-INDEX(Data!1292:1292,1,$P$1))+(INDEX(Data!71:71,1,$P$1+1)+INDEX(Data!468:468,1,$P$1+1)-INDEX(Data!1292:1292,1,$P$1+1))</f>
        <v>43634173</v>
      </c>
      <c r="G125" s="91">
        <f>(INDEX(Data!170:170,1,$P$1-8)+INDEX(Data!468:468,1,$P$1-8)-INDEX(Data!1449:1449,1,$P$1-8))+(INDEX(Data!170:170,1,$P$1-7)+INDEX(Data!468:468,1,$P$1-7)-INDEX(Data!1449:1449,1,$P$1-7))</f>
        <v>30245769</v>
      </c>
      <c r="H125" s="87">
        <f>(INDEX(Data!170:170,1,$P$1-6)+INDEX(Data!468:468,1,$P$1-6)-INDEX(Data!1449:1449,1,$P$1-6))+(INDEX(Data!170:170,1,$P$1-5)+INDEX(Data!468:468,1,$P$1-5)-INDEX(Data!1449:1449,1,$P$1-5))</f>
        <v>40909726</v>
      </c>
      <c r="I125" s="404">
        <f>(INDEX(Data!170:170,1,$P$1-4)+INDEX(Data!468:468,1,$P$1-4)-INDEX(Data!1449:1449,1,$P$1-4))+(INDEX(Data!170:170,1,$P$1-3)+INDEX(Data!468:468,1,$P$1-3)-INDEX(Data!1449:1449,1,$P$1-3))</f>
        <v>34942917</v>
      </c>
      <c r="J125" s="90">
        <f>(INDEX(Data!170:170,1,$P$1-2)+INDEX(Data!468:468,1,$P$1-2)-INDEX(Data!1449:1449,1,$P$1-2))+(INDEX(Data!170:170,1,$P$1-1)+INDEX(Data!468:468,1,$P$1-1)-INDEX(Data!1449:1449,1,$P$1-1))</f>
        <v>31756657</v>
      </c>
      <c r="K125" s="88">
        <f>(INDEX(Data!170:170,1,$P$1)+INDEX(Data!468:468,1,$P$1)-INDEX(Data!1449:1449,1,$P$1))+(INDEX(Data!170:170,1,$P$1+1)+INDEX(Data!468:468,1,$P$1+1)-INDEX(Data!1449:1449,1,$P$1+1))</f>
        <v>32918723</v>
      </c>
    </row>
    <row r="126" spans="1:11" hidden="1" outlineLevel="1">
      <c r="A126" s="50" t="s">
        <v>730</v>
      </c>
      <c r="B126" s="86">
        <f>(INDEX(Data!72:72,1,$P$1-8)+INDEX(Data!480:480,1,$P$1-8)-INDEX(Data!1293:1293,1,$P$1-8))+(INDEX(Data!72:72,1,$P$1-7)+INDEX(Data!480:480,1,$P$1-7)-INDEX(Data!1293:1293,1,$P$1-7))</f>
        <v>53808343</v>
      </c>
      <c r="C126" s="87">
        <f>(INDEX(Data!72:72,1,$P$1-6)+INDEX(Data!480:480,1,$P$1-6)-INDEX(Data!1293:1293,1,$P$1-6))+(INDEX(Data!72:72,1,$P$1-5)+INDEX(Data!480:480,1,$P$1-5)-INDEX(Data!1293:1293,1,$P$1-5))</f>
        <v>53680306</v>
      </c>
      <c r="D126" s="404">
        <f>(INDEX(Data!72:72,1,$P$1-4)+INDEX(Data!480:480,1,$P$1-4)-INDEX(Data!1293:1293,1,$P$1-4))+(INDEX(Data!72:72,1,$P$1-3)+INDEX(Data!480:480,1,$P$1-3)-INDEX(Data!1293:1293,1,$P$1-3))</f>
        <v>57874294</v>
      </c>
      <c r="E126" s="90">
        <f>(INDEX(Data!72:72,1,$P$1-2)+INDEX(Data!480:480,1,$P$1-2)-INDEX(Data!1293:1293,1,$P$1-2))+(INDEX(Data!72:72,1,$P$1-1)+INDEX(Data!480:480,1,$P$1-1)-INDEX(Data!1293:1293,1,$P$1-1))</f>
        <v>64992108</v>
      </c>
      <c r="F126" s="88">
        <f>(INDEX(Data!72:72,1,$P$1)+INDEX(Data!480:480,1,$P$1)-INDEX(Data!1293:1293,1,$P$1))+(INDEX(Data!72:72,1,$P$1+1)+INDEX(Data!480:480,1,$P$1+1)-INDEX(Data!1293:1293,1,$P$1+1))</f>
        <v>62177183</v>
      </c>
      <c r="G126" s="91">
        <f>(INDEX(Data!171:171,1,$P$1-8)+INDEX(Data!480:480,1,$P$1-8)-INDEX(Data!1450:1450,1,$P$1-8))+(INDEX(Data!171:171,1,$P$1-7)+INDEX(Data!480:480,1,$P$1-7)-INDEX(Data!1450:1450,1,$P$1-7))</f>
        <v>38361904</v>
      </c>
      <c r="H126" s="87">
        <f>(INDEX(Data!171:171,1,$P$1-6)+INDEX(Data!480:480,1,$P$1-6)-INDEX(Data!1450:1450,1,$P$1-6))+(INDEX(Data!171:171,1,$P$1-5)+INDEX(Data!480:480,1,$P$1-5)-INDEX(Data!1450:1450,1,$P$1-5))</f>
        <v>40124052</v>
      </c>
      <c r="I126" s="404">
        <f>(INDEX(Data!171:171,1,$P$1-4)+INDEX(Data!480:480,1,$P$1-4)-INDEX(Data!1450:1450,1,$P$1-4))+(INDEX(Data!171:171,1,$P$1-3)+INDEX(Data!480:480,1,$P$1-3)-INDEX(Data!1450:1450,1,$P$1-3))</f>
        <v>44136127</v>
      </c>
      <c r="J126" s="90">
        <f>(INDEX(Data!171:171,1,$P$1-2)+INDEX(Data!480:480,1,$P$1-2)-INDEX(Data!1450:1450,1,$P$1-2))+(INDEX(Data!171:171,1,$P$1-1)+INDEX(Data!480:480,1,$P$1-1)-INDEX(Data!1450:1450,1,$P$1-1))</f>
        <v>50516317</v>
      </c>
      <c r="K126" s="88">
        <f>(INDEX(Data!171:171,1,$P$1)+INDEX(Data!480:480,1,$P$1)-INDEX(Data!1450:1450,1,$P$1))+(INDEX(Data!171:171,1,$P$1+1)+INDEX(Data!480:480,1,$P$1+1)-INDEX(Data!1450:1450,1,$P$1+1))</f>
        <v>48654140</v>
      </c>
    </row>
    <row r="127" spans="1:11" hidden="1" outlineLevel="1">
      <c r="A127" s="50" t="s">
        <v>731</v>
      </c>
      <c r="B127" s="86">
        <f>(INDEX(Data!74:74,1,$P$1-8)+INDEX(Data!481:481,1,$P$1-8)-INDEX(Data!1295:1295,1,$P$1-8))+(INDEX(Data!74:74,1,$P$1-7)+INDEX(Data!481:481,1,$P$1-7)-INDEX(Data!1295:1295,1,$P$1-7))</f>
        <v>330528024</v>
      </c>
      <c r="C127" s="87">
        <f>(INDEX(Data!74:74,1,$P$1-6)+INDEX(Data!481:481,1,$P$1-6)-INDEX(Data!1295:1295,1,$P$1-6))+(INDEX(Data!74:74,1,$P$1-5)+INDEX(Data!481:481,1,$P$1-5)-INDEX(Data!1295:1295,1,$P$1-5))</f>
        <v>350284112</v>
      </c>
      <c r="D127" s="404">
        <f>(INDEX(Data!74:74,1,$P$1-4)+INDEX(Data!481:481,1,$P$1-4)-INDEX(Data!1295:1295,1,$P$1-4))+(INDEX(Data!74:74,1,$P$1-3)+INDEX(Data!481:481,1,$P$1-3)-INDEX(Data!1295:1295,1,$P$1-3))</f>
        <v>350994743</v>
      </c>
      <c r="E127" s="90">
        <f>(INDEX(Data!74:74,1,$P$1-2)+INDEX(Data!481:481,1,$P$1-2)-INDEX(Data!1295:1295,1,$P$1-2))+(INDEX(Data!74:74,1,$P$1-1)+INDEX(Data!481:481,1,$P$1-1)-INDEX(Data!1295:1295,1,$P$1-1))</f>
        <v>363085668</v>
      </c>
      <c r="F127" s="88">
        <f>(INDEX(Data!74:74,1,$P$1)+INDEX(Data!481:481,1,$P$1)-INDEX(Data!1295:1295,1,$P$1))+(INDEX(Data!74:74,1,$P$1+1)+INDEX(Data!481:481,1,$P$1+1)-INDEX(Data!1295:1295,1,$P$1+1))</f>
        <v>385419680</v>
      </c>
      <c r="G127" s="91">
        <f>(INDEX(Data!173:173,1,$P$1-8)+INDEX(Data!481:481,1,$P$1-8)-INDEX(Data!1452:1452,1,$P$1-8))+(INDEX(Data!173:173,1,$P$1-7)+INDEX(Data!481:481,1,$P$1-7)-INDEX(Data!1452:1452,1,$P$1-7))</f>
        <v>225446792</v>
      </c>
      <c r="H127" s="87">
        <f>(INDEX(Data!173:173,1,$P$1-6)+INDEX(Data!481:481,1,$P$1-6)-INDEX(Data!1452:1452,1,$P$1-6))+(INDEX(Data!173:173,1,$P$1-5)+INDEX(Data!481:481,1,$P$1-5)-INDEX(Data!1452:1452,1,$P$1-5))</f>
        <v>243597693</v>
      </c>
      <c r="I127" s="404">
        <f>(INDEX(Data!173:173,1,$P$1-4)+INDEX(Data!481:481,1,$P$1-4)-INDEX(Data!1452:1452,1,$P$1-4))+(INDEX(Data!173:173,1,$P$1-3)+INDEX(Data!481:481,1,$P$1-3)-INDEX(Data!1452:1452,1,$P$1-3))</f>
        <v>249994356</v>
      </c>
      <c r="J127" s="90">
        <f>(INDEX(Data!173:173,1,$P$1-2)+INDEX(Data!481:481,1,$P$1-2)-INDEX(Data!1452:1452,1,$P$1-2))+(INDEX(Data!173:173,1,$P$1-1)+INDEX(Data!481:481,1,$P$1-1)-INDEX(Data!1452:1452,1,$P$1-1))</f>
        <v>241232849</v>
      </c>
      <c r="K127" s="88">
        <f>(INDEX(Data!173:173,1,$P$1)+INDEX(Data!481:481,1,$P$1)-INDEX(Data!1452:1452,1,$P$1))+(INDEX(Data!173:173,1,$P$1+1)+INDEX(Data!481:481,1,$P$1+1)-INDEX(Data!1452:1452,1,$P$1+1))</f>
        <v>255630224</v>
      </c>
    </row>
    <row r="128" spans="1:11" hidden="1" outlineLevel="1">
      <c r="A128" s="678" t="s">
        <v>1453</v>
      </c>
      <c r="B128" s="86">
        <f>(INDEX(Data!75:75,1,$P$1-8)+INDEX(Data!482:482,1,$P$1-8)-INDEX(Data!1296:1296,1,$P$1-8))+(INDEX(Data!75:75,1,$P$1-7)+INDEX(Data!482:482,1,$P$1-7)-INDEX(Data!1296:1296,1,$P$1-7))</f>
        <v>31413443</v>
      </c>
      <c r="C128" s="87">
        <f>(INDEX(Data!75:75,1,$P$1-6)+INDEX(Data!482:482,1,$P$1-6)-INDEX(Data!1296:1296,1,$P$1-6))+(INDEX(Data!75:75,1,$P$1-5)+INDEX(Data!482:482,1,$P$1-5)-INDEX(Data!1296:1296,1,$P$1-5))</f>
        <v>33823859</v>
      </c>
      <c r="D128" s="404">
        <f>(INDEX(Data!75:75,1,$P$1-4)+INDEX(Data!482:482,1,$P$1-4)-INDEX(Data!1296:1296,1,$P$1-4))+(INDEX(Data!75:75,1,$P$1-3)+INDEX(Data!482:482,1,$P$1-3)-INDEX(Data!1296:1296,1,$P$1-3))</f>
        <v>35616991</v>
      </c>
      <c r="E128" s="90">
        <f>(INDEX(Data!75:75,1,$P$1-2)+INDEX(Data!482:482,1,$P$1-2)-INDEX(Data!1296:1296,1,$P$1-2))+(INDEX(Data!75:75,1,$P$1-1)+INDEX(Data!482:482,1,$P$1-1)-INDEX(Data!1296:1296,1,$P$1-1))</f>
        <v>59586721</v>
      </c>
      <c r="F128" s="88">
        <f>(INDEX(Data!75:75,1,$P$1)+INDEX(Data!482:482,1,$P$1)-INDEX(Data!1296:1296,1,$P$1))+(INDEX(Data!75:75,1,$P$1+1)+INDEX(Data!482:482,1,$P$1+1)-INDEX(Data!1296:1296,1,$P$1+1))</f>
        <v>65870951</v>
      </c>
      <c r="G128" s="91">
        <f>(INDEX(Data!174:174,1,$P$1-8)+INDEX(Data!482:482,1,$P$1-8)-INDEX(Data!1453:1453,1,$P$1-8))+(INDEX(Data!174:174,1,$P$1-7)+INDEX(Data!482:482,1,$P$1-7)-INDEX(Data!1453:1453,1,$P$1-7))</f>
        <v>29100457</v>
      </c>
      <c r="H128" s="87">
        <f>(INDEX(Data!174:174,1,$P$1-6)+INDEX(Data!482:482,1,$P$1-6)-INDEX(Data!1453:1453,1,$P$1-6))+(INDEX(Data!174:174,1,$P$1-5)+INDEX(Data!482:482,1,$P$1-5)-INDEX(Data!1453:1453,1,$P$1-5))</f>
        <v>28478184</v>
      </c>
      <c r="I128" s="404">
        <f>(INDEX(Data!174:174,1,$P$1-4)+INDEX(Data!482:482,1,$P$1-4)-INDEX(Data!1453:1453,1,$P$1-4))+(INDEX(Data!174:174,1,$P$1-3)+INDEX(Data!482:482,1,$P$1-3)-INDEX(Data!1453:1453,1,$P$1-3))</f>
        <v>30852379</v>
      </c>
      <c r="J128" s="90">
        <f>(INDEX(Data!174:174,1,$P$1-2)+INDEX(Data!482:482,1,$P$1-2)-INDEX(Data!1453:1453,1,$P$1-2))+(INDEX(Data!174:174,1,$P$1-1)+INDEX(Data!482:482,1,$P$1-1)-INDEX(Data!1453:1453,1,$P$1-1))</f>
        <v>47228206</v>
      </c>
      <c r="K128" s="88">
        <f>(INDEX(Data!174:174,1,$P$1)+INDEX(Data!482:482,1,$P$1)-INDEX(Data!1453:1453,1,$P$1))+(INDEX(Data!174:174,1,$P$1+1)+INDEX(Data!482:482,1,$P$1+1)-INDEX(Data!1453:1453,1,$P$1+1))</f>
        <v>52016041</v>
      </c>
    </row>
    <row r="129" spans="1:11" hidden="1" outlineLevel="1">
      <c r="A129" s="50" t="s">
        <v>1426</v>
      </c>
      <c r="B129" s="86">
        <f>(INDEX(Data!76:76,1,$P$1-8)+INDEX(Data!484:484,1,$P$1-8)-INDEX(Data!1297:1297,1,$P$1-8))+(INDEX(Data!76:76,1,$P$1-7)+INDEX(Data!484:484,1,$P$1-7)-INDEX(Data!1297:1297,1,$P$1-7))</f>
        <v>121599362</v>
      </c>
      <c r="C129" s="87">
        <f>(INDEX(Data!76:76,1,$P$1-6)+INDEX(Data!484:484,1,$P$1-6)-INDEX(Data!1297:1297,1,$P$1-6))+(INDEX(Data!76:76,1,$P$1-5)+INDEX(Data!484:484,1,$P$1-5)-INDEX(Data!1297:1297,1,$P$1-5))</f>
        <v>129747483</v>
      </c>
      <c r="D129" s="404">
        <f>(INDEX(Data!76:76,1,$P$1-4)+INDEX(Data!484:484,1,$P$1-4)-INDEX(Data!1297:1297,1,$P$1-4))+(INDEX(Data!76:76,1,$P$1-3)+INDEX(Data!484:484,1,$P$1-3)-INDEX(Data!1297:1297,1,$P$1-3))</f>
        <v>127567979</v>
      </c>
      <c r="E129" s="90">
        <f>(INDEX(Data!76:76,1,$P$1-2)+INDEX(Data!484:484,1,$P$1-2)-INDEX(Data!1297:1297,1,$P$1-2))+(INDEX(Data!76:76,1,$P$1-1)+INDEX(Data!484:484,1,$P$1-1)-INDEX(Data!1297:1297,1,$P$1-1))</f>
        <v>127259055</v>
      </c>
      <c r="F129" s="88">
        <f>(INDEX(Data!76:76,1,$P$1)+INDEX(Data!484:484,1,$P$1)-INDEX(Data!1297:1297,1,$P$1))+(INDEX(Data!76:76,1,$P$1+1)+INDEX(Data!484:484,1,$P$1+1)-INDEX(Data!1297:1297,1,$P$1+1))</f>
        <v>122366421</v>
      </c>
      <c r="G129" s="91">
        <f>(INDEX(Data!175:175,1,$P$1-8)+INDEX(Data!484:484,1,$P$1-8)-INDEX(Data!1454:1454,1,$P$1-8))+(INDEX(Data!175:175,1,$P$1-7)+INDEX(Data!484:484,1,$P$1-7)-INDEX(Data!1454:1454,1,$P$1-7))</f>
        <v>88510823</v>
      </c>
      <c r="H129" s="87">
        <f>(INDEX(Data!175:175,1,$P$1-6)+INDEX(Data!484:484,1,$P$1-6)-INDEX(Data!1454:1454,1,$P$1-6))+(INDEX(Data!175:175,1,$P$1-5)+INDEX(Data!484:484,1,$P$1-5)-INDEX(Data!1454:1454,1,$P$1-5))</f>
        <v>94280302</v>
      </c>
      <c r="I129" s="404">
        <f>(INDEX(Data!175:175,1,$P$1-4)+INDEX(Data!484:484,1,$P$1-4)-INDEX(Data!1454:1454,1,$P$1-4))+(INDEX(Data!175:175,1,$P$1-3)+INDEX(Data!484:484,1,$P$1-3)-INDEX(Data!1454:1454,1,$P$1-3))</f>
        <v>94088780</v>
      </c>
      <c r="J129" s="90">
        <f>(INDEX(Data!175:175,1,$P$1-2)+INDEX(Data!484:484,1,$P$1-2)-INDEX(Data!1454:1454,1,$P$1-2))+(INDEX(Data!175:175,1,$P$1-1)+INDEX(Data!484:484,1,$P$1-1)-INDEX(Data!1454:1454,1,$P$1-1))</f>
        <v>94099980</v>
      </c>
      <c r="K129" s="88">
        <f>(INDEX(Data!175:175,1,$P$1)+INDEX(Data!484:484,1,$P$1)-INDEX(Data!1454:1454,1,$P$1))+(INDEX(Data!175:175,1,$P$1+1)+INDEX(Data!484:484,1,$P$1+1)-INDEX(Data!1454:1454,1,$P$1+1))</f>
        <v>89992706</v>
      </c>
    </row>
    <row r="130" spans="1:11" hidden="1" outlineLevel="1">
      <c r="A130" s="50" t="s">
        <v>733</v>
      </c>
      <c r="B130" s="86">
        <f>(INDEX(Data!77:77,1,$P$1-8)+INDEX(Data!485:485,1,$P$1-8)-INDEX(Data!1298:1298,1,$P$1-8))+(INDEX(Data!77:77,1,$P$1-7)+INDEX(Data!485:485,1,$P$1-7)-INDEX(Data!1298:1298,1,$P$1-7))</f>
        <v>158610238</v>
      </c>
      <c r="C130" s="87">
        <f>(INDEX(Data!77:77,1,$P$1-6)+INDEX(Data!485:485,1,$P$1-6)-INDEX(Data!1298:1298,1,$P$1-6))+(INDEX(Data!77:77,1,$P$1-5)+INDEX(Data!485:485,1,$P$1-5)-INDEX(Data!1298:1298,1,$P$1-5))</f>
        <v>162981316</v>
      </c>
      <c r="D130" s="404">
        <f>(INDEX(Data!77:77,1,$P$1-4)+INDEX(Data!485:485,1,$P$1-4)-INDEX(Data!1298:1298,1,$P$1-4))+(INDEX(Data!77:77,1,$P$1-3)+INDEX(Data!485:485,1,$P$1-3)-INDEX(Data!1298:1298,1,$P$1-3))</f>
        <v>162698233</v>
      </c>
      <c r="E130" s="90">
        <f>(INDEX(Data!77:77,1,$P$1-2)+INDEX(Data!485:485,1,$P$1-2)-INDEX(Data!1298:1298,1,$P$1-2))+(INDEX(Data!77:77,1,$P$1-1)+INDEX(Data!485:485,1,$P$1-1)-INDEX(Data!1298:1298,1,$P$1-1))</f>
        <v>169360192</v>
      </c>
      <c r="F130" s="88">
        <f>(INDEX(Data!77:77,1,$P$1)+INDEX(Data!485:485,1,$P$1)-INDEX(Data!1298:1298,1,$P$1))+(INDEX(Data!77:77,1,$P$1+1)+INDEX(Data!485:485,1,$P$1+1)-INDEX(Data!1298:1298,1,$P$1+1))</f>
        <v>172998731</v>
      </c>
      <c r="G130" s="91">
        <f>(INDEX(Data!176:176,1,$P$1-8)+INDEX(Data!485:485,1,$P$1-8)-INDEX(Data!1455:1455,1,$P$1-8))+(INDEX(Data!176:176,1,$P$1-7)+INDEX(Data!485:485,1,$P$1-7)-INDEX(Data!1455:1455,1,$P$1-7))</f>
        <v>112391566</v>
      </c>
      <c r="H130" s="87">
        <f>(INDEX(Data!176:176,1,$P$1-6)+INDEX(Data!485:485,1,$P$1-6)-INDEX(Data!1455:1455,1,$P$1-6))+(INDEX(Data!176:176,1,$P$1-5)+INDEX(Data!485:485,1,$P$1-5)-INDEX(Data!1455:1455,1,$P$1-5))</f>
        <v>110518620</v>
      </c>
      <c r="I130" s="404">
        <f>(INDEX(Data!176:176,1,$P$1-4)+INDEX(Data!485:485,1,$P$1-4)-INDEX(Data!1455:1455,1,$P$1-4))+(INDEX(Data!176:176,1,$P$1-3)+INDEX(Data!485:485,1,$P$1-3)-INDEX(Data!1455:1455,1,$P$1-3))</f>
        <v>114895295</v>
      </c>
      <c r="J130" s="90">
        <f>(INDEX(Data!176:176,1,$P$1-2)+INDEX(Data!485:485,1,$P$1-2)-INDEX(Data!1455:1455,1,$P$1-2))+(INDEX(Data!176:176,1,$P$1-1)+INDEX(Data!485:485,1,$P$1-1)-INDEX(Data!1455:1455,1,$P$1-1))</f>
        <v>121801510</v>
      </c>
      <c r="K130" s="88">
        <f>(INDEX(Data!176:176,1,$P$1)+INDEX(Data!485:485,1,$P$1)-INDEX(Data!1455:1455,1,$P$1))+(INDEX(Data!176:176,1,$P$1+1)+INDEX(Data!485:485,1,$P$1+1)-INDEX(Data!1455:1455,1,$P$1+1))</f>
        <v>113673623</v>
      </c>
    </row>
    <row r="131" spans="1:11" hidden="1" outlineLevel="1">
      <c r="A131" s="50" t="s">
        <v>735</v>
      </c>
      <c r="B131" s="86">
        <f>(INDEX(Data!79:79,1,$P$1-8)+INDEX(Data!486:486,1,$P$1-8)-INDEX(Data!1300:1300,1,$P$1-8))+(INDEX(Data!79:79,1,$P$1-7)+INDEX(Data!486:486,1,$P$1-7)-INDEX(Data!1300:1300,1,$P$1-7))</f>
        <v>386977812</v>
      </c>
      <c r="C131" s="87">
        <f>(INDEX(Data!79:79,1,$P$1-6)+INDEX(Data!486:486,1,$P$1-6)-INDEX(Data!1300:1300,1,$P$1-6))+(INDEX(Data!79:79,1,$P$1-5)+INDEX(Data!486:486,1,$P$1-5)-INDEX(Data!1300:1300,1,$P$1-5))</f>
        <v>434079598</v>
      </c>
      <c r="D131" s="404">
        <f>(INDEX(Data!79:79,1,$P$1-4)+INDEX(Data!486:486,1,$P$1-4)-INDEX(Data!1300:1300,1,$P$1-4))+(INDEX(Data!79:79,1,$P$1-3)+INDEX(Data!486:486,1,$P$1-3)-INDEX(Data!1300:1300,1,$P$1-3))</f>
        <v>463830781</v>
      </c>
      <c r="E131" s="90">
        <f>(INDEX(Data!79:79,1,$P$1-2)+INDEX(Data!486:486,1,$P$1-2)-INDEX(Data!1300:1300,1,$P$1-2))+(INDEX(Data!79:79,1,$P$1-1)+INDEX(Data!486:486,1,$P$1-1)-INDEX(Data!1300:1300,1,$P$1-1))</f>
        <v>476309969</v>
      </c>
      <c r="F131" s="88">
        <f>(INDEX(Data!79:79,1,$P$1)+INDEX(Data!486:486,1,$P$1)-INDEX(Data!1300:1300,1,$P$1))+(INDEX(Data!79:79,1,$P$1+1)+INDEX(Data!486:486,1,$P$1+1)-INDEX(Data!1300:1300,1,$P$1+1))</f>
        <v>501251820</v>
      </c>
      <c r="G131" s="91">
        <f>(INDEX(Data!178:178,1,$P$1-8)+INDEX(Data!486:486,1,$P$1-8)-INDEX(Data!1457:1457,1,$P$1-8))+(INDEX(Data!178:178,1,$P$1-7)+INDEX(Data!486:486,1,$P$1-7)-INDEX(Data!1457:1457,1,$P$1-7))</f>
        <v>283898277</v>
      </c>
      <c r="H131" s="87">
        <f>(INDEX(Data!178:178,1,$P$1-6)+INDEX(Data!486:486,1,$P$1-6)-INDEX(Data!1457:1457,1,$P$1-6))+(INDEX(Data!178:178,1,$P$1-5)+INDEX(Data!486:486,1,$P$1-5)-INDEX(Data!1457:1457,1,$P$1-5))</f>
        <v>323658074</v>
      </c>
      <c r="I131" s="404">
        <f>(INDEX(Data!178:178,1,$P$1-4)+INDEX(Data!486:486,1,$P$1-4)-INDEX(Data!1457:1457,1,$P$1-4))+(INDEX(Data!178:178,1,$P$1-3)+INDEX(Data!486:486,1,$P$1-3)-INDEX(Data!1457:1457,1,$P$1-3))</f>
        <v>348832213</v>
      </c>
      <c r="J131" s="90">
        <f>(INDEX(Data!178:178,1,$P$1-2)+INDEX(Data!486:486,1,$P$1-2)-INDEX(Data!1457:1457,1,$P$1-2))+(INDEX(Data!178:178,1,$P$1-1)+INDEX(Data!486:486,1,$P$1-1)-INDEX(Data!1457:1457,1,$P$1-1))</f>
        <v>351134752</v>
      </c>
      <c r="K131" s="88">
        <f>(INDEX(Data!178:178,1,$P$1)+INDEX(Data!486:486,1,$P$1)-INDEX(Data!1457:1457,1,$P$1))+(INDEX(Data!178:178,1,$P$1+1)+INDEX(Data!486:486,1,$P$1+1)-INDEX(Data!1457:1457,1,$P$1+1))</f>
        <v>379898545</v>
      </c>
    </row>
    <row r="132" spans="1:11" hidden="1" outlineLevel="1">
      <c r="A132" s="50" t="s">
        <v>855</v>
      </c>
      <c r="B132" s="86">
        <f>(INDEX(Data!80:80,1,$P$1-8)+INDEX(Data!474:474,1,$P$1-8)-INDEX(Data!1301:1301,1,$P$1-8))+(INDEX(Data!80:80,1,$P$1-7)+INDEX(Data!474:474,1,$P$1-7)-INDEX(Data!1301:1301,1,$P$1-7))</f>
        <v>71008703</v>
      </c>
      <c r="C132" s="87">
        <f>(INDEX(Data!80:80,1,$P$1-6)+INDEX(Data!474:474,1,$P$1-6)-INDEX(Data!1301:1301,1,$P$1-6))+(INDEX(Data!80:80,1,$P$1-5)+INDEX(Data!474:474,1,$P$1-5)-INDEX(Data!1301:1301,1,$P$1-5))</f>
        <v>79030794</v>
      </c>
      <c r="D132" s="404">
        <f>(INDEX(Data!80:80,1,$P$1-4)+INDEX(Data!474:474,1,$P$1-4)-INDEX(Data!1301:1301,1,$P$1-4))+(INDEX(Data!80:80,1,$P$1-3)+INDEX(Data!474:474,1,$P$1-3)-INDEX(Data!1301:1301,1,$P$1-3))</f>
        <v>79840610</v>
      </c>
      <c r="E132" s="90">
        <f>(INDEX(Data!80:80,1,$P$1-2)+INDEX(Data!474:474,1,$P$1-2)-INDEX(Data!1301:1301,1,$P$1-2))+(INDEX(Data!80:80,1,$P$1-1)+INDEX(Data!474:474,1,$P$1-1)-INDEX(Data!1301:1301,1,$P$1-1))</f>
        <v>90040588</v>
      </c>
      <c r="F132" s="88">
        <f>(INDEX(Data!80:80,1,$P$1)+INDEX(Data!474:474,1,$P$1)-INDEX(Data!1301:1301,1,$P$1))+(INDEX(Data!80:80,1,$P$1+1)+INDEX(Data!474:474,1,$P$1+1)-INDEX(Data!1301:1301,1,$P$1+1))</f>
        <v>92619315</v>
      </c>
      <c r="G132" s="91">
        <f>(INDEX(Data!179:179,1,$P$1-8)+INDEX(Data!474:474,1,$P$1-8)-INDEX(Data!1458:1458,1,$P$1-8))+(INDEX(Data!179:179,1,$P$1-7)+INDEX(Data!474:474,1,$P$1-7)-INDEX(Data!1458:1458,1,$P$1-7))</f>
        <v>52816174</v>
      </c>
      <c r="H132" s="87">
        <f>(INDEX(Data!179:179,1,$P$1-6)+INDEX(Data!474:474,1,$P$1-6)-INDEX(Data!1458:1458,1,$P$1-6))+(INDEX(Data!179:179,1,$P$1-5)+INDEX(Data!474:474,1,$P$1-5)-INDEX(Data!1458:1458,1,$P$1-5))</f>
        <v>60267868</v>
      </c>
      <c r="I132" s="404">
        <f>(INDEX(Data!179:179,1,$P$1-4)+INDEX(Data!474:474,1,$P$1-4)-INDEX(Data!1458:1458,1,$P$1-4))+(INDEX(Data!179:179,1,$P$1-3)+INDEX(Data!474:474,1,$P$1-3)-INDEX(Data!1458:1458,1,$P$1-3))</f>
        <v>61942613</v>
      </c>
      <c r="J132" s="90">
        <f>(INDEX(Data!179:179,1,$P$1-2)+INDEX(Data!474:474,1,$P$1-2)-INDEX(Data!1458:1458,1,$P$1-2))+(INDEX(Data!179:179,1,$P$1-1)+INDEX(Data!474:474,1,$P$1-1)-INDEX(Data!1458:1458,1,$P$1-1))</f>
        <v>63117370</v>
      </c>
      <c r="K132" s="88">
        <f>(INDEX(Data!179:179,1,$P$1)+INDEX(Data!474:474,1,$P$1)-INDEX(Data!1458:1458,1,$P$1))+(INDEX(Data!179:179,1,$P$1+1)+INDEX(Data!474:474,1,$P$1+1)-INDEX(Data!1458:1458,1,$P$1+1))</f>
        <v>69219440</v>
      </c>
    </row>
    <row r="133" spans="1:11" hidden="1" outlineLevel="1">
      <c r="A133" s="50" t="s">
        <v>737</v>
      </c>
      <c r="B133" s="86">
        <f>(INDEX(Data!81:81,1,$P$1-8)+INDEX(Data!489:489,1,$P$1-8)-INDEX(Data!1302:1302,1,$P$1-8))+(INDEX(Data!81:81,1,$P$1-7)+INDEX(Data!489:489,1,$P$1-7)-INDEX(Data!1302:1302,1,$P$1-7))</f>
        <v>146598128</v>
      </c>
      <c r="C133" s="87">
        <f>(INDEX(Data!81:81,1,$P$1-6)+INDEX(Data!489:489,1,$P$1-6)-INDEX(Data!1302:1302,1,$P$1-6))+(INDEX(Data!81:81,1,$P$1-5)+INDEX(Data!489:489,1,$P$1-5)-INDEX(Data!1302:1302,1,$P$1-5))</f>
        <v>154908777</v>
      </c>
      <c r="D133" s="404">
        <f>(INDEX(Data!81:81,1,$P$1-4)+INDEX(Data!489:489,1,$P$1-4)-INDEX(Data!1302:1302,1,$P$1-4))+(INDEX(Data!81:81,1,$P$1-3)+INDEX(Data!489:489,1,$P$1-3)-INDEX(Data!1302:1302,1,$P$1-3))</f>
        <v>161125339</v>
      </c>
      <c r="E133" s="90">
        <f>(INDEX(Data!81:81,1,$P$1-2)+INDEX(Data!489:489,1,$P$1-2)-INDEX(Data!1302:1302,1,$P$1-2))+(INDEX(Data!81:81,1,$P$1-1)+INDEX(Data!489:489,1,$P$1-1)-INDEX(Data!1302:1302,1,$P$1-1))</f>
        <v>168905040</v>
      </c>
      <c r="F133" s="88">
        <f>(INDEX(Data!81:81,1,$P$1)+INDEX(Data!489:489,1,$P$1)-INDEX(Data!1302:1302,1,$P$1))+(INDEX(Data!81:81,1,$P$1+1)+INDEX(Data!489:489,1,$P$1+1)-INDEX(Data!1302:1302,1,$P$1+1))</f>
        <v>177961244</v>
      </c>
      <c r="G133" s="91">
        <f>(INDEX(Data!180:180,1,$P$1-8)+INDEX(Data!489:489,1,$P$1-8)-INDEX(Data!1459:1459,1,$P$1-8))+(INDEX(Data!180:180,1,$P$1-7)+INDEX(Data!489:489,1,$P$1-7)-INDEX(Data!1459:1459,1,$P$1-7))</f>
        <v>103924305</v>
      </c>
      <c r="H133" s="87">
        <f>(INDEX(Data!180:180,1,$P$1-6)+INDEX(Data!489:489,1,$P$1-6)-INDEX(Data!1459:1459,1,$P$1-6))+(INDEX(Data!180:180,1,$P$1-5)+INDEX(Data!489:489,1,$P$1-5)-INDEX(Data!1459:1459,1,$P$1-5))</f>
        <v>112483405</v>
      </c>
      <c r="I133" s="404">
        <f>(INDEX(Data!180:180,1,$P$1-4)+INDEX(Data!489:489,1,$P$1-4)-INDEX(Data!1459:1459,1,$P$1-4))+(INDEX(Data!180:180,1,$P$1-3)+INDEX(Data!489:489,1,$P$1-3)-INDEX(Data!1459:1459,1,$P$1-3))</f>
        <v>113289178</v>
      </c>
      <c r="J133" s="90">
        <f>(INDEX(Data!180:180,1,$P$1-2)+INDEX(Data!489:489,1,$P$1-2)-INDEX(Data!1459:1459,1,$P$1-2))+(INDEX(Data!180:180,1,$P$1-1)+INDEX(Data!489:489,1,$P$1-1)-INDEX(Data!1459:1459,1,$P$1-1))</f>
        <v>125401097</v>
      </c>
      <c r="K133" s="88">
        <f>(INDEX(Data!180:180,1,$P$1)+INDEX(Data!489:489,1,$P$1)-INDEX(Data!1459:1459,1,$P$1))+(INDEX(Data!180:180,1,$P$1+1)+INDEX(Data!489:489,1,$P$1+1)-INDEX(Data!1459:1459,1,$P$1+1))</f>
        <v>140586330</v>
      </c>
    </row>
    <row r="134" spans="1:11" hidden="1" outlineLevel="1">
      <c r="A134" s="50" t="s">
        <v>738</v>
      </c>
      <c r="B134" s="86">
        <f>(INDEX(Data!83:83,1,$P$1-8)+INDEX(Data!470:470,1,$P$1-8)-INDEX(Data!1304:1304,1,$P$1-8))+(INDEX(Data!83:83,1,$P$1-7)+INDEX(Data!470:470,1,$P$1-7)-INDEX(Data!1304:1304,1,$P$1-7))</f>
        <v>123774032</v>
      </c>
      <c r="C134" s="87">
        <f>(INDEX(Data!83:83,1,$P$1-6)+INDEX(Data!470:470,1,$P$1-6)-INDEX(Data!1304:1304,1,$P$1-6))+(INDEX(Data!83:83,1,$P$1-5)+INDEX(Data!470:470,1,$P$1-5)-INDEX(Data!1304:1304,1,$P$1-5))</f>
        <v>125698230</v>
      </c>
      <c r="D134" s="404">
        <f>(INDEX(Data!83:83,1,$P$1-4)+INDEX(Data!470:470,1,$P$1-4)-INDEX(Data!1304:1304,1,$P$1-4))+(INDEX(Data!83:83,1,$P$1-3)+INDEX(Data!470:470,1,$P$1-3)-INDEX(Data!1304:1304,1,$P$1-3))</f>
        <v>150048335</v>
      </c>
      <c r="E134" s="90">
        <f>(INDEX(Data!83:83,1,$P$1-2)+INDEX(Data!470:470,1,$P$1-2)-INDEX(Data!1304:1304,1,$P$1-2))+(INDEX(Data!83:83,1,$P$1-1)+INDEX(Data!470:470,1,$P$1-1)-INDEX(Data!1304:1304,1,$P$1-1))</f>
        <v>153898421</v>
      </c>
      <c r="F134" s="88">
        <f>(INDEX(Data!83:83,1,$P$1)+INDEX(Data!470:470,1,$P$1)-INDEX(Data!1304:1304,1,$P$1))+(INDEX(Data!83:83,1,$P$1+1)+INDEX(Data!470:470,1,$P$1+1)-INDEX(Data!1304:1304,1,$P$1+1))</f>
        <v>151621633</v>
      </c>
      <c r="G134" s="91">
        <f>(INDEX(Data!182:182,1,$P$1-8)+INDEX(Data!470:470,1,$P$1-8)-INDEX(Data!1461:1461,1,$P$1-8))+(INDEX(Data!182:182,1,$P$1-7)+INDEX(Data!470:470,1,$P$1-7)-INDEX(Data!1461:1461,1,$P$1-7))</f>
        <v>82697032</v>
      </c>
      <c r="H134" s="87">
        <f>(INDEX(Data!182:182,1,$P$1-6)+INDEX(Data!470:470,1,$P$1-6)-INDEX(Data!1461:1461,1,$P$1-6))+(INDEX(Data!182:182,1,$P$1-5)+INDEX(Data!470:470,1,$P$1-5)-INDEX(Data!1461:1461,1,$P$1-5))</f>
        <v>90098047</v>
      </c>
      <c r="I134" s="404">
        <f>(INDEX(Data!182:182,1,$P$1-4)+INDEX(Data!470:470,1,$P$1-4)-INDEX(Data!1461:1461,1,$P$1-4))+(INDEX(Data!182:182,1,$P$1-3)+INDEX(Data!470:470,1,$P$1-3)-INDEX(Data!1461:1461,1,$P$1-3))</f>
        <v>115084604</v>
      </c>
      <c r="J134" s="90">
        <f>(INDEX(Data!182:182,1,$P$1-2)+INDEX(Data!470:470,1,$P$1-2)-INDEX(Data!1461:1461,1,$P$1-2))+(INDEX(Data!182:182,1,$P$1-1)+INDEX(Data!470:470,1,$P$1-1)-INDEX(Data!1461:1461,1,$P$1-1))</f>
        <v>114317125</v>
      </c>
      <c r="K134" s="88">
        <f>(INDEX(Data!182:182,1,$P$1)+INDEX(Data!470:470,1,$P$1)-INDEX(Data!1461:1461,1,$P$1))+(INDEX(Data!182:182,1,$P$1+1)+INDEX(Data!470:470,1,$P$1+1)-INDEX(Data!1461:1461,1,$P$1+1))</f>
        <v>115607086</v>
      </c>
    </row>
    <row r="135" spans="1:11" hidden="1" outlineLevel="1">
      <c r="A135" s="50" t="s">
        <v>1367</v>
      </c>
      <c r="B135" s="86">
        <f>(INDEX(Data!87:87,1,$P$1-8)+INDEX(Data!475:475,1,$P$1-8)-INDEX(Data!1308:1308,1,$P$1-8))+(INDEX(Data!87:87,1,$P$1-7)+INDEX(Data!475:475,1,$P$1-7)-INDEX(Data!1308:1308,1,$P$1-7))</f>
        <v>157109091</v>
      </c>
      <c r="C135" s="87">
        <f>(INDEX(Data!87:87,1,$P$1-6)+INDEX(Data!475:475,1,$P$1-6)-INDEX(Data!1308:1308,1,$P$1-6))+(INDEX(Data!87:87,1,$P$1-5)+INDEX(Data!475:475,1,$P$1-5)-INDEX(Data!1308:1308,1,$P$1-5))</f>
        <v>169307698</v>
      </c>
      <c r="D135" s="404">
        <f>(INDEX(Data!87:87,1,$P$1-4)+INDEX(Data!475:475,1,$P$1-4)-INDEX(Data!1308:1308,1,$P$1-4))+(INDEX(Data!87:87,1,$P$1-3)+INDEX(Data!475:475,1,$P$1-3)-INDEX(Data!1308:1308,1,$P$1-3))</f>
        <v>189613128</v>
      </c>
      <c r="E135" s="90">
        <f>(INDEX(Data!87:87,1,$P$1-2)+INDEX(Data!475:475,1,$P$1-2)-INDEX(Data!1308:1308,1,$P$1-2))+(INDEX(Data!87:87,1,$P$1-1)+INDEX(Data!475:475,1,$P$1-1)-INDEX(Data!1308:1308,1,$P$1-1))</f>
        <v>191075019</v>
      </c>
      <c r="F135" s="88">
        <f>(INDEX(Data!87:87,1,$P$1)+INDEX(Data!475:475,1,$P$1)-INDEX(Data!1308:1308,1,$P$1))+(INDEX(Data!87:87,1,$P$1+1)+INDEX(Data!475:475,1,$P$1+1)-INDEX(Data!1308:1308,1,$P$1+1))</f>
        <v>201439061</v>
      </c>
      <c r="G135" s="91">
        <f>(INDEX(Data!186:186,1,$P$1-8)+INDEX(Data!475:475,1,$P$1-8)-INDEX(Data!1465:1465,1,$P$1-8))+(INDEX(Data!186:186,1,$P$1-7)+INDEX(Data!475:475,1,$P$1-7)-INDEX(Data!1465:1465,1,$P$1-7))</f>
        <v>91379794</v>
      </c>
      <c r="H135" s="87">
        <f>(INDEX(Data!186:186,1,$P$1-6)+INDEX(Data!475:475,1,$P$1-6)-INDEX(Data!1465:1465,1,$P$1-6))+(INDEX(Data!186:186,1,$P$1-5)+INDEX(Data!475:475,1,$P$1-5)-INDEX(Data!1465:1465,1,$P$1-5))</f>
        <v>99557711</v>
      </c>
      <c r="I135" s="404">
        <f>(INDEX(Data!186:186,1,$P$1-4)+INDEX(Data!475:475,1,$P$1-4)-INDEX(Data!1465:1465,1,$P$1-4))+(INDEX(Data!186:186,1,$P$1-3)+INDEX(Data!475:475,1,$P$1-3)-INDEX(Data!1465:1465,1,$P$1-3))</f>
        <v>123558671</v>
      </c>
      <c r="J135" s="90">
        <f>(INDEX(Data!186:186,1,$P$1-2)+INDEX(Data!475:475,1,$P$1-2)-INDEX(Data!1465:1465,1,$P$1-2))+(INDEX(Data!186:186,1,$P$1-1)+INDEX(Data!475:475,1,$P$1-1)-INDEX(Data!1465:1465,1,$P$1-1))</f>
        <v>129006513</v>
      </c>
      <c r="K135" s="88">
        <f>(INDEX(Data!186:186,1,$P$1)+INDEX(Data!475:475,1,$P$1)-INDEX(Data!1465:1465,1,$P$1))+(INDEX(Data!186:186,1,$P$1+1)+INDEX(Data!475:475,1,$P$1+1)-INDEX(Data!1465:1465,1,$P$1+1))</f>
        <v>135162451</v>
      </c>
    </row>
    <row r="136" spans="1:11" hidden="1" outlineLevel="1">
      <c r="A136" s="678" t="s">
        <v>1094</v>
      </c>
      <c r="B136" s="86">
        <f>(INDEX(Data!88:88,1,$P$1-8)+INDEX(Data!476:476,1,$P$1-8)-INDEX(Data!1309:1309,1,$P$1-8))+(INDEX(Data!88:88,1,$P$1-7)+INDEX(Data!476:476,1,$P$1-7)-INDEX(Data!1309:1309,1,$P$1-7))</f>
        <v>274133678</v>
      </c>
      <c r="C136" s="87">
        <f>(INDEX(Data!88:88,1,$P$1-6)+INDEX(Data!476:476,1,$P$1-6)-INDEX(Data!1309:1309,1,$P$1-6))+(INDEX(Data!88:88,1,$P$1-5)+INDEX(Data!476:476,1,$P$1-5)-INDEX(Data!1309:1309,1,$P$1-5))</f>
        <v>302033487</v>
      </c>
      <c r="D136" s="404">
        <f>(INDEX(Data!88:88,1,$P$1-4)+INDEX(Data!476:476,1,$P$1-4)-INDEX(Data!1309:1309,1,$P$1-4))+(INDEX(Data!88:88,1,$P$1-3)+INDEX(Data!476:476,1,$P$1-3)-INDEX(Data!1309:1309,1,$P$1-3))</f>
        <v>329998094</v>
      </c>
      <c r="E136" s="90">
        <f>(INDEX(Data!88:88,1,$P$1-2)+INDEX(Data!476:476,1,$P$1-2)-INDEX(Data!1309:1309,1,$P$1-2))+(INDEX(Data!88:88,1,$P$1-1)+INDEX(Data!476:476,1,$P$1-1)-INDEX(Data!1309:1309,1,$P$1-1))</f>
        <v>348844183</v>
      </c>
      <c r="F136" s="88">
        <f>(INDEX(Data!88:88,1,$P$1)+INDEX(Data!476:476,1,$P$1)-INDEX(Data!1309:1309,1,$P$1))+(INDEX(Data!88:88,1,$P$1+1)+INDEX(Data!476:476,1,$P$1+1)-INDEX(Data!1309:1309,1,$P$1+1))</f>
        <v>369139936</v>
      </c>
      <c r="G136" s="91">
        <f>(INDEX(Data!187:187,1,$P$1-8)+INDEX(Data!476:476,1,$P$1-8)-INDEX(Data!1466:1466,1,$P$1-8))+(INDEX(Data!187:187,1,$P$1-7)+INDEX(Data!476:476,1,$P$1-7)-INDEX(Data!1466:1466,1,$P$1-7))</f>
        <v>184535959</v>
      </c>
      <c r="H136" s="87">
        <f>(INDEX(Data!187:187,1,$P$1-6)+INDEX(Data!476:476,1,$P$1-6)-INDEX(Data!1466:1466,1,$P$1-6))+(INDEX(Data!187:187,1,$P$1-5)+INDEX(Data!476:476,1,$P$1-5)-INDEX(Data!1466:1466,1,$P$1-5))</f>
        <v>209177673</v>
      </c>
      <c r="I136" s="404">
        <f>(INDEX(Data!187:187,1,$P$1-4)+INDEX(Data!476:476,1,$P$1-4)-INDEX(Data!1466:1466,1,$P$1-4))+(INDEX(Data!187:187,1,$P$1-3)+INDEX(Data!476:476,1,$P$1-3)-INDEX(Data!1466:1466,1,$P$1-3))</f>
        <v>233431895</v>
      </c>
      <c r="J136" s="90">
        <f>(INDEX(Data!187:187,1,$P$1-2)+INDEX(Data!476:476,1,$P$1-2)-INDEX(Data!1466:1466,1,$P$1-2))+(INDEX(Data!187:187,1,$P$1-1)+INDEX(Data!476:476,1,$P$1-1)-INDEX(Data!1466:1466,1,$P$1-1))</f>
        <v>246087929</v>
      </c>
      <c r="K136" s="88">
        <f>(INDEX(Data!187:187,1,$P$1)+INDEX(Data!476:476,1,$P$1)-INDEX(Data!1466:1466,1,$P$1))+(INDEX(Data!187:187,1,$P$1+1)+INDEX(Data!476:476,1,$P$1+1)-INDEX(Data!1466:1466,1,$P$1+1))</f>
        <v>270068495</v>
      </c>
    </row>
    <row r="137" spans="1:11" hidden="1" outlineLevel="1">
      <c r="A137" s="50" t="s">
        <v>859</v>
      </c>
      <c r="B137" s="86">
        <f>(INDEX(Data!89:89,1,$P$1-8)+INDEX(Data!477:477,1,$P$1-8)-INDEX(Data!1310:1310,1,$P$1-8))+(INDEX(Data!89:89,1,$P$1-7)+INDEX(Data!477:477,1,$P$1-7)-INDEX(Data!1310:1310,1,$P$1-7))</f>
        <v>41470097</v>
      </c>
      <c r="C137" s="87">
        <f>(INDEX(Data!89:89,1,$P$1-6)+INDEX(Data!477:477,1,$P$1-6)-INDEX(Data!1310:1310,1,$P$1-6))+(INDEX(Data!89:89,1,$P$1-5)+INDEX(Data!477:477,1,$P$1-5)-INDEX(Data!1310:1310,1,$P$1-5))</f>
        <v>34344856</v>
      </c>
      <c r="D137" s="404">
        <f>(INDEX(Data!89:89,1,$P$1-4)+INDEX(Data!477:477,1,$P$1-4)-INDEX(Data!1310:1310,1,$P$1-4))+(INDEX(Data!89:89,1,$P$1-3)+INDEX(Data!477:477,1,$P$1-3)-INDEX(Data!1310:1310,1,$P$1-3))</f>
        <v>35389803</v>
      </c>
      <c r="E137" s="90">
        <f>(INDEX(Data!89:89,1,$P$1-2)+INDEX(Data!477:477,1,$P$1-2)-INDEX(Data!1310:1310,1,$P$1-2))+(INDEX(Data!89:89,1,$P$1-1)+INDEX(Data!477:477,1,$P$1-1)-INDEX(Data!1310:1310,1,$P$1-1))</f>
        <v>33109080</v>
      </c>
      <c r="F137" s="88">
        <f>(INDEX(Data!89:89,1,$P$1)+INDEX(Data!477:477,1,$P$1)-INDEX(Data!1310:1310,1,$P$1))+(INDEX(Data!89:89,1,$P$1+1)+INDEX(Data!477:477,1,$P$1+1)-INDEX(Data!1310:1310,1,$P$1+1))</f>
        <v>31657601</v>
      </c>
      <c r="G137" s="91">
        <f>(INDEX(Data!188:188,1,$P$1-8)+INDEX(Data!477:477,1,$P$1-8)-INDEX(Data!1467:1467,1,$P$1-8))+(INDEX(Data!188:188,1,$P$1-7)+INDEX(Data!477:477,1,$P$1-7)-INDEX(Data!1467:1467,1,$P$1-7))</f>
        <v>36424548</v>
      </c>
      <c r="H137" s="87">
        <f>(INDEX(Data!188:188,1,$P$1-6)+INDEX(Data!477:477,1,$P$1-6)-INDEX(Data!1467:1467,1,$P$1-6))+(INDEX(Data!188:188,1,$P$1-5)+INDEX(Data!477:477,1,$P$1-5)-INDEX(Data!1467:1467,1,$P$1-5))</f>
        <v>30164588</v>
      </c>
      <c r="I137" s="404">
        <f>(INDEX(Data!188:188,1,$P$1-4)+INDEX(Data!477:477,1,$P$1-4)-INDEX(Data!1467:1467,1,$P$1-4))+(INDEX(Data!188:188,1,$P$1-3)+INDEX(Data!477:477,1,$P$1-3)-INDEX(Data!1467:1467,1,$P$1-3))</f>
        <v>30861380</v>
      </c>
      <c r="J137" s="90">
        <f>(INDEX(Data!188:188,1,$P$1-2)+INDEX(Data!477:477,1,$P$1-2)-INDEX(Data!1467:1467,1,$P$1-2))+(INDEX(Data!188:188,1,$P$1-1)+INDEX(Data!477:477,1,$P$1-1)-INDEX(Data!1467:1467,1,$P$1-1))</f>
        <v>27759805</v>
      </c>
      <c r="K137" s="88">
        <f>(INDEX(Data!188:188,1,$P$1)+INDEX(Data!477:477,1,$P$1)-INDEX(Data!1467:1467,1,$P$1))+(INDEX(Data!188:188,1,$P$1+1)+INDEX(Data!477:477,1,$P$1+1)-INDEX(Data!1467:1467,1,$P$1+1))</f>
        <v>26968069</v>
      </c>
    </row>
    <row r="138" spans="1:11" hidden="1" outlineLevel="1">
      <c r="A138" s="50" t="s">
        <v>1427</v>
      </c>
      <c r="B138" s="86">
        <f>(INDEX(Data!90:90,1,$P$1-8)+INDEX(Data!478:478,1,$P$1-8)-INDEX(Data!1311:1311,1,$P$1-8))+(INDEX(Data!90:90,1,$P$1-7)+INDEX(Data!478:478,1,$P$1-7)-INDEX(Data!1311:1311,1,$P$1-7))</f>
        <v>12676559</v>
      </c>
      <c r="C138" s="87">
        <f>(INDEX(Data!90:90,1,$P$1-6)+INDEX(Data!478:478,1,$P$1-6)-INDEX(Data!1311:1311,1,$P$1-6))+(INDEX(Data!90:90,1,$P$1-5)+INDEX(Data!478:478,1,$P$1-5)-INDEX(Data!1311:1311,1,$P$1-5))</f>
        <v>12696527</v>
      </c>
      <c r="D138" s="404">
        <f>(INDEX(Data!90:90,1,$P$1-4)+INDEX(Data!478:478,1,$P$1-4)-INDEX(Data!1311:1311,1,$P$1-4))+(INDEX(Data!90:90,1,$P$1-3)+INDEX(Data!478:478,1,$P$1-3)-INDEX(Data!1311:1311,1,$P$1-3))</f>
        <v>12636666</v>
      </c>
      <c r="E138" s="90">
        <f>(INDEX(Data!90:90,1,$P$1-2)+INDEX(Data!478:478,1,$P$1-2)-INDEX(Data!1311:1311,1,$P$1-2))+(INDEX(Data!90:90,1,$P$1-1)+INDEX(Data!478:478,1,$P$1-1)-INDEX(Data!1311:1311,1,$P$1-1))</f>
        <v>11990271</v>
      </c>
      <c r="F138" s="88">
        <f>(INDEX(Data!90:90,1,$P$1)+INDEX(Data!478:478,1,$P$1)-INDEX(Data!1311:1311,1,$P$1))+(INDEX(Data!90:90,1,$P$1+1)+INDEX(Data!478:478,1,$P$1+1)-INDEX(Data!1311:1311,1,$P$1+1))</f>
        <v>12308557</v>
      </c>
      <c r="G138" s="91">
        <f>(INDEX(Data!189:189,1,$P$1-8)+INDEX(Data!478:478,1,$P$1-8)-INDEX(Data!1468:1468,1,$P$1-8))+(INDEX(Data!189:189,1,$P$1-7)+INDEX(Data!478:478,1,$P$1-7)-INDEX(Data!1468:1468,1,$P$1-7))</f>
        <v>9914108</v>
      </c>
      <c r="H138" s="87">
        <f>(INDEX(Data!189:189,1,$P$1-6)+INDEX(Data!478:478,1,$P$1-6)-INDEX(Data!1468:1468,1,$P$1-6))+(INDEX(Data!189:189,1,$P$1-5)+INDEX(Data!478:478,1,$P$1-5)-INDEX(Data!1468:1468,1,$P$1-5))</f>
        <v>10846729</v>
      </c>
      <c r="I138" s="404">
        <f>(INDEX(Data!189:189,1,$P$1-4)+INDEX(Data!478:478,1,$P$1-4)-INDEX(Data!1468:1468,1,$P$1-4))+(INDEX(Data!189:189,1,$P$1-3)+INDEX(Data!478:478,1,$P$1-3)-INDEX(Data!1468:1468,1,$P$1-3))</f>
        <v>10780795</v>
      </c>
      <c r="J138" s="90">
        <f>(INDEX(Data!189:189,1,$P$1-2)+INDEX(Data!478:478,1,$P$1-2)-INDEX(Data!1468:1468,1,$P$1-2))+(INDEX(Data!189:189,1,$P$1-1)+INDEX(Data!478:478,1,$P$1-1)-INDEX(Data!1468:1468,1,$P$1-1))</f>
        <v>10052166</v>
      </c>
      <c r="K138" s="88">
        <f>(INDEX(Data!189:189,1,$P$1)+INDEX(Data!478:478,1,$P$1)-INDEX(Data!1468:1468,1,$P$1))+(INDEX(Data!189:189,1,$P$1+1)+INDEX(Data!478:478,1,$P$1+1)-INDEX(Data!1468:1468,1,$P$1+1))</f>
        <v>10692543</v>
      </c>
    </row>
    <row r="139" spans="1:11" collapsed="1">
      <c r="A139" s="113" t="s">
        <v>784</v>
      </c>
      <c r="B139" s="105">
        <f t="shared" ref="B139:K139" si="20">SUM(B100:B138)</f>
        <v>6225395202</v>
      </c>
      <c r="C139" s="106">
        <f t="shared" si="20"/>
        <v>6829526653</v>
      </c>
      <c r="D139" s="465">
        <f t="shared" si="20"/>
        <v>7431862426</v>
      </c>
      <c r="E139" s="115">
        <f t="shared" si="20"/>
        <v>7677329296</v>
      </c>
      <c r="F139" s="107">
        <f t="shared" si="20"/>
        <v>8075031124</v>
      </c>
      <c r="G139" s="405">
        <f t="shared" si="20"/>
        <v>4453135378</v>
      </c>
      <c r="H139" s="106">
        <f t="shared" si="20"/>
        <v>4883699251</v>
      </c>
      <c r="I139" s="465">
        <f t="shared" si="20"/>
        <v>5384572448</v>
      </c>
      <c r="J139" s="115">
        <f t="shared" si="20"/>
        <v>5479426871</v>
      </c>
      <c r="K139" s="107">
        <f t="shared" si="20"/>
        <v>5887409469.2312622</v>
      </c>
    </row>
    <row r="140" spans="1:11" ht="25.5" hidden="1" outlineLevel="1">
      <c r="A140" s="677" t="s">
        <v>1428</v>
      </c>
      <c r="B140" s="86">
        <f>(INDEX(Data!40:40,1,$P$1-8)+INDEX(Data!442:442,1,$P$1-8)-INDEX(Data!1264:1264,1,$P$1-8))+(INDEX(Data!40:40,1,$P$1-7)+INDEX(Data!442:442,1,$P$1-7)-INDEX(Data!1264:1264,1,$P$1-7))</f>
        <v>18317642</v>
      </c>
      <c r="C140" s="87">
        <f>(INDEX(Data!40:40,1,$P$1-6)+INDEX(Data!442:442,1,$P$1-6)-INDEX(Data!1264:1264,1,$P$1-6))+(INDEX(Data!40:40,1,$P$1-5)+INDEX(Data!442:442,1,$P$1-5)-INDEX(Data!1264:1264,1,$P$1-5))</f>
        <v>27529912</v>
      </c>
      <c r="D140" s="404">
        <f>(INDEX(Data!40:40,1,$P$1-4)+INDEX(Data!442:442,1,$P$1-4)-INDEX(Data!1264:1264,1,$P$1-4))+(INDEX(Data!40:40,1,$P$1-3)+INDEX(Data!442:442,1,$P$1-3)-INDEX(Data!1264:1264,1,$P$1-3))</f>
        <v>20630464</v>
      </c>
      <c r="E140" s="90">
        <f>(INDEX(Data!40:40,1,$P$1-2)+INDEX(Data!442:442,1,$P$1-2)-INDEX(Data!1264:1264,1,$P$1-2))+(INDEX(Data!40:40,1,$P$1-1)+INDEX(Data!442:442,1,$P$1-1)-INDEX(Data!1264:1264,1,$P$1-1))</f>
        <v>20834859</v>
      </c>
      <c r="F140" s="88">
        <f>(INDEX(Data!40:40,1,$P$1)+INDEX(Data!442:442,1,$P$1)-INDEX(Data!1264:1264,1,$P$1))+(INDEX(Data!40:40,1,$P$1+1)+INDEX(Data!442:442,1,$P$1+1)-INDEX(Data!1264:1264,1,$P$1+1))</f>
        <v>19499346</v>
      </c>
      <c r="G140" s="91">
        <f>(INDEX(Data!141:141,1,$P$1-8)+INDEX(Data!442:442,1,$P$1-8)-INDEX(Data!1421:1421,1,$P$1-8))+(INDEX(Data!141:141,1,$P$1-7)+INDEX(Data!442:442,1,$P$1-7)-INDEX(Data!1421:1421,1,$P$1-7))</f>
        <v>16101642</v>
      </c>
      <c r="H140" s="87">
        <f>(INDEX(Data!141:141,1,$P$1-6)+INDEX(Data!442:442,1,$P$1-6)-INDEX(Data!1421:1421,1,$P$1-6))+(INDEX(Data!141:141,1,$P$1-5)+INDEX(Data!442:442,1,$P$1-5)-INDEX(Data!1421:1421,1,$P$1-5))</f>
        <v>25179912</v>
      </c>
      <c r="I140" s="404">
        <f>(INDEX(Data!141:141,1,$P$1-4)+INDEX(Data!442:442,1,$P$1-4)-INDEX(Data!1421:1421,1,$P$1-4))+(INDEX(Data!141:141,1,$P$1-3)+INDEX(Data!442:442,1,$P$1-3)-INDEX(Data!1421:1421,1,$P$1-3))</f>
        <v>18242464</v>
      </c>
      <c r="J140" s="90">
        <f>(INDEX(Data!141:141,1,$P$1-2)+INDEX(Data!442:442,1,$P$1-2)-INDEX(Data!1421:1421,1,$P$1-2))+(INDEX(Data!141:141,1,$P$1-1)+INDEX(Data!442:442,1,$P$1-1)-INDEX(Data!1421:1421,1,$P$1-1))</f>
        <v>18386859</v>
      </c>
      <c r="K140" s="88">
        <f>(INDEX(Data!141:141,1,$P$1)+INDEX(Data!442:442,1,$P$1)-INDEX(Data!1421:1421,1,$P$1))+(INDEX(Data!141:141,1,$P$1+1)+INDEX(Data!442:442,1,$P$1+1)-INDEX(Data!1421:1421,1,$P$1+1))</f>
        <v>16987346</v>
      </c>
    </row>
    <row r="141" spans="1:11" ht="25.5" hidden="1" outlineLevel="1">
      <c r="A141" s="677" t="s">
        <v>1429</v>
      </c>
      <c r="B141" s="86">
        <f>(INDEX(Data!54:54,1,$P$1-8)+INDEX(Data!464:464,1,$P$1-8)-INDEX(Data!1275:1275,1,$P$1-8))+(INDEX(Data!54:54,1,$P$1-7)+INDEX(Data!464:464,1,$P$1-7)-INDEX(Data!1275:1275,1,$P$1-7))</f>
        <v>4652785</v>
      </c>
      <c r="C141" s="87">
        <f>(INDEX(Data!54:54,1,$P$1-6)+INDEX(Data!464:464,1,$P$1-6)-INDEX(Data!1275:1275,1,$P$1-6))+(INDEX(Data!54:54,1,$P$1-5)+INDEX(Data!464:464,1,$P$1-5)-INDEX(Data!1275:1275,1,$P$1-5))</f>
        <v>4560564</v>
      </c>
      <c r="D141" s="404">
        <f>(INDEX(Data!54:54,1,$P$1-4)+INDEX(Data!464:464,1,$P$1-4)-INDEX(Data!1275:1275,1,$P$1-4))+(INDEX(Data!54:54,1,$P$1-3)+INDEX(Data!464:464,1,$P$1-3)-INDEX(Data!1275:1275,1,$P$1-3))</f>
        <v>1830906</v>
      </c>
      <c r="E141" s="90">
        <f>(INDEX(Data!54:54,1,$P$1-2)+INDEX(Data!464:464,1,$P$1-2)-INDEX(Data!1275:1275,1,$P$1-2))+(INDEX(Data!54:54,1,$P$1-1)+INDEX(Data!464:464,1,$P$1-1)-INDEX(Data!1275:1275,1,$P$1-1))</f>
        <v>1540055</v>
      </c>
      <c r="F141" s="88">
        <f>(INDEX(Data!54:54,1,$P$1)+INDEX(Data!464:464,1,$P$1)-INDEX(Data!1275:1275,1,$P$1))+(INDEX(Data!54:54,1,$P$1+1)+INDEX(Data!464:464,1,$P$1+1)-INDEX(Data!1275:1275,1,$P$1+1))</f>
        <v>1540055</v>
      </c>
      <c r="G141" s="91">
        <f>(INDEX(Data!153:153,1,$P$1-8)+INDEX(Data!464:464,1,$P$1-8)-INDEX(Data!1432:1432,1,$P$1-8))+(INDEX(Data!153:153,1,$P$1-7)+INDEX(Data!464:464,1,$P$1-7)-INDEX(Data!1432:1432,1,$P$1-7))</f>
        <v>4624785</v>
      </c>
      <c r="H141" s="87">
        <f>(INDEX(Data!153:153,1,$P$1-6)+INDEX(Data!464:464,1,$P$1-6)-INDEX(Data!1432:1432,1,$P$1-6))+(INDEX(Data!153:153,1,$P$1-5)+INDEX(Data!464:464,1,$P$1-5)-INDEX(Data!1432:1432,1,$P$1-5))</f>
        <v>4560564</v>
      </c>
      <c r="I141" s="404">
        <f>(INDEX(Data!153:153,1,$P$1-4)+INDEX(Data!464:464,1,$P$1-4)-INDEX(Data!1432:1432,1,$P$1-4))+(INDEX(Data!153:153,1,$P$1-3)+INDEX(Data!464:464,1,$P$1-3)-INDEX(Data!1432:1432,1,$P$1-3))</f>
        <v>1830906</v>
      </c>
      <c r="J141" s="90">
        <f>(INDEX(Data!153:153,1,$P$1-2)+INDEX(Data!464:464,1,$P$1-2)-INDEX(Data!1432:1432,1,$P$1-2))+(INDEX(Data!153:153,1,$P$1-1)+INDEX(Data!464:464,1,$P$1-1)-INDEX(Data!1432:1432,1,$P$1-1))</f>
        <v>1540055</v>
      </c>
      <c r="K141" s="88">
        <f>(INDEX(Data!153:153,1,$P$1)+INDEX(Data!464:464,1,$P$1)-INDEX(Data!1432:1432,1,$P$1))+(INDEX(Data!153:153,1,$P$1+1)+INDEX(Data!464:464,1,$P$1+1)-INDEX(Data!1432:1432,1,$P$1+1))</f>
        <v>1540055</v>
      </c>
    </row>
    <row r="142" spans="1:11" ht="25.5" hidden="1" outlineLevel="1">
      <c r="A142" s="677" t="s">
        <v>1430</v>
      </c>
      <c r="B142" s="86">
        <f>(INDEX(Data!67:67,1,$P$1-8)+INDEX(Data!469:469,1,$P$1-8)-INDEX(Data!1288:1288,1,$P$1-8))+(INDEX(Data!67:67,1,$P$1-7)+INDEX(Data!469:469,1,$P$1-7)-INDEX(Data!1288:1288,1,$P$1-7))</f>
        <v>52919258</v>
      </c>
      <c r="C142" s="87">
        <f>(INDEX(Data!67:67,1,$P$1-6)+INDEX(Data!469:469,1,$P$1-6)-INDEX(Data!1288:1288,1,$P$1-6))+(INDEX(Data!67:67,1,$P$1-5)+INDEX(Data!469:469,1,$P$1-5)-INDEX(Data!1288:1288,1,$P$1-5))</f>
        <v>5415237</v>
      </c>
      <c r="D142" s="404">
        <f>(INDEX(Data!67:67,1,$P$1-4)+INDEX(Data!469:469,1,$P$1-4)-INDEX(Data!1288:1288,1,$P$1-4))+(INDEX(Data!67:67,1,$P$1-3)+INDEX(Data!469:469,1,$P$1-3)-INDEX(Data!1288:1288,1,$P$1-3))</f>
        <v>49708547</v>
      </c>
      <c r="E142" s="90">
        <f>(INDEX(Data!67:67,1,$P$1-2)+INDEX(Data!469:469,1,$P$1-2)-INDEX(Data!1288:1288,1,$P$1-2))+(INDEX(Data!67:67,1,$P$1-1)+INDEX(Data!469:469,1,$P$1-1)-INDEX(Data!1288:1288,1,$P$1-1))</f>
        <v>96254873</v>
      </c>
      <c r="F142" s="88">
        <f>(INDEX(Data!67:67,1,$P$1)+INDEX(Data!469:469,1,$P$1)-INDEX(Data!1288:1288,1,$P$1))+(INDEX(Data!67:67,1,$P$1+1)+INDEX(Data!469:469,1,$P$1+1)-INDEX(Data!1288:1288,1,$P$1+1))</f>
        <v>83635646</v>
      </c>
      <c r="G142" s="91">
        <f>(INDEX(Data!166:166,1,$P$1-8)+INDEX(Data!469:469,1,$P$1-8)-INDEX(Data!1445:1445,1,$P$1-8))+(INDEX(Data!166:166,1,$P$1-7)+INDEX(Data!469:469,1,$P$1-7)-INDEX(Data!1445:1445,1,$P$1-7))</f>
        <v>52919258</v>
      </c>
      <c r="H142" s="87">
        <f>(INDEX(Data!166:166,1,$P$1-6)+INDEX(Data!469:469,1,$P$1-6)-INDEX(Data!1445:1445,1,$P$1-6))+(INDEX(Data!166:166,1,$P$1-5)+INDEX(Data!469:469,1,$P$1-5)-INDEX(Data!1445:1445,1,$P$1-5))</f>
        <v>5415237</v>
      </c>
      <c r="I142" s="404">
        <f>(INDEX(Data!166:166,1,$P$1-4)+INDEX(Data!469:469,1,$P$1-4)-INDEX(Data!1445:1445,1,$P$1-4))+(INDEX(Data!166:166,1,$P$1-3)+INDEX(Data!469:469,1,$P$1-3)-INDEX(Data!1445:1445,1,$P$1-3))</f>
        <v>49686071</v>
      </c>
      <c r="J142" s="90">
        <f>(INDEX(Data!166:166,1,$P$1-2)+INDEX(Data!469:469,1,$P$1-2)-INDEX(Data!1445:1445,1,$P$1-2))+(INDEX(Data!166:166,1,$P$1-1)+INDEX(Data!469:469,1,$P$1-1)-INDEX(Data!1445:1445,1,$P$1-1))</f>
        <v>96232397</v>
      </c>
      <c r="K142" s="88">
        <f>(INDEX(Data!166:166,1,$P$1)+INDEX(Data!469:469,1,$P$1)-INDEX(Data!1445:1445,1,$P$1))+(INDEX(Data!166:166,1,$P$1+1)+INDEX(Data!469:469,1,$P$1+1)-INDEX(Data!1445:1445,1,$P$1+1))</f>
        <v>83613170</v>
      </c>
    </row>
    <row r="143" spans="1:11" ht="25.5" hidden="1" outlineLevel="1">
      <c r="A143" s="677" t="s">
        <v>1431</v>
      </c>
      <c r="B143" s="86">
        <f>(INDEX(Data!73:73,1,$P$1-8)+INDEX(Data!497:497,1,$P$1-8)-INDEX(Data!1294:1294,1,$P$1-8))+(INDEX(Data!73:73,1,$P$1-7)+INDEX(Data!497:497,1,$P$1-7)-INDEX(Data!1294:1294,1,$P$1-7))</f>
        <v>7692753</v>
      </c>
      <c r="C143" s="87">
        <f>(INDEX(Data!73:73,1,$P$1-6)+INDEX(Data!497:497,1,$P$1-6)-INDEX(Data!1294:1294,1,$P$1-6))+(INDEX(Data!73:73,1,$P$1-5)+INDEX(Data!497:497,1,$P$1-5)-INDEX(Data!1294:1294,1,$P$1-5))</f>
        <v>10867392</v>
      </c>
      <c r="D143" s="404">
        <f>(INDEX(Data!73:73,1,$P$1-4)+INDEX(Data!497:497,1,$P$1-4)-INDEX(Data!1294:1294,1,$P$1-4))+(INDEX(Data!73:73,1,$P$1-3)+INDEX(Data!497:497,1,$P$1-3)-INDEX(Data!1294:1294,1,$P$1-3))</f>
        <v>18849727</v>
      </c>
      <c r="E143" s="90">
        <f>(INDEX(Data!73:73,1,$P$1-2)+INDEX(Data!497:497,1,$P$1-2)-INDEX(Data!1294:1294,1,$P$1-2))+(INDEX(Data!73:73,1,$P$1-1)+INDEX(Data!497:497,1,$P$1-1)-INDEX(Data!1294:1294,1,$P$1-1))</f>
        <v>19908170</v>
      </c>
      <c r="F143" s="88">
        <f>(INDEX(Data!73:73,1,$P$1)+INDEX(Data!497:497,1,$P$1)-INDEX(Data!1294:1294,1,$P$1))+(INDEX(Data!73:73,1,$P$1+1)+INDEX(Data!497:497,1,$P$1+1)-INDEX(Data!1294:1294,1,$P$1+1))</f>
        <v>14408709</v>
      </c>
      <c r="G143" s="91">
        <f>(INDEX(Data!172:172,1,$P$1-8)+INDEX(Data!497:497,1,$P$1-8)-INDEX(Data!1451:1451,1,$P$1-8))+(INDEX(Data!172:172,1,$P$1-7)+INDEX(Data!497:497,1,$P$1-7)-INDEX(Data!1451:1451,1,$P$1-7))</f>
        <v>7692753</v>
      </c>
      <c r="H143" s="87">
        <f>(INDEX(Data!172:172,1,$P$1-6)+INDEX(Data!497:497,1,$P$1-6)-INDEX(Data!1451:1451,1,$P$1-6))+(INDEX(Data!172:172,1,$P$1-5)+INDEX(Data!497:497,1,$P$1-5)-INDEX(Data!1451:1451,1,$P$1-5))</f>
        <v>10867392</v>
      </c>
      <c r="I143" s="404">
        <f>(INDEX(Data!172:172,1,$P$1-4)+INDEX(Data!497:497,1,$P$1-4)-INDEX(Data!1451:1451,1,$P$1-4))+(INDEX(Data!172:172,1,$P$1-3)+INDEX(Data!497:497,1,$P$1-3)-INDEX(Data!1451:1451,1,$P$1-3))</f>
        <v>16440839</v>
      </c>
      <c r="J143" s="90">
        <f>(INDEX(Data!172:172,1,$P$1-2)+INDEX(Data!497:497,1,$P$1-2)-INDEX(Data!1451:1451,1,$P$1-2))+(INDEX(Data!172:172,1,$P$1-1)+INDEX(Data!497:497,1,$P$1-1)-INDEX(Data!1451:1451,1,$P$1-1))</f>
        <v>19908170</v>
      </c>
      <c r="K143" s="88">
        <f>(INDEX(Data!172:172,1,$P$1)+INDEX(Data!497:497,1,$P$1)-INDEX(Data!1451:1451,1,$P$1))+(INDEX(Data!172:172,1,$P$1+1)+INDEX(Data!497:497,1,$P$1+1)-INDEX(Data!1451:1451,1,$P$1+1))</f>
        <v>14408709</v>
      </c>
    </row>
    <row r="144" spans="1:11" ht="25.5" hidden="1" outlineLevel="1">
      <c r="A144" s="677" t="s">
        <v>1432</v>
      </c>
      <c r="B144" s="86">
        <f>(INDEX(Data!78:78,1,$P$1-8)+INDEX(Data!498:498,1,$P$1-8)-INDEX(Data!1299:1299,1,$P$1-8))+(INDEX(Data!78:78,1,$P$1-7)+INDEX(Data!498:498,1,$P$1-7)-INDEX(Data!1299:1299,1,$P$1-7))</f>
        <v>4104606</v>
      </c>
      <c r="C144" s="87">
        <f>(INDEX(Data!78:78,1,$P$1-6)+INDEX(Data!498:498,1,$P$1-6)-INDEX(Data!1299:1299,1,$P$1-6))+(INDEX(Data!78:78,1,$P$1-5)+INDEX(Data!498:498,1,$P$1-5)-INDEX(Data!1299:1299,1,$P$1-5))</f>
        <v>4011589</v>
      </c>
      <c r="D144" s="404">
        <f>(INDEX(Data!78:78,1,$P$1-4)+INDEX(Data!498:498,1,$P$1-4)-INDEX(Data!1299:1299,1,$P$1-4))+(INDEX(Data!78:78,1,$P$1-3)+INDEX(Data!498:498,1,$P$1-3)-INDEX(Data!1299:1299,1,$P$1-3))</f>
        <v>4310852</v>
      </c>
      <c r="E144" s="90">
        <f>(INDEX(Data!78:78,1,$P$1-2)+INDEX(Data!498:498,1,$P$1-2)-INDEX(Data!1299:1299,1,$P$1-2))+(INDEX(Data!78:78,1,$P$1-1)+INDEX(Data!498:498,1,$P$1-1)-INDEX(Data!1299:1299,1,$P$1-1))</f>
        <v>4175171</v>
      </c>
      <c r="F144" s="88">
        <f>(INDEX(Data!78:78,1,$P$1)+INDEX(Data!498:498,1,$P$1)-INDEX(Data!1299:1299,1,$P$1))+(INDEX(Data!78:78,1,$P$1+1)+INDEX(Data!498:498,1,$P$1+1)-INDEX(Data!1299:1299,1,$P$1+1))</f>
        <v>4220762</v>
      </c>
      <c r="G144" s="91">
        <f>(INDEX(Data!177:177,1,$P$1-8)+INDEX(Data!498:498,1,$P$1-8)-INDEX(Data!1456:1456,1,$P$1-8))+(INDEX(Data!177:177,1,$P$1-7)+INDEX(Data!498:498,1,$P$1-7)-INDEX(Data!1456:1456,1,$P$1-7))</f>
        <v>4104606</v>
      </c>
      <c r="H144" s="87">
        <f>(INDEX(Data!177:177,1,$P$1-6)+INDEX(Data!498:498,1,$P$1-6)-INDEX(Data!1456:1456,1,$P$1-6))+(INDEX(Data!177:177,1,$P$1-5)+INDEX(Data!498:498,1,$P$1-5)-INDEX(Data!1456:1456,1,$P$1-5))</f>
        <v>4011589</v>
      </c>
      <c r="I144" s="404">
        <f>(INDEX(Data!177:177,1,$P$1-4)+INDEX(Data!498:498,1,$P$1-4)-INDEX(Data!1456:1456,1,$P$1-4))+(INDEX(Data!177:177,1,$P$1-3)+INDEX(Data!498:498,1,$P$1-3)-INDEX(Data!1456:1456,1,$P$1-3))</f>
        <v>4310852</v>
      </c>
      <c r="J144" s="90">
        <f>(INDEX(Data!177:177,1,$P$1-2)+INDEX(Data!498:498,1,$P$1-2)-INDEX(Data!1456:1456,1,$P$1-2))+(INDEX(Data!177:177,1,$P$1-1)+INDEX(Data!498:498,1,$P$1-1)-INDEX(Data!1456:1456,1,$P$1-1))</f>
        <v>4175171</v>
      </c>
      <c r="K144" s="88">
        <f>(INDEX(Data!177:177,1,$P$1)+INDEX(Data!498:498,1,$P$1)-INDEX(Data!1456:1456,1,$P$1))+(INDEX(Data!177:177,1,$P$1+1)+INDEX(Data!498:498,1,$P$1+1)-INDEX(Data!1456:1456,1,$P$1+1))</f>
        <v>4220762</v>
      </c>
    </row>
    <row r="145" spans="1:13" hidden="1" outlineLevel="1">
      <c r="A145" s="677" t="s">
        <v>60</v>
      </c>
      <c r="B145" s="86">
        <f>(INDEX(Data!82:82,1,$P$1-8)+INDEX(Data!479:479,1,$P$1-8)-INDEX(Data!1303:1303,1,$P$1-8))+(INDEX(Data!82:82,1,$P$1-7)+INDEX(Data!479:479,1,$P$1-7)-INDEX(Data!1303:1303,1,$P$1-7))</f>
        <v>4713634</v>
      </c>
      <c r="C145" s="87">
        <f>(INDEX(Data!82:82,1,$P$1-6)+INDEX(Data!479:479,1,$P$1-6)-INDEX(Data!1303:1303,1,$P$1-6))+(INDEX(Data!82:82,1,$P$1-5)+INDEX(Data!479:479,1,$P$1-5)-INDEX(Data!1303:1303,1,$P$1-5))</f>
        <v>3230500</v>
      </c>
      <c r="D145" s="404">
        <f>(INDEX(Data!82:82,1,$P$1-4)+INDEX(Data!479:479,1,$P$1-4)-INDEX(Data!1303:1303,1,$P$1-4))+(INDEX(Data!82:82,1,$P$1-3)+INDEX(Data!479:479,1,$P$1-3)-INDEX(Data!1303:1303,1,$P$1-3))</f>
        <v>3105254</v>
      </c>
      <c r="E145" s="90">
        <f>(INDEX(Data!82:82,1,$P$1-2)+INDEX(Data!479:479,1,$P$1-2)-INDEX(Data!1303:1303,1,$P$1-2))+(INDEX(Data!82:82,1,$P$1-1)+INDEX(Data!479:479,1,$P$1-1)-INDEX(Data!1303:1303,1,$P$1-1))</f>
        <v>2967973</v>
      </c>
      <c r="F145" s="88">
        <f>(INDEX(Data!82:82,1,$P$1)+INDEX(Data!479:479,1,$P$1)-INDEX(Data!1303:1303,1,$P$1))+(INDEX(Data!82:82,1,$P$1+1)+INDEX(Data!479:479,1,$P$1+1)-INDEX(Data!1303:1303,1,$P$1+1))</f>
        <v>3262254</v>
      </c>
      <c r="G145" s="91">
        <f>(INDEX(Data!181:181,1,$P$1-8)+INDEX(Data!479:479,1,$P$1-8)-INDEX(Data!1460:1460,1,$P$1-8))+(INDEX(Data!181:181,1,$P$1-7)+INDEX(Data!479:479,1,$P$1-7)-INDEX(Data!1460:1460,1,$P$1-7))</f>
        <v>4713634</v>
      </c>
      <c r="H145" s="87">
        <f>(INDEX(Data!181:181,1,$P$1-6)+INDEX(Data!479:479,1,$P$1-6)-INDEX(Data!1460:1460,1,$P$1-6))+(INDEX(Data!181:181,1,$P$1-5)+INDEX(Data!479:479,1,$P$1-5)-INDEX(Data!1460:1460,1,$P$1-5))</f>
        <v>3230500</v>
      </c>
      <c r="I145" s="404">
        <f>(INDEX(Data!181:181,1,$P$1-4)+INDEX(Data!479:479,1,$P$1-4)-INDEX(Data!1460:1460,1,$P$1-4))+(INDEX(Data!181:181,1,$P$1-3)+INDEX(Data!479:479,1,$P$1-3)-INDEX(Data!1460:1460,1,$P$1-3))</f>
        <v>3105254</v>
      </c>
      <c r="J145" s="90">
        <f>(INDEX(Data!181:181,1,$P$1-2)+INDEX(Data!479:479,1,$P$1-2)-INDEX(Data!1460:1460,1,$P$1-2))+(INDEX(Data!181:181,1,$P$1-1)+INDEX(Data!479:479,1,$P$1-1)-INDEX(Data!1460:1460,1,$P$1-1))</f>
        <v>2967973</v>
      </c>
      <c r="K145" s="88">
        <f>(INDEX(Data!181:181,1,$P$1)+INDEX(Data!479:479,1,$P$1)-INDEX(Data!1460:1460,1,$P$1))+(INDEX(Data!181:181,1,$P$1+1)+INDEX(Data!479:479,1,$P$1+1)-INDEX(Data!1460:1460,1,$P$1+1))</f>
        <v>3262254</v>
      </c>
    </row>
    <row r="146" spans="1:13" collapsed="1">
      <c r="A146" s="113" t="s">
        <v>1830</v>
      </c>
      <c r="B146" s="105">
        <f>SUM(B140:B145)</f>
        <v>92400678</v>
      </c>
      <c r="C146" s="106">
        <f t="shared" ref="C146:E146" si="21">SUM(C140:C145)</f>
        <v>55615194</v>
      </c>
      <c r="D146" s="465">
        <f t="shared" si="21"/>
        <v>98435750</v>
      </c>
      <c r="E146" s="115">
        <f t="shared" si="21"/>
        <v>145681101</v>
      </c>
      <c r="F146" s="107">
        <f>SUM(F140:F145)</f>
        <v>126566772</v>
      </c>
      <c r="G146" s="405">
        <f>SUM(G140:G145)</f>
        <v>90156678</v>
      </c>
      <c r="H146" s="106">
        <f t="shared" ref="H146:J146" si="22">SUM(H140:H145)</f>
        <v>53265194</v>
      </c>
      <c r="I146" s="465">
        <f t="shared" si="22"/>
        <v>93616386</v>
      </c>
      <c r="J146" s="115">
        <f t="shared" si="22"/>
        <v>143210625</v>
      </c>
      <c r="K146" s="107">
        <f>SUM(K140:K145)</f>
        <v>124032296</v>
      </c>
    </row>
    <row r="147" spans="1:13" ht="25.5" hidden="1" outlineLevel="1">
      <c r="A147" s="79" t="s">
        <v>1433</v>
      </c>
      <c r="B147" s="86">
        <f>(INDEX(Data!91:91,1,$P$1-8)+INDEX(Data!435:435,1,$P$1-8)-INDEX(Data!1312:1312,1,$P$1-8))+(INDEX(Data!91:91,1,$P$1-7)+INDEX(Data!435:435,1,$P$1-7)-INDEX(Data!1312:1312,1,$P$1-7))</f>
        <v>303260293</v>
      </c>
      <c r="C147" s="87">
        <f>(INDEX(Data!91:91,1,$P$1-6)+INDEX(Data!435:435,1,$P$1-6)-INDEX(Data!1312:1312,1,$P$1-6))+(INDEX(Data!91:91,1,$P$1-5)+INDEX(Data!435:435,1,$P$1-5)-INDEX(Data!1312:1312,1,$P$1-5))</f>
        <v>330307475</v>
      </c>
      <c r="D147" s="404">
        <f>(INDEX(Data!91:91,1,$P$1-4)+INDEX(Data!435:435,1,$P$1-4)-INDEX(Data!1312:1312,1,$P$1-4))+(INDEX(Data!91:91,1,$P$1-3)+INDEX(Data!435:435,1,$P$1-3)-INDEX(Data!1312:1312,1,$P$1-3))</f>
        <v>367205475</v>
      </c>
      <c r="E147" s="90">
        <f>(INDEX(Data!91:91,1,$P$1-2)+INDEX(Data!435:435,1,$P$1-2)-INDEX(Data!1312:1312,1,$P$1-2))+(INDEX(Data!91:91,1,$P$1-1)+INDEX(Data!435:435,1,$P$1-1)-INDEX(Data!1312:1312,1,$P$1-1))</f>
        <v>378059496</v>
      </c>
      <c r="F147" s="88">
        <f>(INDEX(Data!91:91,1,$P$1)+INDEX(Data!435:435,1,$P$1)-INDEX(Data!1312:1312,1,$P$1))+(INDEX(Data!91:91,1,$P$1+1)+INDEX(Data!435:435,1,$P$1+1)-INDEX(Data!1312:1312,1,$P$1+1))</f>
        <v>395055508</v>
      </c>
      <c r="G147" s="91">
        <f>(INDEX(Data!190:190,1,$P$1-8)+INDEX(Data!435:435,1,$P$1-8)-INDEX(Data!1469:1469,1,$P$1-8))+(INDEX(Data!190:190,1,$P$1-7)+INDEX(Data!435:435,1,$P$1-7)-INDEX(Data!1469:1469,1,$P$1-7))</f>
        <v>274254959</v>
      </c>
      <c r="H147" s="87">
        <f>(INDEX(Data!190:190,1,$P$1-6)+INDEX(Data!435:435,1,$P$1-6)-INDEX(Data!1469:1469,1,$P$1-6))+(INDEX(Data!190:190,1,$P$1-5)+INDEX(Data!435:435,1,$P$1-5)-INDEX(Data!1469:1469,1,$P$1-5))</f>
        <v>306108918</v>
      </c>
      <c r="I147" s="404">
        <f>(INDEX(Data!190:190,1,$P$1-4)+INDEX(Data!435:435,1,$P$1-4)-INDEX(Data!1469:1469,1,$P$1-4))+(INDEX(Data!190:190,1,$P$1-3)+INDEX(Data!435:435,1,$P$1-3)-INDEX(Data!1469:1469,1,$P$1-3))</f>
        <v>340976480</v>
      </c>
      <c r="J147" s="90">
        <f>(INDEX(Data!190:190,1,$P$1-2)+INDEX(Data!435:435,1,$P$1-2)-INDEX(Data!1469:1469,1,$P$1-2))+(INDEX(Data!190:190,1,$P$1-1)+INDEX(Data!435:435,1,$P$1-1)-INDEX(Data!1469:1469,1,$P$1-1))</f>
        <v>352080399</v>
      </c>
      <c r="K147" s="88">
        <f>(INDEX(Data!190:190,1,$P$1)+INDEX(Data!435:435,1,$P$1)-INDEX(Data!1469:1469,1,$P$1))+(INDEX(Data!190:190,1,$P$1+1)+INDEX(Data!435:435,1,$P$1+1)-INDEX(Data!1469:1469,1,$P$1+1))</f>
        <v>367499240</v>
      </c>
    </row>
    <row r="148" spans="1:13" ht="25.5" hidden="1" outlineLevel="1">
      <c r="A148" s="79" t="s">
        <v>1434</v>
      </c>
      <c r="B148" s="86">
        <f>(INDEX(Data!92:92,1,$P$1-8)+INDEX(Data!436:436,1,$P$1-8)-INDEX(Data!1313:1313,1,$P$1-8))+(INDEX(Data!92:92,1,$P$1-7)+INDEX(Data!436:436,1,$P$1-7)-INDEX(Data!1313:1313,1,$P$1-7))</f>
        <v>1293877600</v>
      </c>
      <c r="C148" s="87">
        <f>(INDEX(Data!92:92,1,$P$1-6)+INDEX(Data!436:436,1,$P$1-6)-INDEX(Data!1313:1313,1,$P$1-6))+(INDEX(Data!92:92,1,$P$1-5)+INDEX(Data!436:436,1,$P$1-5)-INDEX(Data!1313:1313,1,$P$1-5))</f>
        <v>637816712</v>
      </c>
      <c r="D148" s="404">
        <f>(INDEX(Data!92:92,1,$P$1-4)+INDEX(Data!436:436,1,$P$1-4)-INDEX(Data!1313:1313,1,$P$1-4))+(INDEX(Data!92:92,1,$P$1-3)+INDEX(Data!436:436,1,$P$1-3)-INDEX(Data!1313:1313,1,$P$1-3))</f>
        <v>666986155</v>
      </c>
      <c r="E148" s="90">
        <f>(INDEX(Data!92:92,1,$P$1-2)+INDEX(Data!436:436,1,$P$1-2)-INDEX(Data!1313:1313,1,$P$1-2))+(INDEX(Data!92:92,1,$P$1-1)+INDEX(Data!436:436,1,$P$1-1)-INDEX(Data!1313:1313,1,$P$1-1))</f>
        <v>671783491</v>
      </c>
      <c r="F148" s="88">
        <f>(INDEX(Data!92:92,1,$P$1)+INDEX(Data!436:436,1,$P$1)-INDEX(Data!1313:1313,1,$P$1))+(INDEX(Data!92:92,1,$P$1+1)+INDEX(Data!436:436,1,$P$1+1)-INDEX(Data!1313:1313,1,$P$1+1))</f>
        <v>685568618</v>
      </c>
      <c r="G148" s="91">
        <f>(INDEX(Data!191:191,1,$P$1-8)+INDEX(Data!436:436,1,$P$1-8)-INDEX(Data!1470:1470,1,$P$1-8))+(INDEX(Data!191:191,1,$P$1-7)+INDEX(Data!436:436,1,$P$1-7)-INDEX(Data!1470:1470,1,$P$1-7))</f>
        <v>551520712</v>
      </c>
      <c r="H148" s="87">
        <f>(INDEX(Data!191:191,1,$P$1-6)+INDEX(Data!436:436,1,$P$1-6)-INDEX(Data!1470:1470,1,$P$1-6))+(INDEX(Data!191:191,1,$P$1-5)+INDEX(Data!436:436,1,$P$1-5)-INDEX(Data!1470:1470,1,$P$1-5))</f>
        <v>598952078</v>
      </c>
      <c r="I148" s="404">
        <f>(INDEX(Data!191:191,1,$P$1-4)+INDEX(Data!436:436,1,$P$1-4)-INDEX(Data!1470:1470,1,$P$1-4))+(INDEX(Data!191:191,1,$P$1-3)+INDEX(Data!436:436,1,$P$1-3)-INDEX(Data!1470:1470,1,$P$1-3))</f>
        <v>624627860</v>
      </c>
      <c r="J148" s="90">
        <f>(INDEX(Data!191:191,1,$P$1-2)+INDEX(Data!436:436,1,$P$1-2)-INDEX(Data!1470:1470,1,$P$1-2))+(INDEX(Data!191:191,1,$P$1-1)+INDEX(Data!436:436,1,$P$1-1)-INDEX(Data!1470:1470,1,$P$1-1))</f>
        <v>637092556</v>
      </c>
      <c r="K148" s="88">
        <f>(INDEX(Data!191:191,1,$P$1)+INDEX(Data!436:436,1,$P$1)-INDEX(Data!1470:1470,1,$P$1))+(INDEX(Data!191:191,1,$P$1+1)+INDEX(Data!436:436,1,$P$1+1)-INDEX(Data!1470:1470,1,$P$1+1))</f>
        <v>651108260</v>
      </c>
    </row>
    <row r="149" spans="1:13" ht="25.5" hidden="1" outlineLevel="1">
      <c r="A149" s="79" t="s">
        <v>1435</v>
      </c>
      <c r="B149" s="86">
        <f>(INDEX(Data!93:93,1,$P$1-8)+INDEX(Data!437:437,1,$P$1-8)-INDEX(Data!1314:1314,1,$P$1-8))+(INDEX(Data!93:93,1,$P$1-7)+INDEX(Data!437:437,1,$P$1-7)-INDEX(Data!1314:1314,1,$P$1-7))</f>
        <v>378974650</v>
      </c>
      <c r="C149" s="87">
        <f>(INDEX(Data!93:93,1,$P$1-6)+INDEX(Data!437:437,1,$P$1-6)-INDEX(Data!1314:1314,1,$P$1-6))+(INDEX(Data!93:93,1,$P$1-5)+INDEX(Data!437:437,1,$P$1-5)-INDEX(Data!1314:1314,1,$P$1-5))</f>
        <v>409477038</v>
      </c>
      <c r="D149" s="404">
        <f>(INDEX(Data!93:93,1,$P$1-4)+INDEX(Data!437:437,1,$P$1-4)-INDEX(Data!1314:1314,1,$P$1-4))+(INDEX(Data!93:93,1,$P$1-3)+INDEX(Data!437:437,1,$P$1-3)-INDEX(Data!1314:1314,1,$P$1-3))</f>
        <v>430378727</v>
      </c>
      <c r="E149" s="90">
        <f>(INDEX(Data!93:93,1,$P$1-2)+INDEX(Data!437:437,1,$P$1-2)-INDEX(Data!1314:1314,1,$P$1-2))+(INDEX(Data!93:93,1,$P$1-1)+INDEX(Data!437:437,1,$P$1-1)-INDEX(Data!1314:1314,1,$P$1-1))</f>
        <v>445837921</v>
      </c>
      <c r="F149" s="88">
        <f>(INDEX(Data!93:93,1,$P$1)+INDEX(Data!437:437,1,$P$1)-INDEX(Data!1314:1314,1,$P$1))+(INDEX(Data!93:93,1,$P$1+1)+INDEX(Data!437:437,1,$P$1+1)-INDEX(Data!1314:1314,1,$P$1+1))</f>
        <v>483678737</v>
      </c>
      <c r="G149" s="91">
        <f>(INDEX(Data!192:192,1,$P$1-8)+INDEX(Data!437:437,1,$P$1-8)-INDEX(Data!1471:1471,1,$P$1-8))+(INDEX(Data!192:192,1,$P$1-7)+INDEX(Data!437:437,1,$P$1-7)-INDEX(Data!1471:1471,1,$P$1-7))</f>
        <v>325375419</v>
      </c>
      <c r="H149" s="87">
        <f>(INDEX(Data!192:192,1,$P$1-6)+INDEX(Data!437:437,1,$P$1-6)-INDEX(Data!1471:1471,1,$P$1-6))+(INDEX(Data!192:192,1,$P$1-5)+INDEX(Data!437:437,1,$P$1-5)-INDEX(Data!1471:1471,1,$P$1-5))</f>
        <v>361438897</v>
      </c>
      <c r="I149" s="404">
        <f>(INDEX(Data!192:192,1,$P$1-4)+INDEX(Data!437:437,1,$P$1-4)-INDEX(Data!1471:1471,1,$P$1-4))+(INDEX(Data!192:192,1,$P$1-3)+INDEX(Data!437:437,1,$P$1-3)-INDEX(Data!1471:1471,1,$P$1-3))</f>
        <v>379592269</v>
      </c>
      <c r="J149" s="90">
        <f>(INDEX(Data!192:192,1,$P$1-2)+INDEX(Data!437:437,1,$P$1-2)-INDEX(Data!1471:1471,1,$P$1-2))+(INDEX(Data!192:192,1,$P$1-1)+INDEX(Data!437:437,1,$P$1-1)-INDEX(Data!1471:1471,1,$P$1-1))</f>
        <v>390821114</v>
      </c>
      <c r="K149" s="88">
        <f>(INDEX(Data!192:192,1,$P$1)+INDEX(Data!437:437,1,$P$1)-INDEX(Data!1471:1471,1,$P$1))+(INDEX(Data!192:192,1,$P$1+1)+INDEX(Data!437:437,1,$P$1+1)-INDEX(Data!1471:1471,1,$P$1+1))</f>
        <v>425181451</v>
      </c>
    </row>
    <row r="150" spans="1:13" ht="25.5" hidden="1" outlineLevel="1">
      <c r="A150" s="79" t="s">
        <v>1436</v>
      </c>
      <c r="B150" s="86">
        <f>(INDEX(Data!94:94,1,$P$1-8)+INDEX(Data!438:438,1,$P$1-8)-INDEX(Data!1315:1315,1,$P$1-8))+(INDEX(Data!94:94,1,$P$1-7)+INDEX(Data!438:438,1,$P$1-7)-INDEX(Data!1315:1315,1,$P$1-7))</f>
        <v>349829681</v>
      </c>
      <c r="C150" s="87">
        <f>(INDEX(Data!94:94,1,$P$1-6)+INDEX(Data!438:438,1,$P$1-6)-INDEX(Data!1315:1315,1,$P$1-6))+(INDEX(Data!94:94,1,$P$1-5)+INDEX(Data!438:438,1,$P$1-5)-INDEX(Data!1315:1315,1,$P$1-5))</f>
        <v>362482099</v>
      </c>
      <c r="D150" s="404">
        <f>(INDEX(Data!94:94,1,$P$1-4)+INDEX(Data!438:438,1,$P$1-4)-INDEX(Data!1315:1315,1,$P$1-4))+(INDEX(Data!94:94,1,$P$1-3)+INDEX(Data!438:438,1,$P$1-3)-INDEX(Data!1315:1315,1,$P$1-3))</f>
        <v>348073220</v>
      </c>
      <c r="E150" s="90">
        <f>(INDEX(Data!94:94,1,$P$1-2)+INDEX(Data!438:438,1,$P$1-2)-INDEX(Data!1315:1315,1,$P$1-2))+(INDEX(Data!94:94,1,$P$1-1)+INDEX(Data!438:438,1,$P$1-1)-INDEX(Data!1315:1315,1,$P$1-1))</f>
        <v>360185023</v>
      </c>
      <c r="F150" s="88">
        <f>(INDEX(Data!94:94,1,$P$1)+INDEX(Data!438:438,1,$P$1)-INDEX(Data!1315:1315,1,$P$1))+(INDEX(Data!94:94,1,$P$1+1)+INDEX(Data!438:438,1,$P$1+1)-INDEX(Data!1315:1315,1,$P$1+1))</f>
        <v>388505951</v>
      </c>
      <c r="G150" s="91">
        <f>(INDEX(Data!193:193,1,$P$1-8)+INDEX(Data!438:438,1,$P$1-8)-INDEX(Data!1472:1472,1,$P$1-8))+(INDEX(Data!193:193,1,$P$1-7)+INDEX(Data!438:438,1,$P$1-7)-INDEX(Data!1472:1472,1,$P$1-7))</f>
        <v>291291163</v>
      </c>
      <c r="H150" s="87">
        <f>(INDEX(Data!193:193,1,$P$1-6)+INDEX(Data!438:438,1,$P$1-6)-INDEX(Data!1472:1472,1,$P$1-6))+(INDEX(Data!193:193,1,$P$1-5)+INDEX(Data!438:438,1,$P$1-5)-INDEX(Data!1472:1472,1,$P$1-5))</f>
        <v>318789820</v>
      </c>
      <c r="I150" s="404">
        <f>(INDEX(Data!193:193,1,$P$1-4)+INDEX(Data!438:438,1,$P$1-4)-INDEX(Data!1472:1472,1,$P$1-4))+(INDEX(Data!193:193,1,$P$1-3)+INDEX(Data!438:438,1,$P$1-3)-INDEX(Data!1472:1472,1,$P$1-3))</f>
        <v>302563182</v>
      </c>
      <c r="J150" s="90">
        <f>(INDEX(Data!193:193,1,$P$1-2)+INDEX(Data!438:438,1,$P$1-2)-INDEX(Data!1472:1472,1,$P$1-2))+(INDEX(Data!193:193,1,$P$1-1)+INDEX(Data!438:438,1,$P$1-1)-INDEX(Data!1472:1472,1,$P$1-1))</f>
        <v>310184915</v>
      </c>
      <c r="K150" s="88">
        <f>(INDEX(Data!193:193,1,$P$1)+INDEX(Data!438:438,1,$P$1)-INDEX(Data!1472:1472,1,$P$1))+(INDEX(Data!193:193,1,$P$1+1)+INDEX(Data!438:438,1,$P$1+1)-INDEX(Data!1472:1472,1,$P$1+1))</f>
        <v>336799745</v>
      </c>
    </row>
    <row r="151" spans="1:13" ht="25.5" hidden="1" outlineLevel="1">
      <c r="A151" s="79" t="s">
        <v>1437</v>
      </c>
      <c r="B151" s="86">
        <f>(INDEX(Data!96:96,1,$P$1-8)+INDEX(Data!439:439,1,$P$1-8)-INDEX(Data!1317:1317,1,$P$1-8))+(INDEX(Data!96:96,1,$P$1-7)+INDEX(Data!439:439,1,$P$1-7)-INDEX(Data!1317:1317,1,$P$1-7))</f>
        <v>5054874511</v>
      </c>
      <c r="C151" s="87">
        <f>(INDEX(Data!96:96,1,$P$1-6)+INDEX(Data!439:439,1,$P$1-6)-INDEX(Data!1317:1317,1,$P$1-6))+(INDEX(Data!96:96,1,$P$1-5)+INDEX(Data!439:439,1,$P$1-5)-INDEX(Data!1317:1317,1,$P$1-5))</f>
        <v>373905680</v>
      </c>
      <c r="D151" s="404">
        <f>(INDEX(Data!96:96,1,$P$1-4)+INDEX(Data!439:439,1,$P$1-4)-INDEX(Data!1317:1317,1,$P$1-4))+(INDEX(Data!96:96,1,$P$1-3)+INDEX(Data!439:439,1,$P$1-3)-INDEX(Data!1317:1317,1,$P$1-3))</f>
        <v>402507457</v>
      </c>
      <c r="E151" s="90">
        <f>(INDEX(Data!96:96,1,$P$1-2)+INDEX(Data!439:439,1,$P$1-2)-INDEX(Data!1317:1317,1,$P$1-2))+(INDEX(Data!96:96,1,$P$1-1)+INDEX(Data!439:439,1,$P$1-1)-INDEX(Data!1317:1317,1,$P$1-1))</f>
        <v>420487174</v>
      </c>
      <c r="F151" s="88">
        <f>(INDEX(Data!96:96,1,$P$1)+INDEX(Data!439:439,1,$P$1)-INDEX(Data!1317:1317,1,$P$1))+(INDEX(Data!96:96,1,$P$1+1)+INDEX(Data!439:439,1,$P$1+1)-INDEX(Data!1317:1317,1,$P$1+1))</f>
        <v>437565111</v>
      </c>
      <c r="G151" s="91">
        <f>(INDEX(Data!195:195,1,$P$1-8)+INDEX(Data!439:439,1,$P$1-8)-INDEX(Data!1474:1474,1,$P$1-8))+(INDEX(Data!195:195,1,$P$1-7)+INDEX(Data!439:439,1,$P$1-7)-INDEX(Data!1474:1474,1,$P$1-7))</f>
        <v>309869723</v>
      </c>
      <c r="H151" s="87">
        <f>(INDEX(Data!195:195,1,$P$1-6)+INDEX(Data!439:439,1,$P$1-6)-INDEX(Data!1474:1474,1,$P$1-6))+(INDEX(Data!195:195,1,$P$1-5)+INDEX(Data!439:439,1,$P$1-5)-INDEX(Data!1474:1474,1,$P$1-5))</f>
        <v>355586415</v>
      </c>
      <c r="I151" s="404">
        <f>(INDEX(Data!195:195,1,$P$1-4)+INDEX(Data!439:439,1,$P$1-4)-INDEX(Data!1474:1474,1,$P$1-4))+(INDEX(Data!195:195,1,$P$1-3)+INDEX(Data!439:439,1,$P$1-3)-INDEX(Data!1474:1474,1,$P$1-3))</f>
        <v>384107724</v>
      </c>
      <c r="J151" s="90">
        <f>(INDEX(Data!195:195,1,$P$1-2)+INDEX(Data!439:439,1,$P$1-2)-INDEX(Data!1474:1474,1,$P$1-2))+(INDEX(Data!195:195,1,$P$1-1)+INDEX(Data!439:439,1,$P$1-1)-INDEX(Data!1474:1474,1,$P$1-1))</f>
        <v>401365870</v>
      </c>
      <c r="K151" s="88">
        <f>(INDEX(Data!195:195,1,$P$1)+INDEX(Data!439:439,1,$P$1)-INDEX(Data!1474:1474,1,$P$1))+(INDEX(Data!195:195,1,$P$1+1)+INDEX(Data!439:439,1,$P$1+1)-INDEX(Data!1474:1474,1,$P$1+1))</f>
        <v>418204977</v>
      </c>
    </row>
    <row r="152" spans="1:13" ht="25.5" hidden="1" outlineLevel="1">
      <c r="A152" s="79" t="s">
        <v>1438</v>
      </c>
      <c r="B152" s="86">
        <f>(INDEX(Data!97:97,1,$P$1-8)+INDEX(Data!440:440,1,$P$1-8)-INDEX(Data!1318:1318,1,$P$1-8))+(INDEX(Data!97:97,1,$P$1-7)+INDEX(Data!440:440,1,$P$1-7)-INDEX(Data!1318:1318,1,$P$1-7))</f>
        <v>181183873</v>
      </c>
      <c r="C152" s="87">
        <f>(INDEX(Data!97:97,1,$P$1-6)+INDEX(Data!440:440,1,$P$1-6)-INDEX(Data!1318:1318,1,$P$1-6))+(INDEX(Data!97:97,1,$P$1-5)+INDEX(Data!440:440,1,$P$1-5)-INDEX(Data!1318:1318,1,$P$1-5))</f>
        <v>86721996</v>
      </c>
      <c r="D152" s="404">
        <f>(INDEX(Data!97:97,1,$P$1-4)+INDEX(Data!440:440,1,$P$1-4)-INDEX(Data!1318:1318,1,$P$1-4))+(INDEX(Data!97:97,1,$P$1-3)+INDEX(Data!440:440,1,$P$1-3)-INDEX(Data!1318:1318,1,$P$1-3))</f>
        <v>107191068</v>
      </c>
      <c r="E152" s="90">
        <f>(INDEX(Data!97:97,1,$P$1-2)+INDEX(Data!440:440,1,$P$1-2)-INDEX(Data!1318:1318,1,$P$1-2))+(INDEX(Data!97:97,1,$P$1-1)+INDEX(Data!440:440,1,$P$1-1)-INDEX(Data!1318:1318,1,$P$1-1))</f>
        <v>101848364</v>
      </c>
      <c r="F152" s="88">
        <f>(INDEX(Data!97:97,1,$P$1)+INDEX(Data!440:440,1,$P$1)-INDEX(Data!1318:1318,1,$P$1))+(INDEX(Data!97:97,1,$P$1+1)+INDEX(Data!440:440,1,$P$1+1)-INDEX(Data!1318:1318,1,$P$1+1))</f>
        <v>112977582</v>
      </c>
      <c r="G152" s="91">
        <f>(INDEX(Data!196:196,1,$P$1-8)+INDEX(Data!440:440,1,$P$1-8)-INDEX(Data!1475:1475,1,$P$1-8))+(INDEX(Data!196:196,1,$P$1-7)+INDEX(Data!440:440,1,$P$1-7)-INDEX(Data!1475:1475,1,$P$1-7))</f>
        <v>77037583</v>
      </c>
      <c r="H152" s="87">
        <f>(INDEX(Data!196:196,1,$P$1-6)+INDEX(Data!440:440,1,$P$1-6)-INDEX(Data!1475:1475,1,$P$1-6))+(INDEX(Data!196:196,1,$P$1-5)+INDEX(Data!440:440,1,$P$1-5)-INDEX(Data!1475:1475,1,$P$1-5))</f>
        <v>80999992</v>
      </c>
      <c r="I152" s="404">
        <f>(INDEX(Data!196:196,1,$P$1-4)+INDEX(Data!440:440,1,$P$1-4)-INDEX(Data!1475:1475,1,$P$1-4))+(INDEX(Data!196:196,1,$P$1-3)+INDEX(Data!440:440,1,$P$1-3)-INDEX(Data!1475:1475,1,$P$1-3))</f>
        <v>100846430</v>
      </c>
      <c r="J152" s="90">
        <f>(INDEX(Data!196:196,1,$P$1-2)+INDEX(Data!440:440,1,$P$1-2)-INDEX(Data!1475:1475,1,$P$1-2))+(INDEX(Data!196:196,1,$P$1-1)+INDEX(Data!440:440,1,$P$1-1)-INDEX(Data!1475:1475,1,$P$1-1))</f>
        <v>95121838</v>
      </c>
      <c r="K152" s="88">
        <f>(INDEX(Data!196:196,1,$P$1)+INDEX(Data!440:440,1,$P$1)-INDEX(Data!1475:1475,1,$P$1))+(INDEX(Data!196:196,1,$P$1+1)+INDEX(Data!440:440,1,$P$1+1)-INDEX(Data!1475:1475,1,$P$1+1))</f>
        <v>106032136</v>
      </c>
    </row>
    <row r="153" spans="1:13" ht="25.5" hidden="1" outlineLevel="1">
      <c r="A153" s="79" t="s">
        <v>1439</v>
      </c>
      <c r="B153" s="86">
        <f>(INDEX(Data!98:98,1,$P$1-8)+INDEX(Data!444:444,1,$P$1-8)-INDEX(Data!1319:1319,1,$P$1-8))+(INDEX(Data!98:98,1,$P$1-7)+INDEX(Data!444:444,1,$P$1-7)-INDEX(Data!1319:1319,1,$P$1-7))</f>
        <v>251508244</v>
      </c>
      <c r="C153" s="87">
        <f>(INDEX(Data!98:98,1,$P$1-6)+INDEX(Data!444:444,1,$P$1-6)-INDEX(Data!1319:1319,1,$P$1-6))+(INDEX(Data!98:98,1,$P$1-5)+INDEX(Data!444:444,1,$P$1-5)-INDEX(Data!1319:1319,1,$P$1-5))</f>
        <v>281925224</v>
      </c>
      <c r="D153" s="404">
        <f>(INDEX(Data!98:98,1,$P$1-4)+INDEX(Data!444:444,1,$P$1-4)-INDEX(Data!1319:1319,1,$P$1-4))+(INDEX(Data!98:98,1,$P$1-3)+INDEX(Data!444:444,1,$P$1-3)-INDEX(Data!1319:1319,1,$P$1-3))</f>
        <v>316054375</v>
      </c>
      <c r="E153" s="90">
        <f>(INDEX(Data!98:98,1,$P$1-2)+INDEX(Data!444:444,1,$P$1-2)-INDEX(Data!1319:1319,1,$P$1-2))+(INDEX(Data!98:98,1,$P$1-1)+INDEX(Data!444:444,1,$P$1-1)-INDEX(Data!1319:1319,1,$P$1-1))</f>
        <v>342034494</v>
      </c>
      <c r="F153" s="88">
        <f>(INDEX(Data!98:98,1,$P$1)+INDEX(Data!444:444,1,$P$1)-INDEX(Data!1319:1319,1,$P$1))+(INDEX(Data!98:98,1,$P$1+1)+INDEX(Data!444:444,1,$P$1+1)-INDEX(Data!1319:1319,1,$P$1+1))</f>
        <v>347400876</v>
      </c>
      <c r="G153" s="91">
        <f>(INDEX(Data!197:197,1,$P$1-8)+INDEX(Data!444:444,1,$P$1-8)-INDEX(Data!1476:1476,1,$P$1-8))+(INDEX(Data!197:197,1,$P$1-7)+INDEX(Data!444:444,1,$P$1-7)-INDEX(Data!1476:1476,1,$P$1-7))</f>
        <v>204476868</v>
      </c>
      <c r="H153" s="87">
        <f>(INDEX(Data!197:197,1,$P$1-6)+INDEX(Data!444:444,1,$P$1-6)-INDEX(Data!1476:1476,1,$P$1-6))+(INDEX(Data!197:197,1,$P$1-5)+INDEX(Data!444:444,1,$P$1-5)-INDEX(Data!1476:1476,1,$P$1-5))</f>
        <v>251919263</v>
      </c>
      <c r="I153" s="404">
        <f>(INDEX(Data!197:197,1,$P$1-4)+INDEX(Data!444:444,1,$P$1-4)-INDEX(Data!1476:1476,1,$P$1-4))+(INDEX(Data!197:197,1,$P$1-3)+INDEX(Data!444:444,1,$P$1-3)-INDEX(Data!1476:1476,1,$P$1-3))</f>
        <v>281715277</v>
      </c>
      <c r="J153" s="90">
        <f>(INDEX(Data!197:197,1,$P$1-2)+INDEX(Data!444:444,1,$P$1-2)-INDEX(Data!1476:1476,1,$P$1-2))+(INDEX(Data!197:197,1,$P$1-1)+INDEX(Data!444:444,1,$P$1-1)-INDEX(Data!1476:1476,1,$P$1-1))</f>
        <v>303902457</v>
      </c>
      <c r="K153" s="88">
        <f>(INDEX(Data!197:197,1,$P$1)+INDEX(Data!444:444,1,$P$1)-INDEX(Data!1476:1476,1,$P$1))+(INDEX(Data!197:197,1,$P$1+1)+INDEX(Data!444:444,1,$P$1+1)-INDEX(Data!1476:1476,1,$P$1+1))</f>
        <v>308341234</v>
      </c>
    </row>
    <row r="154" spans="1:13" ht="25.5" hidden="1" outlineLevel="1">
      <c r="A154" s="79" t="s">
        <v>1440</v>
      </c>
      <c r="B154" s="86">
        <f>(INDEX(Data!99:99,1,$P$1-8)+INDEX(Data!483:483,1,$P$1-8)-INDEX(Data!1320:1320,1,$P$1-8))+(INDEX(Data!99:99,1,$P$1-7)+INDEX(Data!483:483,1,$P$1-7)-INDEX(Data!1320:1320,1,$P$1-7))</f>
        <v>148514233</v>
      </c>
      <c r="C154" s="87">
        <f>(INDEX(Data!99:99,1,$P$1-6)+INDEX(Data!483:483,1,$P$1-6)-INDEX(Data!1320:1320,1,$P$1-6))+(INDEX(Data!99:99,1,$P$1-5)+INDEX(Data!483:483,1,$P$1-5)-INDEX(Data!1320:1320,1,$P$1-5))</f>
        <v>171015416</v>
      </c>
      <c r="D154" s="404">
        <f>(INDEX(Data!99:99,1,$P$1-4)+INDEX(Data!483:483,1,$P$1-4)-INDEX(Data!1320:1320,1,$P$1-4))+(INDEX(Data!99:99,1,$P$1-3)+INDEX(Data!483:483,1,$P$1-3)-INDEX(Data!1320:1320,1,$P$1-3))</f>
        <v>205426510</v>
      </c>
      <c r="E154" s="90">
        <f>(INDEX(Data!99:99,1,$P$1-2)+INDEX(Data!483:483,1,$P$1-2)-INDEX(Data!1320:1320,1,$P$1-2))+(INDEX(Data!99:99,1,$P$1-1)+INDEX(Data!483:483,1,$P$1-1)-INDEX(Data!1320:1320,1,$P$1-1))</f>
        <v>217451500</v>
      </c>
      <c r="F154" s="88">
        <f>(INDEX(Data!99:99,1,$P$1)+INDEX(Data!483:483,1,$P$1)-INDEX(Data!1320:1320,1,$P$1))+(INDEX(Data!99:99,1,$P$1+1)+INDEX(Data!483:483,1,$P$1+1)-INDEX(Data!1320:1320,1,$P$1+1))</f>
        <v>226452312</v>
      </c>
      <c r="G154" s="91">
        <f>(INDEX(Data!198:198,1,$P$1-8)+INDEX(Data!483:483,1,$P$1-8)-INDEX(Data!1477:1477,1,$P$1-8))+(INDEX(Data!198:198,1,$P$1-7)+INDEX(Data!483:483,1,$P$1-7)-INDEX(Data!1477:1477,1,$P$1-7))</f>
        <v>121504109</v>
      </c>
      <c r="H154" s="87">
        <f>(INDEX(Data!198:198,1,$P$1-6)+INDEX(Data!483:483,1,$P$1-6)-INDEX(Data!1477:1477,1,$P$1-6))+(INDEX(Data!198:198,1,$P$1-5)+INDEX(Data!483:483,1,$P$1-5)-INDEX(Data!1477:1477,1,$P$1-5))</f>
        <v>150710027</v>
      </c>
      <c r="I154" s="404">
        <f>(INDEX(Data!198:198,1,$P$1-4)+INDEX(Data!483:483,1,$P$1-4)-INDEX(Data!1477:1477,1,$P$1-4))+(INDEX(Data!198:198,1,$P$1-3)+INDEX(Data!483:483,1,$P$1-3)-INDEX(Data!1477:1477,1,$P$1-3))</f>
        <v>180451355</v>
      </c>
      <c r="J154" s="90">
        <f>(INDEX(Data!198:198,1,$P$1-2)+INDEX(Data!483:483,1,$P$1-2)-INDEX(Data!1477:1477,1,$P$1-2))+(INDEX(Data!198:198,1,$P$1-1)+INDEX(Data!483:483,1,$P$1-1)-INDEX(Data!1477:1477,1,$P$1-1))</f>
        <v>190267491</v>
      </c>
      <c r="K154" s="88">
        <f>(INDEX(Data!198:198,1,$P$1)+INDEX(Data!483:483,1,$P$1)-INDEX(Data!1477:1477,1,$P$1))+(INDEX(Data!198:198,1,$P$1+1)+INDEX(Data!483:483,1,$P$1+1)-INDEX(Data!1477:1477,1,$P$1+1))</f>
        <v>204520960</v>
      </c>
    </row>
    <row r="155" spans="1:13" ht="25.5" hidden="1" outlineLevel="1">
      <c r="A155" s="79" t="s">
        <v>942</v>
      </c>
      <c r="B155" s="86">
        <f>(INDEX(Data!100:100,1,$P$1-8)+INDEX(Data!487:487,1,$P$1-8)-INDEX(Data!1321:1321,1,$P$1-8))+(INDEX(Data!100:100,1,$P$1-7)+INDEX(Data!487:487,1,$P$1-7)-INDEX(Data!1321:1321,1,$P$1-7))</f>
        <v>364633431</v>
      </c>
      <c r="C155" s="87">
        <f>(INDEX(Data!100:100,1,$P$1-6)+INDEX(Data!487:487,1,$P$1-6)-INDEX(Data!1321:1321,1,$P$1-6))+(INDEX(Data!100:100,1,$P$1-5)+INDEX(Data!487:487,1,$P$1-5)-INDEX(Data!1321:1321,1,$P$1-5))</f>
        <v>412764888</v>
      </c>
      <c r="D155" s="404">
        <f>(INDEX(Data!100:100,1,$P$1-4)+INDEX(Data!487:487,1,$P$1-4)-INDEX(Data!1321:1321,1,$P$1-4))+(INDEX(Data!100:100,1,$P$1-3)+INDEX(Data!487:487,1,$P$1-3)-INDEX(Data!1321:1321,1,$P$1-3))</f>
        <v>311944289</v>
      </c>
      <c r="E155" s="90">
        <f>(INDEX(Data!100:100,1,$P$1-2)+INDEX(Data!487:487,1,$P$1-2)-INDEX(Data!1321:1321,1,$P$1-2))+(INDEX(Data!100:100,1,$P$1-1)+INDEX(Data!487:487,1,$P$1-1)-INDEX(Data!1321:1321,1,$P$1-1))</f>
        <v>330383193</v>
      </c>
      <c r="F155" s="88">
        <f>(INDEX(Data!100:100,1,$P$1)+INDEX(Data!487:487,1,$P$1)-INDEX(Data!1321:1321,1,$P$1))+(INDEX(Data!100:100,1,$P$1+1)+INDEX(Data!487:487,1,$P$1+1)-INDEX(Data!1321:1321,1,$P$1+1))</f>
        <v>372443097</v>
      </c>
      <c r="G155" s="91">
        <f>(INDEX(Data!199:199,1,$P$1-8)+INDEX(Data!487:487,1,$P$1-8)-INDEX(Data!1478:1478,1,$P$1-8))+(INDEX(Data!199:199,1,$P$1-7)+INDEX(Data!487:487,1,$P$1-7)-INDEX(Data!1478:1478,1,$P$1-7))</f>
        <v>323031742</v>
      </c>
      <c r="H155" s="87">
        <f>(INDEX(Data!199:199,1,$P$1-6)+INDEX(Data!487:487,1,$P$1-6)-INDEX(Data!1478:1478,1,$P$1-6))+(INDEX(Data!199:199,1,$P$1-5)+INDEX(Data!487:487,1,$P$1-5)-INDEX(Data!1478:1478,1,$P$1-5))</f>
        <v>376288924</v>
      </c>
      <c r="I155" s="404">
        <f>(INDEX(Data!199:199,1,$P$1-4)+INDEX(Data!487:487,1,$P$1-4)-INDEX(Data!1478:1478,1,$P$1-4))+(INDEX(Data!199:199,1,$P$1-3)+INDEX(Data!487:487,1,$P$1-3)-INDEX(Data!1478:1478,1,$P$1-3))</f>
        <v>279541987</v>
      </c>
      <c r="J155" s="90">
        <f>(INDEX(Data!199:199,1,$P$1-2)+INDEX(Data!487:487,1,$P$1-2)-INDEX(Data!1478:1478,1,$P$1-2))+(INDEX(Data!199:199,1,$P$1-1)+INDEX(Data!487:487,1,$P$1-1)-INDEX(Data!1478:1478,1,$P$1-1))</f>
        <v>295666551</v>
      </c>
      <c r="K155" s="88">
        <f>(INDEX(Data!199:199,1,$P$1)+INDEX(Data!487:487,1,$P$1)-INDEX(Data!1478:1478,1,$P$1))+(INDEX(Data!199:199,1,$P$1+1)+INDEX(Data!487:487,1,$P$1+1)-INDEX(Data!1478:1478,1,$P$1+1))</f>
        <v>334654317</v>
      </c>
    </row>
    <row r="156" spans="1:13" ht="25.5" hidden="1" outlineLevel="1">
      <c r="A156" s="79" t="s">
        <v>1556</v>
      </c>
      <c r="B156" s="86">
        <f>(INDEX(Data!101:101,1,$P$1-8)+INDEX(Data!488:488,1,$P$1-8)-INDEX(Data!1322:1322,1,$P$1-8))+(INDEX(Data!101:101,1,$P$1-7)+INDEX(Data!488:488,1,$P$1-7)-INDEX(Data!1322:1322,1,$P$1-7))</f>
        <v>0</v>
      </c>
      <c r="C156" s="87">
        <f>(INDEX(Data!101:101,1,$P$1-6)+INDEX(Data!488:488,1,$P$1-6)-INDEX(Data!1322:1322,1,$P$1-6))+(INDEX(Data!101:101,1,$P$1-5)+INDEX(Data!488:488,1,$P$1-5)-INDEX(Data!1322:1322,1,$P$1-5))</f>
        <v>0</v>
      </c>
      <c r="D156" s="404">
        <f>(INDEX(Data!101:101,1,$P$1-4)+(INDEX(Data!101:101,1,$P$1-3)))</f>
        <v>135808751</v>
      </c>
      <c r="E156" s="90">
        <f>(INDEX(Data!101:101,1,$P$1-2)+INDEX(Data!488:488,1,$P$1-2)-INDEX(Data!1322:1322,1,$P$1-2))+(INDEX(Data!101:101,1,$P$1-1)+INDEX(Data!488:488,1,$P$1-1)-INDEX(Data!1322:1322,1,$P$1-1))</f>
        <v>151847082</v>
      </c>
      <c r="F156" s="88">
        <f>(INDEX(Data!101:101,1,$P$1)+INDEX(Data!488:488,1,$P$1)-INDEX(Data!1322:1322,1,$P$1))+(INDEX(Data!101:101,1,$P$1+1)+INDEX(Data!488:488,1,$P$1+1)-INDEX(Data!1322:1322,1,$P$1+1))</f>
        <v>162058558</v>
      </c>
      <c r="G156" s="91">
        <f>(INDEX(Data!200:200,1,$P$1-8)+INDEX(Data!488:488,1,$P$1-8)-INDEX(Data!1479:1479,1,$P$1-8))+(INDEX(Data!200:200,1,$P$1-7)+INDEX(Data!488:488,1,$P$1-7)-INDEX(Data!1479:1479,1,$P$1-7))</f>
        <v>0</v>
      </c>
      <c r="H156" s="87">
        <f>(INDEX(Data!200:200,1,$P$1-6)+INDEX(Data!488:488,1,$P$1-6)-INDEX(Data!1479:1479,1,$P$1-6))+(INDEX(Data!200:200,1,$P$1-5)+INDEX(Data!488:488,1,$P$1-5)-INDEX(Data!1479:1479,1,$P$1-5))</f>
        <v>0</v>
      </c>
      <c r="I156" s="404">
        <f>(INDEX(Data!200:200,1,$P$1-4)+INDEX(Data!488:488,1,$P$1-4)-INDEX(Data!1479:1479,1,$P$1-4))+(INDEX(Data!200:200,1,$P$1-3)+INDEX(Data!488:488,1,$P$1-3)-INDEX(Data!1479:1479,1,$P$1-3))</f>
        <v>135520699</v>
      </c>
      <c r="J156" s="90">
        <f>(INDEX(Data!200:200,1,$P$1-2)+INDEX(Data!488:488,1,$P$1-2)-INDEX(Data!1479:1479,1,$P$1-2))+(INDEX(Data!200:200,1,$P$1-1)+INDEX(Data!488:488,1,$P$1-1)-INDEX(Data!1479:1479,1,$P$1-1))</f>
        <v>140583910</v>
      </c>
      <c r="K156" s="88">
        <f>(INDEX(Data!200:200,1,$P$1)+INDEX(Data!488:488,1,$P$1)-INDEX(Data!1479:1479,1,$P$1))+(INDEX(Data!200:200,1,$P$1+1)+INDEX(Data!488:488,1,$P$1+1)-INDEX(Data!1479:1479,1,$P$1+1))</f>
        <v>150474224</v>
      </c>
    </row>
    <row r="157" spans="1:13" s="1044" customFormat="1" ht="25.5" hidden="1" outlineLevel="1">
      <c r="A157" s="79" t="s">
        <v>1843</v>
      </c>
      <c r="B157" s="86">
        <f>(INDEX(Data!102:102,1,$P$1-8)+(INDEX(Data!102:102,1,$P$1-7)))</f>
        <v>0</v>
      </c>
      <c r="C157" s="87">
        <f>(INDEX(Data!102:102,1,$P$1-6)+(INDEX(Data!102:102,1,$P$1-5)))</f>
        <v>0</v>
      </c>
      <c r="D157" s="404">
        <f>(INDEX(Data!102:102,1,$P$1-4)+(INDEX(Data!102:102,1,$P$1-3)))</f>
        <v>0</v>
      </c>
      <c r="E157" s="90">
        <f>(INDEX(Data!102:102,1,$P$1-2)+(INDEX(Data!102:102,1,$P$1-1)))</f>
        <v>12142686</v>
      </c>
      <c r="F157" s="88">
        <f>(INDEX(Data!102:102,1,$P$1)+(INDEX(Data!102:102,1,$P$1+1)))</f>
        <v>24567792</v>
      </c>
      <c r="G157" s="91">
        <f>(INDEX(Data!201:201,1,$P$1-8)+(INDEX(Data!201:201,1,$P$1-7)))</f>
        <v>0</v>
      </c>
      <c r="H157" s="87">
        <f>(INDEX(Data!201:201,1,$P$1-6)+(INDEX(Data!201:201,1,$P$1-5)))</f>
        <v>0</v>
      </c>
      <c r="I157" s="404">
        <f>(INDEX(Data!201:201,1,$P$1-4)+(INDEX(Data!201:201,1,$P$1-3)))</f>
        <v>0</v>
      </c>
      <c r="J157" s="90">
        <f>(INDEX(Data!201:201,1,$P$1-2)+(INDEX(Data!201:201,1,$P$1-1)))</f>
        <v>11382886</v>
      </c>
      <c r="K157" s="88">
        <f>(INDEX(Data!201:201,1,$P$1)+(INDEX(Data!201:201,1,$P$1+1)))</f>
        <v>21970718</v>
      </c>
      <c r="L157" s="67"/>
      <c r="M157" s="67"/>
    </row>
    <row r="158" spans="1:13" ht="25.5" hidden="1" outlineLevel="1">
      <c r="A158" s="79" t="s">
        <v>1670</v>
      </c>
      <c r="B158" s="90">
        <f>(INDEX(Data!95:95,1,$P$1-7)+(INDEX(Data!441:441,1,$P$1-7)+(INDEX(Data!95:95,1,$P$1-8)+(INDEX(Data!441:441,1,$P$1-8)))))</f>
        <v>0</v>
      </c>
      <c r="C158" s="90">
        <f>(INDEX(Data!95:95,1,$P$1-5)+(INDEX(Data!441:441,1,$P$1-5)+(INDEX(Data!95:95,1,$P$1-6)+(INDEX(Data!441:441,1,$P$1-6)))))</f>
        <v>0</v>
      </c>
      <c r="D158" s="90">
        <f>(INDEX(Data!95:95,1,$P$1-3)+(INDEX(Data!441:441,1,$P$1-3)+(INDEX(Data!95:95,1,$P$1-4)+(INDEX(Data!441:441,1,$P$1-4)))))</f>
        <v>0</v>
      </c>
      <c r="E158" s="90">
        <f>(INDEX(Data!95:95,1,$P$1-2)+(INDEX(Data!441:441,1,$P$1-2)+(INDEX(Data!95:95,1,$P$1-1)+(INDEX(Data!441:441,1,$P$1-1)))))</f>
        <v>56664743</v>
      </c>
      <c r="F158" s="88">
        <f>(INDEX(Data!95:95,1,$P$1)+(INDEX(Data!441:441,1,$P$1)+(INDEX(Data!95:95,1,$P$1+1)+(INDEX(Data!441:441,1,$P$1+1)))))</f>
        <v>72426516</v>
      </c>
      <c r="G158" s="91">
        <f>(INDEX(Data!194:194,1,$P$1-8)+INDEX(Data!768:768,1,$P$1-8)+(INDEX(Data!194:194,1,$P$1-7))+INDEX(Data!768:768,1,$P$1-7))</f>
        <v>0</v>
      </c>
      <c r="H158" s="87">
        <f>(INDEX(Data!194:194,1,$P$1-6)+INDEX(Data!768:768,1,$P$1-6)+(INDEX(Data!194:194,1,$P$1-5))+INDEX(Data!768:768,1,$P$1-5))</f>
        <v>0</v>
      </c>
      <c r="I158" s="404">
        <f>(INDEX(Data!194:194,1,$P$1-4)+INDEX(Data!768:768,1,$P$1-4)+(INDEX(Data!194:194,1,$P$1-3))+INDEX(Data!768:768,1,$P$1-3))</f>
        <v>0</v>
      </c>
      <c r="J158" s="90">
        <f>(INDEX(Data!194:194,1,$P$1-2)+INDEX(Data!768:768,1,$P$1-2)+(INDEX(Data!194:194,1,$P$1-1))+INDEX(Data!768:768,1,$P$1-1))</f>
        <v>53498043</v>
      </c>
      <c r="K158" s="88">
        <f>(INDEX(Data!194:194,1,$P$1)+INDEX(Data!768:768,1,$P$1)+(INDEX(Data!194:194,1,$P$1+1))+INDEX(Data!768:768,1,$P$1+1))</f>
        <v>68071932</v>
      </c>
    </row>
    <row r="159" spans="1:13" hidden="1" outlineLevel="1">
      <c r="A159" s="79" t="s">
        <v>221</v>
      </c>
      <c r="B159" s="86">
        <f>INDEX(Data!1036:1036,1,$P$1-8)+INDEX(Data!1037:1037,1,$P$1-8)+INDEX(Data!1100:1100,1,$P$1-8)+INDEX(Data!1101:1101,1,$P$1-8)+INDEX(Data!1063:1063,1,$P$1-8)+INDEX(Data!1064:1064,1,$P$1-8)+INDEX(Data!1065:1065,1,$P$1-8)+INDEX(Data!1066:1066,1,$P$1-8)-INDEX(Data!1388:1388,1,$P$1-8)+INDEX(Data!1036:1036,1,$P$1-7)+INDEX(Data!1037:1037,1,$P$1-7)+INDEX(Data!1100:1100,1,$P$1-7)+INDEX(Data!1101:1101,1,$P$1-7)-INDEX(Data!1388:1388,1,$P$1-7)+INDEX(Data!1063:1063,1,$P$1-7)+INDEX(Data!1064:1064,1,$P$1-7)+INDEX(Data!1065:1065,1,$P$1-7)+INDEX(Data!1066:1066,1,$P$1-7)</f>
        <v>92399486</v>
      </c>
      <c r="C159" s="87">
        <f>INDEX(Data!1036:1036,1,$P$1-6)+INDEX(Data!1037:1037,1,$P$1-6)+INDEX(Data!1100:1100,1,$P$1-6)+INDEX(Data!1101:1101,1,$P$1-6)+INDEX(Data!1063:1063,1,$P$1-6)+INDEX(Data!1064:1064,1,$P$1-6)+INDEX(Data!1065:1065,1,$P$1-6)+INDEX(Data!1066:1066,1,$P$1-6)-INDEX(Data!1388:1388,1,$P$1-6)+INDEX(Data!1036:1036,1,$P$1-5)+INDEX(Data!1037:1037,1,$P$1-5)+INDEX(Data!1100:1100,1,$P$1-5)+INDEX(Data!1101:1101,1,$P$1-5)-INDEX(Data!1388:1388,1,$P$1-5)+INDEX(Data!1063:1063,1,$P$1-5)+INDEX(Data!1064:1064,1,$P$1-5)+INDEX(Data!1065:1065,1,$P$1-5)+INDEX(Data!1066:1066,1,$P$1-5)</f>
        <v>92528126</v>
      </c>
      <c r="D159" s="90">
        <f>INDEX(Data!1036:1036,1,$P$1-4)+INDEX(Data!1037:1037,1,$P$1-4)+INDEX(Data!1100:1100,1,$P$1-4)+INDEX(Data!1101:1101,1,$P$1-4)+INDEX(Data!1063:1063,1,$P$1-4)+INDEX(Data!1064:1064,1,$P$1-4)+INDEX(Data!1065:1065,1,$P$1-4)+INDEX(Data!1066:1066,1,$P$1-4)-INDEX(Data!1388:1388,1,$P$1-4)+INDEX(Data!1036:1036,1,$P$1-3)+INDEX(Data!1037:1037,1,$P$1-3)+INDEX(Data!1100:1100,1,$P$1-3)+INDEX(Data!1101:1101,1,$P$1-3)-INDEX(Data!1388:1388,1,$P$1-3)+INDEX(Data!1063:1063,1,$P$1-3)+INDEX(Data!1064:1064,1,$P$1-3)+INDEX(Data!1065:1065,1,$P$1-3)+INDEX(Data!1066:1066,1,$P$1-3)</f>
        <v>100316974</v>
      </c>
      <c r="E159" s="90">
        <f>INDEX(Data!1036:1036,1,$P$1-2)+INDEX(Data!1037:1037,1,$P$1-2)+INDEX(Data!1100:1100,1,$P$1-2)+INDEX(Data!1101:1101,1,$P$1-2)+INDEX(Data!1063:1063,1,$P$1-2)+INDEX(Data!1064:1064,1,$P$1-2)+INDEX(Data!1065:1065,1,$P$1-2)+INDEX(Data!1066:1066,1,$P$1-2)-INDEX(Data!1388:1388,1,$P$1-2)+INDEX(Data!1036:1036,1,$P$1-1)+INDEX(Data!1037:1037,1,$P$1-1)+INDEX(Data!1100:1100,1,$P$1-1)+INDEX(Data!1101:1101,1,$P$1-1)-INDEX(Data!1388:1388,1,$P$1-1)+INDEX(Data!1063:1063,1,$P$1-1)+INDEX(Data!1064:1064,1,$P$1-1)+INDEX(Data!1065:1065,1,$P$1-1)+INDEX(Data!1066:1066,1,$P$1-1)</f>
        <v>98191358</v>
      </c>
      <c r="F159" s="88">
        <f>INDEX(Data!1036:1036,1,$P$1)+INDEX(Data!1037:1037,1,$P$1)+INDEX(Data!1100:1100,1,$P$1)+INDEX(Data!1101:1101,1,$P$1)+INDEX(Data!1063:1063,1,$P$1)+INDEX(Data!1064:1064,1,$P$1)+INDEX(Data!1065:1065,1,$P$1)+INDEX(Data!1066:1066,1,$P$1)-INDEX(Data!1388:1388,1,$P$1)+INDEX(Data!1036:1036,1,$P$1+1)+INDEX(Data!1037:1037,1,$P$1+1)+INDEX(Data!1100:1100,1,$P$1+1)+INDEX(Data!1101:1101,1,$P$1+1)-INDEX(Data!1388:1388,1,$P$1+1)+INDEX(Data!1063:1063,1,$P$1+1)+INDEX(Data!1064:1064,1,$P$1+1)+INDEX(Data!1065:1065,1,$P$1+1)+INDEX(Data!1066:1066,1,$P$1+1)</f>
        <v>96870921</v>
      </c>
      <c r="G159" s="91">
        <f>INDEX(Data!1177:1177,1,$P$1-8)+INDEX(Data!1178:1178,1,$P$1-8)+(INDEX(Data!1203:1203,1,$P$1-8)+INDEX(Data!1204:1204,1,$P$1-8)-INDEX(Data!1545:1545,1,$P$1-8))+INDEX(Data!1177:1177,1,$P$1-7)+INDEX(Data!1178:1178,1,$P$1-7)+(INDEX(Data!1203:1203,1,$P$1-7)+INDEX(Data!1204:1204,1,$P$1-7)-INDEX(Data!1545:1545,1,$P$1-7))</f>
        <v>86217826</v>
      </c>
      <c r="H159" s="87">
        <f>INDEX(Data!1177:1177,1,$P$1-6)+INDEX(Data!1178:1178,1,$P$1-6)+(INDEX(Data!1203:1203,1,$P$1-6)+INDEX(Data!1204:1204,1,$P$1-6)-INDEX(Data!1545:1545,1,$P$1-6))+INDEX(Data!1177:1177,1,$P$1-5)+INDEX(Data!1178:1178,1,$P$1-5)+(INDEX(Data!1203:1203,1,$P$1-5)+INDEX(Data!1204:1204,1,$P$1-5)-INDEX(Data!1545:1545,1,$P$1-5))</f>
        <v>85628126</v>
      </c>
      <c r="I159" s="404">
        <f>INDEX(Data!1177:1177,1,$P$1-4)+INDEX(Data!1178:1178,1,$P$1-4)+(INDEX(Data!1203:1203,1,$P$1-4)+INDEX(Data!1204:1204,1,$P$1-4)-INDEX(Data!1545:1545,1,$P$1-4))+INDEX(Data!1177:1177,1,$P$1-3)+INDEX(Data!1178:1178,1,$P$1-3)+(INDEX(Data!1203:1203,1,$P$1-3)+INDEX(Data!1204:1204,1,$P$1-3)-INDEX(Data!1545:1545,1,$P$1-3))</f>
        <v>93638588</v>
      </c>
      <c r="J159" s="90">
        <f>INDEX(Data!1177:1177,1,$P$1-2)+INDEX(Data!1178:1178,1,$P$1-2)+(INDEX(Data!1203:1203,1,$P$1-2)+INDEX(Data!1204:1204,1,$P$1-2)-INDEX(Data!1545:1545,1,$P$1-2))+INDEX(Data!1177:1177,1,$P$1-1)+INDEX(Data!1178:1178,1,$P$1-1)+(INDEX(Data!1203:1203,1,$P$1-1)+INDEX(Data!1204:1204,1,$P$1-1)-INDEX(Data!1545:1545,1,$P$1-1))</f>
        <v>91512972</v>
      </c>
      <c r="K159" s="88">
        <f>INDEX(Data!1177:1177,1,$P$1)+INDEX(Data!1178:1178,1,$P$1)+(INDEX(Data!1203:1203,1,$P$1)+INDEX(Data!1204:1204,1,$P$1)-INDEX(Data!1545:1545,1,$P$1))+INDEX(Data!1177:1177,1,$P$1+1)+INDEX(Data!1178:1178,1,$P$1+1)+(INDEX(Data!1203:1203,1,$P$1+1)+INDEX(Data!1204:1204,1,$P$1+1)-INDEX(Data!1545:1545,1,$P$1+1))</f>
        <v>90192535</v>
      </c>
    </row>
    <row r="160" spans="1:13" ht="25.5" collapsed="1">
      <c r="A160" s="113" t="s">
        <v>1284</v>
      </c>
      <c r="B160" s="105">
        <f t="shared" ref="B160:K160" si="23">SUM(B147:B159)</f>
        <v>8419056002</v>
      </c>
      <c r="C160" s="106">
        <f t="shared" si="23"/>
        <v>3158944654</v>
      </c>
      <c r="D160" s="465">
        <f t="shared" si="23"/>
        <v>3391893001</v>
      </c>
      <c r="E160" s="115">
        <f t="shared" si="23"/>
        <v>3586916525</v>
      </c>
      <c r="F160" s="107">
        <f t="shared" si="23"/>
        <v>3805571579</v>
      </c>
      <c r="G160" s="405">
        <f t="shared" si="23"/>
        <v>2564580104</v>
      </c>
      <c r="H160" s="106">
        <f t="shared" si="23"/>
        <v>2886422460</v>
      </c>
      <c r="I160" s="465">
        <f t="shared" si="23"/>
        <v>3103581851</v>
      </c>
      <c r="J160" s="115">
        <f t="shared" si="23"/>
        <v>3273481002</v>
      </c>
      <c r="K160" s="107">
        <f t="shared" si="23"/>
        <v>3483051729</v>
      </c>
    </row>
    <row r="161" spans="1:13" hidden="1" outlineLevel="1">
      <c r="A161" s="79" t="s">
        <v>83</v>
      </c>
      <c r="B161" s="86">
        <f>(INDEX(Data!111:111,1,$P$1-8)+INDEX(Data!456:456,1,$P$1-8)-INDEX(Data!1381:1381,1,$P$1-8))+(INDEX(Data!111:111,1,$P$1-7)+INDEX(Data!456:456,1,$P$1-7)-INDEX(Data!1381:1381,1,$P$1-7))</f>
        <v>146081552</v>
      </c>
      <c r="C161" s="87">
        <f>(INDEX(Data!111:111,1,$P$1-6)+INDEX(Data!456:456,1,$P$1-6)-INDEX(Data!1381:1381,1,$P$1-6))+(INDEX(Data!111:111,1,$P$1-5)+INDEX(Data!456:456,1,$P$1-5)-INDEX(Data!1381:1381,1,$P$1-5))</f>
        <v>155344588</v>
      </c>
      <c r="D161" s="404">
        <f>(INDEX(Data!111:111,1,$P$1-4)+INDEX(Data!456:456,1,$P$1-4)-INDEX(Data!1381:1381,1,$P$1-4))+(INDEX(Data!111:111,1,$P$1-3)+INDEX(Data!456:456,1,$P$1-3)-INDEX(Data!1381:1381,1,$P$1-3))</f>
        <v>165333797</v>
      </c>
      <c r="E161" s="90">
        <f>(INDEX(Data!111:111,1,$P$1-2)+INDEX(Data!456:456,1,$P$1-2)-INDEX(Data!1381:1381,1,$P$1-2))+(INDEX(Data!111:111,1,$P$1-1)+INDEX(Data!456:456,1,$P$1-1)-INDEX(Data!1381:1381,1,$P$1-1))</f>
        <v>161181006</v>
      </c>
      <c r="F161" s="88">
        <f>(INDEX(Data!111:111,1,$P$1)+INDEX(Data!456:456,1,$P$1)-INDEX(Data!1381:1381,1,$P$1))+(INDEX(Data!111:111,1,$P$1+1)+INDEX(Data!456:456,1,$P$1+1)-INDEX(Data!1381:1381,1,$P$1+1))</f>
        <v>162677899</v>
      </c>
      <c r="G161" s="91">
        <f>(INDEX(Data!210:210,1,$P$1-8)+INDEX(Data!456:456,1,$P$1-8)-INDEX(Data!1538:1538,1,$P$1-8))+(INDEX(Data!210:210,1,$P$1-7)+INDEX(Data!456:456,1,$P$1-7)-INDEX(Data!1538:1538,1,$P$1-7))</f>
        <v>116987464</v>
      </c>
      <c r="H161" s="87">
        <f>(INDEX(Data!210:210,1,$P$1-6)+INDEX(Data!456:456,1,$P$1-6)-INDEX(Data!1538:1538,1,$P$1-6))+(INDEX(Data!210:210,1,$P$1-5)+INDEX(Data!456:456,1,$P$1-5)-INDEX(Data!1538:1538,1,$P$1-5))</f>
        <v>123487578</v>
      </c>
      <c r="I161" s="404">
        <f>(INDEX(Data!210:210,1,$P$1-4)+INDEX(Data!456:456,1,$P$1-4)-INDEX(Data!1538:1538,1,$P$1-4))+(INDEX(Data!210:210,1,$P$1-3)+INDEX(Data!456:456,1,$P$1-3)-INDEX(Data!1538:1538,1,$P$1-3))</f>
        <v>132141751</v>
      </c>
      <c r="J161" s="90">
        <f>(INDEX(Data!210:210,1,$P$1-2)+INDEX(Data!456:456,1,$P$1-2)-INDEX(Data!1538:1538,1,$P$1-2))+(INDEX(Data!210:210,1,$P$1-1)+INDEX(Data!456:456,1,$P$1-1)-INDEX(Data!1538:1538,1,$P$1-1))</f>
        <v>128204036</v>
      </c>
      <c r="K161" s="88">
        <f>(INDEX(Data!210:210,1,$P$1)+INDEX(Data!456:456,1,$P$1)-INDEX(Data!1538:1538,1,$P$1))+(INDEX(Data!210:210,1,$P$1+1)+INDEX(Data!456:456,1,$P$1+1)-INDEX(Data!1538:1538,1,$P$1+1))</f>
        <v>129700929</v>
      </c>
    </row>
    <row r="162" spans="1:13" hidden="1" outlineLevel="1">
      <c r="A162" s="79" t="s">
        <v>84</v>
      </c>
      <c r="B162" s="86">
        <f>(INDEX(Data!112:112,1,$P$1-8)+INDEX(Data!457:457,1,$P$1-8)-INDEX(Data!1382:1382,1,$P$1-8))+(INDEX(Data!112:112,1,$P$1-7)+INDEX(Data!457:457,1,$P$1-7)-INDEX(Data!1382:1382,1,$P$1-7))</f>
        <v>149648852</v>
      </c>
      <c r="C162" s="87">
        <f>(INDEX(Data!112:112,1,$P$1-6)+INDEX(Data!457:457,1,$P$1-6)-INDEX(Data!1382:1382,1,$P$1-6))+(INDEX(Data!112:112,1,$P$1-5)+INDEX(Data!457:457,1,$P$1-5)-INDEX(Data!1382:1382,1,$P$1-5))</f>
        <v>154356711</v>
      </c>
      <c r="D162" s="404">
        <f>(INDEX(Data!112:112,1,$P$1-4)+INDEX(Data!457:457,1,$P$1-4)-INDEX(Data!1382:1382,1,$P$1-4))+(INDEX(Data!112:112,1,$P$1-3)+INDEX(Data!457:457,1,$P$1-3)-INDEX(Data!1382:1382,1,$P$1-3))</f>
        <v>167226647</v>
      </c>
      <c r="E162" s="90">
        <f>(INDEX(Data!112:112,1,$P$1-2)+INDEX(Data!457:457,1,$P$1-2)-INDEX(Data!1382:1382,1,$P$1-2))+(INDEX(Data!112:112,1,$P$1-1)+INDEX(Data!457:457,1,$P$1-1)-INDEX(Data!1382:1382,1,$P$1-1))</f>
        <v>166486274</v>
      </c>
      <c r="F162" s="88">
        <f>(INDEX(Data!112:112,1,$P$1)+INDEX(Data!457:457,1,$P$1)-INDEX(Data!1382:1382,1,$P$1))+(INDEX(Data!112:112,1,$P$1+1)+INDEX(Data!457:457,1,$P$1+1)-INDEX(Data!1382:1382,1,$P$1+1))</f>
        <v>178866268</v>
      </c>
      <c r="G162" s="91">
        <f>(INDEX(Data!211:211,1,$P$1-8)+INDEX(Data!457:457,1,$P$1-8)-INDEX(Data!1539:1539,1,$P$1-8))+(INDEX(Data!211:211,1,$P$1-7)+INDEX(Data!457:457,1,$P$1-7)-INDEX(Data!1539:1539,1,$P$1-7))</f>
        <v>105831994</v>
      </c>
      <c r="H162" s="87">
        <f>(INDEX(Data!211:211,1,$P$1-6)+INDEX(Data!457:457,1,$P$1-6)-INDEX(Data!1539:1539,1,$P$1-6))+(INDEX(Data!211:211,1,$P$1-5)+INDEX(Data!457:457,1,$P$1-5)-INDEX(Data!1539:1539,1,$P$1-5))</f>
        <v>110152605</v>
      </c>
      <c r="I162" s="404">
        <f>(INDEX(Data!211:211,1,$P$1-4)+INDEX(Data!457:457,1,$P$1-4)-INDEX(Data!1539:1539,1,$P$1-4))+(INDEX(Data!211:211,1,$P$1-3)+INDEX(Data!457:457,1,$P$1-3)-INDEX(Data!1539:1539,1,$P$1-3))</f>
        <v>120632777</v>
      </c>
      <c r="J162" s="90">
        <f>(INDEX(Data!211:211,1,$P$1-2)+INDEX(Data!457:457,1,$P$1-2)-INDEX(Data!1539:1539,1,$P$1-2))+(INDEX(Data!211:211,1,$P$1-1)+INDEX(Data!457:457,1,$P$1-1)-INDEX(Data!1539:1539,1,$P$1-1))</f>
        <v>115183462</v>
      </c>
      <c r="K162" s="88">
        <f>(INDEX(Data!211:211,1,$P$1)+INDEX(Data!457:457,1,$P$1)-INDEX(Data!1539:1539,1,$P$1))+(INDEX(Data!211:211,1,$P$1+1)+INDEX(Data!457:457,1,$P$1+1)-INDEX(Data!1539:1539,1,$P$1+1))</f>
        <v>125448090</v>
      </c>
    </row>
    <row r="163" spans="1:13" hidden="1" outlineLevel="1">
      <c r="A163" s="79" t="s">
        <v>85</v>
      </c>
      <c r="B163" s="86">
        <f>(INDEX(Data!113:113,1,$P$1-8)+INDEX(Data!458:458,1,$P$1-8)-INDEX(Data!1383:1383,1,$P$1-8))+(INDEX(Data!113:113,1,$P$1-7)+INDEX(Data!458:458,1,$P$1-7)-INDEX(Data!1383:1383,1,$P$1-7))</f>
        <v>271601625</v>
      </c>
      <c r="C163" s="87">
        <f>(INDEX(Data!113:113,1,$P$1-6)+INDEX(Data!458:458,1,$P$1-6)-INDEX(Data!1383:1383,1,$P$1-6))+(INDEX(Data!113:113,1,$P$1-5)+INDEX(Data!458:458,1,$P$1-5)-INDEX(Data!1383:1383,1,$P$1-5))</f>
        <v>243336309</v>
      </c>
      <c r="D163" s="404">
        <f>(INDEX(Data!113:113,1,$P$1-4)+INDEX(Data!458:458,1,$P$1-4)-INDEX(Data!1383:1383,1,$P$1-4))+(INDEX(Data!113:113,1,$P$1-3)+INDEX(Data!458:458,1,$P$1-3)-INDEX(Data!1383:1383,1,$P$1-3))</f>
        <v>247333779</v>
      </c>
      <c r="E163" s="90">
        <f>(INDEX(Data!113:113,1,$P$1-2)+INDEX(Data!458:458,1,$P$1-2)-INDEX(Data!1383:1383,1,$P$1-2))+(INDEX(Data!113:113,1,$P$1-1)+INDEX(Data!458:458,1,$P$1-1)-INDEX(Data!1383:1383,1,$P$1-1))</f>
        <v>252600222</v>
      </c>
      <c r="F163" s="88">
        <f>(INDEX(Data!113:113,1,$P$1)+INDEX(Data!458:458,1,$P$1)-INDEX(Data!1383:1383,1,$P$1))+(INDEX(Data!113:113,1,$P$1+1)+INDEX(Data!458:458,1,$P$1+1)-INDEX(Data!1383:1383,1,$P$1+1))</f>
        <v>255903203</v>
      </c>
      <c r="G163" s="91">
        <f>(INDEX(Data!212:212,1,$P$1-8)+INDEX(Data!458:458,1,$P$1-8)-INDEX(Data!1540:1540,1,$P$1-8))+(INDEX(Data!212:212,1,$P$1-7)+INDEX(Data!458:458,1,$P$1-7)-INDEX(Data!1540:1540,1,$P$1-7))</f>
        <v>31239063</v>
      </c>
      <c r="H163" s="87">
        <f>(INDEX(Data!212:212,1,$P$1-6)+INDEX(Data!458:458,1,$P$1-6)-INDEX(Data!1540:1540,1,$P$1-6))+(INDEX(Data!212:212,1,$P$1-5)+INDEX(Data!458:458,1,$P$1-5)-INDEX(Data!1540:1540,1,$P$1-5))</f>
        <v>37557919</v>
      </c>
      <c r="I163" s="404">
        <f>(INDEX(Data!212:212,1,$P$1-4)+INDEX(Data!458:458,1,$P$1-4)-INDEX(Data!1540:1540,1,$P$1-4))+(INDEX(Data!212:212,1,$P$1-3)+INDEX(Data!458:458,1,$P$1-3)-INDEX(Data!1540:1540,1,$P$1-3))</f>
        <v>42492009</v>
      </c>
      <c r="J163" s="90">
        <f>(INDEX(Data!212:212,1,$P$1-2)+INDEX(Data!458:458,1,$P$1-2)-INDEX(Data!1540:1540,1,$P$1-2))+(INDEX(Data!212:212,1,$P$1-1)+INDEX(Data!458:458,1,$P$1-1)-INDEX(Data!1540:1540,1,$P$1-1))</f>
        <v>47795415</v>
      </c>
      <c r="K163" s="88">
        <f>(INDEX(Data!212:212,1,$P$1)+INDEX(Data!458:458,1,$P$1)-INDEX(Data!1540:1540,1,$P$1))+(INDEX(Data!212:212,1,$P$1+1)+INDEX(Data!458:458,1,$P$1+1)-INDEX(Data!1540:1540,1,$P$1+1))</f>
        <v>51554511</v>
      </c>
    </row>
    <row r="164" spans="1:13" hidden="1" outlineLevel="1">
      <c r="A164" s="390" t="s">
        <v>86</v>
      </c>
      <c r="B164" s="86">
        <f>(INDEX(Data!114:114,1,$P$1-8)+INDEX(Data!459:459,1,$P$1-8)-INDEX(Data!1384:1384,1,$P$1-8))+(INDEX(Data!114:114,1,$P$1-7)+INDEX(Data!459:459,1,$P$1-7)-INDEX(Data!1384:1384,1,$P$1-7))</f>
        <v>100693039</v>
      </c>
      <c r="C164" s="87">
        <f>(INDEX(Data!114:114,1,$P$1-6)+INDEX(Data!459:459,1,$P$1-6)-INDEX(Data!1384:1384,1,$P$1-6))+(INDEX(Data!114:114,1,$P$1-5)+INDEX(Data!459:459,1,$P$1-5)-INDEX(Data!1384:1384,1,$P$1-5))</f>
        <v>108395698</v>
      </c>
      <c r="D164" s="404">
        <f>(INDEX(Data!114:114,1,$P$1-4)+INDEX(Data!459:459,1,$P$1-4)-INDEX(Data!1384:1384,1,$P$1-4))+(INDEX(Data!114:114,1,$P$1-3)+INDEX(Data!459:459,1,$P$1-3)-INDEX(Data!1384:1384,1,$P$1-3))</f>
        <v>124039968</v>
      </c>
      <c r="E164" s="90">
        <f>(INDEX(Data!114:114,1,$P$1-2)+INDEX(Data!459:459,1,$P$1-2)-INDEX(Data!1384:1384,1,$P$1-2))+(INDEX(Data!114:114,1,$P$1-1)+INDEX(Data!459:459,1,$P$1-1)-INDEX(Data!1384:1384,1,$P$1-1))</f>
        <v>145151831</v>
      </c>
      <c r="F164" s="88">
        <f>(INDEX(Data!114:114,1,$P$1)+INDEX(Data!459:459,1,$P$1)-INDEX(Data!1384:1384,1,$P$1))+(INDEX(Data!114:114,1,$P$1+1)+INDEX(Data!459:459,1,$P$1+1)-INDEX(Data!1384:1384,1,$P$1+1))</f>
        <v>150206197</v>
      </c>
      <c r="G164" s="491">
        <f>(INDEX(Data!213:213,1,$P$1-8)+IF(Start!C8&gt;"2014-2015",INDEX(Data!786:786,1,$P$1-8),0)-INDEX(Data!1541:1541,1,$P$1-8))+(INDEX(Data!213:213,1,$P$1-7)+IF(Start!C8&gt;"2014-2015",INDEX(Data!786:786,1,$P$1-7),0)-INDEX(Data!1541:1541,1,$P$1-7))</f>
        <v>1282500</v>
      </c>
      <c r="H164" s="491">
        <f>(INDEX(Data!213:213,1,$P$1-6)+IF(Start!D8&gt;"2014-2015",INDEX(Data!786:786,1,$P$1-6),0)-INDEX(Data!1541:1541,1,$P$1-6))+(INDEX(Data!213:213,1,$P$1-5)+IF(Start!D8&gt;"2014-2015",INDEX(Data!786:786,1,$P$1-5),0)-INDEX(Data!1541:1541,1,$P$1-5))</f>
        <v>4283978</v>
      </c>
      <c r="I164" s="491">
        <f>(INDEX(Data!213:213,1,$P$1-4)+IF(Start!E8&gt;"2014-2015",INDEX(Data!786:786,1,$P$1-4),0)-INDEX(Data!1541:1541,1,$P$1-4))+(INDEX(Data!213:213,1,$P$1-3)+IF(Start!E8&gt;"2014-2015",INDEX(Data!786:786,1,$P$1-3),0)-INDEX(Data!1541:1541,1,$P$1-3))</f>
        <v>18726819</v>
      </c>
      <c r="J164" s="491">
        <f>(INDEX(Data!213:213,1,$P$1-2)+IF(Start!F8&gt;"2014-2015",INDEX(Data!786:786,1,$P$1-2),0)-INDEX(Data!1541:1541,1,$P$1-2))+(INDEX(Data!213:213,1,$P$1-1)+IF(Start!F8&gt;"2014-2015",INDEX(Data!786:786,1,$P$1-1),0)-INDEX(Data!1541:1541,1,$P$1-1))</f>
        <v>17451131</v>
      </c>
      <c r="K164" s="491">
        <f>(INDEX(Data!213:213,1,$P$1)+IF(Start!F8&gt;"2014-2015",INDEX(Data!786:786,1,$P$1),0)-INDEX(Data!1541:1541,1,$P$1))+(INDEX(Data!213:213,1,$P$1+1)+IF(Start!F8&gt;"2014-2015",INDEX(Data!786:786,1,$P$1+1),0)-INDEX(Data!1541:1541,1,$P$1+1))</f>
        <v>18687939</v>
      </c>
    </row>
    <row r="165" spans="1:13" hidden="1" outlineLevel="1">
      <c r="A165" s="79" t="s">
        <v>87</v>
      </c>
      <c r="B165" s="86">
        <f>(INDEX(Data!115:115,1,$P$1-8)+INDEX(Data!460:460,1,$P$1-8)-INDEX(Data!1385:1385,1,$P$1-8))+(INDEX(Data!115:115,1,$P$1-7)+INDEX(Data!460:460,1,$P$1-7)-INDEX(Data!1385:1385,1,$P$1-7))</f>
        <v>164000891</v>
      </c>
      <c r="C165" s="87">
        <f>(INDEX(Data!115:115,1,$P$1-6)+INDEX(Data!460:460,1,$P$1-6)-INDEX(Data!1385:1385,1,$P$1-6))+(INDEX(Data!115:115,1,$P$1-5)+INDEX(Data!460:460,1,$P$1-5)-INDEX(Data!1385:1385,1,$P$1-5))</f>
        <v>151421116</v>
      </c>
      <c r="D165" s="404">
        <f>(INDEX(Data!115:115,1,$P$1-4)+INDEX(Data!460:460,1,$P$1-4)-INDEX(Data!1385:1385,1,$P$1-4))+(INDEX(Data!115:115,1,$P$1-3)+INDEX(Data!460:460,1,$P$1-3)-INDEX(Data!1385:1385,1,$P$1-3))</f>
        <v>153196294</v>
      </c>
      <c r="E165" s="90">
        <f>(INDEX(Data!115:115,1,$P$1-2)+INDEX(Data!460:460,1,$P$1-2)-INDEX(Data!1385:1385,1,$P$1-2))+(INDEX(Data!115:115,1,$P$1-1)+INDEX(Data!460:460,1,$P$1-1)-INDEX(Data!1385:1385,1,$P$1-1))</f>
        <v>176357612</v>
      </c>
      <c r="F165" s="88">
        <f>(INDEX(Data!115:115,1,$P$1)+INDEX(Data!460:460,1,$P$1)-INDEX(Data!1385:1385,1,$P$1))+(INDEX(Data!115:115,1,$P$1+1)+INDEX(Data!460:460,1,$P$1+1)-INDEX(Data!1385:1385,1,$P$1+1))</f>
        <v>180947332</v>
      </c>
      <c r="G165" s="91">
        <f>(INDEX(Data!214:214,1,$P$1-8)+INDEX(Data!460:460,1,$P$1-8)-INDEX(Data!1542:1542,1,$P$1-8))+(INDEX(Data!214:214,1,$P$1-7)+INDEX(Data!460:460,1,$P$1-7)-INDEX(Data!1542:1542,1,$P$1-7))</f>
        <v>14641015</v>
      </c>
      <c r="H165" s="87">
        <f>(INDEX(Data!214:214,1,$P$1-6)+INDEX(Data!460:460,1,$P$1-6)-INDEX(Data!1542:1542,1,$P$1-6))+(INDEX(Data!214:214,1,$P$1-5)+INDEX(Data!460:460,1,$P$1-5)-INDEX(Data!1542:1542,1,$P$1-5))</f>
        <v>16183452</v>
      </c>
      <c r="I165" s="404">
        <f>(INDEX(Data!214:214,1,$P$1-4)+INDEX(Data!460:460,1,$P$1-4)-INDEX(Data!1542:1542,1,$P$1-4))+(INDEX(Data!214:214,1,$P$1-3)+INDEX(Data!460:460,1,$P$1-3)-INDEX(Data!1542:1542,1,$P$1-3))</f>
        <v>17075844</v>
      </c>
      <c r="J165" s="90">
        <f>(INDEX(Data!214:214,1,$P$1-2)+INDEX(Data!460:460,1,$P$1-2)-INDEX(Data!1542:1542,1,$P$1-2))+(INDEX(Data!214:214,1,$P$1-1)+INDEX(Data!460:460,1,$P$1-1)-INDEX(Data!1542:1542,1,$P$1-1))</f>
        <v>25353653</v>
      </c>
      <c r="K165" s="88">
        <f>(INDEX(Data!214:214,1,$P$1)+INDEX(Data!460:460,1,$P$1)-INDEX(Data!1542:1542,1,$P$1))+(INDEX(Data!214:214,1,$P$1+1)+INDEX(Data!460:460,1,$P$1+1)-INDEX(Data!1542:1542,1,$P$1+1))</f>
        <v>19113482</v>
      </c>
    </row>
    <row r="166" spans="1:13" hidden="1" outlineLevel="1">
      <c r="A166" s="79" t="s">
        <v>88</v>
      </c>
      <c r="B166" s="86">
        <f>(INDEX(Data!116:116,1,$P$1-8)+INDEX(Data!461:461,1,$P$1-8)-INDEX(Data!1386:1386,1,$P$1-8))+(INDEX(Data!116:116,1,$P$1-7)+INDEX(Data!461:461,1,$P$1-7)-INDEX(Data!1386:1386,1,$P$1-7))</f>
        <v>361892140</v>
      </c>
      <c r="C166" s="87">
        <f>(INDEX(Data!116:116,1,$P$1-6)+INDEX(Data!461:461,1,$P$1-6)-INDEX(Data!1386:1386,1,$P$1-6))+(INDEX(Data!116:116,1,$P$1-5)+INDEX(Data!461:461,1,$P$1-5)-INDEX(Data!1386:1386,1,$P$1-5))</f>
        <v>120242866</v>
      </c>
      <c r="D166" s="404">
        <f>(INDEX(Data!116:116,1,$P$1-4)+INDEX(Data!461:461,1,$P$1-4)-INDEX(Data!1386:1386,1,$P$1-4))+(INDEX(Data!116:116,1,$P$1-3)+INDEX(Data!461:461,1,$P$1-3)-INDEX(Data!1386:1386,1,$P$1-3))</f>
        <v>145397856</v>
      </c>
      <c r="E166" s="90">
        <f>(INDEX(Data!116:116,1,$P$1-2)+INDEX(Data!461:461,1,$P$1-2)-INDEX(Data!1386:1386,1,$P$1-2))+(INDEX(Data!116:116,1,$P$1-1)+INDEX(Data!461:461,1,$P$1-1)-INDEX(Data!1386:1386,1,$P$1-1))</f>
        <v>130958663</v>
      </c>
      <c r="F166" s="88">
        <f>(INDEX(Data!116:116,1,$P$1)+INDEX(Data!461:461,1,$P$1)-INDEX(Data!1386:1386,1,$P$1))+(INDEX(Data!116:116,1,$P$1+1)+INDEX(Data!461:461,1,$P$1+1)-INDEX(Data!1386:1386,1,$P$1+1))</f>
        <v>131952870</v>
      </c>
      <c r="G166" s="91">
        <f>(INDEX(Data!215:215,1,$P$1-8)+INDEX(Data!461:461,1,$P$1-8)-INDEX(Data!1543:1543,1,$P$1-8))+(INDEX(Data!215:215,1,$P$1-7)+INDEX(Data!461:461,1,$P$1-7)-INDEX(Data!1543:1543,1,$P$1-7))</f>
        <v>324516568</v>
      </c>
      <c r="H166" s="87">
        <f>(INDEX(Data!215:215,1,$P$1-6)+INDEX(Data!461:461,1,$P$1-6)-INDEX(Data!1543:1543,1,$P$1-6))+(INDEX(Data!215:215,1,$P$1-5)+INDEX(Data!461:461,1,$P$1-5)-INDEX(Data!1543:1543,1,$P$1-5))</f>
        <v>73369926</v>
      </c>
      <c r="I166" s="404">
        <f>(INDEX(Data!215:215,1,$P$1-4)+INDEX(Data!461:461,1,$P$1-4)-INDEX(Data!1543:1543,1,$P$1-4))+(INDEX(Data!215:215,1,$P$1-3)+INDEX(Data!461:461,1,$P$1-3)-INDEX(Data!1543:1543,1,$P$1-3))</f>
        <v>74428486</v>
      </c>
      <c r="J166" s="90">
        <f>(INDEX(Data!215:215,1,$P$1-2)+INDEX(Data!461:461,1,$P$1-2)-INDEX(Data!1543:1543,1,$P$1-2))+(INDEX(Data!215:215,1,$P$1-1)+INDEX(Data!461:461,1,$P$1-1)-INDEX(Data!1543:1543,1,$P$1-1))</f>
        <v>73519118</v>
      </c>
      <c r="K166" s="88">
        <f>(INDEX(Data!215:215,1,$P$1)+INDEX(Data!461:461,1,$P$1)-INDEX(Data!1543:1543,1,$P$1))+(INDEX(Data!215:215,1,$P$1+1)+INDEX(Data!461:461,1,$P$1+1)-INDEX(Data!1543:1543,1,$P$1+1))</f>
        <v>73515353</v>
      </c>
    </row>
    <row r="167" spans="1:13" s="1044" customFormat="1" ht="25.5" hidden="1" outlineLevel="1">
      <c r="A167" s="79" t="s">
        <v>89</v>
      </c>
      <c r="B167" s="86">
        <f>(INDEX(Data!117:117,1,$P$1-8)+INDEX(Data!462:462,1,$P$1-8)-INDEX(Data!1387:1387,1,$P$1-8))+(INDEX(Data!117:117,1,$P$1-7)+INDEX(Data!462:462,1,$P$1-7)-INDEX(Data!1387:1387,1,$P$1-7))</f>
        <v>30429651</v>
      </c>
      <c r="C167" s="87">
        <f>(INDEX(Data!117:117,1,$P$1-6)+INDEX(Data!462:462,1,$P$1-6)-INDEX(Data!1387:1387,1,$P$1-6))+(INDEX(Data!117:117,1,$P$1-5)+INDEX(Data!462:462,1,$P$1-5)-INDEX(Data!1387:1387,1,$P$1-5))</f>
        <v>37273195</v>
      </c>
      <c r="D167" s="404">
        <f>(INDEX(Data!117:117,1,$P$1-4)+INDEX(Data!462:462,1,$P$1-4)-INDEX(Data!1387:1387,1,$P$1-4))+(INDEX(Data!117:117,1,$P$1-3)+INDEX(Data!462:462,1,$P$1-3)-INDEX(Data!1387:1387,1,$P$1-3))</f>
        <v>38780282</v>
      </c>
      <c r="E167" s="90">
        <f>(INDEX(Data!117:117,1,$P$1-2)+INDEX(Data!462:462,1,$P$1-2)-INDEX(Data!1387:1387,1,$P$1-2))+(INDEX(Data!117:117,1,$P$1-1)+INDEX(Data!462:462,1,$P$1-1)-INDEX(Data!1387:1387,1,$P$1-1))</f>
        <v>39043278</v>
      </c>
      <c r="F167" s="88">
        <f>(INDEX(Data!117:117,1,$P$1)+INDEX(Data!462:462,1,$P$1)-INDEX(Data!1387:1387,1,$P$1))+(INDEX(Data!117:117,1,$P$1+1)+INDEX(Data!462:462,1,$P$1+1)-INDEX(Data!1387:1387,1,$P$1+1))</f>
        <v>42759386</v>
      </c>
      <c r="G167" s="91">
        <f>(INDEX(Data!216:216,1,$P$1-8)+INDEX(Data!462:462,1,$P$1-8)-INDEX(Data!1544:1544,1,$P$1-8))+(INDEX(Data!216:216,1,$P$1-7)+INDEX(Data!462:462,1,$P$1-7)-INDEX(Data!1544:1544,1,$P$1-7))</f>
        <v>12347661</v>
      </c>
      <c r="H167" s="87">
        <f>(INDEX(Data!216:216,1,$P$1-6)+INDEX(Data!462:462,1,$P$1-6)-INDEX(Data!1544:1544,1,$P$1-6))+(INDEX(Data!216:216,1,$P$1-5)+INDEX(Data!462:462,1,$P$1-5)-INDEX(Data!1544:1544,1,$P$1-5))</f>
        <v>18571943</v>
      </c>
      <c r="I167" s="404">
        <f>(INDEX(Data!216:216,1,$P$1-4)+INDEX(Data!462:462,1,$P$1-4)-INDEX(Data!1544:1544,1,$P$1-4))+(INDEX(Data!216:216,1,$P$1-3)+INDEX(Data!462:462,1,$P$1-3)-INDEX(Data!1544:1544,1,$P$1-3))</f>
        <v>19143440</v>
      </c>
      <c r="J167" s="90">
        <f>(INDEX(Data!216:216,1,$P$1-2)+INDEX(Data!462:462,1,$P$1-2)-INDEX(Data!1544:1544,1,$P$1-2))+(INDEX(Data!216:216,1,$P$1-1)+INDEX(Data!462:462,1,$P$1-1)-INDEX(Data!1544:1544,1,$P$1-1))</f>
        <v>18360172</v>
      </c>
      <c r="K167" s="88">
        <f>(INDEX(Data!216:216,1,$P$1)+INDEX(Data!462:462,1,$P$1)-INDEX(Data!1544:1544,1,$P$1))+(INDEX(Data!216:216,1,$P$1+1)+INDEX(Data!462:462,1,$P$1+1)-INDEX(Data!1544:1544,1,$P$1+1))</f>
        <v>19558684</v>
      </c>
      <c r="L167" s="67"/>
      <c r="M167" s="67"/>
    </row>
    <row r="168" spans="1:13" ht="25.5" hidden="1" outlineLevel="1">
      <c r="A168" s="79" t="s">
        <v>2051</v>
      </c>
      <c r="B168" s="86">
        <f>(INDEX(Data!118:118,1,$P$1-8)+INDEX(Data!463:463,1,$P$1-8)-INDEX(Data!1388:1388,1,$P$1-8))+(INDEX(Data!118:118,1,$P$1-7)+INDEX(Data!463:463,1,$P$1-7)-INDEX(Data!1388:1388,1,$P$1-7))</f>
        <v>0</v>
      </c>
      <c r="C168" s="87">
        <f>(INDEX(Data!118:118,1,$P$1-6)+INDEX(Data!463:463,1,$P$1-6)-INDEX(Data!1388:1388,1,$P$1-6))+(INDEX(Data!118:118,1,$P$1-5)+INDEX(Data!463:463,1,$P$1-5)-INDEX(Data!1388:1388,1,$P$1-5))</f>
        <v>0</v>
      </c>
      <c r="D168" s="404">
        <f>(INDEX(Data!118:118,1,$P$1-4)+INDEX(Data!463:463,1,$P$1-4)-INDEX(Data!1388:1388,1,$P$1-4))+(INDEX(Data!118:118,1,$P$1-3)+INDEX(Data!463:463,1,$P$1-3)-INDEX(Data!1388:1388,1,$P$1-3))</f>
        <v>0</v>
      </c>
      <c r="E168" s="90">
        <f>(INDEX(Data!118:118,1,$P$1-2)+INDEX(Data!463:463,1,$P$1-2)-INDEX(Data!1388:1388,1,$P$1-2))+(INDEX(Data!118:118,1,$P$1-1)+INDEX(Data!463:463,1,$P$1-1)-INDEX(Data!1388:1388,1,$P$1-1))</f>
        <v>0</v>
      </c>
      <c r="F168" s="88">
        <f>(INDEX(Data!118:118,1,$P$1)+INDEX(Data!463:463,1,$P$1)-INDEX(Data!1388:1388,1,$P$1))+(INDEX(Data!118:118,1,$P$1+1)+INDEX(Data!463:463,1,$P$1+1)-INDEX(Data!1388:1388,1,$P$1+1))</f>
        <v>3526335369</v>
      </c>
      <c r="G168" s="91">
        <f>(INDEX(Data!217:217,1,$P$1-8)+INDEX(Data!463:463,1,$P$1-8)-INDEX(Data!1545:1545,1,$P$1-8))+(INDEX(Data!217:217,1,$P$1-7)+INDEX(Data!463:463,1,$P$1-7)-INDEX(Data!1545:1545,1,$P$1-7))</f>
        <v>0</v>
      </c>
      <c r="H168" s="87">
        <f>(INDEX(Data!217:217,1,$P$1-6)+INDEX(Data!463:463,1,$P$1-6)-INDEX(Data!1545:1545,1,$P$1-6))+(INDEX(Data!217:217,1,$P$1-5)+INDEX(Data!463:463,1,$P$1-5)-INDEX(Data!1545:1545,1,$P$1-5))</f>
        <v>0</v>
      </c>
      <c r="I168" s="404">
        <f>(INDEX(Data!217:217,1,$P$1-4)+INDEX(Data!463:463,1,$P$1-4)-INDEX(Data!1545:1545,1,$P$1-4))+(INDEX(Data!217:217,1,$P$1-3)+INDEX(Data!463:463,1,$P$1-3)-INDEX(Data!1545:1545,1,$P$1-3))</f>
        <v>0</v>
      </c>
      <c r="J168" s="90">
        <f>(INDEX(Data!217:217,1,$P$1-2)+INDEX(Data!463:463,1,$P$1-2)-INDEX(Data!1545:1545,1,$P$1-2))+(INDEX(Data!217:217,1,$P$1-1)+INDEX(Data!463:463,1,$P$1-1)-INDEX(Data!1545:1545,1,$P$1-1))</f>
        <v>0</v>
      </c>
      <c r="K168" s="88">
        <f>(INDEX(Data!217:217,1,$P$1)+INDEX(Data!463:463,1,$P$1)-INDEX(Data!1545:1545,1,$P$1))+(INDEX(Data!217:217,1,$P$1+1)+INDEX(Data!463:463,1,$P$1+1)-INDEX(Data!1545:1545,1,$P$1+1))</f>
        <v>33196066</v>
      </c>
    </row>
    <row r="169" spans="1:13" collapsed="1">
      <c r="A169" s="113" t="s">
        <v>787</v>
      </c>
      <c r="B169" s="105">
        <f>SUM(B161:B168)</f>
        <v>1224347750</v>
      </c>
      <c r="C169" s="106">
        <f t="shared" ref="C169:E169" si="24">SUM(C161:C168)</f>
        <v>970370483</v>
      </c>
      <c r="D169" s="465">
        <f t="shared" si="24"/>
        <v>1041308623</v>
      </c>
      <c r="E169" s="115">
        <f t="shared" si="24"/>
        <v>1071778886</v>
      </c>
      <c r="F169" s="107">
        <f>SUM(F161:F168)</f>
        <v>4629648524</v>
      </c>
      <c r="G169" s="405">
        <f>SUM(G161:G168)</f>
        <v>606846265</v>
      </c>
      <c r="H169" s="106">
        <f t="shared" ref="H169:J169" si="25">SUM(H161:H168)</f>
        <v>383607401</v>
      </c>
      <c r="I169" s="465">
        <f t="shared" si="25"/>
        <v>424641126</v>
      </c>
      <c r="J169" s="115">
        <f t="shared" si="25"/>
        <v>425866987</v>
      </c>
      <c r="K169" s="107">
        <f>SUM(K161:K168)</f>
        <v>470775054</v>
      </c>
    </row>
    <row r="170" spans="1:13" ht="25.5" hidden="1" outlineLevel="1">
      <c r="A170" s="79" t="s">
        <v>1441</v>
      </c>
      <c r="B170" s="86">
        <f>(INDEX(Data!104:104,1,$P$1-8)+INDEX(Data!496:496,1,$P$1-8)-INDEX(Data!1374:1374,1,$P$1-8))+(INDEX(Data!104:104,1,$P$1-7)+INDEX(Data!496:496,1,$P$1-7)-INDEX(Data!1374:1374,1,$P$1-7))</f>
        <v>11193206</v>
      </c>
      <c r="C170" s="87">
        <f>(INDEX(Data!104:104,1,$P$1-6)+INDEX(Data!496:496,1,$P$1-6)-INDEX(Data!1374:1374,1,$P$1-6))+(INDEX(Data!104:104,1,$P$1-5)+INDEX(Data!496:496,1,$P$1-5)-INDEX(Data!1374:1374,1,$P$1-5))</f>
        <v>19133745</v>
      </c>
      <c r="D170" s="404">
        <f>(INDEX(Data!104:104,1,$P$1-4)+INDEX(Data!496:496,1,$P$1-4)-INDEX(Data!1374:1374,1,$P$1-4))+(INDEX(Data!104:104,1,$P$1-3)+INDEX(Data!496:496,1,$P$1-3)-INDEX(Data!1374:1374,1,$P$1-3))</f>
        <v>27433149</v>
      </c>
      <c r="E170" s="90">
        <f>(INDEX(Data!104:104,1,$P$1-2)+INDEX(Data!496:496,1,$P$1-2)-INDEX(Data!1374:1374,1,$P$1-2))+(INDEX(Data!104:104,1,$P$1-1)+INDEX(Data!496:496,1,$P$1-1)-INDEX(Data!1374:1374,1,$P$1-1))</f>
        <v>24164912</v>
      </c>
      <c r="F170" s="88">
        <f>(INDEX(Data!104:104,1,$P$1)+INDEX(Data!496:496,1,$P$1)-INDEX(Data!1374:1374,1,$P$1))+(INDEX(Data!104:104,1,$P$1+1)+INDEX(Data!496:496,1,$P$1+1)-INDEX(Data!1374:1374,1,$P$1+1))</f>
        <v>17764833</v>
      </c>
      <c r="G170" s="91">
        <f>(INDEX(Data!203:203,1,$P$1-8)+INDEX(Data!496:496,1,$P$1-8)-INDEX(Data!1531:1531,1,$P$1-8))+(INDEX(Data!203:203,1,$P$1-7)+INDEX(Data!496:496,1,$P$1-7)-INDEX(Data!1531:1531,1,$P$1-7))</f>
        <v>10445189</v>
      </c>
      <c r="H170" s="87">
        <f>(INDEX(Data!203:203,1,$P$1-6)+INDEX(Data!496:496,1,$P$1-6)-INDEX(Data!1531:1531,1,$P$1-6))+(INDEX(Data!203:203,1,$P$1-5)+INDEX(Data!496:496,1,$P$1-5)-INDEX(Data!1531:1531,1,$P$1-5))</f>
        <v>19051407</v>
      </c>
      <c r="I170" s="404">
        <f>(INDEX(Data!203:203,1,$P$1-4)+INDEX(Data!496:496,1,$P$1-4)-INDEX(Data!1531:1531,1,$P$1-4))+(INDEX(Data!203:203,1,$P$1-3)+INDEX(Data!496:496,1,$P$1-3)-INDEX(Data!1531:1531,1,$P$1-3))</f>
        <v>26341774</v>
      </c>
      <c r="J170" s="90">
        <f>(INDEX(Data!203:203,1,$P$1-2)+INDEX(Data!496:496,1,$P$1-2)-INDEX(Data!1531:1531,1,$P$1-2))+(INDEX(Data!203:203,1,$P$1-1)+INDEX(Data!496:496,1,$P$1-1)-INDEX(Data!1531:1531,1,$P$1-1))</f>
        <v>22702669</v>
      </c>
      <c r="K170" s="88">
        <f>(INDEX(Data!203:203,1,$P$1)+INDEX(Data!496:496,1,$P$1)-INDEX(Data!1531:1531,1,$P$1))+(INDEX(Data!203:203,1,$P$1+1)+INDEX(Data!496:496,1,$P$1+1)-INDEX(Data!1531:1531,1,$P$1+1))</f>
        <v>17016679</v>
      </c>
    </row>
    <row r="171" spans="1:13" ht="25.5" hidden="1" outlineLevel="1">
      <c r="A171" s="79" t="s">
        <v>1442</v>
      </c>
      <c r="B171" s="86">
        <f>(INDEX(Data!105:105,1,$P$1-8)+INDEX(Data!490:490,1,$P$1-8)-INDEX(Data!1375:1375,1,$P$1-8))+(INDEX(Data!105:105,1,$P$1-7)+INDEX(Data!490:490,1,$P$1-7)-INDEX(Data!1375:1375,1,$P$1-7))</f>
        <v>52440408</v>
      </c>
      <c r="C171" s="87">
        <f>(INDEX(Data!105:105,1,$P$1-6)+INDEX(Data!490:490,1,$P$1-6)-INDEX(Data!1375:1375,1,$P$1-6))+(INDEX(Data!105:105,1,$P$1-5)+INDEX(Data!490:490,1,$P$1-5)-INDEX(Data!1375:1375,1,$P$1-5))</f>
        <v>54822506</v>
      </c>
      <c r="D171" s="404">
        <f>(INDEX(Data!105:105,1,$P$1-4)+INDEX(Data!490:490,1,$P$1-4)-INDEX(Data!1375:1375,1,$P$1-4))+(INDEX(Data!105:105,1,$P$1-3)+INDEX(Data!490:490,1,$P$1-3)-INDEX(Data!1375:1375,1,$P$1-3))</f>
        <v>54723208</v>
      </c>
      <c r="E171" s="90">
        <f>(INDEX(Data!105:105,1,$P$1-2)+INDEX(Data!490:490,1,$P$1-2)-INDEX(Data!1375:1375,1,$P$1-2))+(INDEX(Data!105:105,1,$P$1-1)+INDEX(Data!490:490,1,$P$1-1)-INDEX(Data!1375:1375,1,$P$1-1))</f>
        <v>57595270</v>
      </c>
      <c r="F171" s="88">
        <f>(INDEX(Data!105:105,1,$P$1)+INDEX(Data!490:490,1,$P$1)-INDEX(Data!1375:1375,1,$P$1))+(INDEX(Data!105:105,1,$P$1+1)+INDEX(Data!490:490,1,$P$1+1)-INDEX(Data!1375:1375,1,$P$1+1))</f>
        <v>64452478</v>
      </c>
      <c r="G171" s="91">
        <f>(INDEX(Data!204:204,1,$P$1-8)+INDEX(Data!490:490,1,$P$1-8)-INDEX(Data!1532:1532,1,$P$1-8))+(INDEX(Data!204:204,1,$P$1-7)+INDEX(Data!490:490,1,$P$1-7)-INDEX(Data!1532:1532,1,$P$1-7))</f>
        <v>38524640</v>
      </c>
      <c r="H171" s="87">
        <f>(INDEX(Data!204:204,1,$P$1-6)+INDEX(Data!490:490,1,$P$1-6)-INDEX(Data!1532:1532,1,$P$1-6))+(INDEX(Data!204:204,1,$P$1-5)+INDEX(Data!490:490,1,$P$1-5)-INDEX(Data!1532:1532,1,$P$1-5))</f>
        <v>37585430</v>
      </c>
      <c r="I171" s="404">
        <f>(INDEX(Data!204:204,1,$P$1-4)+INDEX(Data!490:490,1,$P$1-4)-INDEX(Data!1532:1532,1,$P$1-4))+(INDEX(Data!204:204,1,$P$1-3)+INDEX(Data!490:490,1,$P$1-3)-INDEX(Data!1532:1532,1,$P$1-3))</f>
        <v>35655671</v>
      </c>
      <c r="J171" s="90">
        <f>(INDEX(Data!204:204,1,$P$1-2)+INDEX(Data!490:490,1,$P$1-2)-INDEX(Data!1532:1532,1,$P$1-2))+(INDEX(Data!204:204,1,$P$1-1)+INDEX(Data!490:490,1,$P$1-1)-INDEX(Data!1532:1532,1,$P$1-1))</f>
        <v>38566963</v>
      </c>
      <c r="K171" s="88">
        <f>(INDEX(Data!204:204,1,$P$1)+INDEX(Data!490:490,1,$P$1)-INDEX(Data!1532:1532,1,$P$1))+(INDEX(Data!204:204,1,$P$1+1)+INDEX(Data!490:490,1,$P$1+1)-INDEX(Data!1532:1532,1,$P$1+1))</f>
        <v>59825551</v>
      </c>
    </row>
    <row r="172" spans="1:13" ht="25.5" hidden="1" outlineLevel="1">
      <c r="A172" s="79" t="s">
        <v>1443</v>
      </c>
      <c r="B172" s="86">
        <f>(INDEX(Data!106:106,1,$P$1-8)+INDEX(Data!491:491,1,$P$1-8)-INDEX(Data!1376:1376,1,$P$1-8))+(INDEX(Data!106:106,1,$P$1-7)+INDEX(Data!491:491,1,$P$1-7)-INDEX(Data!1376:1376,1,$P$1-7))</f>
        <v>27202272</v>
      </c>
      <c r="C172" s="87">
        <f>(INDEX(Data!106:106,1,$P$1-6)+INDEX(Data!491:491,1,$P$1-6)-INDEX(Data!1376:1376,1,$P$1-6))+(INDEX(Data!106:106,1,$P$1-5)+INDEX(Data!491:491,1,$P$1-5)-INDEX(Data!1376:1376,1,$P$1-5))</f>
        <v>25059576</v>
      </c>
      <c r="D172" s="404">
        <f>(INDEX(Data!106:106,1,$P$1-4)+INDEX(Data!491:491,1,$P$1-4)-INDEX(Data!1376:1376,1,$P$1-4))+(INDEX(Data!106:106,1,$P$1-3)+INDEX(Data!491:491,1,$P$1-3)-INDEX(Data!1376:1376,1,$P$1-3))</f>
        <v>34082814</v>
      </c>
      <c r="E172" s="90">
        <f>(INDEX(Data!106:106,1,$P$1-2)+INDEX(Data!491:491,1,$P$1-2)-INDEX(Data!1376:1376,1,$P$1-2))+(INDEX(Data!106:106,1,$P$1-1)+INDEX(Data!491:491,1,$P$1-1)-INDEX(Data!1376:1376,1,$P$1-1))</f>
        <v>29856383</v>
      </c>
      <c r="F172" s="88">
        <f>(INDEX(Data!106:106,1,$P$1)+INDEX(Data!491:491,1,$P$1)-INDEX(Data!1376:1376,1,$P$1))+(INDEX(Data!106:106,1,$P$1+1)+INDEX(Data!491:491,1,$P$1+1)-INDEX(Data!1376:1376,1,$P$1+1))</f>
        <v>27357835</v>
      </c>
      <c r="G172" s="91">
        <f>(INDEX(Data!205:205,1,$P$1-8)+INDEX(Data!491:491,1,$P$1-8)-INDEX(Data!1533:1533,1,$P$1-8))+(INDEX(Data!205:205,1,$P$1-7)+INDEX(Data!491:491,1,$P$1-7)-INDEX(Data!1533:1533,1,$P$1-7))</f>
        <v>22427066</v>
      </c>
      <c r="H172" s="87">
        <f>(INDEX(Data!205:205,1,$P$1-6)+INDEX(Data!491:491,1,$P$1-6)-INDEX(Data!1533:1533,1,$P$1-6))+(INDEX(Data!205:205,1,$P$1-5)+INDEX(Data!491:491,1,$P$1-5)-INDEX(Data!1533:1533,1,$P$1-5))</f>
        <v>21522558</v>
      </c>
      <c r="I172" s="404">
        <f>(INDEX(Data!205:205,1,$P$1-4)+INDEX(Data!491:491,1,$P$1-4)-INDEX(Data!1533:1533,1,$P$1-4))+(INDEX(Data!205:205,1,$P$1-3)+INDEX(Data!491:491,1,$P$1-3)-INDEX(Data!1533:1533,1,$P$1-3))</f>
        <v>28926021</v>
      </c>
      <c r="J172" s="90">
        <f>(INDEX(Data!205:205,1,$P$1-2)+INDEX(Data!491:491,1,$P$1-2)-INDEX(Data!1533:1533,1,$P$1-2))+(INDEX(Data!205:205,1,$P$1-1)+INDEX(Data!491:491,1,$P$1-1)-INDEX(Data!1533:1533,1,$P$1-1))</f>
        <v>24062882</v>
      </c>
      <c r="K172" s="88">
        <f>(INDEX(Data!205:205,1,$P$1)+INDEX(Data!491:491,1,$P$1)-INDEX(Data!1533:1533,1,$P$1))+(INDEX(Data!205:205,1,$P$1+1)+INDEX(Data!491:491,1,$P$1+1)-INDEX(Data!1533:1533,1,$P$1+1))</f>
        <v>26033705</v>
      </c>
    </row>
    <row r="173" spans="1:13" ht="15" hidden="1" customHeight="1" outlineLevel="1">
      <c r="A173" s="79" t="s">
        <v>1444</v>
      </c>
      <c r="B173" s="86">
        <f>(INDEX(Data!107:107,1,$P$1-8)+INDEX(Data!492:492,1,$P$1-8)-INDEX(Data!1377:1377,1,$P$1-8))+(INDEX(Data!107:107,1,$P$1-7)+INDEX(Data!492:492,1,$P$1-7)-INDEX(Data!1377:1377,1,$P$1-7))</f>
        <v>15634513</v>
      </c>
      <c r="C173" s="87">
        <f>(INDEX(Data!107:107,1,$P$1-6)+INDEX(Data!492:492,1,$P$1-6)-INDEX(Data!1377:1377,1,$P$1-6))+(INDEX(Data!107:107,1,$P$1-5)+INDEX(Data!492:492,1,$P$1-5)-INDEX(Data!1377:1377,1,$P$1-5))</f>
        <v>18000711</v>
      </c>
      <c r="D173" s="404">
        <f>(INDEX(Data!107:107,1,$P$1-4)+INDEX(Data!492:492,1,$P$1-4)-INDEX(Data!1377:1377,1,$P$1-4))+(INDEX(Data!107:107,1,$P$1-3)+INDEX(Data!492:492,1,$P$1-3)-INDEX(Data!1377:1377,1,$P$1-3))</f>
        <v>22407945</v>
      </c>
      <c r="E173" s="90">
        <f>(INDEX(Data!107:107,1,$P$1-2)+INDEX(Data!492:492,1,$P$1-2)-INDEX(Data!1377:1377,1,$P$1-2))+(INDEX(Data!107:107,1,$P$1-1)+INDEX(Data!492:492,1,$P$1-1)-INDEX(Data!1377:1377,1,$P$1-1))</f>
        <v>21721192</v>
      </c>
      <c r="F173" s="88">
        <f>(INDEX(Data!107:107,1,$P$1)+INDEX(Data!492:492,1,$P$1)-INDEX(Data!1377:1377,1,$P$1))+(INDEX(Data!107:107,1,$P$1+1)+INDEX(Data!492:492,1,$P$1+1)-INDEX(Data!1377:1377,1,$P$1+1))</f>
        <v>20309363</v>
      </c>
      <c r="G173" s="91">
        <f>(INDEX(Data!206:206,1,$P$1-8)+INDEX(Data!492:492,1,$P$1-8)-INDEX(Data!1534:1534,1,$P$1-8))+(INDEX(Data!206:206,1,$P$1-7)+INDEX(Data!492:492,1,$P$1-7)-INDEX(Data!1534:1534,1,$P$1-7))</f>
        <v>13158474</v>
      </c>
      <c r="H173" s="87">
        <f>(INDEX(Data!206:206,1,$P$1-6)+INDEX(Data!492:492,1,$P$1-6)-INDEX(Data!1534:1534,1,$P$1-6))+(INDEX(Data!206:206,1,$P$1-5)+INDEX(Data!492:492,1,$P$1-5)-INDEX(Data!1534:1534,1,$P$1-5))</f>
        <v>15212344</v>
      </c>
      <c r="I173" s="404">
        <f>(INDEX(Data!206:206,1,$P$1-4)+INDEX(Data!492:492,1,$P$1-4)-INDEX(Data!1534:1534,1,$P$1-4))+(INDEX(Data!206:206,1,$P$1-3)+INDEX(Data!492:492,1,$P$1-3)-INDEX(Data!1534:1534,1,$P$1-3))</f>
        <v>19040288</v>
      </c>
      <c r="J173" s="90">
        <f>(INDEX(Data!206:206,1,$P$1-2)+INDEX(Data!492:492,1,$P$1-2)-INDEX(Data!1534:1534,1,$P$1-2))+(INDEX(Data!206:206,1,$P$1-1)+INDEX(Data!492:492,1,$P$1-1)-INDEX(Data!1534:1534,1,$P$1-1))</f>
        <v>17946586</v>
      </c>
      <c r="K173" s="88">
        <f>(INDEX(Data!206:206,1,$P$1)+INDEX(Data!492:492,1,$P$1)-INDEX(Data!1534:1534,1,$P$1))+(INDEX(Data!206:206,1,$P$1+1)+INDEX(Data!492:492,1,$P$1+1)-INDEX(Data!1534:1534,1,$P$1+1))</f>
        <v>19895802</v>
      </c>
    </row>
    <row r="174" spans="1:13" hidden="1" outlineLevel="1">
      <c r="A174" s="79" t="s">
        <v>1445</v>
      </c>
      <c r="B174" s="86">
        <f>(INDEX(Data!108:108,1,$P$1-8)+INDEX(Data!493:493,1,$P$1-8)-INDEX(Data!1378:1378,1,$P$1-8))+(INDEX(Data!108:108,1,$P$1-7)+INDEX(Data!493:493,1,$P$1-7)-INDEX(Data!1378:1378,1,$P$1-7))</f>
        <v>74429910</v>
      </c>
      <c r="C174" s="87">
        <f>(INDEX(Data!108:108,1,$P$1-6)+INDEX(Data!493:493,1,$P$1-6)-INDEX(Data!1378:1378,1,$P$1-6))+(INDEX(Data!108:108,1,$P$1-5)+INDEX(Data!493:493,1,$P$1-5)-INDEX(Data!1378:1378,1,$P$1-5))</f>
        <v>73956222</v>
      </c>
      <c r="D174" s="404">
        <f>(INDEX(Data!108:108,1,$P$1-4)+INDEX(Data!493:493,1,$P$1-4)-INDEX(Data!1378:1378,1,$P$1-4))+(INDEX(Data!108:108,1,$P$1-3)+INDEX(Data!493:493,1,$P$1-3)-INDEX(Data!1378:1378,1,$P$1-3))</f>
        <v>72994484</v>
      </c>
      <c r="E174" s="90">
        <f>(INDEX(Data!108:108,1,$P$1-2)+INDEX(Data!493:493,1,$P$1-2)-INDEX(Data!1378:1378,1,$P$1-2))+(INDEX(Data!108:108,1,$P$1-1)+INDEX(Data!493:493,1,$P$1-1)-INDEX(Data!1378:1378,1,$P$1-1))</f>
        <v>71176888</v>
      </c>
      <c r="F174" s="88">
        <f>(INDEX(Data!108:108,1,$P$1)+INDEX(Data!493:493,1,$P$1)-INDEX(Data!1378:1378,1,$P$1))+(INDEX(Data!108:108,1,$P$1+1)+INDEX(Data!493:493,1,$P$1+1)-INDEX(Data!1378:1378,1,$P$1+1))</f>
        <v>76299905</v>
      </c>
      <c r="G174" s="91">
        <f>(INDEX(Data!207:207,1,$P$1-8)+INDEX(Data!493:493,1,$P$1-8)-INDEX(Data!1535:1535,1,$P$1-8))+(INDEX(Data!207:207,1,$P$1-7)+INDEX(Data!493:493,1,$P$1-7)-INDEX(Data!1535:1535,1,$P$1-7))</f>
        <v>56023200</v>
      </c>
      <c r="H174" s="87">
        <f>(INDEX(Data!207:207,1,$P$1-6)+INDEX(Data!493:493,1,$P$1-6)-INDEX(Data!1535:1535,1,$P$1-6))+(INDEX(Data!207:207,1,$P$1-5)+INDEX(Data!493:493,1,$P$1-5)-INDEX(Data!1535:1535,1,$P$1-5))</f>
        <v>51228032</v>
      </c>
      <c r="I174" s="404">
        <f>(INDEX(Data!207:207,1,$P$1-4)+INDEX(Data!493:493,1,$P$1-4)-INDEX(Data!1535:1535,1,$P$1-4))+(INDEX(Data!207:207,1,$P$1-3)+INDEX(Data!493:493,1,$P$1-3)-INDEX(Data!1535:1535,1,$P$1-3))</f>
        <v>52278711</v>
      </c>
      <c r="J174" s="90">
        <f>(INDEX(Data!207:207,1,$P$1-2)+INDEX(Data!493:493,1,$P$1-2)-INDEX(Data!1535:1535,1,$P$1-2))+(INDEX(Data!207:207,1,$P$1-1)+INDEX(Data!493:493,1,$P$1-1)-INDEX(Data!1535:1535,1,$P$1-1))</f>
        <v>49042295</v>
      </c>
      <c r="K174" s="88">
        <f>(INDEX(Data!207:207,1,$P$1)+INDEX(Data!493:493,1,$P$1)-INDEX(Data!1535:1535,1,$P$1))+(INDEX(Data!207:207,1,$P$1+1)+INDEX(Data!493:493,1,$P$1+1)-INDEX(Data!1535:1535,1,$P$1+1))</f>
        <v>70903638</v>
      </c>
    </row>
    <row r="175" spans="1:13" s="1044" customFormat="1" ht="25.5" hidden="1" outlineLevel="1">
      <c r="A175" s="79" t="s">
        <v>1852</v>
      </c>
      <c r="B175" s="86">
        <f>(INDEX(Data!109:109,1,$P$1-8)+INDEX(Data!494:494,1,$P$1-8)-INDEX(Data!1379:1379,1,$P$1-8))+(INDEX(Data!109:109,1,$P$1-7)+INDEX(Data!494:494,1,$P$1-7)-INDEX(Data!1379:1379,1,$P$1-7))</f>
        <v>0</v>
      </c>
      <c r="C175" s="87">
        <f>(INDEX(Data!109:109,1,$P$1-6)+INDEX(Data!494:494,1,$P$1-6)-INDEX(Data!1379:1379,1,$P$1-6))+(INDEX(Data!109:109,1,$P$1-5)+INDEX(Data!494:494,1,$P$1-5)-INDEX(Data!1379:1379,1,$P$1-5))</f>
        <v>0</v>
      </c>
      <c r="D175" s="404">
        <f>(INDEX(Data!109:109,1,$P$1-4)+INDEX(Data!494:494,1,$P$1-4)-INDEX(Data!1379:1379,1,$P$1-4))+(INDEX(Data!109:109,1,$P$1-3)+INDEX(Data!494:494,1,$P$1-3)-INDEX(Data!1379:1379,1,$P$1-3))</f>
        <v>0</v>
      </c>
      <c r="E175" s="90">
        <f>(INDEX(Data!109:109,1,$P$1-2)+INDEX(Data!494:494,1,$P$1-2)-INDEX(Data!1379:1379,1,$P$1-2))+(INDEX(Data!109:109,1,$P$1-1)+INDEX(Data!494:494,1,$P$1-1)-INDEX(Data!1379:1379,1,$P$1-1))</f>
        <v>11987645</v>
      </c>
      <c r="F175" s="88">
        <f>(INDEX(Data!109:109,1,$P$1)+INDEX(Data!494:494,1,$P$1)-INDEX(Data!1379:1379,1,$P$1))+(INDEX(Data!109:109,1,$P$1+1)+INDEX(Data!494:494,1,$P$1+1)-INDEX(Data!1379:1379,1,$P$1+1))</f>
        <v>13252224</v>
      </c>
      <c r="G175" s="91">
        <f>(INDEX(Data!208:208,1,$P$1-8)+INDEX(Data!494:494,1,$P$1-8)-INDEX(Data!1536:1536,1,$P$1-8))+(INDEX(Data!208:208,1,$P$1-7)+INDEX(Data!494:494,1,$P$1-7)-INDEX(Data!1536:1536,1,$P$1-7))</f>
        <v>0</v>
      </c>
      <c r="H175" s="87">
        <f>(INDEX(Data!208:208,1,$P$1-6)+INDEX(Data!494:494,1,$P$1-6)-INDEX(Data!1536:1536,1,$P$1-6))+(INDEX(Data!208:208,1,$P$1-5)+INDEX(Data!494:494,1,$P$1-5)-INDEX(Data!1536:1536,1,$P$1-5))</f>
        <v>0</v>
      </c>
      <c r="I175" s="404">
        <f>(INDEX(Data!208:208,1,$P$1-4)+INDEX(Data!494:494,1,$P$1-4)-INDEX(Data!1536:1536,1,$P$1-4))+(INDEX(Data!208:208,1,$P$1-3)+INDEX(Data!494:494,1,$P$1-3)-INDEX(Data!1536:1536,1,$P$1-3))</f>
        <v>0</v>
      </c>
      <c r="J175" s="90">
        <f>(INDEX(Data!208:208,1,$P$1-2)+INDEX(Data!494:494,1,$P$1-2)-INDEX(Data!1536:1536,1,$P$1-2))+(INDEX(Data!208:208,1,$P$1-1)+INDEX(Data!494:494,1,$P$1-1)-INDEX(Data!1536:1536,1,$P$1-1))</f>
        <v>11390378</v>
      </c>
      <c r="K175" s="88">
        <f>(INDEX(Data!208:208,1,$P$1)+INDEX(Data!494:494,1,$P$1)-INDEX(Data!1536:1536,1,$P$1))+(INDEX(Data!208:208,1,$P$1+1)+INDEX(Data!494:494,1,$P$1+1)-INDEX(Data!1536:1536,1,$P$1+1))</f>
        <v>12641913</v>
      </c>
      <c r="L175" s="67"/>
      <c r="M175" s="67"/>
    </row>
    <row r="176" spans="1:13" s="1044" customFormat="1" ht="25.5" hidden="1" outlineLevel="1">
      <c r="A176" s="79" t="s">
        <v>1853</v>
      </c>
      <c r="B176" s="86">
        <f>(INDEX(Data!110:110,1,$P$1-8)+INDEX(Data!495:495,1,$P$1-8)-INDEX(Data!1380:1380,1,$P$1-8))+(INDEX(Data!110:110,1,$P$1-7)+INDEX(Data!495:495,1,$P$1-7)-INDEX(Data!1380:1380,1,$P$1-7))</f>
        <v>0</v>
      </c>
      <c r="C176" s="87">
        <f>(INDEX(Data!110:110,1,$P$1-6)+INDEX(Data!495:495,1,$P$1-6)-INDEX(Data!1380:1380,1,$P$1-6))+(INDEX(Data!110:110,1,$P$1-5)+INDEX(Data!495:495,1,$P$1-5)-INDEX(Data!1380:1380,1,$P$1-5))</f>
        <v>0</v>
      </c>
      <c r="D176" s="404">
        <f>(INDEX(Data!110:110,1,$P$1-4)+INDEX(Data!495:495,1,$P$1-4)-INDEX(Data!1380:1380,1,$P$1-4))+(INDEX(Data!110:110,1,$P$1-3)+INDEX(Data!495:495,1,$P$1-3)-INDEX(Data!1380:1380,1,$P$1-3))</f>
        <v>0</v>
      </c>
      <c r="E176" s="90">
        <f>(INDEX(Data!110:110,1,$P$1-2)+INDEX(Data!495:495,1,$P$1-2)-INDEX(Data!1380:1380,1,$P$1-2))+(INDEX(Data!110:110,1,$P$1-1)+INDEX(Data!495:495,1,$P$1-1)-INDEX(Data!1380:1380,1,$P$1-1))</f>
        <v>8025467</v>
      </c>
      <c r="F176" s="88">
        <f>(INDEX(Data!110:110,1,$P$1)+INDEX(Data!495:495,1,$P$1)-INDEX(Data!1380:1380,1,$P$1))+(INDEX(Data!110:110,1,$P$1+1)+INDEX(Data!495:495,1,$P$1+1)-INDEX(Data!1380:1380,1,$P$1+1))</f>
        <v>8331567</v>
      </c>
      <c r="G176" s="91">
        <f>(INDEX(Data!209:209,1,$P$1-8)+INDEX(Data!495:495,1,$P$1-8)-INDEX(Data!1537:1537,1,$P$1-8))+(INDEX(Data!209:209,1,$P$1-7)+INDEX(Data!495:495,1,$P$1-7)-INDEX(Data!1537:1537,1,$P$1-7))</f>
        <v>0</v>
      </c>
      <c r="H176" s="87">
        <f>(INDEX(Data!209:209,1,$P$1-6)+INDEX(Data!495:495,1,$P$1-6)-INDEX(Data!1537:1537,1,$P$1-6))+(INDEX(Data!209:209,1,$P$1-5)+INDEX(Data!495:495,1,$P$1-5)-INDEX(Data!1537:1537,1,$P$1-5))</f>
        <v>0</v>
      </c>
      <c r="I176" s="404">
        <f>(INDEX(Data!209:209,1,$P$1-4)+INDEX(Data!495:495,1,$P$1-4)-INDEX(Data!1537:1537,1,$P$1-4))+(INDEX(Data!209:209,1,$P$1-3)+INDEX(Data!495:495,1,$P$1-3)-INDEX(Data!1537:1537,1,$P$1-3))</f>
        <v>0</v>
      </c>
      <c r="J176" s="90">
        <f>(INDEX(Data!209:209,1,$P$1-2)+INDEX(Data!495:495,1,$P$1-2)-INDEX(Data!1537:1537,1,$P$1-2))+(INDEX(Data!209:209,1,$P$1-1)+INDEX(Data!495:495,1,$P$1-1)-INDEX(Data!1537:1537,1,$P$1-1))</f>
        <v>7196854</v>
      </c>
      <c r="K176" s="88">
        <f>(INDEX(Data!209:209,1,$P$1)+INDEX(Data!495:495,1,$P$1)-INDEX(Data!1537:1537,1,$P$1))+(INDEX(Data!209:209,1,$P$1+1)+INDEX(Data!495:495,1,$P$1+1)-INDEX(Data!1537:1537,1,$P$1+1))</f>
        <v>7944492</v>
      </c>
      <c r="L176" s="67"/>
      <c r="M176" s="67"/>
    </row>
    <row r="177" spans="1:11" collapsed="1">
      <c r="A177" s="113" t="s">
        <v>788</v>
      </c>
      <c r="B177" s="105">
        <f>SUM(B170:B176)</f>
        <v>180900309</v>
      </c>
      <c r="C177" s="105">
        <f t="shared" ref="C177:K177" si="26">SUM(C170:C176)</f>
        <v>190972760</v>
      </c>
      <c r="D177" s="105">
        <f t="shared" si="26"/>
        <v>211641600</v>
      </c>
      <c r="E177" s="105">
        <f t="shared" si="26"/>
        <v>224527757</v>
      </c>
      <c r="F177" s="105">
        <f t="shared" si="26"/>
        <v>227768205</v>
      </c>
      <c r="G177" s="105">
        <f t="shared" si="26"/>
        <v>140578569</v>
      </c>
      <c r="H177" s="105">
        <f t="shared" si="26"/>
        <v>144599771</v>
      </c>
      <c r="I177" s="105">
        <f t="shared" si="26"/>
        <v>162242465</v>
      </c>
      <c r="J177" s="105">
        <f t="shared" si="26"/>
        <v>170908627</v>
      </c>
      <c r="K177" s="105">
        <f t="shared" si="26"/>
        <v>214261780</v>
      </c>
    </row>
    <row r="178" spans="1:11" ht="13.5" hidden="1" customHeight="1" outlineLevel="1">
      <c r="A178" s="79" t="s">
        <v>1446</v>
      </c>
      <c r="B178" s="86">
        <f>(INDEX(Data!84:84,1,$P$1-8)+INDEX(Data!471:471,1,$P$1-8)-INDEX(Data!1305:1305,1,$P$1-8))+(INDEX(Data!84:84,1,$P$1-7)+INDEX(Data!471:471,1,$P$1-7)-INDEX(Data!1305:1305,1,$P$1-7))</f>
        <v>30451221</v>
      </c>
      <c r="C178" s="87">
        <f>(INDEX(Data!84:84,1,$P$1-6)+INDEX(Data!471:471,1,$P$1-6)-INDEX(Data!1305:1305,1,$P$1-6))+(INDEX(Data!84:84,1,$P$1-5)+INDEX(Data!471:471,1,$P$1-5)-INDEX(Data!1305:1305,1,$P$1-5))</f>
        <v>24917126</v>
      </c>
      <c r="D178" s="404">
        <f>(INDEX(Data!84:84,1,$P$1-4)+INDEX(Data!471:471,1,$P$1-4)-INDEX(Data!1305:1305,1,$P$1-4))+(INDEX(Data!84:84,1,$P$1-3)+INDEX(Data!471:471,1,$P$1-3)-INDEX(Data!1305:1305,1,$P$1-3))</f>
        <v>26143597</v>
      </c>
      <c r="E178" s="90">
        <f>(INDEX(Data!84:84,1,$P$1-2)+INDEX(Data!471:471,1,$P$1-2)-INDEX(Data!1305:1305,1,$P$1-2))+(INDEX(Data!84:84,1,$P$1-1)+INDEX(Data!471:471,1,$P$1-1)-INDEX(Data!1305:1305,1,$P$1-1))</f>
        <v>27281465</v>
      </c>
      <c r="F178" s="88">
        <f>(INDEX(Data!84:84,1,$P$1)+INDEX(Data!471:471,1,$P$1)-INDEX(Data!1305:1305,1,$P$1))+(INDEX(Data!84:84,1,$P$1+1)+INDEX(Data!471:471,1,$P$1+1)-INDEX(Data!1305:1305,1,$P$1+1))</f>
        <v>36378729</v>
      </c>
      <c r="G178" s="91">
        <f>(INDEX(Data!183:183,1,$P$1-8)+INDEX(Data!471:471,1,$P$1-8)-INDEX(Data!1462:1462,1,$P$1-8))+(INDEX(Data!183:183,1,$P$1-7)+INDEX(Data!471:471,1,$P$1-7)-INDEX(Data!1462:1462,1,$P$1-7))</f>
        <v>23105883</v>
      </c>
      <c r="H178" s="87">
        <f>(INDEX(Data!183:183,1,$P$1-6)+INDEX(Data!471:471,1,$P$1-6)-INDEX(Data!1462:1462,1,$P$1-6))+(INDEX(Data!183:183,1,$P$1-5)+INDEX(Data!471:471,1,$P$1-5)-INDEX(Data!1462:1462,1,$P$1-5))</f>
        <v>19349721</v>
      </c>
      <c r="I178" s="404">
        <f>(INDEX(Data!183:183,1,$P$1-4)+INDEX(Data!471:471,1,$P$1-4)-INDEX(Data!1462:1462,1,$P$1-4))+(INDEX(Data!183:183,1,$P$1-3)+INDEX(Data!471:471,1,$P$1-3)-INDEX(Data!1462:1462,1,$P$1-3))</f>
        <v>20007936</v>
      </c>
      <c r="J178" s="90">
        <f>(INDEX(Data!183:183,1,$P$1-2)+INDEX(Data!471:471,1,$P$1-2)-INDEX(Data!1462:1462,1,$P$1-2))+(INDEX(Data!183:183,1,$P$1-1)+INDEX(Data!471:471,1,$P$1-1)-INDEX(Data!1462:1462,1,$P$1-1))</f>
        <v>22269820</v>
      </c>
      <c r="K178" s="88">
        <f>(INDEX(Data!183:183,1,$P$1)+INDEX(Data!471:471,1,$P$1)-INDEX(Data!1462:1462,1,$P$1))+(INDEX(Data!183:183,1,$P$1+1)+INDEX(Data!471:471,1,$P$1+1)-INDEX(Data!1462:1462,1,$P$1+1))</f>
        <v>31316361</v>
      </c>
    </row>
    <row r="179" spans="1:11" hidden="1" outlineLevel="1">
      <c r="A179" s="79" t="s">
        <v>1447</v>
      </c>
      <c r="B179" s="86">
        <f>(INDEX(Data!85:85,1,$P$1-8)+INDEX(Data!472:472,1,$P$1-8)-INDEX(Data!1306:1306,1,$P$1-8))+(INDEX(Data!85:85,1,$P$1-7)+INDEX(Data!472:472,1,$P$1-7)-INDEX(Data!1306:1306,1,$P$1-7))</f>
        <v>20521757</v>
      </c>
      <c r="C179" s="87">
        <f>(INDEX(Data!85:85,1,$P$1-6)+INDEX(Data!472:472,1,$P$1-6)-INDEX(Data!1306:1306,1,$P$1-6))+(INDEX(Data!85:85,1,$P$1-5)+INDEX(Data!472:472,1,$P$1-5)-INDEX(Data!1306:1306,1,$P$1-5))</f>
        <v>20696132</v>
      </c>
      <c r="D179" s="404">
        <f>(INDEX(Data!85:85,1,$P$1-4)+INDEX(Data!472:472,1,$P$1-4)-INDEX(Data!1306:1306,1,$P$1-4))+(INDEX(Data!85:85,1,$P$1-3)+INDEX(Data!472:472,1,$P$1-3)-INDEX(Data!1306:1306,1,$P$1-3))</f>
        <v>22159885</v>
      </c>
      <c r="E179" s="90">
        <f>(INDEX(Data!85:85,1,$P$1-2)+INDEX(Data!472:472,1,$P$1-2)-INDEX(Data!1306:1306,1,$P$1-2))+(INDEX(Data!85:85,1,$P$1-1)+INDEX(Data!472:472,1,$P$1-1)-INDEX(Data!1306:1306,1,$P$1-1))</f>
        <v>22732957</v>
      </c>
      <c r="F179" s="88">
        <f>(INDEX(Data!85:85,1,$P$1)+INDEX(Data!472:472,1,$P$1)-INDEX(Data!1306:1306,1,$P$1))+(INDEX(Data!85:85,1,$P$1+1)+INDEX(Data!472:472,1,$P$1+1)-INDEX(Data!1306:1306,1,$P$1+1))</f>
        <v>27217298</v>
      </c>
      <c r="G179" s="91">
        <f>(INDEX(Data!184:184,1,$P$1-8)+INDEX(Data!472:472,1,$P$1-8)-INDEX(Data!1463:1463,1,$P$1-8))+(INDEX(Data!184:184,1,$P$1-7)+INDEX(Data!472:472,1,$P$1-7)-INDEX(Data!1463:1463,1,$P$1-7))</f>
        <v>14795347</v>
      </c>
      <c r="H179" s="87">
        <f>(INDEX(Data!184:184,1,$P$1-6)+INDEX(Data!472:472,1,$P$1-6)-INDEX(Data!1463:1463,1,$P$1-6))+(INDEX(Data!184:184,1,$P$1-5)+INDEX(Data!472:472,1,$P$1-5)-INDEX(Data!1463:1463,1,$P$1-5))</f>
        <v>15579263</v>
      </c>
      <c r="I179" s="404">
        <f>(INDEX(Data!184:184,1,$P$1-4)+INDEX(Data!472:472,1,$P$1-4)-INDEX(Data!1463:1463,1,$P$1-4))+(INDEX(Data!184:184,1,$P$1-3)+INDEX(Data!472:472,1,$P$1-3)-INDEX(Data!1463:1463,1,$P$1-3))</f>
        <v>17842355</v>
      </c>
      <c r="J179" s="90">
        <f>(INDEX(Data!184:184,1,$P$1-2)+INDEX(Data!472:472,1,$P$1-2)-INDEX(Data!1463:1463,1,$P$1-2))+(INDEX(Data!184:184,1,$P$1-1)+INDEX(Data!472:472,1,$P$1-1)-INDEX(Data!1463:1463,1,$P$1-1))</f>
        <v>18436025</v>
      </c>
      <c r="K179" s="88">
        <f>(INDEX(Data!184:184,1,$P$1)+INDEX(Data!472:472,1,$P$1)-INDEX(Data!1463:1463,1,$P$1))+(INDEX(Data!184:184,1,$P$1+1)+INDEX(Data!472:472,1,$P$1+1)-INDEX(Data!1463:1463,1,$P$1+1))</f>
        <v>23154916</v>
      </c>
    </row>
    <row r="180" spans="1:11" hidden="1" outlineLevel="1">
      <c r="A180" s="79" t="s">
        <v>1448</v>
      </c>
      <c r="B180" s="86">
        <f>(INDEX(Data!86:86,1,$P$1-8)+INDEX(Data!473:473,1,$P$1-8)-INDEX(Data!1307:1307,1,$P$1-8))+(INDEX(Data!86:86,1,$P$1-7)+INDEX(Data!473:473,1,$P$1-7)-INDEX(Data!1307:1307,1,$P$1-7))</f>
        <v>23919941</v>
      </c>
      <c r="C180" s="87">
        <f>(INDEX(Data!86:86,1,$P$1-6)+INDEX(Data!473:473,1,$P$1-6)-INDEX(Data!1307:1307,1,$P$1-6))+(INDEX(Data!86:86,1,$P$1-5)+INDEX(Data!473:473,1,$P$1-5)-INDEX(Data!1307:1307,1,$P$1-5))</f>
        <v>29566239</v>
      </c>
      <c r="D180" s="404">
        <f>(INDEX(Data!86:86,1,$P$1-4)+INDEX(Data!473:473,1,$P$1-4)-INDEX(Data!1307:1307,1,$P$1-4))+(INDEX(Data!86:86,1,$P$1-3)+INDEX(Data!473:473,1,$P$1-3)-INDEX(Data!1307:1307,1,$P$1-3))</f>
        <v>25072320</v>
      </c>
      <c r="E180" s="90">
        <f>(INDEX(Data!86:86,1,$P$1-2)+INDEX(Data!473:473,1,$P$1-2)-INDEX(Data!1307:1307,1,$P$1-2))+(INDEX(Data!86:86,1,$P$1-1)+INDEX(Data!473:473,1,$P$1-1)-INDEX(Data!1307:1307,1,$P$1-1))</f>
        <v>25285436</v>
      </c>
      <c r="F180" s="88">
        <f>(INDEX(Data!86:86,1,$P$1)+INDEX(Data!473:473,1,$P$1)-INDEX(Data!1307:1307,1,$P$1))+(INDEX(Data!86:86,1,$P$1+1)+INDEX(Data!473:473,1,$P$1+1)-INDEX(Data!1307:1307,1,$P$1+1))</f>
        <v>33124221</v>
      </c>
      <c r="G180" s="91">
        <f>(INDEX(Data!185:185,1,$P$1-8)+INDEX(Data!473:473,1,$P$1-8)-INDEX(Data!1464:1464,1,$P$1-8))+(INDEX(Data!185:185,1,$P$1-7)+INDEX(Data!473:473,1,$P$1-7)-INDEX(Data!1464:1464,1,$P$1-7))</f>
        <v>18476838</v>
      </c>
      <c r="H180" s="87">
        <f>(INDEX(Data!185:185,1,$P$1-6)+INDEX(Data!473:473,1,$P$1-6)-INDEX(Data!1464:1464,1,$P$1-6))+(INDEX(Data!185:185,1,$P$1-5)+INDEX(Data!473:473,1,$P$1-5)-INDEX(Data!1464:1464,1,$P$1-5))</f>
        <v>23295389</v>
      </c>
      <c r="I180" s="404">
        <f>(INDEX(Data!185:185,1,$P$1-4)+INDEX(Data!473:473,1,$P$1-4)-INDEX(Data!1464:1464,1,$P$1-4))+(INDEX(Data!185:185,1,$P$1-3)+INDEX(Data!473:473,1,$P$1-3)-INDEX(Data!1464:1464,1,$P$1-3))</f>
        <v>22491357</v>
      </c>
      <c r="J180" s="90">
        <f>(INDEX(Data!185:185,1,$P$1-2)+INDEX(Data!473:473,1,$P$1-2)-INDEX(Data!1464:1464,1,$P$1-2))+(INDEX(Data!185:185,1,$P$1-1)+INDEX(Data!473:473,1,$P$1-1)-INDEX(Data!1464:1464,1,$P$1-1))</f>
        <v>21174974</v>
      </c>
      <c r="K180" s="88">
        <f>(INDEX(Data!185:185,1,$P$1)+INDEX(Data!473:473,1,$P$1)-INDEX(Data!1464:1464,1,$P$1))+(INDEX(Data!185:185,1,$P$1+1)+INDEX(Data!473:473,1,$P$1+1)-INDEX(Data!1464:1464,1,$P$1+1))</f>
        <v>28519486</v>
      </c>
    </row>
    <row r="181" spans="1:11" collapsed="1">
      <c r="A181" s="113" t="s">
        <v>789</v>
      </c>
      <c r="B181" s="105">
        <f>SUM(B178:B180)</f>
        <v>74892919</v>
      </c>
      <c r="C181" s="106">
        <f t="shared" ref="C181:E181" si="27">SUM(C178:C180)</f>
        <v>75179497</v>
      </c>
      <c r="D181" s="465">
        <f t="shared" si="27"/>
        <v>73375802</v>
      </c>
      <c r="E181" s="115">
        <f t="shared" si="27"/>
        <v>75299858</v>
      </c>
      <c r="F181" s="107">
        <f>SUM(F178:F180)</f>
        <v>96720248</v>
      </c>
      <c r="G181" s="405">
        <f>SUM(G178:G180)</f>
        <v>56378068</v>
      </c>
      <c r="H181" s="106">
        <f t="shared" ref="H181:J181" si="28">SUM(H178:H180)</f>
        <v>58224373</v>
      </c>
      <c r="I181" s="465">
        <f t="shared" si="28"/>
        <v>60341648</v>
      </c>
      <c r="J181" s="115">
        <f t="shared" si="28"/>
        <v>61880819</v>
      </c>
      <c r="K181" s="107">
        <f>SUM(K178:K180)</f>
        <v>82990763</v>
      </c>
    </row>
    <row r="182" spans="1:11" hidden="1" outlineLevel="1">
      <c r="A182" s="79" t="s">
        <v>1407</v>
      </c>
      <c r="B182" s="86">
        <f>(INDEX(Data!321:321,1,$P$1-8)+INDEX(Data!838:838,1,$P$1-8)-INDEX(Data!1324:1324,1,$P$1-8))+(INDEX(Data!321:321,1,$P$1-7)+INDEX(Data!838:838,1,$P$1-7)-INDEX(Data!1324:1324,1,$P$1-7))</f>
        <v>148077718</v>
      </c>
      <c r="C182" s="87">
        <f>(INDEX(Data!321:321,1,$P$1-6)+INDEX(Data!838:838,1,$P$1-6)-INDEX(Data!1324:1324,1,$P$1-6))+(INDEX(Data!321:321,1,$P$1-5)+INDEX(Data!838:838,1,$P$1-5)-INDEX(Data!1324:1324,1,$P$1-5))</f>
        <v>147481886</v>
      </c>
      <c r="D182" s="404">
        <f>(INDEX(Data!321:321,1,$P$1-4)+INDEX(Data!838:838,1,$P$1-4)-INDEX(Data!1324:1324,1,$P$1-4))+(INDEX(Data!321:321,1,$P$1-3)+INDEX(Data!838:838,1,$P$1-3)-INDEX(Data!1324:1324,1,$P$1-3))</f>
        <v>151761589</v>
      </c>
      <c r="E182" s="90">
        <f>(INDEX(Data!321:321,1,$P$1-2)+INDEX(Data!838:838,1,$P$1-2)-INDEX(Data!1324:1324,1,$P$1-2))+(INDEX(Data!321:321,1,$P$1-1)+INDEX(Data!838:838,1,$P$1-1)-INDEX(Data!1324:1324,1,$P$1-1))</f>
        <v>154168647</v>
      </c>
      <c r="F182" s="88">
        <f>(INDEX(Data!321:321,1,$P$1)+INDEX(Data!838:838,1,$P$1)-INDEX(Data!1324:1324,1,$P$1))+(INDEX(Data!321:321,1,$P$1+1)+INDEX(Data!838:838,1,$P$1+1)-INDEX(Data!1324:1324,1,$P$1+1))</f>
        <v>160178812</v>
      </c>
      <c r="G182" s="91">
        <f>(INDEX(Data!373:373,1,$P$1-8)+INDEX(Data!838:838,1,$P$1-8)-INDEX(Data!1481:1481,1,$P$1-8))+(INDEX(Data!373:373,1,$P$1-7)+INDEX(Data!838:838,1,$P$1-7)-INDEX(Data!1481:1481,1,$P$1-7))</f>
        <v>148077718</v>
      </c>
      <c r="H182" s="87">
        <f>(INDEX(Data!373:373,1,$P$1-6)+INDEX(Data!838:838,1,$P$1-6)-INDEX(Data!1481:1481,1,$P$1-6))+(INDEX(Data!373:373,1,$P$1-5)+INDEX(Data!838:838,1,$P$1-5)-INDEX(Data!1481:1481,1,$P$1-5))</f>
        <v>147481886</v>
      </c>
      <c r="I182" s="404">
        <f>(INDEX(Data!373:373,1,$P$1-4)+INDEX(Data!838:838,1,$P$1-4)-INDEX(Data!1481:1481,1,$P$1-4))+(INDEX(Data!373:373,1,$P$1-3)+INDEX(Data!838:838,1,$P$1-3)-INDEX(Data!1481:1481,1,$P$1-3))</f>
        <v>151761589</v>
      </c>
      <c r="J182" s="90">
        <f>(INDEX(Data!373:373,1,$P$1-2)+INDEX(Data!838:838,1,$P$1-2)-INDEX(Data!1481:1481,1,$P$1-2))+(INDEX(Data!373:373,1,$P$1-1)+INDEX(Data!838:838,1,$P$1-1)-INDEX(Data!1481:1481,1,$P$1-1))</f>
        <v>154168647</v>
      </c>
      <c r="K182" s="88">
        <f>(INDEX(Data!373:373,1,$P$1)+INDEX(Data!838:838,1,$P$1)-INDEX(Data!1481:1481,1,$P$1))+(INDEX(Data!373:373,1,$P$1+1)+INDEX(Data!838:838,1,$P$1+1)-INDEX(Data!1481:1481,1,$P$1+1))</f>
        <v>160178812</v>
      </c>
    </row>
    <row r="183" spans="1:11" hidden="1" outlineLevel="1">
      <c r="A183" s="79" t="s">
        <v>102</v>
      </c>
      <c r="B183" s="86">
        <f>(INDEX(Data!322:322,1,$P$1-8)+INDEX(Data!839:839,1,$P$1-8)-INDEX(Data!1325:1325,1,$P$1-8))+(INDEX(Data!322:322,1,$P$1-7)+INDEX(Data!839:839,1,$P$1-7)-INDEX(Data!1325:1325,1,$P$1-7))</f>
        <v>16565062</v>
      </c>
      <c r="C183" s="87">
        <f>(INDEX(Data!322:322,1,$P$1-6)+INDEX(Data!839:839,1,$P$1-6)-INDEX(Data!1325:1325,1,$P$1-6))+(INDEX(Data!322:322,1,$P$1-5)+INDEX(Data!839:839,1,$P$1-5)-INDEX(Data!1325:1325,1,$P$1-5))</f>
        <v>17448194</v>
      </c>
      <c r="D183" s="404">
        <f>(INDEX(Data!322:322,1,$P$1-4)+INDEX(Data!839:839,1,$P$1-4)-INDEX(Data!1325:1325,1,$P$1-4))+(INDEX(Data!322:322,1,$P$1-3)+INDEX(Data!839:839,1,$P$1-3)-INDEX(Data!1325:1325,1,$P$1-3))</f>
        <v>17404272</v>
      </c>
      <c r="E183" s="90">
        <f>(INDEX(Data!322:322,1,$P$1-2)+INDEX(Data!839:839,1,$P$1-2)-INDEX(Data!1325:1325,1,$P$1-2))+(INDEX(Data!322:322,1,$P$1-1)+INDEX(Data!839:839,1,$P$1-1)-INDEX(Data!1325:1325,1,$P$1-1))</f>
        <v>19288656</v>
      </c>
      <c r="F183" s="88">
        <f>(INDEX(Data!322:322,1,$P$1)+INDEX(Data!839:839,1,$P$1)-INDEX(Data!1325:1325,1,$P$1))+(INDEX(Data!322:322,1,$P$1+1)+INDEX(Data!839:839,1,$P$1+1)-INDEX(Data!1325:1325,1,$P$1+1))</f>
        <v>19002580</v>
      </c>
      <c r="G183" s="91">
        <f>(INDEX(Data!374:374,1,$P$1-8)+INDEX(Data!839:839,1,$P$1-8)-INDEX(Data!1482:1482,1,$P$1-8))+(INDEX(Data!374:374,1,$P$1-7)+INDEX(Data!839:839,1,$P$1-7)-INDEX(Data!1482:1482,1,$P$1-7))</f>
        <v>16565062</v>
      </c>
      <c r="H183" s="87">
        <f>(INDEX(Data!374:374,1,$P$1-6)+INDEX(Data!839:839,1,$P$1-6)-INDEX(Data!1482:1482,1,$P$1-6))+(INDEX(Data!374:374,1,$P$1-5)+INDEX(Data!839:839,1,$P$1-5)-INDEX(Data!1482:1482,1,$P$1-5))</f>
        <v>17448194</v>
      </c>
      <c r="I183" s="404">
        <f>(INDEX(Data!374:374,1,$P$1-4)+INDEX(Data!839:839,1,$P$1-4)-INDEX(Data!1482:1482,1,$P$1-4))+(INDEX(Data!374:374,1,$P$1-3)+INDEX(Data!839:839,1,$P$1-3)-INDEX(Data!1482:1482,1,$P$1-3))</f>
        <v>17404272</v>
      </c>
      <c r="J183" s="90">
        <f>(INDEX(Data!374:374,1,$P$1-2)+INDEX(Data!839:839,1,$P$1-2)-INDEX(Data!1482:1482,1,$P$1-2))+(INDEX(Data!374:374,1,$P$1-1)+INDEX(Data!839:839,1,$P$1-1)-INDEX(Data!1482:1482,1,$P$1-1))</f>
        <v>19288656</v>
      </c>
      <c r="K183" s="88">
        <f>(INDEX(Data!374:374,1,$P$1)+INDEX(Data!839:839,1,$P$1)-INDEX(Data!1482:1482,1,$P$1))+(INDEX(Data!374:374,1,$P$1+1)+INDEX(Data!839:839,1,$P$1+1)-INDEX(Data!1482:1482,1,$P$1+1))</f>
        <v>19002580</v>
      </c>
    </row>
    <row r="184" spans="1:11" hidden="1" outlineLevel="1">
      <c r="A184" s="79" t="s">
        <v>103</v>
      </c>
      <c r="B184" s="86">
        <f>(INDEX(Data!323:323,1,$P$1-8)+INDEX(Data!840:840,1,$P$1-8)-INDEX(Data!1326:1326,1,$P$1-8))+(INDEX(Data!323:323,1,$P$1-7)+INDEX(Data!840:840,1,$P$1-7)-INDEX(Data!1326:1326,1,$P$1-7))</f>
        <v>34860185</v>
      </c>
      <c r="C184" s="87">
        <f>(INDEX(Data!323:323,1,$P$1-6)+INDEX(Data!840:840,1,$P$1-6)-INDEX(Data!1326:1326,1,$P$1-6))+(INDEX(Data!323:323,1,$P$1-5)+INDEX(Data!840:840,1,$P$1-5)-INDEX(Data!1326:1326,1,$P$1-5))</f>
        <v>36779447</v>
      </c>
      <c r="D184" s="404">
        <f>(INDEX(Data!323:323,1,$P$1-4)+INDEX(Data!840:840,1,$P$1-4)-INDEX(Data!1326:1326,1,$P$1-4))+(INDEX(Data!323:323,1,$P$1-3)+INDEX(Data!840:840,1,$P$1-3)-INDEX(Data!1326:1326,1,$P$1-3))</f>
        <v>34522550</v>
      </c>
      <c r="E184" s="90">
        <f>(INDEX(Data!323:323,1,$P$1-2)+INDEX(Data!840:840,1,$P$1-2)-INDEX(Data!1326:1326,1,$P$1-2))+(INDEX(Data!323:323,1,$P$1-1)+INDEX(Data!840:840,1,$P$1-1)-INDEX(Data!1326:1326,1,$P$1-1))</f>
        <v>34973838</v>
      </c>
      <c r="F184" s="88">
        <f>(INDEX(Data!323:323,1,$P$1)+INDEX(Data!840:840,1,$P$1)-INDEX(Data!1326:1326,1,$P$1))+(INDEX(Data!323:323,1,$P$1+1)+INDEX(Data!840:840,1,$P$1+1)-INDEX(Data!1326:1326,1,$P$1+1))</f>
        <v>37703106</v>
      </c>
      <c r="G184" s="91">
        <f>(INDEX(Data!375:375,1,$P$1-8)+INDEX(Data!840:840,1,$P$1-8)-INDEX(Data!1483:1483,1,$P$1-8))+(INDEX(Data!375:375,1,$P$1-7)+INDEX(Data!840:840,1,$P$1-7)-INDEX(Data!1483:1483,1,$P$1-7))</f>
        <v>34860185</v>
      </c>
      <c r="H184" s="87">
        <f>(INDEX(Data!375:375,1,$P$1-6)+INDEX(Data!840:840,1,$P$1-6)-INDEX(Data!1483:1483,1,$P$1-6))+(INDEX(Data!375:375,1,$P$1-5)+INDEX(Data!840:840,1,$P$1-5)-INDEX(Data!1483:1483,1,$P$1-5))</f>
        <v>36779447</v>
      </c>
      <c r="I184" s="404">
        <f>(INDEX(Data!375:375,1,$P$1-4)+INDEX(Data!840:840,1,$P$1-4)-INDEX(Data!1483:1483,1,$P$1-4))+(INDEX(Data!375:375,1,$P$1-3)+INDEX(Data!840:840,1,$P$1-3)-INDEX(Data!1483:1483,1,$P$1-3))</f>
        <v>34522550</v>
      </c>
      <c r="J184" s="90">
        <f>(INDEX(Data!375:375,1,$P$1-2)+INDEX(Data!840:840,1,$P$1-2)-INDEX(Data!1483:1483,1,$P$1-2))+(INDEX(Data!375:375,1,$P$1-1)+INDEX(Data!840:840,1,$P$1-1)-INDEX(Data!1483:1483,1,$P$1-1))</f>
        <v>34973838</v>
      </c>
      <c r="K184" s="88">
        <f>(INDEX(Data!375:375,1,$P$1)+INDEX(Data!840:840,1,$P$1)-INDEX(Data!1483:1483,1,$P$1))+(INDEX(Data!375:375,1,$P$1+1)+INDEX(Data!840:840,1,$P$1+1)-INDEX(Data!1483:1483,1,$P$1+1))</f>
        <v>37703106</v>
      </c>
    </row>
    <row r="185" spans="1:11" hidden="1" outlineLevel="1">
      <c r="A185" s="79" t="s">
        <v>104</v>
      </c>
      <c r="B185" s="86">
        <f>(INDEX(Data!324:324,1,$P$1-8)+INDEX(Data!841:841,1,$P$1-8)-INDEX(Data!1327:1327,1,$P$1-8))+(INDEX(Data!324:324,1,$P$1-7)+INDEX(Data!841:841,1,$P$1-7)-INDEX(Data!1327:1327,1,$P$1-7))</f>
        <v>17286760</v>
      </c>
      <c r="C185" s="87">
        <f>(INDEX(Data!324:324,1,$P$1-6)+INDEX(Data!841:841,1,$P$1-6)-INDEX(Data!1327:1327,1,$P$1-6))+(INDEX(Data!324:324,1,$P$1-5)+INDEX(Data!841:841,1,$P$1-5)-INDEX(Data!1327:1327,1,$P$1-5))</f>
        <v>17707140</v>
      </c>
      <c r="D185" s="404">
        <f>(INDEX(Data!324:324,1,$P$1-4)+INDEX(Data!841:841,1,$P$1-4)-INDEX(Data!1327:1327,1,$P$1-4))+(INDEX(Data!324:324,1,$P$1-3)+INDEX(Data!841:841,1,$P$1-3)-INDEX(Data!1327:1327,1,$P$1-3))</f>
        <v>17540528</v>
      </c>
      <c r="E185" s="90">
        <f>(INDEX(Data!324:324,1,$P$1-2)+INDEX(Data!841:841,1,$P$1-2)-INDEX(Data!1327:1327,1,$P$1-2))+(INDEX(Data!324:324,1,$P$1-1)+INDEX(Data!841:841,1,$P$1-1)-INDEX(Data!1327:1327,1,$P$1-1))</f>
        <v>18100513</v>
      </c>
      <c r="F185" s="88">
        <f>(INDEX(Data!324:324,1,$P$1)+INDEX(Data!841:841,1,$P$1)-INDEX(Data!1327:1327,1,$P$1))+(INDEX(Data!324:324,1,$P$1+1)+INDEX(Data!841:841,1,$P$1+1)-INDEX(Data!1327:1327,1,$P$1+1))</f>
        <v>20311237</v>
      </c>
      <c r="G185" s="91">
        <f>(INDEX(Data!376:376,1,$P$1-8)+INDEX(Data!841:841,1,$P$1-8)-INDEX(Data!1484:1484,1,$P$1-8))+(INDEX(Data!376:376,1,$P$1-7)+INDEX(Data!841:841,1,$P$1-7)-INDEX(Data!1484:1484,1,$P$1-7))</f>
        <v>17286760</v>
      </c>
      <c r="H185" s="87">
        <f>(INDEX(Data!376:376,1,$P$1-6)+INDEX(Data!841:841,1,$P$1-6)-INDEX(Data!1484:1484,1,$P$1-6))+(INDEX(Data!376:376,1,$P$1-5)+INDEX(Data!841:841,1,$P$1-5)-INDEX(Data!1484:1484,1,$P$1-5))</f>
        <v>17707140</v>
      </c>
      <c r="I185" s="404">
        <f>(INDEX(Data!376:376,1,$P$1-4)+INDEX(Data!841:841,1,$P$1-4)-INDEX(Data!1484:1484,1,$P$1-4))+(INDEX(Data!376:376,1,$P$1-3)+INDEX(Data!841:841,1,$P$1-3)-INDEX(Data!1484:1484,1,$P$1-3))</f>
        <v>17540528</v>
      </c>
      <c r="J185" s="90">
        <f>(INDEX(Data!376:376,1,$P$1-2)+INDEX(Data!841:841,1,$P$1-2)-INDEX(Data!1484:1484,1,$P$1-2))+(INDEX(Data!376:376,1,$P$1-1)+INDEX(Data!841:841,1,$P$1-1)-INDEX(Data!1484:1484,1,$P$1-1))</f>
        <v>18100513</v>
      </c>
      <c r="K185" s="88">
        <f>(INDEX(Data!376:376,1,$P$1)+INDEX(Data!841:841,1,$P$1)-INDEX(Data!1484:1484,1,$P$1))+(INDEX(Data!376:376,1,$P$1+1)+INDEX(Data!841:841,1,$P$1+1)-INDEX(Data!1484:1484,1,$P$1+1))</f>
        <v>20311237</v>
      </c>
    </row>
    <row r="186" spans="1:11" hidden="1" outlineLevel="1">
      <c r="A186" s="79" t="s">
        <v>105</v>
      </c>
      <c r="B186" s="86">
        <f>(INDEX(Data!325:325,1,$P$1-8)+INDEX(Data!842:842,1,$P$1-8)-INDEX(Data!1328:1328,1,$P$1-8))+(INDEX(Data!325:325,1,$P$1-7)+INDEX(Data!842:842,1,$P$1-7)-INDEX(Data!1328:1328,1,$P$1-7))</f>
        <v>101052131</v>
      </c>
      <c r="C186" s="87">
        <f>(INDEX(Data!325:325,1,$P$1-6)+INDEX(Data!842:842,1,$P$1-6)-INDEX(Data!1328:1328,1,$P$1-6))+(INDEX(Data!325:325,1,$P$1-5)+INDEX(Data!842:842,1,$P$1-5)-INDEX(Data!1328:1328,1,$P$1-5))</f>
        <v>113730583</v>
      </c>
      <c r="D186" s="404">
        <f>(INDEX(Data!325:325,1,$P$1-4)+INDEX(Data!842:842,1,$P$1-4)-INDEX(Data!1328:1328,1,$P$1-4))+(INDEX(Data!325:325,1,$P$1-3)+INDEX(Data!842:842,1,$P$1-3)-INDEX(Data!1328:1328,1,$P$1-3))</f>
        <v>111779474</v>
      </c>
      <c r="E186" s="90">
        <f>(INDEX(Data!325:325,1,$P$1-2)+INDEX(Data!842:842,1,$P$1-2)-INDEX(Data!1328:1328,1,$P$1-2))+(INDEX(Data!325:325,1,$P$1-1)+INDEX(Data!842:842,1,$P$1-1)-INDEX(Data!1328:1328,1,$P$1-1))</f>
        <v>113793826</v>
      </c>
      <c r="F186" s="88">
        <f>(INDEX(Data!325:325,1,$P$1)+INDEX(Data!842:842,1,$P$1)-INDEX(Data!1328:1328,1,$P$1))+(INDEX(Data!325:325,1,$P$1+1)+INDEX(Data!842:842,1,$P$1+1)-INDEX(Data!1328:1328,1,$P$1+1))</f>
        <v>116350483</v>
      </c>
      <c r="G186" s="91">
        <f>(INDEX(Data!377:377,1,$P$1-8)+INDEX(Data!842:842,1,$P$1-8)-INDEX(Data!1485:1485,1,$P$1-8))+(INDEX(Data!377:377,1,$P$1-7)+INDEX(Data!842:842,1,$P$1-7)-INDEX(Data!1485:1485,1,$P$1-7))</f>
        <v>101052131</v>
      </c>
      <c r="H186" s="87">
        <f>(INDEX(Data!377:377,1,$P$1-6)+INDEX(Data!842:842,1,$P$1-6)-INDEX(Data!1485:1485,1,$P$1-6))+(INDEX(Data!377:377,1,$P$1-5)+INDEX(Data!842:842,1,$P$1-5)-INDEX(Data!1485:1485,1,$P$1-5))</f>
        <v>113730583</v>
      </c>
      <c r="I186" s="404">
        <f>(INDEX(Data!377:377,1,$P$1-4)+INDEX(Data!842:842,1,$P$1-4)-INDEX(Data!1485:1485,1,$P$1-4))+(INDEX(Data!377:377,1,$P$1-3)+INDEX(Data!842:842,1,$P$1-3)-INDEX(Data!1485:1485,1,$P$1-3))</f>
        <v>111779474</v>
      </c>
      <c r="J186" s="90">
        <f>(INDEX(Data!377:377,1,$P$1-2)+INDEX(Data!842:842,1,$P$1-2)-INDEX(Data!1485:1485,1,$P$1-2))+(INDEX(Data!377:377,1,$P$1-1)+INDEX(Data!842:842,1,$P$1-1)-INDEX(Data!1485:1485,1,$P$1-1))</f>
        <v>113793826</v>
      </c>
      <c r="K186" s="88">
        <f>(INDEX(Data!377:377,1,$P$1)+INDEX(Data!842:842,1,$P$1)-INDEX(Data!1485:1485,1,$P$1))+(INDEX(Data!377:377,1,$P$1+1)+INDEX(Data!842:842,1,$P$1+1)-INDEX(Data!1485:1485,1,$P$1+1))</f>
        <v>116350483</v>
      </c>
    </row>
    <row r="187" spans="1:11" hidden="1" outlineLevel="1">
      <c r="A187" s="79" t="s">
        <v>106</v>
      </c>
      <c r="B187" s="86">
        <f>(INDEX(Data!326:326,1,$P$1-8)+INDEX(Data!843:843,1,$P$1-8)-INDEX(Data!1329:1329,1,$P$1-8))+(INDEX(Data!326:326,1,$P$1-7)+INDEX(Data!843:843,1,$P$1-7)-INDEX(Data!1329:1329,1,$P$1-7))</f>
        <v>45502439</v>
      </c>
      <c r="C187" s="87">
        <f>(INDEX(Data!326:326,1,$P$1-6)+INDEX(Data!843:843,1,$P$1-6)-INDEX(Data!1329:1329,1,$P$1-6))+(INDEX(Data!326:326,1,$P$1-5)+INDEX(Data!843:843,1,$P$1-5)-INDEX(Data!1329:1329,1,$P$1-5))</f>
        <v>51512426</v>
      </c>
      <c r="D187" s="404">
        <f>(INDEX(Data!326:326,1,$P$1-4)+INDEX(Data!843:843,1,$P$1-4)-INDEX(Data!1329:1329,1,$P$1-4))+(INDEX(Data!326:326,1,$P$1-3)+INDEX(Data!843:843,1,$P$1-3)-INDEX(Data!1329:1329,1,$P$1-3))</f>
        <v>55011040</v>
      </c>
      <c r="E187" s="90">
        <f>(INDEX(Data!326:326,1,$P$1-2)+INDEX(Data!843:843,1,$P$1-2)-INDEX(Data!1329:1329,1,$P$1-2))+(INDEX(Data!326:326,1,$P$1-1)+INDEX(Data!843:843,1,$P$1-1)-INDEX(Data!1329:1329,1,$P$1-1))</f>
        <v>54927891</v>
      </c>
      <c r="F187" s="88">
        <f>(INDEX(Data!326:326,1,$P$1)+INDEX(Data!843:843,1,$P$1)-INDEX(Data!1329:1329,1,$P$1))+(INDEX(Data!326:326,1,$P$1+1)+INDEX(Data!843:843,1,$P$1+1)-INDEX(Data!1329:1329,1,$P$1+1))</f>
        <v>56826155</v>
      </c>
      <c r="G187" s="91">
        <f>(INDEX(Data!378:378,1,$P$1-8)+INDEX(Data!843:843,1,$P$1-8)-INDEX(Data!1486:1486,1,$P$1-8))+(INDEX(Data!378:378,1,$P$1-7)+INDEX(Data!843:843,1,$P$1-7)-INDEX(Data!1486:1486,1,$P$1-7))</f>
        <v>45502439</v>
      </c>
      <c r="H187" s="87">
        <f>(INDEX(Data!378:378,1,$P$1-6)+INDEX(Data!843:843,1,$P$1-6)-INDEX(Data!1486:1486,1,$P$1-6))+(INDEX(Data!378:378,1,$P$1-5)+INDEX(Data!843:843,1,$P$1-5)-INDEX(Data!1486:1486,1,$P$1-5))</f>
        <v>51512426</v>
      </c>
      <c r="I187" s="404">
        <f>(INDEX(Data!378:378,1,$P$1-4)+INDEX(Data!843:843,1,$P$1-4)-INDEX(Data!1486:1486,1,$P$1-4))+(INDEX(Data!378:378,1,$P$1-3)+INDEX(Data!843:843,1,$P$1-3)-INDEX(Data!1486:1486,1,$P$1-3))</f>
        <v>55011040</v>
      </c>
      <c r="J187" s="90">
        <f>(INDEX(Data!378:378,1,$P$1-2)+INDEX(Data!843:843,1,$P$1-2)-INDEX(Data!1486:1486,1,$P$1-2))+(INDEX(Data!378:378,1,$P$1-1)+INDEX(Data!843:843,1,$P$1-1)-INDEX(Data!1486:1486,1,$P$1-1))</f>
        <v>54927891</v>
      </c>
      <c r="K187" s="88">
        <f>(INDEX(Data!378:378,1,$P$1)+INDEX(Data!843:843,1,$P$1)-INDEX(Data!1486:1486,1,$P$1))+(INDEX(Data!378:378,1,$P$1+1)+INDEX(Data!843:843,1,$P$1+1)-INDEX(Data!1486:1486,1,$P$1+1))</f>
        <v>56826155</v>
      </c>
    </row>
    <row r="188" spans="1:11" hidden="1" outlineLevel="1">
      <c r="A188" s="79" t="s">
        <v>107</v>
      </c>
      <c r="B188" s="86">
        <f>(INDEX(Data!327:327,1,$P$1-8)+INDEX(Data!844:844,1,$P$1-8)-INDEX(Data!1330:1330,1,$P$1-8))+(INDEX(Data!327:327,1,$P$1-7)+INDEX(Data!844:844,1,$P$1-7)-INDEX(Data!1330:1330,1,$P$1-7))</f>
        <v>11470979</v>
      </c>
      <c r="C188" s="87">
        <f>(INDEX(Data!327:327,1,$P$1-6)+INDEX(Data!844:844,1,$P$1-6)-INDEX(Data!1330:1330,1,$P$1-6))+(INDEX(Data!327:327,1,$P$1-5)+INDEX(Data!844:844,1,$P$1-5)-INDEX(Data!1330:1330,1,$P$1-5))</f>
        <v>13911390</v>
      </c>
      <c r="D188" s="404">
        <f>(INDEX(Data!327:327,1,$P$1-4)+INDEX(Data!844:844,1,$P$1-4)-INDEX(Data!1330:1330,1,$P$1-4))+(INDEX(Data!327:327,1,$P$1-3)+INDEX(Data!844:844,1,$P$1-3)-INDEX(Data!1330:1330,1,$P$1-3))</f>
        <v>14110688</v>
      </c>
      <c r="E188" s="90">
        <f>(INDEX(Data!327:327,1,$P$1-2)+INDEX(Data!844:844,1,$P$1-2)-INDEX(Data!1330:1330,1,$P$1-2))+(INDEX(Data!327:327,1,$P$1-1)+INDEX(Data!844:844,1,$P$1-1)-INDEX(Data!1330:1330,1,$P$1-1))</f>
        <v>13926044</v>
      </c>
      <c r="F188" s="88">
        <f>(INDEX(Data!327:327,1,$P$1)+INDEX(Data!844:844,1,$P$1)-INDEX(Data!1330:1330,1,$P$1))+(INDEX(Data!327:327,1,$P$1+1)+INDEX(Data!844:844,1,$P$1+1)-INDEX(Data!1330:1330,1,$P$1+1))</f>
        <v>15012389</v>
      </c>
      <c r="G188" s="91">
        <f>(INDEX(Data!379:379,1,$P$1-8)+INDEX(Data!844:844,1,$P$1-8)-INDEX(Data!1487:1487,1,$P$1-8))+(INDEX(Data!379:379,1,$P$1-7)+INDEX(Data!844:844,1,$P$1-7)-INDEX(Data!1487:1487,1,$P$1-7))</f>
        <v>11470979</v>
      </c>
      <c r="H188" s="87">
        <f>(INDEX(Data!379:379,1,$P$1-6)+INDEX(Data!844:844,1,$P$1-6)-INDEX(Data!1487:1487,1,$P$1-6))+(INDEX(Data!379:379,1,$P$1-5)+INDEX(Data!844:844,1,$P$1-5)-INDEX(Data!1487:1487,1,$P$1-5))</f>
        <v>13911390</v>
      </c>
      <c r="I188" s="404">
        <f>(INDEX(Data!379:379,1,$P$1-4)+INDEX(Data!844:844,1,$P$1-4)-INDEX(Data!1487:1487,1,$P$1-4))+(INDEX(Data!379:379,1,$P$1-3)+INDEX(Data!844:844,1,$P$1-3)-INDEX(Data!1487:1487,1,$P$1-3))</f>
        <v>14110688</v>
      </c>
      <c r="J188" s="90">
        <f>(INDEX(Data!379:379,1,$P$1-2)+INDEX(Data!844:844,1,$P$1-2)-INDEX(Data!1487:1487,1,$P$1-2))+(INDEX(Data!379:379,1,$P$1-1)+INDEX(Data!844:844,1,$P$1-1)-INDEX(Data!1487:1487,1,$P$1-1))</f>
        <v>13926044</v>
      </c>
      <c r="K188" s="88">
        <f>(INDEX(Data!379:379,1,$P$1)+INDEX(Data!844:844,1,$P$1)-INDEX(Data!1487:1487,1,$P$1))+(INDEX(Data!379:379,1,$P$1+1)+INDEX(Data!844:844,1,$P$1+1)-INDEX(Data!1487:1487,1,$P$1+1))</f>
        <v>15012389</v>
      </c>
    </row>
    <row r="189" spans="1:11" hidden="1" outlineLevel="1">
      <c r="A189" s="79" t="s">
        <v>108</v>
      </c>
      <c r="B189" s="86">
        <f>(INDEX(Data!328:328,1,$P$1-8)+INDEX(Data!845:845,1,$P$1-8)-INDEX(Data!1331:1331,1,$P$1-8))+(INDEX(Data!328:328,1,$P$1-7)+INDEX(Data!845:845,1,$P$1-7)-INDEX(Data!1331:1331,1,$P$1-7))</f>
        <v>42890057</v>
      </c>
      <c r="C189" s="87">
        <f>(INDEX(Data!328:328,1,$P$1-6)+INDEX(Data!845:845,1,$P$1-6)-INDEX(Data!1331:1331,1,$P$1-6))+(INDEX(Data!328:328,1,$P$1-5)+INDEX(Data!845:845,1,$P$1-5)-INDEX(Data!1331:1331,1,$P$1-5))</f>
        <v>45773555</v>
      </c>
      <c r="D189" s="404">
        <f>(INDEX(Data!328:328,1,$P$1-4)+INDEX(Data!845:845,1,$P$1-4)-INDEX(Data!1331:1331,1,$P$1-4))+(INDEX(Data!328:328,1,$P$1-3)+INDEX(Data!845:845,1,$P$1-3)-INDEX(Data!1331:1331,1,$P$1-3))</f>
        <v>42175418</v>
      </c>
      <c r="E189" s="90">
        <f>(INDEX(Data!328:328,1,$P$1-2)+INDEX(Data!845:845,1,$P$1-2)-INDEX(Data!1331:1331,1,$P$1-2))+(INDEX(Data!328:328,1,$P$1-1)+INDEX(Data!845:845,1,$P$1-1)-INDEX(Data!1331:1331,1,$P$1-1))</f>
        <v>39053202</v>
      </c>
      <c r="F189" s="88">
        <f>(INDEX(Data!328:328,1,$P$1)+INDEX(Data!845:845,1,$P$1)-INDEX(Data!1331:1331,1,$P$1))+(INDEX(Data!328:328,1,$P$1+1)+INDEX(Data!845:845,1,$P$1+1)-INDEX(Data!1331:1331,1,$P$1+1))</f>
        <v>38636981</v>
      </c>
      <c r="G189" s="91">
        <f>(INDEX(Data!380:380,1,$P$1-8)+INDEX(Data!845:845,1,$P$1-8)-INDEX(Data!1488:1488,1,$P$1-8))+(INDEX(Data!380:380,1,$P$1-7)+INDEX(Data!845:845,1,$P$1-7)-INDEX(Data!1488:1488,1,$P$1-7))</f>
        <v>42890057</v>
      </c>
      <c r="H189" s="87">
        <f>(INDEX(Data!380:380,1,$P$1-6)+INDEX(Data!845:845,1,$P$1-6)-INDEX(Data!1488:1488,1,$P$1-6))+(INDEX(Data!380:380,1,$P$1-5)+INDEX(Data!845:845,1,$P$1-5)-INDEX(Data!1488:1488,1,$P$1-5))</f>
        <v>45773555</v>
      </c>
      <c r="I189" s="404">
        <f>(INDEX(Data!380:380,1,$P$1-4)+INDEX(Data!845:845,1,$P$1-4)-INDEX(Data!1488:1488,1,$P$1-4))+(INDEX(Data!380:380,1,$P$1-3)+INDEX(Data!845:845,1,$P$1-3)-INDEX(Data!1488:1488,1,$P$1-3))</f>
        <v>42175418</v>
      </c>
      <c r="J189" s="90">
        <f>(INDEX(Data!380:380,1,$P$1-2)+INDEX(Data!845:845,1,$P$1-2)-INDEX(Data!1488:1488,1,$P$1-2))+(INDEX(Data!380:380,1,$P$1-1)+INDEX(Data!845:845,1,$P$1-1)-INDEX(Data!1488:1488,1,$P$1-1))</f>
        <v>39053202</v>
      </c>
      <c r="K189" s="88">
        <f>(INDEX(Data!380:380,1,$P$1)+INDEX(Data!845:845,1,$P$1)-INDEX(Data!1488:1488,1,$P$1))+(INDEX(Data!380:380,1,$P$1+1)+INDEX(Data!845:845,1,$P$1+1)-INDEX(Data!1488:1488,1,$P$1+1))</f>
        <v>38636981</v>
      </c>
    </row>
    <row r="190" spans="1:11" hidden="1" outlineLevel="1">
      <c r="A190" s="79" t="s">
        <v>1404</v>
      </c>
      <c r="B190" s="86">
        <f>(INDEX(Data!329:329,1,$P$1-8)+INDEX(Data!846:846,1,$P$1-8)-INDEX(Data!1332:1332,1,$P$1-8))+(INDEX(Data!329:329,1,$P$1-7)+INDEX(Data!846:846,1,$P$1-7)-INDEX(Data!1332:1332,1,$P$1-7))</f>
        <v>12133055</v>
      </c>
      <c r="C190" s="87">
        <f>(INDEX(Data!329:329,1,$P$1-6)+INDEX(Data!846:846,1,$P$1-6)-INDEX(Data!1332:1332,1,$P$1-6))+(INDEX(Data!329:329,1,$P$1-5)+INDEX(Data!846:846,1,$P$1-5)-INDEX(Data!1332:1332,1,$P$1-5))</f>
        <v>12127155</v>
      </c>
      <c r="D190" s="404">
        <f>(INDEX(Data!329:329,1,$P$1-4)+INDEX(Data!846:846,1,$P$1-4)-INDEX(Data!1332:1332,1,$P$1-4))+(INDEX(Data!329:329,1,$P$1-3)+INDEX(Data!846:846,1,$P$1-3)-INDEX(Data!1332:1332,1,$P$1-3))</f>
        <v>12140741</v>
      </c>
      <c r="E190" s="90">
        <f>(INDEX(Data!329:329,1,$P$1-2)+INDEX(Data!846:846,1,$P$1-2)-INDEX(Data!1332:1332,1,$P$1-2))+(INDEX(Data!329:329,1,$P$1-1)+INDEX(Data!846:846,1,$P$1-1)-INDEX(Data!1332:1332,1,$P$1-1))</f>
        <v>12016279</v>
      </c>
      <c r="F190" s="88">
        <f>(INDEX(Data!329:329,1,$P$1)+INDEX(Data!846:846,1,$P$1)-INDEX(Data!1332:1332,1,$P$1))+(INDEX(Data!329:329,1,$P$1+1)+INDEX(Data!846:846,1,$P$1+1)-INDEX(Data!1332:1332,1,$P$1+1))</f>
        <v>12763093</v>
      </c>
      <c r="G190" s="91">
        <f>(INDEX(Data!381:381,1,$P$1-8)+INDEX(Data!846:846,1,$P$1-8)-INDEX(Data!1489:1489,1,$P$1-8))+(INDEX(Data!381:381,1,$P$1-7)+INDEX(Data!846:846,1,$P$1-7)-INDEX(Data!1489:1489,1,$P$1-7))</f>
        <v>12133055</v>
      </c>
      <c r="H190" s="87">
        <f>(INDEX(Data!381:381,1,$P$1-6)+INDEX(Data!846:846,1,$P$1-6)-INDEX(Data!1489:1489,1,$P$1-6))+(INDEX(Data!381:381,1,$P$1-5)+INDEX(Data!846:846,1,$P$1-5)-INDEX(Data!1489:1489,1,$P$1-5))</f>
        <v>12127155</v>
      </c>
      <c r="I190" s="404">
        <f>(INDEX(Data!381:381,1,$P$1-4)+INDEX(Data!846:846,1,$P$1-4)-INDEX(Data!1489:1489,1,$P$1-4))+(INDEX(Data!381:381,1,$P$1-3)+INDEX(Data!846:846,1,$P$1-3)-INDEX(Data!1489:1489,1,$P$1-3))</f>
        <v>12140741</v>
      </c>
      <c r="J190" s="90">
        <f>(INDEX(Data!381:381,1,$P$1-2)+INDEX(Data!846:846,1,$P$1-2)-INDEX(Data!1489:1489,1,$P$1-2))+(INDEX(Data!381:381,1,$P$1-1)+INDEX(Data!846:846,1,$P$1-1)-INDEX(Data!1489:1489,1,$P$1-1))</f>
        <v>12016279</v>
      </c>
      <c r="K190" s="88">
        <f>(INDEX(Data!381:381,1,$P$1)+INDEX(Data!846:846,1,$P$1)-INDEX(Data!1489:1489,1,$P$1))+(INDEX(Data!381:381,1,$P$1+1)+INDEX(Data!846:846,1,$P$1+1)-INDEX(Data!1489:1489,1,$P$1+1))</f>
        <v>12763093</v>
      </c>
    </row>
    <row r="191" spans="1:11" hidden="1" outlineLevel="1">
      <c r="A191" s="79" t="s">
        <v>110</v>
      </c>
      <c r="B191" s="86">
        <f>(INDEX(Data!330:330,1,$P$1-8)+INDEX(Data!847:847,1,$P$1-8)-INDEX(Data!1333:1333,1,$P$1-8))+(INDEX(Data!330:330,1,$P$1-7)+INDEX(Data!847:847,1,$P$1-7)-INDEX(Data!1333:1333,1,$P$1-7))</f>
        <v>5678890</v>
      </c>
      <c r="C191" s="87">
        <f>(INDEX(Data!330:330,1,$P$1-6)+INDEX(Data!847:847,1,$P$1-6)-INDEX(Data!1333:1333,1,$P$1-6))+(INDEX(Data!330:330,1,$P$1-5)+INDEX(Data!847:847,1,$P$1-5)-INDEX(Data!1333:1333,1,$P$1-5))</f>
        <v>5776061</v>
      </c>
      <c r="D191" s="404">
        <f>(INDEX(Data!330:330,1,$P$1-4)+INDEX(Data!847:847,1,$P$1-4)-INDEX(Data!1333:1333,1,$P$1-4))+(INDEX(Data!330:330,1,$P$1-3)+INDEX(Data!847:847,1,$P$1-3)-INDEX(Data!1333:1333,1,$P$1-3))</f>
        <v>6035726</v>
      </c>
      <c r="E191" s="90">
        <f>(INDEX(Data!330:330,1,$P$1-2)+INDEX(Data!847:847,1,$P$1-2)-INDEX(Data!1333:1333,1,$P$1-2))+(INDEX(Data!330:330,1,$P$1-1)+INDEX(Data!847:847,1,$P$1-1)-INDEX(Data!1333:1333,1,$P$1-1))</f>
        <v>6698751</v>
      </c>
      <c r="F191" s="88">
        <f>(INDEX(Data!330:330,1,$P$1)+INDEX(Data!847:847,1,$P$1)-INDEX(Data!1333:1333,1,$P$1))+(INDEX(Data!330:330,1,$P$1+1)+INDEX(Data!847:847,1,$P$1+1)-INDEX(Data!1333:1333,1,$P$1+1))</f>
        <v>6903731</v>
      </c>
      <c r="G191" s="91">
        <f>(INDEX(Data!382:382,1,$P$1-8)+INDEX(Data!847:847,1,$P$1-8)-INDEX(Data!1490:1490,1,$P$1-8))+(INDEX(Data!382:382,1,$P$1-7)+INDEX(Data!847:847,1,$P$1-7)-INDEX(Data!1490:1490,1,$P$1-7))</f>
        <v>5678890</v>
      </c>
      <c r="H191" s="87">
        <f>(INDEX(Data!382:382,1,$P$1-6)+INDEX(Data!847:847,1,$P$1-6)-INDEX(Data!1490:1490,1,$P$1-6))+(INDEX(Data!382:382,1,$P$1-5)+INDEX(Data!847:847,1,$P$1-5)-INDEX(Data!1490:1490,1,$P$1-5))</f>
        <v>5776061</v>
      </c>
      <c r="I191" s="404">
        <f>(INDEX(Data!382:382,1,$P$1-4)+INDEX(Data!847:847,1,$P$1-4)-INDEX(Data!1490:1490,1,$P$1-4))+(INDEX(Data!382:382,1,$P$1-3)+INDEX(Data!847:847,1,$P$1-3)-INDEX(Data!1490:1490,1,$P$1-3))</f>
        <v>6035726</v>
      </c>
      <c r="J191" s="90">
        <f>(INDEX(Data!382:382,1,$P$1-2)+INDEX(Data!847:847,1,$P$1-2)-INDEX(Data!1490:1490,1,$P$1-2))+(INDEX(Data!382:382,1,$P$1-1)+INDEX(Data!847:847,1,$P$1-1)-INDEX(Data!1490:1490,1,$P$1-1))</f>
        <v>6698751</v>
      </c>
      <c r="K191" s="88">
        <f>(INDEX(Data!382:382,1,$P$1)+INDEX(Data!847:847,1,$P$1)-INDEX(Data!1490:1490,1,$P$1))+(INDEX(Data!382:382,1,$P$1+1)+INDEX(Data!847:847,1,$P$1+1)-INDEX(Data!1490:1490,1,$P$1+1))</f>
        <v>6903731</v>
      </c>
    </row>
    <row r="192" spans="1:11" hidden="1" outlineLevel="1">
      <c r="A192" s="79" t="s">
        <v>167</v>
      </c>
      <c r="B192" s="86">
        <f>(INDEX(Data!331:331,1,$P$1-8)+INDEX(Data!848:848,1,$P$1-8)-INDEX(Data!1334:1334,1,$P$1-8))+(INDEX(Data!331:331,1,$P$1-7)+INDEX(Data!848:848,1,$P$1-7)-INDEX(Data!1334:1334,1,$P$1-7))</f>
        <v>14673673</v>
      </c>
      <c r="C192" s="87">
        <f>(INDEX(Data!331:331,1,$P$1-6)+INDEX(Data!848:848,1,$P$1-6)-INDEX(Data!1334:1334,1,$P$1-6))+(INDEX(Data!331:331,1,$P$1-5)+INDEX(Data!848:848,1,$P$1-5)-INDEX(Data!1334:1334,1,$P$1-5))</f>
        <v>14615393</v>
      </c>
      <c r="D192" s="404">
        <f>(INDEX(Data!331:331,1,$P$1-4)+INDEX(Data!848:848,1,$P$1-4)-INDEX(Data!1334:1334,1,$P$1-4))+(INDEX(Data!331:331,1,$P$1-3)+INDEX(Data!848:848,1,$P$1-3)-INDEX(Data!1334:1334,1,$P$1-3))</f>
        <v>15109685</v>
      </c>
      <c r="E192" s="90">
        <f>(INDEX(Data!331:331,1,$P$1-2)+INDEX(Data!848:848,1,$P$1-2)-INDEX(Data!1334:1334,1,$P$1-2))+(INDEX(Data!331:331,1,$P$1-1)+INDEX(Data!848:848,1,$P$1-1)-INDEX(Data!1334:1334,1,$P$1-1))</f>
        <v>16919880</v>
      </c>
      <c r="F192" s="88">
        <f>(INDEX(Data!331:331,1,$P$1)+INDEX(Data!848:848,1,$P$1)-INDEX(Data!1334:1334,1,$P$1))+(INDEX(Data!331:331,1,$P$1+1)+INDEX(Data!848:848,1,$P$1+1)-INDEX(Data!1334:1334,1,$P$1+1))</f>
        <v>16226722</v>
      </c>
      <c r="G192" s="91">
        <f>(INDEX(Data!383:383,1,$P$1-8)+INDEX(Data!848:848,1,$P$1-8)-INDEX(Data!1491:1491,1,$P$1-8))+(INDEX(Data!383:383,1,$P$1-7)+INDEX(Data!848:848,1,$P$1-7)-INDEX(Data!1491:1491,1,$P$1-7))</f>
        <v>14673673</v>
      </c>
      <c r="H192" s="87">
        <f>(INDEX(Data!383:383,1,$P$1-6)+INDEX(Data!848:848,1,$P$1-6)-INDEX(Data!1491:1491,1,$P$1-6))+(INDEX(Data!383:383,1,$P$1-5)+INDEX(Data!848:848,1,$P$1-5)-INDEX(Data!1491:1491,1,$P$1-5))</f>
        <v>14615393</v>
      </c>
      <c r="I192" s="404">
        <f>(INDEX(Data!383:383,1,$P$1-4)+INDEX(Data!848:848,1,$P$1-4)-INDEX(Data!1491:1491,1,$P$1-4))+(INDEX(Data!383:383,1,$P$1-3)+INDEX(Data!848:848,1,$P$1-3)-INDEX(Data!1491:1491,1,$P$1-3))</f>
        <v>15109685</v>
      </c>
      <c r="J192" s="90">
        <f>(INDEX(Data!383:383,1,$P$1-2)+INDEX(Data!848:848,1,$P$1-2)-INDEX(Data!1491:1491,1,$P$1-2))+(INDEX(Data!383:383,1,$P$1-1)+INDEX(Data!848:848,1,$P$1-1)-INDEX(Data!1491:1491,1,$P$1-1))</f>
        <v>16919880</v>
      </c>
      <c r="K192" s="88">
        <f>(INDEX(Data!383:383,1,$P$1)+INDEX(Data!848:848,1,$P$1)-INDEX(Data!1491:1491,1,$P$1))+(INDEX(Data!383:383,1,$P$1+1)+INDEX(Data!848:848,1,$P$1+1)-INDEX(Data!1491:1491,1,$P$1+1))</f>
        <v>16226722</v>
      </c>
    </row>
    <row r="193" spans="1:11" ht="25.5" hidden="1" outlineLevel="1">
      <c r="A193" s="79" t="s">
        <v>1410</v>
      </c>
      <c r="B193" s="86">
        <f>(INDEX(Data!332:332,1,$P$1-8)+INDEX(Data!849:849,1,$P$1-8)-INDEX(Data!1335:1335,1,$P$1-8))+(INDEX(Data!332:332,1,$P$1-7)+INDEX(Data!849:849,1,$P$1-7)-INDEX(Data!1335:1335,1,$P$1-7))</f>
        <v>14551297</v>
      </c>
      <c r="C193" s="87">
        <f>(INDEX(Data!332:332,1,$P$1-6)+INDEX(Data!849:849,1,$P$1-6)-INDEX(Data!1335:1335,1,$P$1-6))+(INDEX(Data!332:332,1,$P$1-5)+INDEX(Data!849:849,1,$P$1-5)-INDEX(Data!1335:1335,1,$P$1-5))</f>
        <v>15975145</v>
      </c>
      <c r="D193" s="404">
        <f>(INDEX(Data!332:332,1,$P$1-4)+INDEX(Data!849:849,1,$P$1-4)-INDEX(Data!1335:1335,1,$P$1-4))+(INDEX(Data!332:332,1,$P$1-3)+INDEX(Data!849:849,1,$P$1-3)-INDEX(Data!1335:1335,1,$P$1-3))</f>
        <v>15875863</v>
      </c>
      <c r="E193" s="90">
        <f>(INDEX(Data!332:332,1,$P$1-2)+INDEX(Data!849:849,1,$P$1-2)-INDEX(Data!1335:1335,1,$P$1-2))+(INDEX(Data!332:332,1,$P$1-1)+INDEX(Data!849:849,1,$P$1-1)-INDEX(Data!1335:1335,1,$P$1-1))</f>
        <v>17006857</v>
      </c>
      <c r="F193" s="88">
        <f>(INDEX(Data!332:332,1,$P$1)+INDEX(Data!849:849,1,$P$1)-INDEX(Data!1335:1335,1,$P$1))+(INDEX(Data!332:332,1,$P$1+1)+INDEX(Data!849:849,1,$P$1+1)-INDEX(Data!1335:1335,1,$P$1+1))</f>
        <v>17916307</v>
      </c>
      <c r="G193" s="91">
        <f>(INDEX(Data!384:384,1,$P$1-8)+INDEX(Data!849:849,1,$P$1-8)-INDEX(Data!1492:1492,1,$P$1-8))+(INDEX(Data!384:384,1,$P$1-7)+INDEX(Data!849:849,1,$P$1-7)-INDEX(Data!1492:1492,1,$P$1-7))</f>
        <v>14551297</v>
      </c>
      <c r="H193" s="87">
        <f>(INDEX(Data!384:384,1,$P$1-6)+INDEX(Data!849:849,1,$P$1-6)-INDEX(Data!1492:1492,1,$P$1-6))+(INDEX(Data!384:384,1,$P$1-5)+INDEX(Data!849:849,1,$P$1-5)-INDEX(Data!1492:1492,1,$P$1-5))</f>
        <v>15975145</v>
      </c>
      <c r="I193" s="404">
        <f>(INDEX(Data!384:384,1,$P$1-4)+INDEX(Data!849:849,1,$P$1-4)-INDEX(Data!1492:1492,1,$P$1-4))+(INDEX(Data!384:384,1,$P$1-3)+INDEX(Data!849:849,1,$P$1-3)-INDEX(Data!1492:1492,1,$P$1-3))</f>
        <v>15875863</v>
      </c>
      <c r="J193" s="90">
        <f>(INDEX(Data!384:384,1,$P$1-2)+INDEX(Data!849:849,1,$P$1-2)-INDEX(Data!1492:1492,1,$P$1-2))+(INDEX(Data!384:384,1,$P$1-1)+INDEX(Data!849:849,1,$P$1-1)-INDEX(Data!1492:1492,1,$P$1-1))</f>
        <v>17006857</v>
      </c>
      <c r="K193" s="88">
        <f>(INDEX(Data!384:384,1,$P$1)+INDEX(Data!849:849,1,$P$1)-INDEX(Data!1492:1492,1,$P$1))+(INDEX(Data!384:384,1,$P$1+1)+INDEX(Data!849:849,1,$P$1+1)-INDEX(Data!1492:1492,1,$P$1+1))</f>
        <v>17916307</v>
      </c>
    </row>
    <row r="194" spans="1:11" ht="17.25" hidden="1" customHeight="1" outlineLevel="1">
      <c r="A194" s="79" t="s">
        <v>885</v>
      </c>
      <c r="B194" s="86">
        <f>(INDEX(Data!333:333,1,$P$1-8)+INDEX(Data!850:850,1,$P$1-8)-INDEX(Data!1336:1336,1,$P$1-8))+(INDEX(Data!333:333,1,$P$1-7)+INDEX(Data!850:850,1,$P$1-7)-INDEX(Data!1336:1336,1,$P$1-7))</f>
        <v>64986626</v>
      </c>
      <c r="C194" s="87">
        <f>(INDEX(Data!333:333,1,$P$1-6)+INDEX(Data!850:850,1,$P$1-6)-INDEX(Data!1336:1336,1,$P$1-6))+(INDEX(Data!333:333,1,$P$1-5)+INDEX(Data!850:850,1,$P$1-5)-INDEX(Data!1336:1336,1,$P$1-5))</f>
        <v>73698800</v>
      </c>
      <c r="D194" s="404">
        <f>(INDEX(Data!333:333,1,$P$1-4)+INDEX(Data!850:850,1,$P$1-4)-INDEX(Data!1336:1336,1,$P$1-4))+(INDEX(Data!333:333,1,$P$1-3)+INDEX(Data!850:850,1,$P$1-3)-INDEX(Data!1336:1336,1,$P$1-3))</f>
        <v>75766441</v>
      </c>
      <c r="E194" s="90">
        <f>(INDEX(Data!333:333,1,$P$1-2)+INDEX(Data!850:850,1,$P$1-2)-INDEX(Data!1336:1336,1,$P$1-2))+(INDEX(Data!333:333,1,$P$1-1)+INDEX(Data!850:850,1,$P$1-1)-INDEX(Data!1336:1336,1,$P$1-1))</f>
        <v>80473585</v>
      </c>
      <c r="F194" s="88">
        <f>(INDEX(Data!333:333,1,$P$1)+INDEX(Data!850:850,1,$P$1)-INDEX(Data!1336:1336,1,$P$1))+(INDEX(Data!333:333,1,$P$1+1)+INDEX(Data!850:850,1,$P$1+1)-INDEX(Data!1336:1336,1,$P$1+1))</f>
        <v>89225999</v>
      </c>
      <c r="G194" s="91">
        <f>(INDEX(Data!385:385,1,$P$1-8)+INDEX(Data!850:850,1,$P$1-8)-INDEX(Data!1493:1493,1,$P$1-8))+(INDEX(Data!385:385,1,$P$1-7)+INDEX(Data!850:850,1,$P$1-7)-INDEX(Data!1493:1493,1,$P$1-7))</f>
        <v>64986626</v>
      </c>
      <c r="H194" s="87">
        <f>(INDEX(Data!385:385,1,$P$1-6)+INDEX(Data!850:850,1,$P$1-6)-INDEX(Data!1493:1493,1,$P$1-6))+(INDEX(Data!385:385,1,$P$1-5)+INDEX(Data!850:850,1,$P$1-5)-INDEX(Data!1493:1493,1,$P$1-5))</f>
        <v>73698800</v>
      </c>
      <c r="I194" s="404">
        <f>(INDEX(Data!385:385,1,$P$1-4)+INDEX(Data!850:850,1,$P$1-4)-INDEX(Data!1493:1493,1,$P$1-4))+(INDEX(Data!385:385,1,$P$1-3)+INDEX(Data!850:850,1,$P$1-3)-INDEX(Data!1493:1493,1,$P$1-3))</f>
        <v>75766441</v>
      </c>
      <c r="J194" s="90">
        <f>(INDEX(Data!385:385,1,$P$1-2)+INDEX(Data!850:850,1,$P$1-2)-INDEX(Data!1493:1493,1,$P$1-2))+(INDEX(Data!385:385,1,$P$1-1)+INDEX(Data!850:850,1,$P$1-1)-INDEX(Data!1493:1493,1,$P$1-1))</f>
        <v>80473585</v>
      </c>
      <c r="K194" s="88">
        <f>(INDEX(Data!385:385,1,$P$1)+INDEX(Data!850:850,1,$P$1)-INDEX(Data!1493:1493,1,$P$1))+(INDEX(Data!385:385,1,$P$1+1)+INDEX(Data!850:850,1,$P$1+1)-INDEX(Data!1493:1493,1,$P$1+1))</f>
        <v>89225999</v>
      </c>
    </row>
    <row r="195" spans="1:11" ht="11.25" hidden="1" customHeight="1" outlineLevel="1">
      <c r="A195" s="79" t="s">
        <v>1411</v>
      </c>
      <c r="B195" s="86">
        <f>(INDEX(Data!334:334,1,$P$1-8)+INDEX(Data!851:851,1,$P$1-8)-INDEX(Data!1337:1337,1,$P$1-8))+(INDEX(Data!334:334,1,$P$1-7)+INDEX(Data!851:851,1,$P$1-7)-INDEX(Data!1337:1337,1,$P$1-7))</f>
        <v>202633302</v>
      </c>
      <c r="C195" s="87">
        <f>(INDEX(Data!334:334,1,$P$1-6)+INDEX(Data!851:851,1,$P$1-6)-INDEX(Data!1337:1337,1,$P$1-6))+(INDEX(Data!334:334,1,$P$1-5)+INDEX(Data!851:851,1,$P$1-5)-INDEX(Data!1337:1337,1,$P$1-5))</f>
        <v>206851880</v>
      </c>
      <c r="D195" s="404">
        <f>(INDEX(Data!334:334,1,$P$1-4)+INDEX(Data!851:851,1,$P$1-4)-INDEX(Data!1337:1337,1,$P$1-4))+(INDEX(Data!334:334,1,$P$1-3)+INDEX(Data!851:851,1,$P$1-3)-INDEX(Data!1337:1337,1,$P$1-3))</f>
        <v>206253388</v>
      </c>
      <c r="E195" s="90">
        <f>(INDEX(Data!334:334,1,$P$1-2)+INDEX(Data!851:851,1,$P$1-2)-INDEX(Data!1337:1337,1,$P$1-2))+(INDEX(Data!334:334,1,$P$1-1)+INDEX(Data!851:851,1,$P$1-1)-INDEX(Data!1337:1337,1,$P$1-1))</f>
        <v>215380502</v>
      </c>
      <c r="F195" s="88">
        <f>(INDEX(Data!334:334,1,$P$1)+INDEX(Data!851:851,1,$P$1)-INDEX(Data!1337:1337,1,$P$1))+(INDEX(Data!334:334,1,$P$1+1)+INDEX(Data!851:851,1,$P$1+1)-INDEX(Data!1337:1337,1,$P$1+1))</f>
        <v>229247065</v>
      </c>
      <c r="G195" s="91">
        <f>(INDEX(Data!386:386,1,$P$1-8)+INDEX(Data!851:851,1,$P$1-8)-INDEX(Data!1494:1494,1,$P$1-8))+(INDEX(Data!386:386,1,$P$1-7)+INDEX(Data!851:851,1,$P$1-7)-INDEX(Data!1494:1494,1,$P$1-7))</f>
        <v>202633302</v>
      </c>
      <c r="H195" s="87">
        <f>(INDEX(Data!386:386,1,$P$1-6)+INDEX(Data!851:851,1,$P$1-6)-INDEX(Data!1494:1494,1,$P$1-6))+(INDEX(Data!386:386,1,$P$1-5)+INDEX(Data!851:851,1,$P$1-5)-INDEX(Data!1494:1494,1,$P$1-5))</f>
        <v>206851880</v>
      </c>
      <c r="I195" s="404">
        <f>(INDEX(Data!386:386,1,$P$1-4)+INDEX(Data!851:851,1,$P$1-4)-INDEX(Data!1494:1494,1,$P$1-4))+(INDEX(Data!386:386,1,$P$1-3)+INDEX(Data!851:851,1,$P$1-3)-INDEX(Data!1494:1494,1,$P$1-3))</f>
        <v>206253388</v>
      </c>
      <c r="J195" s="90">
        <f>(INDEX(Data!386:386,1,$P$1-2)+INDEX(Data!851:851,1,$P$1-2)-INDEX(Data!1494:1494,1,$P$1-2))+(INDEX(Data!386:386,1,$P$1-1)+INDEX(Data!851:851,1,$P$1-1)-INDEX(Data!1494:1494,1,$P$1-1))</f>
        <v>215380502</v>
      </c>
      <c r="K195" s="88">
        <f>(INDEX(Data!386:386,1,$P$1)+INDEX(Data!851:851,1,$P$1)-INDEX(Data!1494:1494,1,$P$1))+(INDEX(Data!386:386,1,$P$1+1)+INDEX(Data!851:851,1,$P$1+1)-INDEX(Data!1494:1494,1,$P$1+1))</f>
        <v>229247065</v>
      </c>
    </row>
    <row r="196" spans="1:11" hidden="1" outlineLevel="1">
      <c r="A196" s="79" t="s">
        <v>114</v>
      </c>
      <c r="B196" s="86">
        <f>(INDEX(Data!335:335,1,$P$1-8)+INDEX(Data!852:852,1,$P$1-8)-INDEX(Data!1338:1338,1,$P$1-8))+(INDEX(Data!335:335,1,$P$1-7)+INDEX(Data!852:852,1,$P$1-7)-INDEX(Data!1338:1338,1,$P$1-7))</f>
        <v>38035503</v>
      </c>
      <c r="C196" s="87">
        <f>(INDEX(Data!335:335,1,$P$1-6)+INDEX(Data!852:852,1,$P$1-6)-INDEX(Data!1338:1338,1,$P$1-6))+(INDEX(Data!335:335,1,$P$1-5)+INDEX(Data!852:852,1,$P$1-5)-INDEX(Data!1338:1338,1,$P$1-5))</f>
        <v>37117545</v>
      </c>
      <c r="D196" s="404">
        <f>(INDEX(Data!335:335,1,$P$1-4)+INDEX(Data!852:852,1,$P$1-4)-INDEX(Data!1338:1338,1,$P$1-4))+(INDEX(Data!335:335,1,$P$1-3)+INDEX(Data!852:852,1,$P$1-3)-INDEX(Data!1338:1338,1,$P$1-3))</f>
        <v>36540040</v>
      </c>
      <c r="E196" s="90">
        <f>(INDEX(Data!335:335,1,$P$1-2)+INDEX(Data!852:852,1,$P$1-2)-INDEX(Data!1338:1338,1,$P$1-2))+(INDEX(Data!335:335,1,$P$1-1)+INDEX(Data!852:852,1,$P$1-1)-INDEX(Data!1338:1338,1,$P$1-1))</f>
        <v>40283023</v>
      </c>
      <c r="F196" s="88">
        <f>(INDEX(Data!335:335,1,$P$1)+INDEX(Data!852:852,1,$P$1)-INDEX(Data!1338:1338,1,$P$1))+(INDEX(Data!335:335,1,$P$1+1)+INDEX(Data!852:852,1,$P$1+1)-INDEX(Data!1338:1338,1,$P$1+1))</f>
        <v>41582626</v>
      </c>
      <c r="G196" s="91">
        <f>(INDEX(Data!387:387,1,$P$1-8)+INDEX(Data!852:852,1,$P$1-8)-INDEX(Data!1495:1495,1,$P$1-8))+(INDEX(Data!387:387,1,$P$1-7)+INDEX(Data!852:852,1,$P$1-7)-INDEX(Data!1495:1495,1,$P$1-7))</f>
        <v>38035503</v>
      </c>
      <c r="H196" s="87">
        <f>(INDEX(Data!387:387,1,$P$1-6)+INDEX(Data!852:852,1,$P$1-6)-INDEX(Data!1495:1495,1,$P$1-6))+(INDEX(Data!387:387,1,$P$1-5)+INDEX(Data!852:852,1,$P$1-5)-INDEX(Data!1495:1495,1,$P$1-5))</f>
        <v>37117545</v>
      </c>
      <c r="I196" s="404">
        <f>(INDEX(Data!387:387,1,$P$1-4)+INDEX(Data!852:852,1,$P$1-4)-INDEX(Data!1495:1495,1,$P$1-4))+(INDEX(Data!387:387,1,$P$1-3)+INDEX(Data!852:852,1,$P$1-3)-INDEX(Data!1495:1495,1,$P$1-3))</f>
        <v>36540040</v>
      </c>
      <c r="J196" s="90">
        <f>(INDEX(Data!387:387,1,$P$1-2)+INDEX(Data!852:852,1,$P$1-2)-INDEX(Data!1495:1495,1,$P$1-2))+(INDEX(Data!387:387,1,$P$1-1)+INDEX(Data!852:852,1,$P$1-1)-INDEX(Data!1495:1495,1,$P$1-1))</f>
        <v>40283023</v>
      </c>
      <c r="K196" s="88">
        <f>(INDEX(Data!387:387,1,$P$1)+INDEX(Data!852:852,1,$P$1)-INDEX(Data!1495:1495,1,$P$1))+(INDEX(Data!387:387,1,$P$1+1)+INDEX(Data!852:852,1,$P$1+1)-INDEX(Data!1495:1495,1,$P$1+1))</f>
        <v>41582626</v>
      </c>
    </row>
    <row r="197" spans="1:11" hidden="1" outlineLevel="1">
      <c r="A197" s="79" t="s">
        <v>1412</v>
      </c>
      <c r="B197" s="86">
        <f>(INDEX(Data!336:336,1,$P$1-8)+INDEX(Data!853:853,1,$P$1-8)-INDEX(Data!1339:1339,1,$P$1-8))+(INDEX(Data!336:336,1,$P$1-7)+INDEX(Data!853:853,1,$P$1-7)-INDEX(Data!1339:1339,1,$P$1-7))</f>
        <v>69684351</v>
      </c>
      <c r="C197" s="87">
        <f>(INDEX(Data!336:336,1,$P$1-6)+INDEX(Data!853:853,1,$P$1-6)-INDEX(Data!1339:1339,1,$P$1-6))+(INDEX(Data!336:336,1,$P$1-5)+INDEX(Data!853:853,1,$P$1-5)-INDEX(Data!1339:1339,1,$P$1-5))</f>
        <v>78482862</v>
      </c>
      <c r="D197" s="404">
        <f>(INDEX(Data!336:336,1,$P$1-4)+INDEX(Data!853:853,1,$P$1-4)-INDEX(Data!1339:1339,1,$P$1-4))+(INDEX(Data!336:336,1,$P$1-3)+INDEX(Data!853:853,1,$P$1-3)-INDEX(Data!1339:1339,1,$P$1-3))</f>
        <v>76448458</v>
      </c>
      <c r="E197" s="90">
        <f>(INDEX(Data!336:336,1,$P$1-2)+INDEX(Data!853:853,1,$P$1-2)-INDEX(Data!1339:1339,1,$P$1-2))+(INDEX(Data!336:336,1,$P$1-1)+INDEX(Data!853:853,1,$P$1-1)-INDEX(Data!1339:1339,1,$P$1-1))</f>
        <v>77578592</v>
      </c>
      <c r="F197" s="88">
        <f>(INDEX(Data!336:336,1,$P$1)+INDEX(Data!853:853,1,$P$1)-INDEX(Data!1339:1339,1,$P$1))+(INDEX(Data!336:336,1,$P$1+1)+INDEX(Data!853:853,1,$P$1+1)-INDEX(Data!1339:1339,1,$P$1+1))</f>
        <v>78325316</v>
      </c>
      <c r="G197" s="91">
        <f>(INDEX(Data!388:388,1,$P$1-8)+INDEX(Data!853:853,1,$P$1-8)-INDEX(Data!1496:1496,1,$P$1-8))+(INDEX(Data!388:388,1,$P$1-7)+INDEX(Data!853:853,1,$P$1-7)-INDEX(Data!1496:1496,1,$P$1-7))</f>
        <v>69684351</v>
      </c>
      <c r="H197" s="87">
        <f>(INDEX(Data!388:388,1,$P$1-6)+INDEX(Data!853:853,1,$P$1-6)-INDEX(Data!1496:1496,1,$P$1-6))+(INDEX(Data!388:388,1,$P$1-5)+INDEX(Data!853:853,1,$P$1-5)-INDEX(Data!1496:1496,1,$P$1-5))</f>
        <v>78482862</v>
      </c>
      <c r="I197" s="404">
        <f>(INDEX(Data!388:388,1,$P$1-4)+INDEX(Data!853:853,1,$P$1-4)-INDEX(Data!1496:1496,1,$P$1-4))+(INDEX(Data!388:388,1,$P$1-3)+INDEX(Data!853:853,1,$P$1-3)-INDEX(Data!1496:1496,1,$P$1-3))</f>
        <v>76448458</v>
      </c>
      <c r="J197" s="90">
        <f>(INDEX(Data!388:388,1,$P$1-2)+INDEX(Data!853:853,1,$P$1-2)-INDEX(Data!1496:1496,1,$P$1-2))+(INDEX(Data!388:388,1,$P$1-1)+INDEX(Data!853:853,1,$P$1-1)-INDEX(Data!1496:1496,1,$P$1-1))</f>
        <v>77578592</v>
      </c>
      <c r="K197" s="88">
        <f>(INDEX(Data!388:388,1,$P$1)+INDEX(Data!853:853,1,$P$1)-INDEX(Data!1496:1496,1,$P$1))+(INDEX(Data!388:388,1,$P$1+1)+INDEX(Data!853:853,1,$P$1+1)-INDEX(Data!1496:1496,1,$P$1+1))</f>
        <v>78325316</v>
      </c>
    </row>
    <row r="198" spans="1:11" hidden="1" outlineLevel="1">
      <c r="A198" s="79" t="s">
        <v>116</v>
      </c>
      <c r="B198" s="86">
        <f>(INDEX(Data!337:337,1,$P$1-8)+INDEX(Data!854:854,1,$P$1-8)-INDEX(Data!1340:1340,1,$P$1-8))+(INDEX(Data!337:337,1,$P$1-7)+INDEX(Data!854:854,1,$P$1-7)-INDEX(Data!1340:1340,1,$P$1-7))</f>
        <v>4756027</v>
      </c>
      <c r="C198" s="87">
        <f>(INDEX(Data!337:337,1,$P$1-6)+INDEX(Data!854:854,1,$P$1-6)-INDEX(Data!1340:1340,1,$P$1-6))+(INDEX(Data!337:337,1,$P$1-5)+INDEX(Data!854:854,1,$P$1-5)-INDEX(Data!1340:1340,1,$P$1-5))</f>
        <v>5314952</v>
      </c>
      <c r="D198" s="404">
        <f>(INDEX(Data!337:337,1,$P$1-4)+INDEX(Data!854:854,1,$P$1-4)-INDEX(Data!1340:1340,1,$P$1-4))+(INDEX(Data!337:337,1,$P$1-3)+INDEX(Data!854:854,1,$P$1-3)-INDEX(Data!1340:1340,1,$P$1-3))</f>
        <v>5729390</v>
      </c>
      <c r="E198" s="90">
        <f>(INDEX(Data!337:337,1,$P$1-2)+INDEX(Data!854:854,1,$P$1-2)-INDEX(Data!1340:1340,1,$P$1-2))+(INDEX(Data!337:337,1,$P$1-1)+INDEX(Data!854:854,1,$P$1-1)-INDEX(Data!1340:1340,1,$P$1-1))</f>
        <v>6247667</v>
      </c>
      <c r="F198" s="88">
        <f>(INDEX(Data!337:337,1,$P$1)+INDEX(Data!854:854,1,$P$1)-INDEX(Data!1340:1340,1,$P$1))+(INDEX(Data!337:337,1,$P$1+1)+INDEX(Data!854:854,1,$P$1+1)-INDEX(Data!1340:1340,1,$P$1+1))</f>
        <v>6047322</v>
      </c>
      <c r="G198" s="91">
        <f>(INDEX(Data!389:389,1,$P$1-8)+INDEX(Data!854:854,1,$P$1-8)-INDEX(Data!1497:1497,1,$P$1-8))+(INDEX(Data!389:389,1,$P$1-7)+INDEX(Data!854:854,1,$P$1-7)-INDEX(Data!1497:1497,1,$P$1-7))</f>
        <v>4756027</v>
      </c>
      <c r="H198" s="87">
        <f>(INDEX(Data!389:389,1,$P$1-6)+INDEX(Data!854:854,1,$P$1-6)-INDEX(Data!1497:1497,1,$P$1-6))+(INDEX(Data!389:389,1,$P$1-5)+INDEX(Data!854:854,1,$P$1-5)-INDEX(Data!1497:1497,1,$P$1-5))</f>
        <v>5314952</v>
      </c>
      <c r="I198" s="404">
        <f>(INDEX(Data!389:389,1,$P$1-4)+INDEX(Data!854:854,1,$P$1-4)-INDEX(Data!1497:1497,1,$P$1-4))+(INDEX(Data!389:389,1,$P$1-3)+INDEX(Data!854:854,1,$P$1-3)-INDEX(Data!1497:1497,1,$P$1-3))</f>
        <v>5729390</v>
      </c>
      <c r="J198" s="90">
        <f>(INDEX(Data!389:389,1,$P$1-2)+INDEX(Data!854:854,1,$P$1-2)-INDEX(Data!1497:1497,1,$P$1-2))+(INDEX(Data!389:389,1,$P$1-1)+INDEX(Data!854:854,1,$P$1-1)-INDEX(Data!1497:1497,1,$P$1-1))</f>
        <v>6247667</v>
      </c>
      <c r="K198" s="88">
        <f>(INDEX(Data!389:389,1,$P$1)+INDEX(Data!854:854,1,$P$1)-INDEX(Data!1497:1497,1,$P$1))+(INDEX(Data!389:389,1,$P$1+1)+INDEX(Data!854:854,1,$P$1+1)-INDEX(Data!1497:1497,1,$P$1+1))</f>
        <v>6047322</v>
      </c>
    </row>
    <row r="199" spans="1:11" hidden="1" outlineLevel="1">
      <c r="A199" s="79" t="s">
        <v>117</v>
      </c>
      <c r="B199" s="86">
        <f>(INDEX(Data!338:338,1,$P$1-8)+INDEX(Data!855:855,1,$P$1-8)-INDEX(Data!1341:1341,1,$P$1-8))+(INDEX(Data!338:338,1,$P$1-7)+INDEX(Data!855:855,1,$P$1-7)-INDEX(Data!1341:1341,1,$P$1-7))</f>
        <v>7704351</v>
      </c>
      <c r="C199" s="87">
        <f>(INDEX(Data!338:338,1,$P$1-6)+INDEX(Data!855:855,1,$P$1-6)-INDEX(Data!1341:1341,1,$P$1-6))+(INDEX(Data!338:338,1,$P$1-5)+INDEX(Data!855:855,1,$P$1-5)-INDEX(Data!1341:1341,1,$P$1-5))</f>
        <v>8860567</v>
      </c>
      <c r="D199" s="404">
        <f>(INDEX(Data!338:338,1,$P$1-4)+INDEX(Data!855:855,1,$P$1-4)-INDEX(Data!1341:1341,1,$P$1-4))+(INDEX(Data!338:338,1,$P$1-3)+INDEX(Data!855:855,1,$P$1-3)-INDEX(Data!1341:1341,1,$P$1-3))</f>
        <v>8818538</v>
      </c>
      <c r="E199" s="90">
        <f>(INDEX(Data!338:338,1,$P$1-2)+INDEX(Data!855:855,1,$P$1-2)-INDEX(Data!1341:1341,1,$P$1-2))+(INDEX(Data!338:338,1,$P$1-1)+INDEX(Data!855:855,1,$P$1-1)-INDEX(Data!1341:1341,1,$P$1-1))</f>
        <v>9883275</v>
      </c>
      <c r="F199" s="88">
        <f>(INDEX(Data!338:338,1,$P$1)+INDEX(Data!855:855,1,$P$1)-INDEX(Data!1341:1341,1,$P$1))+(INDEX(Data!338:338,1,$P$1+1)+INDEX(Data!855:855,1,$P$1+1)-INDEX(Data!1341:1341,1,$P$1+1))</f>
        <v>10944069</v>
      </c>
      <c r="G199" s="91">
        <f>(INDEX(Data!390:390,1,$P$1-8)+INDEX(Data!855:855,1,$P$1-8)-INDEX(Data!1498:1498,1,$P$1-8))+(INDEX(Data!390:390,1,$P$1-7)+INDEX(Data!855:855,1,$P$1-7)-INDEX(Data!1498:1498,1,$P$1-7))</f>
        <v>7704351</v>
      </c>
      <c r="H199" s="87">
        <f>(INDEX(Data!390:390,1,$P$1-6)+INDEX(Data!855:855,1,$P$1-6)-INDEX(Data!1498:1498,1,$P$1-6))+(INDEX(Data!390:390,1,$P$1-5)+INDEX(Data!855:855,1,$P$1-5)-INDEX(Data!1498:1498,1,$P$1-5))</f>
        <v>8860567</v>
      </c>
      <c r="I199" s="404">
        <f>(INDEX(Data!390:390,1,$P$1-4)+INDEX(Data!855:855,1,$P$1-4)-INDEX(Data!1498:1498,1,$P$1-4))+(INDEX(Data!390:390,1,$P$1-3)+INDEX(Data!855:855,1,$P$1-3)-INDEX(Data!1498:1498,1,$P$1-3))</f>
        <v>8818538</v>
      </c>
      <c r="J199" s="90">
        <f>(INDEX(Data!390:390,1,$P$1-2)+INDEX(Data!855:855,1,$P$1-2)-INDEX(Data!1498:1498,1,$P$1-2))+(INDEX(Data!390:390,1,$P$1-1)+INDEX(Data!855:855,1,$P$1-1)-INDEX(Data!1498:1498,1,$P$1-1))</f>
        <v>9883275</v>
      </c>
      <c r="K199" s="88">
        <f>(INDEX(Data!390:390,1,$P$1)+INDEX(Data!855:855,1,$P$1)-INDEX(Data!1498:1498,1,$P$1))+(INDEX(Data!390:390,1,$P$1+1)+INDEX(Data!855:855,1,$P$1+1)-INDEX(Data!1498:1498,1,$P$1+1))</f>
        <v>10944069</v>
      </c>
    </row>
    <row r="200" spans="1:11" hidden="1" outlineLevel="1">
      <c r="A200" s="79" t="s">
        <v>1406</v>
      </c>
      <c r="B200" s="86">
        <f>(INDEX(Data!339:339,1,$P$1-8)+INDEX(Data!856:856,1,$P$1-8)-INDEX(Data!1342:1342,1,$P$1-8))+(INDEX(Data!339:339,1,$P$1-7)+INDEX(Data!856:856,1,$P$1-7)-INDEX(Data!1342:1342,1,$P$1-7))</f>
        <v>16852190</v>
      </c>
      <c r="C200" s="87">
        <f>(INDEX(Data!339:339,1,$P$1-6)+INDEX(Data!856:856,1,$P$1-6)-INDEX(Data!1342:1342,1,$P$1-6))+(INDEX(Data!339:339,1,$P$1-5)+INDEX(Data!856:856,1,$P$1-5)-INDEX(Data!1342:1342,1,$P$1-5))</f>
        <v>17527615</v>
      </c>
      <c r="D200" s="404">
        <f>(INDEX(Data!339:339,1,$P$1-4)+INDEX(Data!856:856,1,$P$1-4)-INDEX(Data!1342:1342,1,$P$1-4))+(INDEX(Data!339:339,1,$P$1-3)+INDEX(Data!856:856,1,$P$1-3)-INDEX(Data!1342:1342,1,$P$1-3))</f>
        <v>17970024</v>
      </c>
      <c r="E200" s="90">
        <f>(INDEX(Data!339:339,1,$P$1-2)+INDEX(Data!856:856,1,$P$1-2)-INDEX(Data!1342:1342,1,$P$1-2))+(INDEX(Data!339:339,1,$P$1-1)+INDEX(Data!856:856,1,$P$1-1)-INDEX(Data!1342:1342,1,$P$1-1))</f>
        <v>17530880</v>
      </c>
      <c r="F200" s="88">
        <f>(INDEX(Data!339:339,1,$P$1)+INDEX(Data!856:856,1,$P$1)-INDEX(Data!1342:1342,1,$P$1))+(INDEX(Data!339:339,1,$P$1+1)+INDEX(Data!856:856,1,$P$1+1)-INDEX(Data!1342:1342,1,$P$1+1))</f>
        <v>17432916</v>
      </c>
      <c r="G200" s="91">
        <f>(INDEX(Data!391:391,1,$P$1-8)+INDEX(Data!856:856,1,$P$1-8)-INDEX(Data!1499:1499,1,$P$1-8))+(INDEX(Data!391:391,1,$P$1-7)+INDEX(Data!856:856,1,$P$1-7)-INDEX(Data!1499:1499,1,$P$1-7))</f>
        <v>16852190</v>
      </c>
      <c r="H200" s="87">
        <f>(INDEX(Data!391:391,1,$P$1-6)+INDEX(Data!856:856,1,$P$1-6)-INDEX(Data!1499:1499,1,$P$1-6))+(INDEX(Data!391:391,1,$P$1-5)+INDEX(Data!856:856,1,$P$1-5)-INDEX(Data!1499:1499,1,$P$1-5))</f>
        <v>17527615</v>
      </c>
      <c r="I200" s="404">
        <f>(INDEX(Data!391:391,1,$P$1-4)+INDEX(Data!856:856,1,$P$1-4)-INDEX(Data!1499:1499,1,$P$1-4))+(INDEX(Data!391:391,1,$P$1-3)+INDEX(Data!856:856,1,$P$1-3)-INDEX(Data!1499:1499,1,$P$1-3))</f>
        <v>17970024</v>
      </c>
      <c r="J200" s="90">
        <f>(INDEX(Data!391:391,1,$P$1-2)+INDEX(Data!856:856,1,$P$1-2)-INDEX(Data!1499:1499,1,$P$1-2))+(INDEX(Data!391:391,1,$P$1-1)+INDEX(Data!856:856,1,$P$1-1)-INDEX(Data!1499:1499,1,$P$1-1))</f>
        <v>17530880</v>
      </c>
      <c r="K200" s="88">
        <f>(INDEX(Data!391:391,1,$P$1)+INDEX(Data!856:856,1,$P$1)-INDEX(Data!1499:1499,1,$P$1))+(INDEX(Data!391:391,1,$P$1+1)+INDEX(Data!856:856,1,$P$1+1)-INDEX(Data!1499:1499,1,$P$1+1))</f>
        <v>17432916</v>
      </c>
    </row>
    <row r="201" spans="1:11" hidden="1" outlineLevel="1">
      <c r="A201" s="79" t="s">
        <v>119</v>
      </c>
      <c r="B201" s="86">
        <f>(INDEX(Data!340:340,1,$P$1-8)+INDEX(Data!857:857,1,$P$1-8)-INDEX(Data!1343:1343,1,$P$1-8))+(INDEX(Data!340:340,1,$P$1-7)+INDEX(Data!857:857,1,$P$1-7)-INDEX(Data!1343:1343,1,$P$1-7))</f>
        <v>15157456</v>
      </c>
      <c r="C201" s="87">
        <f>(INDEX(Data!340:340,1,$P$1-6)+INDEX(Data!857:857,1,$P$1-6)-INDEX(Data!1343:1343,1,$P$1-6))+(INDEX(Data!340:340,1,$P$1-5)+INDEX(Data!857:857,1,$P$1-5)-INDEX(Data!1343:1343,1,$P$1-5))</f>
        <v>17049207</v>
      </c>
      <c r="D201" s="404">
        <f>(INDEX(Data!340:340,1,$P$1-4)+INDEX(Data!857:857,1,$P$1-4)-INDEX(Data!1343:1343,1,$P$1-4))+(INDEX(Data!340:340,1,$P$1-3)+INDEX(Data!857:857,1,$P$1-3)-INDEX(Data!1343:1343,1,$P$1-3))</f>
        <v>15806958</v>
      </c>
      <c r="E201" s="90">
        <f>(INDEX(Data!340:340,1,$P$1-2)+INDEX(Data!857:857,1,$P$1-2)-INDEX(Data!1343:1343,1,$P$1-2))+(INDEX(Data!340:340,1,$P$1-1)+INDEX(Data!857:857,1,$P$1-1)-INDEX(Data!1343:1343,1,$P$1-1))</f>
        <v>15731326</v>
      </c>
      <c r="F201" s="88">
        <f>(INDEX(Data!340:340,1,$P$1)+INDEX(Data!857:857,1,$P$1)-INDEX(Data!1343:1343,1,$P$1))+(INDEX(Data!340:340,1,$P$1+1)+INDEX(Data!857:857,1,$P$1+1)-INDEX(Data!1343:1343,1,$P$1+1))</f>
        <v>16530435</v>
      </c>
      <c r="G201" s="91">
        <f>(INDEX(Data!392:392,1,$P$1-8)+INDEX(Data!857:857,1,$P$1-8)-INDEX(Data!1500:1500,1,$P$1-8))+(INDEX(Data!392:392,1,$P$1-7)+INDEX(Data!857:857,1,$P$1-7)-INDEX(Data!1500:1500,1,$P$1-7))</f>
        <v>15157456</v>
      </c>
      <c r="H201" s="87">
        <f>(INDEX(Data!392:392,1,$P$1-6)+INDEX(Data!857:857,1,$P$1-6)-INDEX(Data!1500:1500,1,$P$1-6))+(INDEX(Data!392:392,1,$P$1-5)+INDEX(Data!857:857,1,$P$1-5)-INDEX(Data!1500:1500,1,$P$1-5))</f>
        <v>17049207</v>
      </c>
      <c r="I201" s="404">
        <f>(INDEX(Data!392:392,1,$P$1-4)+INDEX(Data!857:857,1,$P$1-4)-INDEX(Data!1500:1500,1,$P$1-4))+(INDEX(Data!392:392,1,$P$1-3)+INDEX(Data!857:857,1,$P$1-3)-INDEX(Data!1500:1500,1,$P$1-3))</f>
        <v>15806958</v>
      </c>
      <c r="J201" s="90">
        <f>(INDEX(Data!392:392,1,$P$1-2)+INDEX(Data!857:857,1,$P$1-2)-INDEX(Data!1500:1500,1,$P$1-2))+(INDEX(Data!392:392,1,$P$1-1)+INDEX(Data!857:857,1,$P$1-1)-INDEX(Data!1500:1500,1,$P$1-1))</f>
        <v>15731326</v>
      </c>
      <c r="K201" s="88">
        <f>(INDEX(Data!392:392,1,$P$1)+INDEX(Data!857:857,1,$P$1)-INDEX(Data!1500:1500,1,$P$1))+(INDEX(Data!392:392,1,$P$1+1)+INDEX(Data!857:857,1,$P$1+1)-INDEX(Data!1500:1500,1,$P$1+1))</f>
        <v>16530435</v>
      </c>
    </row>
    <row r="202" spans="1:11" hidden="1" outlineLevel="1">
      <c r="A202" s="79" t="s">
        <v>120</v>
      </c>
      <c r="B202" s="86">
        <f>(INDEX(Data!341:341,1,$P$1-8)+INDEX(Data!858:858,1,$P$1-8)-INDEX(Data!1344:1344,1,$P$1-8))+(INDEX(Data!341:341,1,$P$1-7)+INDEX(Data!858:858,1,$P$1-7)-INDEX(Data!1344:1344,1,$P$1-7))</f>
        <v>156369703</v>
      </c>
      <c r="C202" s="87">
        <f>(INDEX(Data!341:341,1,$P$1-6)+INDEX(Data!858:858,1,$P$1-6)-INDEX(Data!1344:1344,1,$P$1-6))+(INDEX(Data!341:341,1,$P$1-5)+INDEX(Data!858:858,1,$P$1-5)-INDEX(Data!1344:1344,1,$P$1-5))</f>
        <v>157584740</v>
      </c>
      <c r="D202" s="404">
        <f>(INDEX(Data!341:341,1,$P$1-4)+INDEX(Data!858:858,1,$P$1-4)-INDEX(Data!1344:1344,1,$P$1-4))+(INDEX(Data!341:341,1,$P$1-3)+INDEX(Data!858:858,1,$P$1-3)-INDEX(Data!1344:1344,1,$P$1-3))</f>
        <v>161486017</v>
      </c>
      <c r="E202" s="90">
        <f>(INDEX(Data!341:341,1,$P$1-2)+INDEX(Data!858:858,1,$P$1-2)-INDEX(Data!1344:1344,1,$P$1-2))+(INDEX(Data!341:341,1,$P$1-1)+INDEX(Data!858:858,1,$P$1-1)-INDEX(Data!1344:1344,1,$P$1-1))</f>
        <v>160820603</v>
      </c>
      <c r="F202" s="88">
        <f>(INDEX(Data!341:341,1,$P$1)+INDEX(Data!858:858,1,$P$1)-INDEX(Data!1344:1344,1,$P$1))+(INDEX(Data!341:341,1,$P$1+1)+INDEX(Data!858:858,1,$P$1+1)-INDEX(Data!1344:1344,1,$P$1+1))</f>
        <v>161973754</v>
      </c>
      <c r="G202" s="91">
        <f>(INDEX(Data!393:393,1,$P$1-8)+INDEX(Data!858:858,1,$P$1-8)-INDEX(Data!1501:1501,1,$P$1-8))+(INDEX(Data!393:393,1,$P$1-7)+INDEX(Data!858:858,1,$P$1-7)-INDEX(Data!1501:1501,1,$P$1-7))</f>
        <v>156369703</v>
      </c>
      <c r="H202" s="87">
        <f>(INDEX(Data!393:393,1,$P$1-6)+INDEX(Data!858:858,1,$P$1-6)-INDEX(Data!1501:1501,1,$P$1-6))+(INDEX(Data!393:393,1,$P$1-5)+INDEX(Data!858:858,1,$P$1-5)-INDEX(Data!1501:1501,1,$P$1-5))</f>
        <v>157584740</v>
      </c>
      <c r="I202" s="404">
        <f>(INDEX(Data!393:393,1,$P$1-4)+INDEX(Data!858:858,1,$P$1-4)-INDEX(Data!1501:1501,1,$P$1-4))+(INDEX(Data!393:393,1,$P$1-3)+INDEX(Data!858:858,1,$P$1-3)-INDEX(Data!1501:1501,1,$P$1-3))</f>
        <v>161486017</v>
      </c>
      <c r="J202" s="90">
        <f>(INDEX(Data!393:393,1,$P$1-2)+INDEX(Data!858:858,1,$P$1-2)-INDEX(Data!1501:1501,1,$P$1-2))+(INDEX(Data!393:393,1,$P$1-1)+INDEX(Data!858:858,1,$P$1-1)-INDEX(Data!1501:1501,1,$P$1-1))</f>
        <v>160820603</v>
      </c>
      <c r="K202" s="88">
        <f>(INDEX(Data!393:393,1,$P$1)+INDEX(Data!858:858,1,$P$1)-INDEX(Data!1501:1501,1,$P$1))+(INDEX(Data!393:393,1,$P$1+1)+INDEX(Data!858:858,1,$P$1+1)-INDEX(Data!1501:1501,1,$P$1+1))</f>
        <v>161973754</v>
      </c>
    </row>
    <row r="203" spans="1:11" hidden="1" outlineLevel="1">
      <c r="A203" s="79" t="s">
        <v>1415</v>
      </c>
      <c r="B203" s="86">
        <f>(INDEX(Data!342:342,1,$P$1-8)+INDEX(Data!859:859,1,$P$1-8)-INDEX(Data!1345:1345,1,$P$1-8))+(INDEX(Data!342:342,1,$P$1-7)+INDEX(Data!859:859,1,$P$1-7)-INDEX(Data!1345:1345,1,$P$1-7))</f>
        <v>23217476</v>
      </c>
      <c r="C203" s="87">
        <f>(INDEX(Data!342:342,1,$P$1-6)+INDEX(Data!859:859,1,$P$1-6)-INDEX(Data!1345:1345,1,$P$1-6))+(INDEX(Data!342:342,1,$P$1-5)+INDEX(Data!859:859,1,$P$1-5)-INDEX(Data!1345:1345,1,$P$1-5))</f>
        <v>22150424</v>
      </c>
      <c r="D203" s="404">
        <f>(INDEX(Data!342:342,1,$P$1-4)+INDEX(Data!859:859,1,$P$1-4)-INDEX(Data!1345:1345,1,$P$1-4))+(INDEX(Data!342:342,1,$P$1-3)+INDEX(Data!859:859,1,$P$1-3)-INDEX(Data!1345:1345,1,$P$1-3))</f>
        <v>23019643</v>
      </c>
      <c r="E203" s="90">
        <f>(INDEX(Data!342:342,1,$P$1-2)+INDEX(Data!859:859,1,$P$1-2)-INDEX(Data!1345:1345,1,$P$1-2))+(INDEX(Data!342:342,1,$P$1-1)+INDEX(Data!859:859,1,$P$1-1)-INDEX(Data!1345:1345,1,$P$1-1))</f>
        <v>22715225</v>
      </c>
      <c r="F203" s="88">
        <f>(INDEX(Data!342:342,1,$P$1)+INDEX(Data!859:859,1,$P$1)-INDEX(Data!1345:1345,1,$P$1))+(INDEX(Data!342:342,1,$P$1+1)+INDEX(Data!859:859,1,$P$1+1)-INDEX(Data!1345:1345,1,$P$1+1))</f>
        <v>23712827</v>
      </c>
      <c r="G203" s="91">
        <f>(INDEX(Data!394:394,1,$P$1-8)+INDEX(Data!859:859,1,$P$1-8)-INDEX(Data!1502:1502,1,$P$1-8))+(INDEX(Data!394:394,1,$P$1-7)+INDEX(Data!859:859,1,$P$1-7)-INDEX(Data!1502:1502,1,$P$1-7))</f>
        <v>23217476</v>
      </c>
      <c r="H203" s="87">
        <f>(INDEX(Data!394:394,1,$P$1-6)+INDEX(Data!859:859,1,$P$1-6)-INDEX(Data!1502:1502,1,$P$1-6))+(INDEX(Data!394:394,1,$P$1-5)+INDEX(Data!859:859,1,$P$1-5)-INDEX(Data!1502:1502,1,$P$1-5))</f>
        <v>22150424</v>
      </c>
      <c r="I203" s="404">
        <f>(INDEX(Data!394:394,1,$P$1-4)+INDEX(Data!859:859,1,$P$1-4)-INDEX(Data!1502:1502,1,$P$1-4))+(INDEX(Data!394:394,1,$P$1-3)+INDEX(Data!859:859,1,$P$1-3)-INDEX(Data!1502:1502,1,$P$1-3))</f>
        <v>23019643</v>
      </c>
      <c r="J203" s="90">
        <f>(INDEX(Data!394:394,1,$P$1-2)+INDEX(Data!859:859,1,$P$1-2)-INDEX(Data!1502:1502,1,$P$1-2))+(INDEX(Data!394:394,1,$P$1-1)+INDEX(Data!859:859,1,$P$1-1)-INDEX(Data!1502:1502,1,$P$1-1))</f>
        <v>22715225</v>
      </c>
      <c r="K203" s="88">
        <f>(INDEX(Data!394:394,1,$P$1)+INDEX(Data!859:859,1,$P$1)-INDEX(Data!1502:1502,1,$P$1))+(INDEX(Data!394:394,1,$P$1+1)+INDEX(Data!859:859,1,$P$1+1)-INDEX(Data!1502:1502,1,$P$1+1))</f>
        <v>23712827</v>
      </c>
    </row>
    <row r="204" spans="1:11" hidden="1" outlineLevel="1">
      <c r="A204" s="79" t="s">
        <v>122</v>
      </c>
      <c r="B204" s="86">
        <f>(INDEX(Data!343:343,1,$P$1-8)+INDEX(Data!860:860,1,$P$1-8)-INDEX(Data!1346:1346,1,$P$1-8))+(INDEX(Data!343:343,1,$P$1-7)+INDEX(Data!860:860,1,$P$1-7)-INDEX(Data!1346:1346,1,$P$1-7))</f>
        <v>25104874</v>
      </c>
      <c r="C204" s="87">
        <f>(INDEX(Data!343:343,1,$P$1-6)+INDEX(Data!860:860,1,$P$1-6)-INDEX(Data!1346:1346,1,$P$1-6))+(INDEX(Data!343:343,1,$P$1-5)+INDEX(Data!860:860,1,$P$1-5)-INDEX(Data!1346:1346,1,$P$1-5))</f>
        <v>25001668</v>
      </c>
      <c r="D204" s="404">
        <f>(INDEX(Data!343:343,1,$P$1-4)+INDEX(Data!860:860,1,$P$1-4)-INDEX(Data!1346:1346,1,$P$1-4))+(INDEX(Data!343:343,1,$P$1-3)+INDEX(Data!860:860,1,$P$1-3)-INDEX(Data!1346:1346,1,$P$1-3))</f>
        <v>24236004</v>
      </c>
      <c r="E204" s="90">
        <f>(INDEX(Data!343:343,1,$P$1-2)+INDEX(Data!860:860,1,$P$1-2)-INDEX(Data!1346:1346,1,$P$1-2))+(INDEX(Data!343:343,1,$P$1-1)+INDEX(Data!860:860,1,$P$1-1)-INDEX(Data!1346:1346,1,$P$1-1))</f>
        <v>24350059</v>
      </c>
      <c r="F204" s="88">
        <f>(INDEX(Data!343:343,1,$P$1)+INDEX(Data!860:860,1,$P$1)-INDEX(Data!1346:1346,1,$P$1))+(INDEX(Data!343:343,1,$P$1+1)+INDEX(Data!860:860,1,$P$1+1)-INDEX(Data!1346:1346,1,$P$1+1))</f>
        <v>23420765</v>
      </c>
      <c r="G204" s="91">
        <f>(INDEX(Data!395:395,1,$P$1-8)+INDEX(Data!860:860,1,$P$1-8)-INDEX(Data!1503:1503,1,$P$1-8))+(INDEX(Data!395:395,1,$P$1-7)+INDEX(Data!860:860,1,$P$1-7)-INDEX(Data!1503:1503,1,$P$1-7))</f>
        <v>25104874</v>
      </c>
      <c r="H204" s="87">
        <f>(INDEX(Data!395:395,1,$P$1-6)+INDEX(Data!860:860,1,$P$1-6)-INDEX(Data!1503:1503,1,$P$1-6))+(INDEX(Data!395:395,1,$P$1-5)+INDEX(Data!860:860,1,$P$1-5)-INDEX(Data!1503:1503,1,$P$1-5))</f>
        <v>25001668</v>
      </c>
      <c r="I204" s="404">
        <f>(INDEX(Data!395:395,1,$P$1-4)+INDEX(Data!860:860,1,$P$1-4)-INDEX(Data!1503:1503,1,$P$1-4))+(INDEX(Data!395:395,1,$P$1-3)+INDEX(Data!860:860,1,$P$1-3)-INDEX(Data!1503:1503,1,$P$1-3))</f>
        <v>24236004</v>
      </c>
      <c r="J204" s="90">
        <f>(INDEX(Data!395:395,1,$P$1-2)+INDEX(Data!860:860,1,$P$1-2)-INDEX(Data!1503:1503,1,$P$1-2))+(INDEX(Data!395:395,1,$P$1-1)+INDEX(Data!860:860,1,$P$1-1)-INDEX(Data!1503:1503,1,$P$1-1))</f>
        <v>24350059</v>
      </c>
      <c r="K204" s="88">
        <f>(INDEX(Data!395:395,1,$P$1)+INDEX(Data!860:860,1,$P$1)-INDEX(Data!1503:1503,1,$P$1))+(INDEX(Data!395:395,1,$P$1+1)+INDEX(Data!860:860,1,$P$1+1)-INDEX(Data!1503:1503,1,$P$1+1))</f>
        <v>23420765</v>
      </c>
    </row>
    <row r="205" spans="1:11" hidden="1" outlineLevel="1">
      <c r="A205" s="79" t="s">
        <v>123</v>
      </c>
      <c r="B205" s="86">
        <f>(INDEX(Data!344:344,1,$P$1-8)+INDEX(Data!861:861,1,$P$1-8)-INDEX(Data!1347:1347,1,$P$1-8))+(INDEX(Data!344:344,1,$P$1-7)+INDEX(Data!861:861,1,$P$1-7)-INDEX(Data!1347:1347,1,$P$1-7))</f>
        <v>26023968</v>
      </c>
      <c r="C205" s="87">
        <f>(INDEX(Data!344:344,1,$P$1-6)+INDEX(Data!861:861,1,$P$1-6)-INDEX(Data!1347:1347,1,$P$1-6))+(INDEX(Data!344:344,1,$P$1-5)+INDEX(Data!861:861,1,$P$1-5)-INDEX(Data!1347:1347,1,$P$1-5))</f>
        <v>27872965</v>
      </c>
      <c r="D205" s="404">
        <f>(INDEX(Data!344:344,1,$P$1-4)+INDEX(Data!861:861,1,$P$1-4)-INDEX(Data!1347:1347,1,$P$1-4))+(INDEX(Data!344:344,1,$P$1-3)+INDEX(Data!861:861,1,$P$1-3)-INDEX(Data!1347:1347,1,$P$1-3))</f>
        <v>26940130</v>
      </c>
      <c r="E205" s="90">
        <f>(INDEX(Data!344:344,1,$P$1-2)+INDEX(Data!861:861,1,$P$1-2)-INDEX(Data!1347:1347,1,$P$1-2))+(INDEX(Data!344:344,1,$P$1-1)+INDEX(Data!861:861,1,$P$1-1)-INDEX(Data!1347:1347,1,$P$1-1))</f>
        <v>28055697</v>
      </c>
      <c r="F205" s="88">
        <f>(INDEX(Data!344:344,1,$P$1)+INDEX(Data!861:861,1,$P$1)-INDEX(Data!1347:1347,1,$P$1))+(INDEX(Data!344:344,1,$P$1+1)+INDEX(Data!861:861,1,$P$1+1)-INDEX(Data!1347:1347,1,$P$1+1))</f>
        <v>30255509</v>
      </c>
      <c r="G205" s="91">
        <f>(INDEX(Data!396:396,1,$P$1-8)+INDEX(Data!861:861,1,$P$1-8)-INDEX(Data!1504:1504,1,$P$1-8))+(INDEX(Data!396:396,1,$P$1-7)+INDEX(Data!861:861,1,$P$1-7)-INDEX(Data!1504:1504,1,$P$1-7))</f>
        <v>26023968</v>
      </c>
      <c r="H205" s="87">
        <f>(INDEX(Data!396:396,1,$P$1-6)+INDEX(Data!861:861,1,$P$1-6)-INDEX(Data!1504:1504,1,$P$1-6))+(INDEX(Data!396:396,1,$P$1-5)+INDEX(Data!861:861,1,$P$1-5)-INDEX(Data!1504:1504,1,$P$1-5))</f>
        <v>27872965</v>
      </c>
      <c r="I205" s="404">
        <f>(INDEX(Data!396:396,1,$P$1-4)+INDEX(Data!861:861,1,$P$1-4)-INDEX(Data!1504:1504,1,$P$1-4))+(INDEX(Data!396:396,1,$P$1-3)+INDEX(Data!861:861,1,$P$1-3)-INDEX(Data!1504:1504,1,$P$1-3))</f>
        <v>26940130</v>
      </c>
      <c r="J205" s="90">
        <f>(INDEX(Data!396:396,1,$P$1-2)+INDEX(Data!861:861,1,$P$1-2)-INDEX(Data!1504:1504,1,$P$1-2))+(INDEX(Data!396:396,1,$P$1-1)+INDEX(Data!861:861,1,$P$1-1)-INDEX(Data!1504:1504,1,$P$1-1))</f>
        <v>28055697</v>
      </c>
      <c r="K205" s="88">
        <f>(INDEX(Data!396:396,1,$P$1)+INDEX(Data!861:861,1,$P$1)-INDEX(Data!1504:1504,1,$P$1))+(INDEX(Data!396:396,1,$P$1+1)+INDEX(Data!861:861,1,$P$1+1)-INDEX(Data!1504:1504,1,$P$1+1))</f>
        <v>30255509</v>
      </c>
    </row>
    <row r="206" spans="1:11" hidden="1" outlineLevel="1">
      <c r="A206" s="79" t="s">
        <v>174</v>
      </c>
      <c r="B206" s="86">
        <f>(INDEX(Data!345:345,1,$P$1-8)+INDEX(Data!862:862,1,$P$1-8)-INDEX(Data!1348:1348,1,$P$1-8))+(INDEX(Data!345:345,1,$P$1-7)+INDEX(Data!862:862,1,$P$1-7)-INDEX(Data!1348:1348,1,$P$1-7))</f>
        <v>21108194</v>
      </c>
      <c r="C206" s="87">
        <f>(INDEX(Data!345:345,1,$P$1-6)+INDEX(Data!862:862,1,$P$1-6)-INDEX(Data!1348:1348,1,$P$1-6))+(INDEX(Data!345:345,1,$P$1-5)+INDEX(Data!862:862,1,$P$1-5)-INDEX(Data!1348:1348,1,$P$1-5))</f>
        <v>20834291</v>
      </c>
      <c r="D206" s="404">
        <f>(INDEX(Data!345:345,1,$P$1-4)+INDEX(Data!862:862,1,$P$1-4)-INDEX(Data!1348:1348,1,$P$1-4))+(INDEX(Data!345:345,1,$P$1-3)+INDEX(Data!862:862,1,$P$1-3)-INDEX(Data!1348:1348,1,$P$1-3))</f>
        <v>22064083</v>
      </c>
      <c r="E206" s="90">
        <f>(INDEX(Data!345:345,1,$P$1-2)+INDEX(Data!862:862,1,$P$1-2)-INDEX(Data!1348:1348,1,$P$1-2))+(INDEX(Data!345:345,1,$P$1-1)+INDEX(Data!862:862,1,$P$1-1)-INDEX(Data!1348:1348,1,$P$1-1))</f>
        <v>24270038</v>
      </c>
      <c r="F206" s="88">
        <f>(INDEX(Data!345:345,1,$P$1)+INDEX(Data!862:862,1,$P$1)-INDEX(Data!1348:1348,1,$P$1))+(INDEX(Data!345:345,1,$P$1+1)+INDEX(Data!862:862,1,$P$1+1)-INDEX(Data!1348:1348,1,$P$1+1))</f>
        <v>25319946</v>
      </c>
      <c r="G206" s="91">
        <f>(INDEX(Data!397:397,1,$P$1-8)+INDEX(Data!862:862,1,$P$1-8)-INDEX(Data!1505:1505,1,$P$1-8))+(INDEX(Data!397:397,1,$P$1-7)+INDEX(Data!862:862,1,$P$1-7)-INDEX(Data!1505:1505,1,$P$1-7))</f>
        <v>21108194</v>
      </c>
      <c r="H206" s="87">
        <f>(INDEX(Data!397:397,1,$P$1-6)+INDEX(Data!862:862,1,$P$1-6)-INDEX(Data!1505:1505,1,$P$1-6))+(INDEX(Data!397:397,1,$P$1-5)+INDEX(Data!862:862,1,$P$1-5)-INDEX(Data!1505:1505,1,$P$1-5))</f>
        <v>20834291</v>
      </c>
      <c r="I206" s="404">
        <f>(INDEX(Data!397:397,1,$P$1-4)+INDEX(Data!862:862,1,$P$1-4)-INDEX(Data!1505:1505,1,$P$1-4))+(INDEX(Data!397:397,1,$P$1-3)+INDEX(Data!862:862,1,$P$1-3)-INDEX(Data!1505:1505,1,$P$1-3))</f>
        <v>22064083</v>
      </c>
      <c r="J206" s="90">
        <f>(INDEX(Data!397:397,1,$P$1-2)+INDEX(Data!862:862,1,$P$1-2)-INDEX(Data!1505:1505,1,$P$1-2))+(INDEX(Data!397:397,1,$P$1-1)+INDEX(Data!862:862,1,$P$1-1)-INDEX(Data!1505:1505,1,$P$1-1))</f>
        <v>24270038</v>
      </c>
      <c r="K206" s="88">
        <f>(INDEX(Data!397:397,1,$P$1)+INDEX(Data!862:862,1,$P$1)-INDEX(Data!1505:1505,1,$P$1))+(INDEX(Data!397:397,1,$P$1+1)+INDEX(Data!862:862,1,$P$1+1)-INDEX(Data!1505:1505,1,$P$1+1))</f>
        <v>25319946</v>
      </c>
    </row>
    <row r="207" spans="1:11" hidden="1" outlineLevel="1">
      <c r="A207" s="79" t="s">
        <v>892</v>
      </c>
      <c r="B207" s="86">
        <f>(INDEX(Data!346:346,1,$P$1-8)+INDEX(Data!863:863,1,$P$1-8)-INDEX(Data!1349:1349,1,$P$1-8))+(INDEX(Data!346:346,1,$P$1-7)+INDEX(Data!863:863,1,$P$1-7)-INDEX(Data!1349:1349,1,$P$1-7))</f>
        <v>30640425</v>
      </c>
      <c r="C207" s="87">
        <f>(INDEX(Data!346:346,1,$P$1-6)+INDEX(Data!863:863,1,$P$1-6)-INDEX(Data!1349:1349,1,$P$1-6))+(INDEX(Data!346:346,1,$P$1-5)+INDEX(Data!863:863,1,$P$1-5)-INDEX(Data!1349:1349,1,$P$1-5))</f>
        <v>162851219</v>
      </c>
      <c r="D207" s="404">
        <f>(INDEX(Data!346:346,1,$P$1-4)+INDEX(Data!863:863,1,$P$1-4)-INDEX(Data!1349:1349,1,$P$1-4))+(INDEX(Data!346:346,1,$P$1-3)+INDEX(Data!863:863,1,$P$1-3)-INDEX(Data!1349:1349,1,$P$1-3))</f>
        <v>168135587</v>
      </c>
      <c r="E207" s="90">
        <f>(INDEX(Data!346:346,1,$P$1-2)+INDEX(Data!863:863,1,$P$1-2)-INDEX(Data!1349:1349,1,$P$1-2))+(INDEX(Data!346:346,1,$P$1-1)+INDEX(Data!863:863,1,$P$1-1)-INDEX(Data!1349:1349,1,$P$1-1))</f>
        <v>178746592</v>
      </c>
      <c r="F207" s="88">
        <f>(INDEX(Data!346:346,1,$P$1)+INDEX(Data!863:863,1,$P$1)-INDEX(Data!1349:1349,1,$P$1))+(INDEX(Data!346:346,1,$P$1+1)+INDEX(Data!863:863,1,$P$1+1)-INDEX(Data!1349:1349,1,$P$1+1))</f>
        <v>180352599</v>
      </c>
      <c r="G207" s="91">
        <f>(INDEX(Data!398:398,1,$P$1-8)+INDEX(Data!863:863,1,$P$1-8)-INDEX(Data!1506:1506,1,$P$1-8))+(INDEX(Data!398:398,1,$P$1-7)+INDEX(Data!863:863,1,$P$1-7)-INDEX(Data!1506:1506,1,$P$1-7))</f>
        <v>137940989</v>
      </c>
      <c r="H207" s="87">
        <f>(INDEX(Data!398:398,1,$P$1-6)+INDEX(Data!863:863,1,$P$1-6)-INDEX(Data!1506:1506,1,$P$1-6))+(INDEX(Data!398:398,1,$P$1-5)+INDEX(Data!863:863,1,$P$1-5)-INDEX(Data!1506:1506,1,$P$1-5))</f>
        <v>162851219</v>
      </c>
      <c r="I207" s="404">
        <f>(INDEX(Data!398:398,1,$P$1-4)+INDEX(Data!863:863,1,$P$1-4)-INDEX(Data!1506:1506,1,$P$1-4))+(INDEX(Data!398:398,1,$P$1-3)+INDEX(Data!863:863,1,$P$1-3)-INDEX(Data!1506:1506,1,$P$1-3))</f>
        <v>168135587</v>
      </c>
      <c r="J207" s="90">
        <f>(INDEX(Data!398:398,1,$P$1-2)+INDEX(Data!863:863,1,$P$1-2)-INDEX(Data!1506:1506,1,$P$1-2))+(INDEX(Data!398:398,1,$P$1-1)+INDEX(Data!863:863,1,$P$1-1)-INDEX(Data!1506:1506,1,$P$1-1))</f>
        <v>178746592</v>
      </c>
      <c r="K207" s="88">
        <f>(INDEX(Data!398:398,1,$P$1)+INDEX(Data!863:863,1,$P$1)-INDEX(Data!1506:1506,1,$P$1))+(INDEX(Data!398:398,1,$P$1+1)+INDEX(Data!863:863,1,$P$1+1)-INDEX(Data!1506:1506,1,$P$1+1))</f>
        <v>180352599</v>
      </c>
    </row>
    <row r="208" spans="1:11" hidden="1" outlineLevel="1">
      <c r="A208" s="79" t="s">
        <v>126</v>
      </c>
      <c r="B208" s="86">
        <f>(INDEX(Data!347:347,1,$P$1-8)+INDEX(Data!864:864,1,$P$1-8)-INDEX(Data!1350:1350,1,$P$1-8))+(INDEX(Data!347:347,1,$P$1-7)+INDEX(Data!864:864,1,$P$1-7)-INDEX(Data!1350:1350,1,$P$1-7))</f>
        <v>129779344</v>
      </c>
      <c r="C208" s="87">
        <f>(INDEX(Data!347:347,1,$P$1-6)+INDEX(Data!864:864,1,$P$1-6)-INDEX(Data!1350:1350,1,$P$1-6))+(INDEX(Data!347:347,1,$P$1-5)+INDEX(Data!864:864,1,$P$1-5)-INDEX(Data!1350:1350,1,$P$1-5))</f>
        <v>31716130</v>
      </c>
      <c r="D208" s="404">
        <f>(INDEX(Data!347:347,1,$P$1-4)+INDEX(Data!864:864,1,$P$1-4)-INDEX(Data!1350:1350,1,$P$1-4))+(INDEX(Data!347:347,1,$P$1-3)+INDEX(Data!864:864,1,$P$1-3)-INDEX(Data!1350:1350,1,$P$1-3))</f>
        <v>29574795</v>
      </c>
      <c r="E208" s="90">
        <f>(INDEX(Data!347:347,1,$P$1-2)+INDEX(Data!864:864,1,$P$1-2)-INDEX(Data!1350:1350,1,$P$1-2))+(INDEX(Data!347:347,1,$P$1-1)+INDEX(Data!864:864,1,$P$1-1)-INDEX(Data!1350:1350,1,$P$1-1))</f>
        <v>30813613</v>
      </c>
      <c r="F208" s="88">
        <f>(INDEX(Data!347:347,1,$P$1)+INDEX(Data!864:864,1,$P$1)-INDEX(Data!1350:1350,1,$P$1))+(INDEX(Data!347:347,1,$P$1+1)+INDEX(Data!864:864,1,$P$1+1)-INDEX(Data!1350:1350,1,$P$1+1))</f>
        <v>31182694</v>
      </c>
      <c r="G208" s="91">
        <f>(INDEX(Data!399:399,1,$P$1-8)+INDEX(Data!864:864,1,$P$1-8)-INDEX(Data!1507:1507,1,$P$1-8))+(INDEX(Data!399:399,1,$P$1-7)+INDEX(Data!864:864,1,$P$1-7)-INDEX(Data!1507:1507,1,$P$1-7))</f>
        <v>31100324</v>
      </c>
      <c r="H208" s="87">
        <f>(INDEX(Data!399:399,1,$P$1-6)+INDEX(Data!864:864,1,$P$1-6)-INDEX(Data!1507:1507,1,$P$1-6))+(INDEX(Data!399:399,1,$P$1-5)+INDEX(Data!864:864,1,$P$1-5)-INDEX(Data!1507:1507,1,$P$1-5))</f>
        <v>31716130</v>
      </c>
      <c r="I208" s="404">
        <f>(INDEX(Data!399:399,1,$P$1-4)+INDEX(Data!864:864,1,$P$1-4)-INDEX(Data!1507:1507,1,$P$1-4))+(INDEX(Data!399:399,1,$P$1-3)+INDEX(Data!864:864,1,$P$1-3)-INDEX(Data!1507:1507,1,$P$1-3))</f>
        <v>29574795</v>
      </c>
      <c r="J208" s="90">
        <f>(INDEX(Data!399:399,1,$P$1-2)+INDEX(Data!864:864,1,$P$1-2)-INDEX(Data!1507:1507,1,$P$1-2))+(INDEX(Data!399:399,1,$P$1-1)+INDEX(Data!864:864,1,$P$1-1)-INDEX(Data!1507:1507,1,$P$1-1))</f>
        <v>30813613</v>
      </c>
      <c r="K208" s="88">
        <f>(INDEX(Data!399:399,1,$P$1)+INDEX(Data!864:864,1,$P$1)-INDEX(Data!1507:1507,1,$P$1))+(INDEX(Data!399:399,1,$P$1+1)+INDEX(Data!864:864,1,$P$1+1)-INDEX(Data!1507:1507,1,$P$1+1))</f>
        <v>31182694</v>
      </c>
    </row>
    <row r="209" spans="1:11" hidden="1" outlineLevel="1">
      <c r="A209" s="79" t="s">
        <v>127</v>
      </c>
      <c r="B209" s="86">
        <f>(INDEX(Data!348:348,1,$P$1-8)+INDEX(Data!865:865,1,$P$1-8)-INDEX(Data!1351:1351,1,$P$1-8))+(INDEX(Data!348:348,1,$P$1-7)+INDEX(Data!865:865,1,$P$1-7)-INDEX(Data!1351:1351,1,$P$1-7))</f>
        <v>30141929</v>
      </c>
      <c r="C209" s="87">
        <f>(INDEX(Data!348:348,1,$P$1-6)+INDEX(Data!865:865,1,$P$1-6)-INDEX(Data!1351:1351,1,$P$1-6))+(INDEX(Data!348:348,1,$P$1-5)+INDEX(Data!865:865,1,$P$1-5)-INDEX(Data!1351:1351,1,$P$1-5))</f>
        <v>21077385</v>
      </c>
      <c r="D209" s="404">
        <f>(INDEX(Data!348:348,1,$P$1-4)+INDEX(Data!865:865,1,$P$1-4)-INDEX(Data!1351:1351,1,$P$1-4))+(INDEX(Data!348:348,1,$P$1-3)+INDEX(Data!865:865,1,$P$1-3)-INDEX(Data!1351:1351,1,$P$1-3))</f>
        <v>19716958</v>
      </c>
      <c r="E209" s="90">
        <f>(INDEX(Data!348:348,1,$P$1-2)+INDEX(Data!865:865,1,$P$1-2)-INDEX(Data!1351:1351,1,$P$1-2))+(INDEX(Data!348:348,1,$P$1-1)+INDEX(Data!865:865,1,$P$1-1)-INDEX(Data!1351:1351,1,$P$1-1))</f>
        <v>21170869</v>
      </c>
      <c r="F209" s="88">
        <f>(INDEX(Data!348:348,1,$P$1)+INDEX(Data!865:865,1,$P$1)-INDEX(Data!1351:1351,1,$P$1))+(INDEX(Data!348:348,1,$P$1+1)+INDEX(Data!865:865,1,$P$1+1)-INDEX(Data!1351:1351,1,$P$1+1))</f>
        <v>20395561</v>
      </c>
      <c r="G209" s="91">
        <f>(INDEX(Data!400:400,1,$P$1-8)+INDEX(Data!865:865,1,$P$1-8)-INDEX(Data!1508:1508,1,$P$1-8))+(INDEX(Data!400:400,1,$P$1-7)+INDEX(Data!865:865,1,$P$1-7)-INDEX(Data!1508:1508,1,$P$1-7))</f>
        <v>20109903</v>
      </c>
      <c r="H209" s="87">
        <f>(INDEX(Data!400:400,1,$P$1-6)+INDEX(Data!865:865,1,$P$1-6)-INDEX(Data!1508:1508,1,$P$1-6))+(INDEX(Data!400:400,1,$P$1-5)+INDEX(Data!865:865,1,$P$1-5)-INDEX(Data!1508:1508,1,$P$1-5))</f>
        <v>21077385</v>
      </c>
      <c r="I209" s="404">
        <f>(INDEX(Data!400:400,1,$P$1-4)+INDEX(Data!865:865,1,$P$1-4)-INDEX(Data!1508:1508,1,$P$1-4))+(INDEX(Data!400:400,1,$P$1-3)+INDEX(Data!865:865,1,$P$1-3)-INDEX(Data!1508:1508,1,$P$1-3))</f>
        <v>19716958</v>
      </c>
      <c r="J209" s="90">
        <f>(INDEX(Data!400:400,1,$P$1-2)+INDEX(Data!865:865,1,$P$1-2)-INDEX(Data!1508:1508,1,$P$1-2))+(INDEX(Data!400:400,1,$P$1-1)+INDEX(Data!865:865,1,$P$1-1)-INDEX(Data!1508:1508,1,$P$1-1))</f>
        <v>21170869</v>
      </c>
      <c r="K209" s="88">
        <f>(INDEX(Data!400:400,1,$P$1)+INDEX(Data!865:865,1,$P$1)-INDEX(Data!1508:1508,1,$P$1))+(INDEX(Data!400:400,1,$P$1+1)+INDEX(Data!865:865,1,$P$1+1)-INDEX(Data!1508:1508,1,$P$1+1))</f>
        <v>20395561</v>
      </c>
    </row>
    <row r="210" spans="1:11" hidden="1" outlineLevel="1">
      <c r="A210" s="79" t="s">
        <v>128</v>
      </c>
      <c r="B210" s="86">
        <f>(INDEX(Data!349:349,1,$P$1-8)+INDEX(Data!866:866,1,$P$1-8)-INDEX(Data!1352:1352,1,$P$1-8))+(INDEX(Data!349:349,1,$P$1-7)+INDEX(Data!866:866,1,$P$1-7)-INDEX(Data!1352:1352,1,$P$1-7))</f>
        <v>19617493</v>
      </c>
      <c r="C210" s="87">
        <f>(INDEX(Data!349:349,1,$P$1-6)+INDEX(Data!866:866,1,$P$1-6)-INDEX(Data!1352:1352,1,$P$1-6))+(INDEX(Data!349:349,1,$P$1-5)+INDEX(Data!866:866,1,$P$1-5)-INDEX(Data!1352:1352,1,$P$1-5))</f>
        <v>35402306</v>
      </c>
      <c r="D210" s="404">
        <f>(INDEX(Data!349:349,1,$P$1-4)+INDEX(Data!866:866,1,$P$1-4)-INDEX(Data!1352:1352,1,$P$1-4))+(INDEX(Data!349:349,1,$P$1-3)+INDEX(Data!866:866,1,$P$1-3)-INDEX(Data!1352:1352,1,$P$1-3))</f>
        <v>33739911</v>
      </c>
      <c r="E210" s="90">
        <f>(INDEX(Data!349:349,1,$P$1-2)+INDEX(Data!866:866,1,$P$1-2)-INDEX(Data!1352:1352,1,$P$1-2))+(INDEX(Data!349:349,1,$P$1-1)+INDEX(Data!866:866,1,$P$1-1)-INDEX(Data!1352:1352,1,$P$1-1))</f>
        <v>31775566</v>
      </c>
      <c r="F210" s="88">
        <f>(INDEX(Data!349:349,1,$P$1)+INDEX(Data!866:866,1,$P$1)-INDEX(Data!1352:1352,1,$P$1))+(INDEX(Data!349:349,1,$P$1+1)+INDEX(Data!866:866,1,$P$1+1)-INDEX(Data!1352:1352,1,$P$1+1))</f>
        <v>30429188</v>
      </c>
      <c r="G210" s="91">
        <f>(INDEX(Data!401:401,1,$P$1-8)+INDEX(Data!866:866,1,$P$1-8)-INDEX(Data!1509:1509,1,$P$1-8))+(INDEX(Data!401:401,1,$P$1-7)+INDEX(Data!866:866,1,$P$1-7)-INDEX(Data!1509:1509,1,$P$1-7))</f>
        <v>33077585</v>
      </c>
      <c r="H210" s="87">
        <f>(INDEX(Data!401:401,1,$P$1-6)+INDEX(Data!866:866,1,$P$1-6)-INDEX(Data!1509:1509,1,$P$1-6))+(INDEX(Data!401:401,1,$P$1-5)+INDEX(Data!866:866,1,$P$1-5)-INDEX(Data!1509:1509,1,$P$1-5))</f>
        <v>35402306</v>
      </c>
      <c r="I210" s="404">
        <f>(INDEX(Data!401:401,1,$P$1-4)+INDEX(Data!866:866,1,$P$1-4)-INDEX(Data!1509:1509,1,$P$1-4))+(INDEX(Data!401:401,1,$P$1-3)+INDEX(Data!866:866,1,$P$1-3)-INDEX(Data!1509:1509,1,$P$1-3))</f>
        <v>33739911</v>
      </c>
      <c r="J210" s="90">
        <f>(INDEX(Data!401:401,1,$P$1-2)+INDEX(Data!866:866,1,$P$1-2)-INDEX(Data!1509:1509,1,$P$1-2))+(INDEX(Data!401:401,1,$P$1-1)+INDEX(Data!866:866,1,$P$1-1)-INDEX(Data!1509:1509,1,$P$1-1))</f>
        <v>31775566</v>
      </c>
      <c r="K210" s="88">
        <f>(INDEX(Data!401:401,1,$P$1)+INDEX(Data!866:866,1,$P$1)-INDEX(Data!1509:1509,1,$P$1))+(INDEX(Data!401:401,1,$P$1+1)+INDEX(Data!866:866,1,$P$1+1)-INDEX(Data!1509:1509,1,$P$1+1))</f>
        <v>30429188</v>
      </c>
    </row>
    <row r="211" spans="1:11" hidden="1" outlineLevel="1">
      <c r="A211" s="79" t="s">
        <v>1405</v>
      </c>
      <c r="B211" s="86">
        <f>(INDEX(Data!350:350,1,$P$1-8)+INDEX(Data!867:867,1,$P$1-8)-INDEX(Data!1353:1353,1,$P$1-8))+(INDEX(Data!350:350,1,$P$1-7)+INDEX(Data!867:867,1,$P$1-7)-INDEX(Data!1353:1353,1,$P$1-7))</f>
        <v>33037376</v>
      </c>
      <c r="C211" s="87">
        <f>(INDEX(Data!350:350,1,$P$1-6)+INDEX(Data!867:867,1,$P$1-6)-INDEX(Data!1353:1353,1,$P$1-6))+(INDEX(Data!350:350,1,$P$1-5)+INDEX(Data!867:867,1,$P$1-5)-INDEX(Data!1353:1353,1,$P$1-5))</f>
        <v>25308353</v>
      </c>
      <c r="D211" s="404">
        <f>(INDEX(Data!350:350,1,$P$1-4)+INDEX(Data!867:867,1,$P$1-4)-INDEX(Data!1353:1353,1,$P$1-4))+(INDEX(Data!350:350,1,$P$1-3)+INDEX(Data!867:867,1,$P$1-3)-INDEX(Data!1353:1353,1,$P$1-3))</f>
        <v>25409364</v>
      </c>
      <c r="E211" s="90">
        <f>(INDEX(Data!350:350,1,$P$1-2)+INDEX(Data!867:867,1,$P$1-2)-INDEX(Data!1353:1353,1,$P$1-2))+(INDEX(Data!350:350,1,$P$1-1)+INDEX(Data!867:867,1,$P$1-1)-INDEX(Data!1353:1353,1,$P$1-1))</f>
        <v>25026553</v>
      </c>
      <c r="F211" s="88">
        <f>(INDEX(Data!350:350,1,$P$1)+INDEX(Data!867:867,1,$P$1)-INDEX(Data!1353:1353,1,$P$1))+(INDEX(Data!350:350,1,$P$1+1)+INDEX(Data!867:867,1,$P$1+1)-INDEX(Data!1353:1353,1,$P$1+1))</f>
        <v>26884040</v>
      </c>
      <c r="G211" s="91">
        <f>(INDEX(Data!402:402,1,$P$1-8)+INDEX(Data!867:867,1,$P$1-8)-INDEX(Data!1510:1510,1,$P$1-8))+(INDEX(Data!402:402,1,$P$1-7)+INDEX(Data!867:867,1,$P$1-7)-INDEX(Data!1510:1510,1,$P$1-7))</f>
        <v>20987766</v>
      </c>
      <c r="H211" s="87">
        <f>(INDEX(Data!402:402,1,$P$1-6)+INDEX(Data!867:867,1,$P$1-6)-INDEX(Data!1510:1510,1,$P$1-6))+(INDEX(Data!402:402,1,$P$1-5)+INDEX(Data!867:867,1,$P$1-5)-INDEX(Data!1510:1510,1,$P$1-5))</f>
        <v>25308353</v>
      </c>
      <c r="I211" s="404">
        <f>(INDEX(Data!402:402,1,$P$1-4)+INDEX(Data!867:867,1,$P$1-4)-INDEX(Data!1510:1510,1,$P$1-4))+(INDEX(Data!402:402,1,$P$1-3)+INDEX(Data!867:867,1,$P$1-3)-INDEX(Data!1510:1510,1,$P$1-3))</f>
        <v>25409364</v>
      </c>
      <c r="J211" s="90">
        <f>(INDEX(Data!402:402,1,$P$1-2)+INDEX(Data!867:867,1,$P$1-2)-INDEX(Data!1510:1510,1,$P$1-2))+(INDEX(Data!402:402,1,$P$1-1)+INDEX(Data!867:867,1,$P$1-1)-INDEX(Data!1510:1510,1,$P$1-1))</f>
        <v>25026553</v>
      </c>
      <c r="K211" s="88">
        <f>(INDEX(Data!402:402,1,$P$1)+INDEX(Data!867:867,1,$P$1)-INDEX(Data!1510:1510,1,$P$1))+(INDEX(Data!402:402,1,$P$1+1)+INDEX(Data!867:867,1,$P$1+1)-INDEX(Data!1510:1510,1,$P$1+1))</f>
        <v>26884040</v>
      </c>
    </row>
    <row r="212" spans="1:11" hidden="1" outlineLevel="1">
      <c r="A212" s="79" t="s">
        <v>1413</v>
      </c>
      <c r="B212" s="86">
        <f>(INDEX(Data!351:351,1,$P$1-8)+INDEX(Data!868:868,1,$P$1-8)-INDEX(Data!1354:1354,1,$P$1-8))+(INDEX(Data!351:351,1,$P$1-7)+INDEX(Data!868:868,1,$P$1-7)-INDEX(Data!1354:1354,1,$P$1-7))</f>
        <v>9491558</v>
      </c>
      <c r="C212" s="87">
        <f>(INDEX(Data!351:351,1,$P$1-6)+INDEX(Data!868:868,1,$P$1-6)-INDEX(Data!1354:1354,1,$P$1-6))+(INDEX(Data!351:351,1,$P$1-5)+INDEX(Data!868:868,1,$P$1-5)-INDEX(Data!1354:1354,1,$P$1-5))</f>
        <v>11331423</v>
      </c>
      <c r="D212" s="404">
        <f>(INDEX(Data!351:351,1,$P$1-4)+INDEX(Data!868:868,1,$P$1-4)-INDEX(Data!1354:1354,1,$P$1-4))+(INDEX(Data!351:351,1,$P$1-3)+INDEX(Data!868:868,1,$P$1-3)-INDEX(Data!1354:1354,1,$P$1-3))</f>
        <v>10947564</v>
      </c>
      <c r="E212" s="90">
        <f>(INDEX(Data!351:351,1,$P$1-2)+INDEX(Data!868:868,1,$P$1-2)-INDEX(Data!1354:1354,1,$P$1-2))+(INDEX(Data!351:351,1,$P$1-1)+INDEX(Data!868:868,1,$P$1-1)-INDEX(Data!1354:1354,1,$P$1-1))</f>
        <v>11515896</v>
      </c>
      <c r="F212" s="88">
        <f>(INDEX(Data!351:351,1,$P$1)+INDEX(Data!868:868,1,$P$1)-INDEX(Data!1354:1354,1,$P$1))+(INDEX(Data!351:351,1,$P$1+1)+INDEX(Data!868:868,1,$P$1+1)-INDEX(Data!1354:1354,1,$P$1+1))</f>
        <v>12003939</v>
      </c>
      <c r="G212" s="91">
        <f>(INDEX(Data!403:403,1,$P$1-8)+INDEX(Data!868:868,1,$P$1-8)-INDEX(Data!1511:1511,1,$P$1-8))+(INDEX(Data!403:403,1,$P$1-7)+INDEX(Data!868:868,1,$P$1-7)-INDEX(Data!1511:1511,1,$P$1-7))</f>
        <v>9491558</v>
      </c>
      <c r="H212" s="87">
        <f>(INDEX(Data!403:403,1,$P$1-6)+INDEX(Data!868:868,1,$P$1-6)-INDEX(Data!1511:1511,1,$P$1-6))+(INDEX(Data!403:403,1,$P$1-5)+INDEX(Data!868:868,1,$P$1-5)-INDEX(Data!1511:1511,1,$P$1-5))</f>
        <v>11331423</v>
      </c>
      <c r="I212" s="404">
        <f>(INDEX(Data!403:403,1,$P$1-4)+INDEX(Data!868:868,1,$P$1-4)-INDEX(Data!1511:1511,1,$P$1-4))+(INDEX(Data!403:403,1,$P$1-3)+INDEX(Data!868:868,1,$P$1-3)-INDEX(Data!1511:1511,1,$P$1-3))</f>
        <v>10947564</v>
      </c>
      <c r="J212" s="90">
        <f>(INDEX(Data!403:403,1,$P$1-2)+INDEX(Data!868:868,1,$P$1-2)-INDEX(Data!1511:1511,1,$P$1-2))+(INDEX(Data!403:403,1,$P$1-1)+INDEX(Data!868:868,1,$P$1-1)-INDEX(Data!1511:1511,1,$P$1-1))</f>
        <v>11515896</v>
      </c>
      <c r="K212" s="88">
        <f>(INDEX(Data!403:403,1,$P$1)+INDEX(Data!868:868,1,$P$1)-INDEX(Data!1511:1511,1,$P$1))+(INDEX(Data!403:403,1,$P$1+1)+INDEX(Data!868:868,1,$P$1+1)-INDEX(Data!1511:1511,1,$P$1+1))</f>
        <v>12003939</v>
      </c>
    </row>
    <row r="213" spans="1:11" hidden="1" outlineLevel="1">
      <c r="A213" s="79" t="s">
        <v>131</v>
      </c>
      <c r="B213" s="86">
        <f>(INDEX(Data!352:352,1,$P$1-8)+INDEX(Data!869:869,1,$P$1-8)-INDEX(Data!1355:1355,1,$P$1-8))+(INDEX(Data!352:352,1,$P$1-7)+INDEX(Data!869:869,1,$P$1-7)-INDEX(Data!1355:1355,1,$P$1-7))</f>
        <v>15831121</v>
      </c>
      <c r="C213" s="87">
        <f>(INDEX(Data!352:352,1,$P$1-6)+INDEX(Data!869:869,1,$P$1-6)-INDEX(Data!1355:1355,1,$P$1-6))+(INDEX(Data!352:352,1,$P$1-5)+INDEX(Data!869:869,1,$P$1-5)-INDEX(Data!1355:1355,1,$P$1-5))</f>
        <v>18178916</v>
      </c>
      <c r="D213" s="404">
        <f>(INDEX(Data!352:352,1,$P$1-4)+INDEX(Data!869:869,1,$P$1-4)-INDEX(Data!1355:1355,1,$P$1-4))+(INDEX(Data!352:352,1,$P$1-3)+INDEX(Data!869:869,1,$P$1-3)-INDEX(Data!1355:1355,1,$P$1-3))</f>
        <v>19101569</v>
      </c>
      <c r="E213" s="90">
        <f>(INDEX(Data!352:352,1,$P$1-2)+INDEX(Data!869:869,1,$P$1-2)-INDEX(Data!1355:1355,1,$P$1-2))+(INDEX(Data!352:352,1,$P$1-1)+INDEX(Data!869:869,1,$P$1-1)-INDEX(Data!1355:1355,1,$P$1-1))</f>
        <v>21175002</v>
      </c>
      <c r="F213" s="88">
        <f>(INDEX(Data!352:352,1,$P$1)+INDEX(Data!869:869,1,$P$1)-INDEX(Data!1355:1355,1,$P$1))+(INDEX(Data!352:352,1,$P$1+1)+INDEX(Data!869:869,1,$P$1+1)-INDEX(Data!1355:1355,1,$P$1+1))</f>
        <v>23757519</v>
      </c>
      <c r="G213" s="91">
        <f>(INDEX(Data!404:404,1,$P$1-8)+INDEX(Data!869:869,1,$P$1-8)-INDEX(Data!1512:1512,1,$P$1-8))+(INDEX(Data!404:404,1,$P$1-7)+INDEX(Data!869:869,1,$P$1-7)-INDEX(Data!1512:1512,1,$P$1-7))</f>
        <v>15831121</v>
      </c>
      <c r="H213" s="87">
        <f>(INDEX(Data!404:404,1,$P$1-6)+INDEX(Data!869:869,1,$P$1-6)-INDEX(Data!1512:1512,1,$P$1-6))+(INDEX(Data!404:404,1,$P$1-5)+INDEX(Data!869:869,1,$P$1-5)-INDEX(Data!1512:1512,1,$P$1-5))</f>
        <v>18178916</v>
      </c>
      <c r="I213" s="404">
        <f>(INDEX(Data!404:404,1,$P$1-4)+INDEX(Data!869:869,1,$P$1-4)-INDEX(Data!1512:1512,1,$P$1-4))+(INDEX(Data!404:404,1,$P$1-3)+INDEX(Data!869:869,1,$P$1-3)-INDEX(Data!1512:1512,1,$P$1-3))</f>
        <v>19101569</v>
      </c>
      <c r="J213" s="90">
        <f>(INDEX(Data!404:404,1,$P$1-2)+INDEX(Data!869:869,1,$P$1-2)-INDEX(Data!1512:1512,1,$P$1-2))+(INDEX(Data!404:404,1,$P$1-1)+INDEX(Data!869:869,1,$P$1-1)-INDEX(Data!1512:1512,1,$P$1-1))</f>
        <v>21175002</v>
      </c>
      <c r="K213" s="88">
        <f>(INDEX(Data!404:404,1,$P$1)+INDEX(Data!869:869,1,$P$1)-INDEX(Data!1512:1512,1,$P$1))+(INDEX(Data!404:404,1,$P$1+1)+INDEX(Data!869:869,1,$P$1+1)-INDEX(Data!1512:1512,1,$P$1+1))</f>
        <v>23757519</v>
      </c>
    </row>
    <row r="214" spans="1:11" hidden="1" outlineLevel="1">
      <c r="A214" s="79" t="s">
        <v>132</v>
      </c>
      <c r="B214" s="86">
        <f>(INDEX(Data!353:353,1,$P$1-8)+INDEX(Data!870:870,1,$P$1-8)-INDEX(Data!1356:1356,1,$P$1-8))+(INDEX(Data!353:353,1,$P$1-7)+INDEX(Data!870:870,1,$P$1-7)-INDEX(Data!1356:1356,1,$P$1-7))</f>
        <v>7800311</v>
      </c>
      <c r="C214" s="87">
        <f>(INDEX(Data!353:353,1,$P$1-6)+INDEX(Data!870:870,1,$P$1-6)-INDEX(Data!1356:1356,1,$P$1-6))+(INDEX(Data!353:353,1,$P$1-5)+INDEX(Data!870:870,1,$P$1-5)-INDEX(Data!1356:1356,1,$P$1-5))</f>
        <v>10182037</v>
      </c>
      <c r="D214" s="404">
        <f>(INDEX(Data!353:353,1,$P$1-4)+INDEX(Data!870:870,1,$P$1-4)-INDEX(Data!1356:1356,1,$P$1-4))+(INDEX(Data!353:353,1,$P$1-3)+INDEX(Data!870:870,1,$P$1-3)-INDEX(Data!1356:1356,1,$P$1-3))</f>
        <v>11097530</v>
      </c>
      <c r="E214" s="90">
        <f>(INDEX(Data!353:353,1,$P$1-2)+INDEX(Data!870:870,1,$P$1-2)-INDEX(Data!1356:1356,1,$P$1-2))+(INDEX(Data!353:353,1,$P$1-1)+INDEX(Data!870:870,1,$P$1-1)-INDEX(Data!1356:1356,1,$P$1-1))</f>
        <v>12125329</v>
      </c>
      <c r="F214" s="88">
        <f>(INDEX(Data!353:353,1,$P$1)+INDEX(Data!870:870,1,$P$1)-INDEX(Data!1356:1356,1,$P$1))+(INDEX(Data!353:353,1,$P$1+1)+INDEX(Data!870:870,1,$P$1+1)-INDEX(Data!1356:1356,1,$P$1+1))</f>
        <v>11719137</v>
      </c>
      <c r="G214" s="91">
        <f>(INDEX(Data!405:405,1,$P$1-8)+INDEX(Data!870:870,1,$P$1-8)-INDEX(Data!1513:1513,1,$P$1-8))+(INDEX(Data!405:405,1,$P$1-7)+INDEX(Data!870:870,1,$P$1-7)-INDEX(Data!1513:1513,1,$P$1-7))</f>
        <v>7800311</v>
      </c>
      <c r="H214" s="87">
        <f>(INDEX(Data!405:405,1,$P$1-6)+INDEX(Data!870:870,1,$P$1-6)-INDEX(Data!1513:1513,1,$P$1-6))+(INDEX(Data!405:405,1,$P$1-5)+INDEX(Data!870:870,1,$P$1-5)-INDEX(Data!1513:1513,1,$P$1-5))</f>
        <v>10182037</v>
      </c>
      <c r="I214" s="404">
        <f>(INDEX(Data!405:405,1,$P$1-4)+INDEX(Data!870:870,1,$P$1-4)-INDEX(Data!1513:1513,1,$P$1-4))+(INDEX(Data!405:405,1,$P$1-3)+INDEX(Data!870:870,1,$P$1-3)-INDEX(Data!1513:1513,1,$P$1-3))</f>
        <v>11097530</v>
      </c>
      <c r="J214" s="90">
        <f>(INDEX(Data!405:405,1,$P$1-2)+INDEX(Data!870:870,1,$P$1-2)-INDEX(Data!1513:1513,1,$P$1-2))+(INDEX(Data!405:405,1,$P$1-1)+INDEX(Data!870:870,1,$P$1-1)-INDEX(Data!1513:1513,1,$P$1-1))</f>
        <v>12125329</v>
      </c>
      <c r="K214" s="88">
        <f>(INDEX(Data!405:405,1,$P$1)+INDEX(Data!870:870,1,$P$1)-INDEX(Data!1513:1513,1,$P$1))+(INDEX(Data!405:405,1,$P$1+1)+INDEX(Data!870:870,1,$P$1+1)-INDEX(Data!1513:1513,1,$P$1+1))</f>
        <v>11719137</v>
      </c>
    </row>
    <row r="215" spans="1:11" hidden="1" outlineLevel="1">
      <c r="A215" s="79" t="s">
        <v>133</v>
      </c>
      <c r="B215" s="86">
        <f>(INDEX(Data!354:354,1,$P$1-8)+INDEX(Data!871:871,1,$P$1-8)-INDEX(Data!1357:1357,1,$P$1-8))+(INDEX(Data!354:354,1,$P$1-7)+INDEX(Data!871:871,1,$P$1-7)-INDEX(Data!1357:1357,1,$P$1-7))</f>
        <v>19337595</v>
      </c>
      <c r="C215" s="87">
        <f>(INDEX(Data!354:354,1,$P$1-6)+INDEX(Data!871:871,1,$P$1-6)-INDEX(Data!1357:1357,1,$P$1-6))+(INDEX(Data!354:354,1,$P$1-5)+INDEX(Data!871:871,1,$P$1-5)-INDEX(Data!1357:1357,1,$P$1-5))</f>
        <v>19109450</v>
      </c>
      <c r="D215" s="404">
        <f>(INDEX(Data!354:354,1,$P$1-4)+INDEX(Data!871:871,1,$P$1-4)-INDEX(Data!1357:1357,1,$P$1-4))+(INDEX(Data!354:354,1,$P$1-3)+INDEX(Data!871:871,1,$P$1-3)-INDEX(Data!1357:1357,1,$P$1-3))</f>
        <v>19332705</v>
      </c>
      <c r="E215" s="90">
        <f>(INDEX(Data!354:354,1,$P$1-2)+INDEX(Data!871:871,1,$P$1-2)-INDEX(Data!1357:1357,1,$P$1-2))+(INDEX(Data!354:354,1,$P$1-1)+INDEX(Data!871:871,1,$P$1-1)-INDEX(Data!1357:1357,1,$P$1-1))</f>
        <v>18327719</v>
      </c>
      <c r="F215" s="88">
        <f>(INDEX(Data!354:354,1,$P$1)+INDEX(Data!871:871,1,$P$1)-INDEX(Data!1357:1357,1,$P$1))+(INDEX(Data!354:354,1,$P$1+1)+INDEX(Data!871:871,1,$P$1+1)-INDEX(Data!1357:1357,1,$P$1+1))</f>
        <v>18607428</v>
      </c>
      <c r="G215" s="91">
        <f>(INDEX(Data!406:406,1,$P$1-8)+INDEX(Data!871:871,1,$P$1-8)-INDEX(Data!1514:1514,1,$P$1-8))+(INDEX(Data!406:406,1,$P$1-7)+INDEX(Data!871:871,1,$P$1-7)-INDEX(Data!1514:1514,1,$P$1-7))</f>
        <v>19337595</v>
      </c>
      <c r="H215" s="87">
        <f>(INDEX(Data!406:406,1,$P$1-6)+INDEX(Data!871:871,1,$P$1-6)-INDEX(Data!1514:1514,1,$P$1-6))+(INDEX(Data!406:406,1,$P$1-5)+INDEX(Data!871:871,1,$P$1-5)-INDEX(Data!1514:1514,1,$P$1-5))</f>
        <v>19109450</v>
      </c>
      <c r="I215" s="404">
        <f>(INDEX(Data!406:406,1,$P$1-4)+INDEX(Data!871:871,1,$P$1-4)-INDEX(Data!1514:1514,1,$P$1-4))+(INDEX(Data!406:406,1,$P$1-3)+INDEX(Data!871:871,1,$P$1-3)-INDEX(Data!1514:1514,1,$P$1-3))</f>
        <v>19332705</v>
      </c>
      <c r="J215" s="90">
        <f>(INDEX(Data!406:406,1,$P$1-2)+INDEX(Data!871:871,1,$P$1-2)-INDEX(Data!1514:1514,1,$P$1-2))+(INDEX(Data!406:406,1,$P$1-1)+INDEX(Data!871:871,1,$P$1-1)-INDEX(Data!1514:1514,1,$P$1-1))</f>
        <v>18327719</v>
      </c>
      <c r="K215" s="88">
        <f>(INDEX(Data!406:406,1,$P$1)+INDEX(Data!871:871,1,$P$1)-INDEX(Data!1514:1514,1,$P$1))+(INDEX(Data!406:406,1,$P$1+1)+INDEX(Data!871:871,1,$P$1+1)-INDEX(Data!1514:1514,1,$P$1+1))</f>
        <v>18607428</v>
      </c>
    </row>
    <row r="216" spans="1:11" hidden="1" outlineLevel="1">
      <c r="A216" s="79" t="s">
        <v>134</v>
      </c>
      <c r="B216" s="86">
        <f>(INDEX(Data!355:355,1,$P$1-8)+INDEX(Data!872:872,1,$P$1-8)-INDEX(Data!1358:1358,1,$P$1-8))+(INDEX(Data!355:355,1,$P$1-7)+INDEX(Data!872:872,1,$P$1-7)-INDEX(Data!1358:1358,1,$P$1-7))</f>
        <v>4874236</v>
      </c>
      <c r="C216" s="87">
        <f>(INDEX(Data!355:355,1,$P$1-6)+INDEX(Data!872:872,1,$P$1-6)-INDEX(Data!1358:1358,1,$P$1-6))+(INDEX(Data!355:355,1,$P$1-5)+INDEX(Data!872:872,1,$P$1-5)-INDEX(Data!1358:1358,1,$P$1-5))</f>
        <v>7497626</v>
      </c>
      <c r="D216" s="404">
        <f>(INDEX(Data!355:355,1,$P$1-4)+INDEX(Data!872:872,1,$P$1-4)-INDEX(Data!1358:1358,1,$P$1-4))+(INDEX(Data!355:355,1,$P$1-3)+INDEX(Data!872:872,1,$P$1-3)-INDEX(Data!1358:1358,1,$P$1-3))</f>
        <v>8044269</v>
      </c>
      <c r="E216" s="90">
        <f>(INDEX(Data!355:355,1,$P$1-2)+INDEX(Data!872:872,1,$P$1-2)-INDEX(Data!1358:1358,1,$P$1-2))+(INDEX(Data!355:355,1,$P$1-1)+INDEX(Data!872:872,1,$P$1-1)-INDEX(Data!1358:1358,1,$P$1-1))</f>
        <v>8799864</v>
      </c>
      <c r="F216" s="88">
        <f>(INDEX(Data!355:355,1,$P$1)+INDEX(Data!872:872,1,$P$1)-INDEX(Data!1358:1358,1,$P$1))+(INDEX(Data!355:355,1,$P$1+1)+INDEX(Data!872:872,1,$P$1+1)-INDEX(Data!1358:1358,1,$P$1+1))</f>
        <v>8740705</v>
      </c>
      <c r="G216" s="91">
        <f>(INDEX(Data!407:407,1,$P$1-8)+INDEX(Data!872:872,1,$P$1-8)-INDEX(Data!1515:1515,1,$P$1-8))+(INDEX(Data!407:407,1,$P$1-7)+INDEX(Data!872:872,1,$P$1-7)-INDEX(Data!1515:1515,1,$P$1-7))</f>
        <v>4874236</v>
      </c>
      <c r="H216" s="87">
        <f>(INDEX(Data!407:407,1,$P$1-6)+INDEX(Data!872:872,1,$P$1-6)-INDEX(Data!1515:1515,1,$P$1-6))+(INDEX(Data!407:407,1,$P$1-5)+INDEX(Data!872:872,1,$P$1-5)-INDEX(Data!1515:1515,1,$P$1-5))</f>
        <v>7497626</v>
      </c>
      <c r="I216" s="404">
        <f>(INDEX(Data!407:407,1,$P$1-4)+INDEX(Data!872:872,1,$P$1-4)-INDEX(Data!1515:1515,1,$P$1-4))+(INDEX(Data!407:407,1,$P$1-3)+INDEX(Data!872:872,1,$P$1-3)-INDEX(Data!1515:1515,1,$P$1-3))</f>
        <v>8044269</v>
      </c>
      <c r="J216" s="90">
        <f>(INDEX(Data!407:407,1,$P$1-2)+INDEX(Data!872:872,1,$P$1-2)-INDEX(Data!1515:1515,1,$P$1-2))+(INDEX(Data!407:407,1,$P$1-1)+INDEX(Data!872:872,1,$P$1-1)-INDEX(Data!1515:1515,1,$P$1-1))</f>
        <v>8799864</v>
      </c>
      <c r="K216" s="88">
        <f>(INDEX(Data!407:407,1,$P$1)+INDEX(Data!872:872,1,$P$1)-INDEX(Data!1515:1515,1,$P$1))+(INDEX(Data!407:407,1,$P$1+1)+INDEX(Data!872:872,1,$P$1+1)-INDEX(Data!1515:1515,1,$P$1+1))</f>
        <v>8740705</v>
      </c>
    </row>
    <row r="217" spans="1:11" hidden="1" outlineLevel="1">
      <c r="A217" s="79" t="s">
        <v>1414</v>
      </c>
      <c r="B217" s="86">
        <f>(INDEX(Data!356:356,1,$P$1-8)+INDEX(Data!873:873,1,$P$1-8)-INDEX(Data!1359:1359,1,$P$1-8))+(INDEX(Data!356:356,1,$P$1-7)+INDEX(Data!873:873,1,$P$1-7)-INDEX(Data!1359:1359,1,$P$1-7))</f>
        <v>80968781</v>
      </c>
      <c r="C217" s="87">
        <f>(INDEX(Data!356:356,1,$P$1-6)+INDEX(Data!873:873,1,$P$1-6)-INDEX(Data!1359:1359,1,$P$1-6))+(INDEX(Data!356:356,1,$P$1-5)+INDEX(Data!873:873,1,$P$1-5)-INDEX(Data!1359:1359,1,$P$1-5))</f>
        <v>87206941</v>
      </c>
      <c r="D217" s="404">
        <f>(INDEX(Data!356:356,1,$P$1-4)+INDEX(Data!873:873,1,$P$1-4)-INDEX(Data!1359:1359,1,$P$1-4))+(INDEX(Data!356:356,1,$P$1-3)+INDEX(Data!873:873,1,$P$1-3)-INDEX(Data!1359:1359,1,$P$1-3))</f>
        <v>87373506</v>
      </c>
      <c r="E217" s="90">
        <f>(INDEX(Data!356:356,1,$P$1-2)+INDEX(Data!873:873,1,$P$1-2)-INDEX(Data!1359:1359,1,$P$1-2))+(INDEX(Data!356:356,1,$P$1-1)+INDEX(Data!873:873,1,$P$1-1)-INDEX(Data!1359:1359,1,$P$1-1))</f>
        <v>94052940</v>
      </c>
      <c r="F217" s="88">
        <f>(INDEX(Data!356:356,1,$P$1)+INDEX(Data!873:873,1,$P$1)-INDEX(Data!1359:1359,1,$P$1))+(INDEX(Data!356:356,1,$P$1+1)+INDEX(Data!873:873,1,$P$1+1)-INDEX(Data!1359:1359,1,$P$1+1))</f>
        <v>100789322</v>
      </c>
      <c r="G217" s="91">
        <f>(INDEX(Data!408:408,1,$P$1-8)+INDEX(Data!873:873,1,$P$1-8)-INDEX(Data!1516:1516,1,$P$1-8))+(INDEX(Data!408:408,1,$P$1-7)+INDEX(Data!873:873,1,$P$1-7)-INDEX(Data!1516:1516,1,$P$1-7))</f>
        <v>80968781</v>
      </c>
      <c r="H217" s="87">
        <f>(INDEX(Data!408:408,1,$P$1-6)+INDEX(Data!873:873,1,$P$1-6)-INDEX(Data!1516:1516,1,$P$1-6))+(INDEX(Data!408:408,1,$P$1-5)+INDEX(Data!873:873,1,$P$1-5)-INDEX(Data!1516:1516,1,$P$1-5))</f>
        <v>87206941</v>
      </c>
      <c r="I217" s="404">
        <f>(INDEX(Data!408:408,1,$P$1-4)+INDEX(Data!873:873,1,$P$1-4)-INDEX(Data!1516:1516,1,$P$1-4))+(INDEX(Data!408:408,1,$P$1-3)+INDEX(Data!873:873,1,$P$1-3)-INDEX(Data!1516:1516,1,$P$1-3))</f>
        <v>87373506</v>
      </c>
      <c r="J217" s="90">
        <f>(INDEX(Data!408:408,1,$P$1-2)+INDEX(Data!873:873,1,$P$1-2)-INDEX(Data!1516:1516,1,$P$1-2))+(INDEX(Data!408:408,1,$P$1-1)+INDEX(Data!873:873,1,$P$1-1)-INDEX(Data!1516:1516,1,$P$1-1))</f>
        <v>94052940</v>
      </c>
      <c r="K217" s="88">
        <f>(INDEX(Data!408:408,1,$P$1)+INDEX(Data!873:873,1,$P$1)-INDEX(Data!1516:1516,1,$P$1))+(INDEX(Data!408:408,1,$P$1+1)+INDEX(Data!873:873,1,$P$1+1)-INDEX(Data!1516:1516,1,$P$1+1))</f>
        <v>100789322</v>
      </c>
    </row>
    <row r="218" spans="1:11" hidden="1" outlineLevel="1">
      <c r="A218" s="79" t="s">
        <v>136</v>
      </c>
      <c r="B218" s="86">
        <f>(INDEX(Data!357:357,1,$P$1-8)+INDEX(Data!874:874,1,$P$1-8)-INDEX(Data!1360:1360,1,$P$1-8))+(INDEX(Data!357:357,1,$P$1-7)+INDEX(Data!874:874,1,$P$1-7)-INDEX(Data!1360:1360,1,$P$1-7))</f>
        <v>31202911</v>
      </c>
      <c r="C218" s="87">
        <f>(INDEX(Data!357:357,1,$P$1-6)+INDEX(Data!874:874,1,$P$1-6)-INDEX(Data!1360:1360,1,$P$1-6))+(INDEX(Data!357:357,1,$P$1-5)+INDEX(Data!874:874,1,$P$1-5)-INDEX(Data!1360:1360,1,$P$1-5))</f>
        <v>32573189</v>
      </c>
      <c r="D218" s="404">
        <f>(INDEX(Data!357:357,1,$P$1-4)+INDEX(Data!874:874,1,$P$1-4)-INDEX(Data!1360:1360,1,$P$1-4))+(INDEX(Data!357:357,1,$P$1-3)+INDEX(Data!874:874,1,$P$1-3)-INDEX(Data!1360:1360,1,$P$1-3))</f>
        <v>34332079</v>
      </c>
      <c r="E218" s="90">
        <f>(INDEX(Data!357:357,1,$P$1-2)+INDEX(Data!874:874,1,$P$1-2)-INDEX(Data!1360:1360,1,$P$1-2))+(INDEX(Data!357:357,1,$P$1-1)+INDEX(Data!874:874,1,$P$1-1)-INDEX(Data!1360:1360,1,$P$1-1))</f>
        <v>34582175</v>
      </c>
      <c r="F218" s="88">
        <f>(INDEX(Data!357:357,1,$P$1)+INDEX(Data!874:874,1,$P$1)-INDEX(Data!1360:1360,1,$P$1))+(INDEX(Data!357:357,1,$P$1+1)+INDEX(Data!874:874,1,$P$1+1)-INDEX(Data!1360:1360,1,$P$1+1))</f>
        <v>34208889</v>
      </c>
      <c r="G218" s="91">
        <f>(INDEX(Data!409:409,1,$P$1-8)+INDEX(Data!874:874,1,$P$1-8)-INDEX(Data!1517:1517,1,$P$1-8))+(INDEX(Data!409:409,1,$P$1-7)+INDEX(Data!874:874,1,$P$1-7)-INDEX(Data!1517:1517,1,$P$1-7))</f>
        <v>31202911</v>
      </c>
      <c r="H218" s="87">
        <f>(INDEX(Data!409:409,1,$P$1-6)+INDEX(Data!874:874,1,$P$1-6)-INDEX(Data!1517:1517,1,$P$1-6))+(INDEX(Data!409:409,1,$P$1-5)+INDEX(Data!874:874,1,$P$1-5)-INDEX(Data!1517:1517,1,$P$1-5))</f>
        <v>32573189</v>
      </c>
      <c r="I218" s="404">
        <f>(INDEX(Data!409:409,1,$P$1-4)+INDEX(Data!874:874,1,$P$1-4)-INDEX(Data!1517:1517,1,$P$1-4))+(INDEX(Data!409:409,1,$P$1-3)+INDEX(Data!874:874,1,$P$1-3)-INDEX(Data!1517:1517,1,$P$1-3))</f>
        <v>34332079</v>
      </c>
      <c r="J218" s="90">
        <f>(INDEX(Data!409:409,1,$P$1-2)+INDEX(Data!874:874,1,$P$1-2)-INDEX(Data!1517:1517,1,$P$1-2))+(INDEX(Data!409:409,1,$P$1-1)+INDEX(Data!874:874,1,$P$1-1)-INDEX(Data!1517:1517,1,$P$1-1))</f>
        <v>34582175</v>
      </c>
      <c r="K218" s="88">
        <f>(INDEX(Data!409:409,1,$P$1)+INDEX(Data!874:874,1,$P$1)-INDEX(Data!1517:1517,1,$P$1))+(INDEX(Data!409:409,1,$P$1+1)+INDEX(Data!874:874,1,$P$1+1)-INDEX(Data!1517:1517,1,$P$1+1))</f>
        <v>34208889</v>
      </c>
    </row>
    <row r="219" spans="1:11" hidden="1" outlineLevel="1">
      <c r="A219" s="79" t="s">
        <v>137</v>
      </c>
      <c r="B219" s="86">
        <f>(INDEX(Data!358:358,1,$P$1-8)+INDEX(Data!875:875,1,$P$1-8)-INDEX(Data!1361:1361,1,$P$1-8))+(INDEX(Data!358:358,1,$P$1-7)+INDEX(Data!875:875,1,$P$1-7)-INDEX(Data!1361:1361,1,$P$1-7))</f>
        <v>70474794</v>
      </c>
      <c r="C219" s="87">
        <f>(INDEX(Data!358:358,1,$P$1-6)+INDEX(Data!875:875,1,$P$1-6)-INDEX(Data!1361:1361,1,$P$1-6))+(INDEX(Data!358:358,1,$P$1-5)+INDEX(Data!875:875,1,$P$1-5)-INDEX(Data!1361:1361,1,$P$1-5))</f>
        <v>80434492</v>
      </c>
      <c r="D219" s="404">
        <f>(INDEX(Data!358:358,1,$P$1-4)+INDEX(Data!875:875,1,$P$1-4)-INDEX(Data!1361:1361,1,$P$1-4))+(INDEX(Data!358:358,1,$P$1-3)+INDEX(Data!875:875,1,$P$1-3)-INDEX(Data!1361:1361,1,$P$1-3))</f>
        <v>86830046</v>
      </c>
      <c r="E219" s="90">
        <f>(INDEX(Data!358:358,1,$P$1-2)+INDEX(Data!875:875,1,$P$1-2)-INDEX(Data!1361:1361,1,$P$1-2))+(INDEX(Data!358:358,1,$P$1-1)+INDEX(Data!875:875,1,$P$1-1)-INDEX(Data!1361:1361,1,$P$1-1))</f>
        <v>91513121</v>
      </c>
      <c r="F219" s="88">
        <f>(INDEX(Data!358:358,1,$P$1)+INDEX(Data!875:875,1,$P$1)-INDEX(Data!1361:1361,1,$P$1))+(INDEX(Data!358:358,1,$P$1+1)+INDEX(Data!875:875,1,$P$1+1)-INDEX(Data!1361:1361,1,$P$1+1))</f>
        <v>95503734</v>
      </c>
      <c r="G219" s="91">
        <f>(INDEX(Data!410:410,1,$P$1-8)+INDEX(Data!875:875,1,$P$1-8)-INDEX(Data!1518:1518,1,$P$1-8))+(INDEX(Data!410:410,1,$P$1-7)+INDEX(Data!875:875,1,$P$1-7)-INDEX(Data!1518:1518,1,$P$1-7))</f>
        <v>70474794</v>
      </c>
      <c r="H219" s="87">
        <f>(INDEX(Data!410:410,1,$P$1-6)+INDEX(Data!875:875,1,$P$1-6)-INDEX(Data!1518:1518,1,$P$1-6))+(INDEX(Data!410:410,1,$P$1-5)+INDEX(Data!875:875,1,$P$1-5)-INDEX(Data!1518:1518,1,$P$1-5))</f>
        <v>80434492</v>
      </c>
      <c r="I219" s="404">
        <f>(INDEX(Data!410:410,1,$P$1-4)+INDEX(Data!875:875,1,$P$1-4)-INDEX(Data!1518:1518,1,$P$1-4))+(INDEX(Data!410:410,1,$P$1-3)+INDEX(Data!875:875,1,$P$1-3)-INDEX(Data!1518:1518,1,$P$1-3))</f>
        <v>86830046</v>
      </c>
      <c r="J219" s="90">
        <f>(INDEX(Data!410:410,1,$P$1-2)+INDEX(Data!875:875,1,$P$1-2)-INDEX(Data!1518:1518,1,$P$1-2))+(INDEX(Data!410:410,1,$P$1-1)+INDEX(Data!875:875,1,$P$1-1)-INDEX(Data!1518:1518,1,$P$1-1))</f>
        <v>91513121</v>
      </c>
      <c r="K219" s="88">
        <f>(INDEX(Data!410:410,1,$P$1)+INDEX(Data!875:875,1,$P$1)-INDEX(Data!1518:1518,1,$P$1))+(INDEX(Data!410:410,1,$P$1+1)+INDEX(Data!875:875,1,$P$1+1)-INDEX(Data!1518:1518,1,$P$1+1))</f>
        <v>95503734</v>
      </c>
    </row>
    <row r="220" spans="1:11" hidden="1" outlineLevel="1">
      <c r="A220" s="79" t="s">
        <v>138</v>
      </c>
      <c r="B220" s="86">
        <f>(INDEX(Data!359:359,1,$P$1-8)+INDEX(Data!876:876,1,$P$1-8)-INDEX(Data!1362:1362,1,$P$1-8))+(INDEX(Data!359:359,1,$P$1-7)+INDEX(Data!876:876,1,$P$1-7)-INDEX(Data!1362:1362,1,$P$1-7))</f>
        <v>16401856</v>
      </c>
      <c r="C220" s="87">
        <f>(INDEX(Data!359:359,1,$P$1-6)+INDEX(Data!876:876,1,$P$1-6)-INDEX(Data!1362:1362,1,$P$1-6))+(INDEX(Data!359:359,1,$P$1-5)+INDEX(Data!876:876,1,$P$1-5)-INDEX(Data!1362:1362,1,$P$1-5))</f>
        <v>17017420</v>
      </c>
      <c r="D220" s="404">
        <f>(INDEX(Data!359:359,1,$P$1-4)+INDEX(Data!876:876,1,$P$1-4)-INDEX(Data!1362:1362,1,$P$1-4))+(INDEX(Data!359:359,1,$P$1-3)+INDEX(Data!876:876,1,$P$1-3)-INDEX(Data!1362:1362,1,$P$1-3))</f>
        <v>16641837</v>
      </c>
      <c r="E220" s="90">
        <f>(INDEX(Data!359:359,1,$P$1-2)+INDEX(Data!876:876,1,$P$1-2)-INDEX(Data!1362:1362,1,$P$1-2))+(INDEX(Data!359:359,1,$P$1-1)+INDEX(Data!876:876,1,$P$1-1)-INDEX(Data!1362:1362,1,$P$1-1))</f>
        <v>17989504</v>
      </c>
      <c r="F220" s="88">
        <f>(INDEX(Data!359:359,1,$P$1)+INDEX(Data!876:876,1,$P$1)-INDEX(Data!1362:1362,1,$P$1))+(INDEX(Data!359:359,1,$P$1+1)+INDEX(Data!876:876,1,$P$1+1)-INDEX(Data!1362:1362,1,$P$1+1))</f>
        <v>20006365</v>
      </c>
      <c r="G220" s="91">
        <f>(INDEX(Data!411:411,1,$P$1-8)+INDEX(Data!876:876,1,$P$1-8)-INDEX(Data!1519:1519,1,$P$1-8))+(INDEX(Data!411:411,1,$P$1-7)+INDEX(Data!876:876,1,$P$1-7)-INDEX(Data!1519:1519,1,$P$1-7))</f>
        <v>16401856</v>
      </c>
      <c r="H220" s="87">
        <f>(INDEX(Data!411:411,1,$P$1-6)+INDEX(Data!876:876,1,$P$1-6)-INDEX(Data!1519:1519,1,$P$1-6))+(INDEX(Data!411:411,1,$P$1-5)+INDEX(Data!876:876,1,$P$1-5)-INDEX(Data!1519:1519,1,$P$1-5))</f>
        <v>17017420</v>
      </c>
      <c r="I220" s="404">
        <f>(INDEX(Data!411:411,1,$P$1-4)+INDEX(Data!876:876,1,$P$1-4)-INDEX(Data!1519:1519,1,$P$1-4))+(INDEX(Data!411:411,1,$P$1-3)+INDEX(Data!876:876,1,$P$1-3)-INDEX(Data!1519:1519,1,$P$1-3))</f>
        <v>16641837</v>
      </c>
      <c r="J220" s="90">
        <f>(INDEX(Data!411:411,1,$P$1-2)+INDEX(Data!876:876,1,$P$1-2)-INDEX(Data!1519:1519,1,$P$1-2))+(INDEX(Data!411:411,1,$P$1-1)+INDEX(Data!876:876,1,$P$1-1)-INDEX(Data!1519:1519,1,$P$1-1))</f>
        <v>17989504</v>
      </c>
      <c r="K220" s="88">
        <f>(INDEX(Data!411:411,1,$P$1)+INDEX(Data!876:876,1,$P$1)-INDEX(Data!1519:1519,1,$P$1))+(INDEX(Data!411:411,1,$P$1+1)+INDEX(Data!876:876,1,$P$1+1)-INDEX(Data!1519:1519,1,$P$1+1))</f>
        <v>20006365</v>
      </c>
    </row>
    <row r="221" spans="1:11" hidden="1" outlineLevel="1">
      <c r="A221" s="79" t="s">
        <v>1408</v>
      </c>
      <c r="B221" s="86">
        <f>(INDEX(Data!360:360,1,$P$1-8)+INDEX(Data!877:877,1,$P$1-8)-INDEX(Data!1363:1363,1,$P$1-8))+(INDEX(Data!360:360,1,$P$1-7)+INDEX(Data!877:877,1,$P$1-7)-INDEX(Data!1363:1363,1,$P$1-7))</f>
        <v>117014375</v>
      </c>
      <c r="C221" s="87">
        <f>(INDEX(Data!360:360,1,$P$1-6)+INDEX(Data!877:877,1,$P$1-6)-INDEX(Data!1363:1363,1,$P$1-6))+(INDEX(Data!360:360,1,$P$1-5)+INDEX(Data!877:877,1,$P$1-5)-INDEX(Data!1363:1363,1,$P$1-5))</f>
        <v>130780382</v>
      </c>
      <c r="D221" s="404">
        <f>(INDEX(Data!360:360,1,$P$1-4)+INDEX(Data!877:877,1,$P$1-4)-INDEX(Data!1363:1363,1,$P$1-4))+(INDEX(Data!360:360,1,$P$1-3)+INDEX(Data!877:877,1,$P$1-3)-INDEX(Data!1363:1363,1,$P$1-3))</f>
        <v>137084105</v>
      </c>
      <c r="E221" s="90">
        <f>(INDEX(Data!360:360,1,$P$1-2)+INDEX(Data!877:877,1,$P$1-2)-INDEX(Data!1363:1363,1,$P$1-2))+(INDEX(Data!360:360,1,$P$1-1)+INDEX(Data!877:877,1,$P$1-1)-INDEX(Data!1363:1363,1,$P$1-1))</f>
        <v>138737264</v>
      </c>
      <c r="F221" s="88">
        <f>(INDEX(Data!360:360,1,$P$1)+INDEX(Data!877:877,1,$P$1)-INDEX(Data!1363:1363,1,$P$1))+(INDEX(Data!360:360,1,$P$1+1)+INDEX(Data!877:877,1,$P$1+1)-INDEX(Data!1363:1363,1,$P$1+1))</f>
        <v>141959537</v>
      </c>
      <c r="G221" s="91">
        <f>(INDEX(Data!412:412,1,$P$1-8)+INDEX(Data!877:877,1,$P$1-8)-INDEX(Data!1520:1520,1,$P$1-8))+(INDEX(Data!412:412,1,$P$1-7)+INDEX(Data!877:877,1,$P$1-7)-INDEX(Data!1520:1520,1,$P$1-7))</f>
        <v>117014375</v>
      </c>
      <c r="H221" s="87">
        <f>(INDEX(Data!412:412,1,$P$1-6)+INDEX(Data!877:877,1,$P$1-6)-INDEX(Data!1520:1520,1,$P$1-6))+(INDEX(Data!412:412,1,$P$1-5)+INDEX(Data!877:877,1,$P$1-5)-INDEX(Data!1520:1520,1,$P$1-5))</f>
        <v>130780382</v>
      </c>
      <c r="I221" s="404">
        <f>(INDEX(Data!412:412,1,$P$1-4)+INDEX(Data!877:877,1,$P$1-4)-INDEX(Data!1520:1520,1,$P$1-4))+(INDEX(Data!412:412,1,$P$1-3)+INDEX(Data!877:877,1,$P$1-3)-INDEX(Data!1520:1520,1,$P$1-3))</f>
        <v>137084105</v>
      </c>
      <c r="J221" s="90">
        <f>(INDEX(Data!412:412,1,$P$1-2)+INDEX(Data!877:877,1,$P$1-2)-INDEX(Data!1520:1520,1,$P$1-2))+(INDEX(Data!412:412,1,$P$1-1)+INDEX(Data!877:877,1,$P$1-1)-INDEX(Data!1520:1520,1,$P$1-1))</f>
        <v>138737264</v>
      </c>
      <c r="K221" s="88">
        <f>(INDEX(Data!412:412,1,$P$1)+INDEX(Data!877:877,1,$P$1)-INDEX(Data!1520:1520,1,$P$1))+(INDEX(Data!412:412,1,$P$1+1)+INDEX(Data!877:877,1,$P$1+1)-INDEX(Data!1520:1520,1,$P$1+1))</f>
        <v>141959537</v>
      </c>
    </row>
    <row r="222" spans="1:11" hidden="1" outlineLevel="1">
      <c r="A222" s="79" t="s">
        <v>1409</v>
      </c>
      <c r="B222" s="86">
        <f>(INDEX(Data!361:361,1,$P$1-8)+INDEX(Data!878:878,1,$P$1-8)-INDEX(Data!1364:1364,1,$P$1-8))+(INDEX(Data!361:361,1,$P$1-7)+INDEX(Data!878:878,1,$P$1-7)-INDEX(Data!1364:1364,1,$P$1-7))</f>
        <v>17331469</v>
      </c>
      <c r="C222" s="87">
        <f>(INDEX(Data!361:361,1,$P$1-6)+INDEX(Data!878:878,1,$P$1-6)-INDEX(Data!1364:1364,1,$P$1-6))+(INDEX(Data!361:361,1,$P$1-5)+INDEX(Data!878:878,1,$P$1-5)-INDEX(Data!1364:1364,1,$P$1-5))</f>
        <v>18202392</v>
      </c>
      <c r="D222" s="404">
        <f>(INDEX(Data!361:361,1,$P$1-4)+INDEX(Data!878:878,1,$P$1-4)-INDEX(Data!1364:1364,1,$P$1-4))+(INDEX(Data!361:361,1,$P$1-3)+INDEX(Data!878:878,1,$P$1-3)-INDEX(Data!1364:1364,1,$P$1-3))</f>
        <v>18071260</v>
      </c>
      <c r="E222" s="90">
        <f>(INDEX(Data!361:361,1,$P$1-2)+INDEX(Data!878:878,1,$P$1-2)-INDEX(Data!1364:1364,1,$P$1-2))+(INDEX(Data!361:361,1,$P$1-1)+INDEX(Data!878:878,1,$P$1-1)-INDEX(Data!1364:1364,1,$P$1-1))</f>
        <v>17322276</v>
      </c>
      <c r="F222" s="88">
        <f>(INDEX(Data!361:361,1,$P$1)+INDEX(Data!878:878,1,$P$1)-INDEX(Data!1364:1364,1,$P$1))+(INDEX(Data!361:361,1,$P$1+1)+INDEX(Data!878:878,1,$P$1+1)-INDEX(Data!1364:1364,1,$P$1+1))</f>
        <v>17254160</v>
      </c>
      <c r="G222" s="91">
        <f>(INDEX(Data!413:413,1,$P$1-8)+INDEX(Data!878:878,1,$P$1-8)-INDEX(Data!1521:1521,1,$P$1-8))+(INDEX(Data!413:413,1,$P$1-7)+INDEX(Data!878:878,1,$P$1-7)-INDEX(Data!1521:1521,1,$P$1-7))</f>
        <v>17331469</v>
      </c>
      <c r="H222" s="87">
        <f>(INDEX(Data!413:413,1,$P$1-6)+INDEX(Data!878:878,1,$P$1-6)-INDEX(Data!1521:1521,1,$P$1-6))+(INDEX(Data!413:413,1,$P$1-5)+INDEX(Data!878:878,1,$P$1-5)-INDEX(Data!1521:1521,1,$P$1-5))</f>
        <v>18202392</v>
      </c>
      <c r="I222" s="404">
        <f>(INDEX(Data!413:413,1,$P$1-4)+INDEX(Data!878:878,1,$P$1-4)-INDEX(Data!1521:1521,1,$P$1-4))+(INDEX(Data!413:413,1,$P$1-3)+INDEX(Data!878:878,1,$P$1-3)-INDEX(Data!1521:1521,1,$P$1-3))</f>
        <v>18071260</v>
      </c>
      <c r="J222" s="90">
        <f>(INDEX(Data!413:413,1,$P$1-2)+INDEX(Data!878:878,1,$P$1-2)-INDEX(Data!1521:1521,1,$P$1-2))+(INDEX(Data!413:413,1,$P$1-1)+INDEX(Data!878:878,1,$P$1-1)-INDEX(Data!1521:1521,1,$P$1-1))</f>
        <v>17322276</v>
      </c>
      <c r="K222" s="88">
        <f>(INDEX(Data!413:413,1,$P$1)+INDEX(Data!878:878,1,$P$1)-INDEX(Data!1521:1521,1,$P$1))+(INDEX(Data!413:413,1,$P$1+1)+INDEX(Data!878:878,1,$P$1+1)-INDEX(Data!1521:1521,1,$P$1+1))</f>
        <v>17254160</v>
      </c>
    </row>
    <row r="223" spans="1:11" hidden="1" outlineLevel="1">
      <c r="A223" s="79" t="s">
        <v>141</v>
      </c>
      <c r="B223" s="86">
        <f>(INDEX(Data!362:362,1,$P$1-8)+INDEX(Data!879:879,1,$P$1-8)-INDEX(Data!1365:1365,1,$P$1-8))+(INDEX(Data!362:362,1,$P$1-7)+INDEX(Data!879:879,1,$P$1-7)-INDEX(Data!1365:1365,1,$P$1-7))</f>
        <v>17303381</v>
      </c>
      <c r="C223" s="87">
        <f>(INDEX(Data!362:362,1,$P$1-6)+INDEX(Data!879:879,1,$P$1-6)-INDEX(Data!1365:1365,1,$P$1-6))+(INDEX(Data!362:362,1,$P$1-5)+INDEX(Data!879:879,1,$P$1-5)-INDEX(Data!1365:1365,1,$P$1-5))</f>
        <v>15871696</v>
      </c>
      <c r="D223" s="404">
        <f>(INDEX(Data!362:362,1,$P$1-4)+INDEX(Data!879:879,1,$P$1-4)-INDEX(Data!1365:1365,1,$P$1-4))+(INDEX(Data!362:362,1,$P$1-3)+INDEX(Data!879:879,1,$P$1-3)-INDEX(Data!1365:1365,1,$P$1-3))</f>
        <v>16674913</v>
      </c>
      <c r="E223" s="90">
        <f>(INDEX(Data!362:362,1,$P$1-2)+INDEX(Data!879:879,1,$P$1-2)-INDEX(Data!1365:1365,1,$P$1-2))+(INDEX(Data!362:362,1,$P$1-1)+INDEX(Data!879:879,1,$P$1-1)-INDEX(Data!1365:1365,1,$P$1-1))</f>
        <v>17597952</v>
      </c>
      <c r="F223" s="88">
        <f>(INDEX(Data!362:362,1,$P$1)+INDEX(Data!879:879,1,$P$1)-INDEX(Data!1365:1365,1,$P$1))+(INDEX(Data!362:362,1,$P$1+1)+INDEX(Data!879:879,1,$P$1+1)-INDEX(Data!1365:1365,1,$P$1+1))</f>
        <v>18197680</v>
      </c>
      <c r="G223" s="91">
        <f>(INDEX(Data!414:414,1,$P$1-8)+INDEX(Data!879:879,1,$P$1-8)-INDEX(Data!1522:1522,1,$P$1-8))+(INDEX(Data!414:414,1,$P$1-7)+INDEX(Data!879:879,1,$P$1-7)-INDEX(Data!1522:1522,1,$P$1-7))</f>
        <v>17303381</v>
      </c>
      <c r="H223" s="87">
        <f>(INDEX(Data!414:414,1,$P$1-6)+INDEX(Data!879:879,1,$P$1-6)-INDEX(Data!1522:1522,1,$P$1-6))+(INDEX(Data!414:414,1,$P$1-5)+INDEX(Data!879:879,1,$P$1-5)-INDEX(Data!1522:1522,1,$P$1-5))</f>
        <v>15871696</v>
      </c>
      <c r="I223" s="404">
        <f>(INDEX(Data!414:414,1,$P$1-4)+INDEX(Data!879:879,1,$P$1-4)-INDEX(Data!1522:1522,1,$P$1-4))+(INDEX(Data!414:414,1,$P$1-3)+INDEX(Data!879:879,1,$P$1-3)-INDEX(Data!1522:1522,1,$P$1-3))</f>
        <v>16674913</v>
      </c>
      <c r="J223" s="90">
        <f>(INDEX(Data!414:414,1,$P$1-2)+INDEX(Data!879:879,1,$P$1-2)-INDEX(Data!1522:1522,1,$P$1-2))+(INDEX(Data!414:414,1,$P$1-1)+INDEX(Data!879:879,1,$P$1-1)-INDEX(Data!1522:1522,1,$P$1-1))</f>
        <v>17597952</v>
      </c>
      <c r="K223" s="88">
        <f>(INDEX(Data!414:414,1,$P$1)+INDEX(Data!879:879,1,$P$1)-INDEX(Data!1522:1522,1,$P$1))+(INDEX(Data!414:414,1,$P$1+1)+INDEX(Data!879:879,1,$P$1+1)-INDEX(Data!1522:1522,1,$P$1+1))</f>
        <v>18197680</v>
      </c>
    </row>
    <row r="224" spans="1:11" hidden="1" outlineLevel="1">
      <c r="A224" s="79" t="s">
        <v>142</v>
      </c>
      <c r="B224" s="86">
        <f>(INDEX(Data!363:363,1,$P$1-8)+INDEX(Data!880:880,1,$P$1-8)-INDEX(Data!1366:1366,1,$P$1-8))+(INDEX(Data!363:363,1,$P$1-7)+INDEX(Data!880:880,1,$P$1-7)-INDEX(Data!1366:1366,1,$P$1-7))</f>
        <v>25830838</v>
      </c>
      <c r="C224" s="87">
        <f>(INDEX(Data!363:363,1,$P$1-6)+INDEX(Data!880:880,1,$P$1-6)-INDEX(Data!1366:1366,1,$P$1-6))+(INDEX(Data!363:363,1,$P$1-5)+INDEX(Data!880:880,1,$P$1-5)-INDEX(Data!1366:1366,1,$P$1-5))</f>
        <v>13638426</v>
      </c>
      <c r="D224" s="404">
        <f>(INDEX(Data!363:363,1,$P$1-4)+INDEX(Data!880:880,1,$P$1-4)-INDEX(Data!1366:1366,1,$P$1-4))+(INDEX(Data!363:363,1,$P$1-3)+INDEX(Data!880:880,1,$P$1-3)-INDEX(Data!1366:1366,1,$P$1-3))</f>
        <v>16169491</v>
      </c>
      <c r="E224" s="90">
        <f>(INDEX(Data!363:363,1,$P$1-2)+INDEX(Data!880:880,1,$P$1-2)-INDEX(Data!1366:1366,1,$P$1-2))+(INDEX(Data!363:363,1,$P$1-1)+INDEX(Data!880:880,1,$P$1-1)-INDEX(Data!1366:1366,1,$P$1-1))</f>
        <v>14876162</v>
      </c>
      <c r="F224" s="88">
        <f>(INDEX(Data!363:363,1,$P$1)+INDEX(Data!880:880,1,$P$1)-INDEX(Data!1366:1366,1,$P$1))+(INDEX(Data!363:363,1,$P$1+1)+INDEX(Data!880:880,1,$P$1+1)-INDEX(Data!1366:1366,1,$P$1+1))</f>
        <v>18537644</v>
      </c>
      <c r="G224" s="91">
        <f>(INDEX(Data!415:415,1,$P$1-8)+INDEX(Data!880:880,1,$P$1-8)-INDEX(Data!1523:1523,1,$P$1-8))+(INDEX(Data!415:415,1,$P$1-7)+INDEX(Data!880:880,1,$P$1-7)-INDEX(Data!1523:1523,1,$P$1-7))</f>
        <v>25830838</v>
      </c>
      <c r="H224" s="87">
        <f>(INDEX(Data!415:415,1,$P$1-6)+INDEX(Data!880:880,1,$P$1-6)-INDEX(Data!1523:1523,1,$P$1-6))+(INDEX(Data!415:415,1,$P$1-5)+INDEX(Data!880:880,1,$P$1-5)-INDEX(Data!1523:1523,1,$P$1-5))</f>
        <v>13638426</v>
      </c>
      <c r="I224" s="404">
        <f>(INDEX(Data!415:415,1,$P$1-4)+INDEX(Data!880:880,1,$P$1-4)-INDEX(Data!1523:1523,1,$P$1-4))+(INDEX(Data!415:415,1,$P$1-3)+INDEX(Data!880:880,1,$P$1-3)-INDEX(Data!1523:1523,1,$P$1-3))</f>
        <v>16169491</v>
      </c>
      <c r="J224" s="90">
        <f>(INDEX(Data!415:415,1,$P$1-2)+INDEX(Data!880:880,1,$P$1-2)-INDEX(Data!1523:1523,1,$P$1-2))+(INDEX(Data!415:415,1,$P$1-1)+INDEX(Data!880:880,1,$P$1-1)-INDEX(Data!1523:1523,1,$P$1-1))</f>
        <v>14876162</v>
      </c>
      <c r="K224" s="88">
        <f>(INDEX(Data!415:415,1,$P$1)+INDEX(Data!880:880,1,$P$1)-INDEX(Data!1523:1523,1,$P$1))+(INDEX(Data!415:415,1,$P$1+1)+INDEX(Data!880:880,1,$P$1+1)-INDEX(Data!1523:1523,1,$P$1+1))</f>
        <v>18537644</v>
      </c>
    </row>
    <row r="225" spans="1:13" hidden="1" outlineLevel="1">
      <c r="A225" s="79" t="s">
        <v>143</v>
      </c>
      <c r="B225" s="86">
        <f>(INDEX(Data!364:364,1,$P$1-8)+INDEX(Data!881:881,1,$P$1-8)-INDEX(Data!1367:1367,1,$P$1-8))+(INDEX(Data!364:364,1,$P$1-7)+INDEX(Data!881:881,1,$P$1-7)-INDEX(Data!1367:1367,1,$P$1-7))</f>
        <v>24478253</v>
      </c>
      <c r="C225" s="87">
        <f>(INDEX(Data!364:364,1,$P$1-6)+INDEX(Data!881:881,1,$P$1-6)-INDEX(Data!1367:1367,1,$P$1-6))+(INDEX(Data!364:364,1,$P$1-5)+INDEX(Data!881:881,1,$P$1-5)-INDEX(Data!1367:1367,1,$P$1-5))</f>
        <v>25842777</v>
      </c>
      <c r="D225" s="404">
        <f>(INDEX(Data!364:364,1,$P$1-4)+INDEX(Data!881:881,1,$P$1-4)-INDEX(Data!1367:1367,1,$P$1-4))+(INDEX(Data!364:364,1,$P$1-3)+INDEX(Data!881:881,1,$P$1-3)-INDEX(Data!1367:1367,1,$P$1-3))</f>
        <v>25824711</v>
      </c>
      <c r="E225" s="90">
        <f>(INDEX(Data!364:364,1,$P$1-2)+INDEX(Data!881:881,1,$P$1-2)-INDEX(Data!1367:1367,1,$P$1-2))+(INDEX(Data!364:364,1,$P$1-1)+INDEX(Data!881:881,1,$P$1-1)-INDEX(Data!1367:1367,1,$P$1-1))</f>
        <v>27517683</v>
      </c>
      <c r="F225" s="88">
        <f>(INDEX(Data!364:364,1,$P$1)+INDEX(Data!881:881,1,$P$1)-INDEX(Data!1367:1367,1,$P$1))+(INDEX(Data!364:364,1,$P$1+1)+INDEX(Data!881:881,1,$P$1+1)-INDEX(Data!1367:1367,1,$P$1+1))</f>
        <v>27938247</v>
      </c>
      <c r="G225" s="91">
        <f>(INDEX(Data!416:416,1,$P$1-8)+INDEX(Data!881:881,1,$P$1-8)-INDEX(Data!1524:1524,1,$P$1-8))+(INDEX(Data!416:416,1,$P$1-7)+INDEX(Data!881:881,1,$P$1-7)-INDEX(Data!1524:1524,1,$P$1-7))</f>
        <v>24478253</v>
      </c>
      <c r="H225" s="87">
        <f>(INDEX(Data!416:416,1,$P$1-6)+INDEX(Data!881:881,1,$P$1-6)-INDEX(Data!1524:1524,1,$P$1-6))+(INDEX(Data!416:416,1,$P$1-5)+INDEX(Data!881:881,1,$P$1-5)-INDEX(Data!1524:1524,1,$P$1-5))</f>
        <v>25842777</v>
      </c>
      <c r="I225" s="404">
        <f>(INDEX(Data!416:416,1,$P$1-4)+INDEX(Data!881:881,1,$P$1-4)-INDEX(Data!1524:1524,1,$P$1-4))+(INDEX(Data!416:416,1,$P$1-3)+INDEX(Data!881:881,1,$P$1-3)-INDEX(Data!1524:1524,1,$P$1-3))</f>
        <v>25824711</v>
      </c>
      <c r="J225" s="90">
        <f>(INDEX(Data!416:416,1,$P$1-2)+INDEX(Data!881:881,1,$P$1-2)-INDEX(Data!1524:1524,1,$P$1-2))+(INDEX(Data!416:416,1,$P$1-1)+INDEX(Data!881:881,1,$P$1-1)-INDEX(Data!1524:1524,1,$P$1-1))</f>
        <v>27517683</v>
      </c>
      <c r="K225" s="88">
        <f>(INDEX(Data!416:416,1,$P$1)+INDEX(Data!881:881,1,$P$1)-INDEX(Data!1524:1524,1,$P$1))+(INDEX(Data!416:416,1,$P$1+1)+INDEX(Data!881:881,1,$P$1+1)-INDEX(Data!1524:1524,1,$P$1+1))</f>
        <v>27938247</v>
      </c>
    </row>
    <row r="226" spans="1:13" hidden="1" outlineLevel="1">
      <c r="A226" s="79" t="s">
        <v>144</v>
      </c>
      <c r="B226" s="86">
        <f>(INDEX(Data!365:365,1,$P$1-8)+INDEX(Data!882:882,1,$P$1-8)-INDEX(Data!1368:1368,1,$P$1-8))+(INDEX(Data!365:365,1,$P$1-7)+INDEX(Data!882:882,1,$P$1-7)-INDEX(Data!1368:1368,1,$P$1-7))</f>
        <v>39040045</v>
      </c>
      <c r="C226" s="87">
        <f>(INDEX(Data!365:365,1,$P$1-6)+INDEX(Data!882:882,1,$P$1-6)-INDEX(Data!1368:1368,1,$P$1-6))+(INDEX(Data!365:365,1,$P$1-5)+INDEX(Data!882:882,1,$P$1-5)-INDEX(Data!1368:1368,1,$P$1-5))</f>
        <v>39602629</v>
      </c>
      <c r="D226" s="404">
        <f>(INDEX(Data!365:365,1,$P$1-4)+INDEX(Data!882:882,1,$P$1-4)-INDEX(Data!1368:1368,1,$P$1-4))+(INDEX(Data!365:365,1,$P$1-3)+INDEX(Data!882:882,1,$P$1-3)-INDEX(Data!1368:1368,1,$P$1-3))</f>
        <v>40028494</v>
      </c>
      <c r="E226" s="90">
        <f>(INDEX(Data!365:365,1,$P$1-2)+INDEX(Data!882:882,1,$P$1-2)-INDEX(Data!1368:1368,1,$P$1-2))+(INDEX(Data!365:365,1,$P$1-1)+INDEX(Data!882:882,1,$P$1-1)-INDEX(Data!1368:1368,1,$P$1-1))</f>
        <v>41226618</v>
      </c>
      <c r="F226" s="88">
        <f>(INDEX(Data!365:365,1,$P$1)+INDEX(Data!882:882,1,$P$1)-INDEX(Data!1368:1368,1,$P$1))+(INDEX(Data!365:365,1,$P$1+1)+INDEX(Data!882:882,1,$P$1+1)-INDEX(Data!1368:1368,1,$P$1+1))</f>
        <v>43918852</v>
      </c>
      <c r="G226" s="91">
        <f>(INDEX(Data!417:417,1,$P$1-8)+INDEX(Data!882:882,1,$P$1-8)-INDEX(Data!1525:1525,1,$P$1-8))+(INDEX(Data!417:417,1,$P$1-7)+INDEX(Data!882:882,1,$P$1-7)-INDEX(Data!1525:1525,1,$P$1-7))</f>
        <v>39040045</v>
      </c>
      <c r="H226" s="87">
        <f>(INDEX(Data!417:417,1,$P$1-6)+INDEX(Data!882:882,1,$P$1-6)-INDEX(Data!1525:1525,1,$P$1-6))+(INDEX(Data!417:417,1,$P$1-5)+INDEX(Data!882:882,1,$P$1-5)-INDEX(Data!1525:1525,1,$P$1-5))</f>
        <v>39602629</v>
      </c>
      <c r="I226" s="404">
        <f>(INDEX(Data!417:417,1,$P$1-4)+INDEX(Data!882:882,1,$P$1-4)-INDEX(Data!1525:1525,1,$P$1-4))+(INDEX(Data!417:417,1,$P$1-3)+INDEX(Data!882:882,1,$P$1-3)-INDEX(Data!1525:1525,1,$P$1-3))</f>
        <v>40028494</v>
      </c>
      <c r="J226" s="90">
        <f>(INDEX(Data!417:417,1,$P$1-2)+INDEX(Data!882:882,1,$P$1-2)-INDEX(Data!1525:1525,1,$P$1-2))+(INDEX(Data!417:417,1,$P$1-1)+INDEX(Data!882:882,1,$P$1-1)-INDEX(Data!1525:1525,1,$P$1-1))</f>
        <v>41226618</v>
      </c>
      <c r="K226" s="88">
        <f>(INDEX(Data!417:417,1,$P$1)+INDEX(Data!882:882,1,$P$1)-INDEX(Data!1525:1525,1,$P$1))+(INDEX(Data!417:417,1,$P$1+1)+INDEX(Data!882:882,1,$P$1+1)-INDEX(Data!1525:1525,1,$P$1+1))</f>
        <v>43918852</v>
      </c>
    </row>
    <row r="227" spans="1:13" hidden="1" outlineLevel="1">
      <c r="A227" s="79" t="s">
        <v>180</v>
      </c>
      <c r="B227" s="86">
        <f>(INDEX(Data!366:366,1,$P$1-8)+INDEX(Data!883:883,1,$P$1-8)-INDEX(Data!1369:1369,1,$P$1-8))+(INDEX(Data!366:366,1,$P$1-7)+INDEX(Data!883:883,1,$P$1-7)-INDEX(Data!1369:1369,1,$P$1-7))</f>
        <v>12940574</v>
      </c>
      <c r="C227" s="87">
        <f>(INDEX(Data!366:366,1,$P$1-6)+INDEX(Data!883:883,1,$P$1-6)-INDEX(Data!1369:1369,1,$P$1-6))+(INDEX(Data!366:366,1,$P$1-5)+INDEX(Data!883:883,1,$P$1-5)-INDEX(Data!1369:1369,1,$P$1-5))</f>
        <v>12880706</v>
      </c>
      <c r="D227" s="404">
        <f>(INDEX(Data!366:366,1,$P$1-4)+INDEX(Data!883:883,1,$P$1-4)-INDEX(Data!1369:1369,1,$P$1-4))+(INDEX(Data!366:366,1,$P$1-3)+INDEX(Data!883:883,1,$P$1-3)-INDEX(Data!1369:1369,1,$P$1-3))</f>
        <v>13257713</v>
      </c>
      <c r="E227" s="90">
        <f>(INDEX(Data!366:366,1,$P$1-2)+INDEX(Data!883:883,1,$P$1-2)-INDEX(Data!1369:1369,1,$P$1-2))+(INDEX(Data!366:366,1,$P$1-1)+INDEX(Data!883:883,1,$P$1-1)-INDEX(Data!1369:1369,1,$P$1-1))</f>
        <v>13558291</v>
      </c>
      <c r="F227" s="88">
        <f>(INDEX(Data!366:366,1,$P$1)+INDEX(Data!883:883,1,$P$1)-INDEX(Data!1369:1369,1,$P$1))+(INDEX(Data!366:366,1,$P$1+1)+INDEX(Data!883:883,1,$P$1+1)-INDEX(Data!1369:1369,1,$P$1+1))</f>
        <v>13067819</v>
      </c>
      <c r="G227" s="91">
        <f>(INDEX(Data!418:418,1,$P$1-8)+INDEX(Data!883:883,1,$P$1-8)-INDEX(Data!1526:1526,1,$P$1-8))+(INDEX(Data!418:418,1,$P$1-7)+INDEX(Data!883:883,1,$P$1-7)-INDEX(Data!1526:1526,1,$P$1-7))</f>
        <v>12940574</v>
      </c>
      <c r="H227" s="87">
        <f>(INDEX(Data!418:418,1,$P$1-6)+INDEX(Data!883:883,1,$P$1-6)-INDEX(Data!1526:1526,1,$P$1-6))+(INDEX(Data!418:418,1,$P$1-5)+INDEX(Data!883:883,1,$P$1-5)-INDEX(Data!1526:1526,1,$P$1-5))</f>
        <v>12880706</v>
      </c>
      <c r="I227" s="404">
        <f>(INDEX(Data!418:418,1,$P$1-4)+INDEX(Data!883:883,1,$P$1-4)-INDEX(Data!1526:1526,1,$P$1-4))+(INDEX(Data!418:418,1,$P$1-3)+INDEX(Data!883:883,1,$P$1-3)-INDEX(Data!1526:1526,1,$P$1-3))</f>
        <v>13257713</v>
      </c>
      <c r="J227" s="90">
        <f>(INDEX(Data!418:418,1,$P$1-2)+INDEX(Data!883:883,1,$P$1-2)-INDEX(Data!1526:1526,1,$P$1-2))+(INDEX(Data!418:418,1,$P$1-1)+INDEX(Data!883:883,1,$P$1-1)-INDEX(Data!1526:1526,1,$P$1-1))</f>
        <v>13558291</v>
      </c>
      <c r="K227" s="88">
        <f>(INDEX(Data!418:418,1,$P$1)+INDEX(Data!883:883,1,$P$1)-INDEX(Data!1526:1526,1,$P$1))+(INDEX(Data!418:418,1,$P$1+1)+INDEX(Data!883:883,1,$P$1+1)-INDEX(Data!1526:1526,1,$P$1+1))</f>
        <v>13067819</v>
      </c>
    </row>
    <row r="228" spans="1:13" hidden="1" outlineLevel="1">
      <c r="A228" s="79" t="s">
        <v>146</v>
      </c>
      <c r="B228" s="86">
        <f>(INDEX(Data!367:367,1,$P$1-8)+INDEX(Data!884:884,1,$P$1-8)-INDEX(Data!1370:1370,1,$P$1-8))+(INDEX(Data!367:367,1,$P$1-7)+INDEX(Data!884:884,1,$P$1-7)-INDEX(Data!1370:1370,1,$P$1-7))</f>
        <v>13494877</v>
      </c>
      <c r="C228" s="87">
        <f>(INDEX(Data!367:367,1,$P$1-6)+INDEX(Data!884:884,1,$P$1-6)-INDEX(Data!1370:1370,1,$P$1-6))+(INDEX(Data!367:367,1,$P$1-5)+INDEX(Data!884:884,1,$P$1-5)-INDEX(Data!1370:1370,1,$P$1-5))</f>
        <v>14888778</v>
      </c>
      <c r="D228" s="404">
        <f>(INDEX(Data!367:367,1,$P$1-4)+INDEX(Data!884:884,1,$P$1-4)-INDEX(Data!1370:1370,1,$P$1-4))+(INDEX(Data!367:367,1,$P$1-3)+INDEX(Data!884:884,1,$P$1-3)-INDEX(Data!1370:1370,1,$P$1-3))</f>
        <v>14244715</v>
      </c>
      <c r="E228" s="90">
        <f>(INDEX(Data!367:367,1,$P$1-2)+INDEX(Data!884:884,1,$P$1-2)-INDEX(Data!1370:1370,1,$P$1-2))+(INDEX(Data!367:367,1,$P$1-1)+INDEX(Data!884:884,1,$P$1-1)-INDEX(Data!1370:1370,1,$P$1-1))</f>
        <v>14304560</v>
      </c>
      <c r="F228" s="88">
        <f>(INDEX(Data!367:367,1,$P$1)+INDEX(Data!884:884,1,$P$1)-INDEX(Data!1370:1370,1,$P$1))+(INDEX(Data!367:367,1,$P$1+1)+INDEX(Data!884:884,1,$P$1+1)-INDEX(Data!1370:1370,1,$P$1+1))</f>
        <v>14156484</v>
      </c>
      <c r="G228" s="91">
        <f>(INDEX(Data!419:419,1,$P$1-8)+INDEX(Data!884:884,1,$P$1-8)-INDEX(Data!1527:1527,1,$P$1-8))+(INDEX(Data!419:419,1,$P$1-7)+INDEX(Data!884:884,1,$P$1-7)-INDEX(Data!1527:1527,1,$P$1-7))</f>
        <v>13494877</v>
      </c>
      <c r="H228" s="87">
        <f>(INDEX(Data!419:419,1,$P$1-6)+INDEX(Data!884:884,1,$P$1-6)-INDEX(Data!1527:1527,1,$P$1-6))+(INDEX(Data!419:419,1,$P$1-5)+INDEX(Data!884:884,1,$P$1-5)-INDEX(Data!1527:1527,1,$P$1-5))</f>
        <v>14888778</v>
      </c>
      <c r="I228" s="404">
        <f>(INDEX(Data!419:419,1,$P$1-4)+INDEX(Data!884:884,1,$P$1-4)-INDEX(Data!1527:1527,1,$P$1-4))+(INDEX(Data!419:419,1,$P$1-3)+INDEX(Data!884:884,1,$P$1-3)-INDEX(Data!1527:1527,1,$P$1-3))</f>
        <v>14244715</v>
      </c>
      <c r="J228" s="90">
        <f>(INDEX(Data!419:419,1,$P$1-2)+INDEX(Data!884:884,1,$P$1-2)-INDEX(Data!1527:1527,1,$P$1-2))+(INDEX(Data!419:419,1,$P$1-1)+INDEX(Data!884:884,1,$P$1-1)-INDEX(Data!1527:1527,1,$P$1-1))</f>
        <v>14304560</v>
      </c>
      <c r="K228" s="88">
        <f>(INDEX(Data!419:419,1,$P$1)+INDEX(Data!884:884,1,$P$1)-INDEX(Data!1527:1527,1,$P$1))+(INDEX(Data!419:419,1,$P$1+1)+INDEX(Data!884:884,1,$P$1+1)-INDEX(Data!1527:1527,1,$P$1+1))</f>
        <v>14156484</v>
      </c>
    </row>
    <row r="229" spans="1:13" hidden="1" outlineLevel="1">
      <c r="A229" s="79" t="s">
        <v>147</v>
      </c>
      <c r="B229" s="86">
        <f>(INDEX(Data!368:368,1,$P$1-8)+INDEX(Data!885:885,1,$P$1-8)-INDEX(Data!1371:1371,1,$P$1-8))+(INDEX(Data!368:368,1,$P$1-7)+INDEX(Data!885:885,1,$P$1-7)-INDEX(Data!1371:1371,1,$P$1-7))</f>
        <v>17146506</v>
      </c>
      <c r="C229" s="87">
        <f>(INDEX(Data!368:368,1,$P$1-6)+INDEX(Data!885:885,1,$P$1-6)-INDEX(Data!1371:1371,1,$P$1-6))+(INDEX(Data!368:368,1,$P$1-5)+INDEX(Data!885:885,1,$P$1-5)-INDEX(Data!1371:1371,1,$P$1-5))</f>
        <v>19103196</v>
      </c>
      <c r="D229" s="404">
        <f>(INDEX(Data!368:368,1,$P$1-4)+INDEX(Data!885:885,1,$P$1-4)-INDEX(Data!1371:1371,1,$P$1-4))+(INDEX(Data!368:368,1,$P$1-3)+INDEX(Data!885:885,1,$P$1-3)-INDEX(Data!1371:1371,1,$P$1-3))</f>
        <v>21006567</v>
      </c>
      <c r="E229" s="90">
        <f>(INDEX(Data!368:368,1,$P$1-2)+INDEX(Data!885:885,1,$P$1-2)-INDEX(Data!1371:1371,1,$P$1-2))+(INDEX(Data!368:368,1,$P$1-1)+INDEX(Data!885:885,1,$P$1-1)-INDEX(Data!1371:1371,1,$P$1-1))</f>
        <v>20372974</v>
      </c>
      <c r="F229" s="88">
        <f>(INDEX(Data!368:368,1,$P$1)+INDEX(Data!885:885,1,$P$1)-INDEX(Data!1371:1371,1,$P$1))+(INDEX(Data!368:368,1,$P$1+1)+INDEX(Data!885:885,1,$P$1+1)-INDEX(Data!1371:1371,1,$P$1+1))</f>
        <v>21599118</v>
      </c>
      <c r="G229" s="91">
        <f>(INDEX(Data!420:420,1,$P$1-8)+INDEX(Data!885:885,1,$P$1-8)-INDEX(Data!1528:1528,1,$P$1-8))+(INDEX(Data!420:420,1,$P$1-7)+INDEX(Data!885:885,1,$P$1-7)-INDEX(Data!1528:1528,1,$P$1-7))</f>
        <v>17146506</v>
      </c>
      <c r="H229" s="87">
        <f>(INDEX(Data!420:420,1,$P$1-6)+INDEX(Data!885:885,1,$P$1-6)-INDEX(Data!1528:1528,1,$P$1-6))+(INDEX(Data!420:420,1,$P$1-5)+INDEX(Data!885:885,1,$P$1-5)-INDEX(Data!1528:1528,1,$P$1-5))</f>
        <v>19103196</v>
      </c>
      <c r="I229" s="404">
        <f>(INDEX(Data!420:420,1,$P$1-4)+INDEX(Data!885:885,1,$P$1-4)-INDEX(Data!1528:1528,1,$P$1-4))+(INDEX(Data!420:420,1,$P$1-3)+INDEX(Data!885:885,1,$P$1-3)-INDEX(Data!1528:1528,1,$P$1-3))</f>
        <v>21006567</v>
      </c>
      <c r="J229" s="90">
        <f>(INDEX(Data!420:420,1,$P$1-2)+INDEX(Data!885:885,1,$P$1-2)-INDEX(Data!1528:1528,1,$P$1-2))+(INDEX(Data!420:420,1,$P$1-1)+INDEX(Data!885:885,1,$P$1-1)-INDEX(Data!1528:1528,1,$P$1-1))</f>
        <v>20372974</v>
      </c>
      <c r="K229" s="88">
        <f>(INDEX(Data!420:420,1,$P$1)+INDEX(Data!885:885,1,$P$1)-INDEX(Data!1528:1528,1,$P$1))+(INDEX(Data!420:420,1,$P$1+1)+INDEX(Data!885:885,1,$P$1+1)-INDEX(Data!1528:1528,1,$P$1+1))</f>
        <v>21599118</v>
      </c>
    </row>
    <row r="230" spans="1:13" hidden="1" outlineLevel="1">
      <c r="A230" s="79" t="s">
        <v>148</v>
      </c>
      <c r="B230" s="86">
        <f>(INDEX(Data!369:369,1,$P$1-8)+INDEX(Data!886:886,1,$P$1-8)-INDEX(Data!1372:1372,1,$P$1-8))+(INDEX(Data!369:369,1,$P$1-7)+INDEX(Data!886:886,1,$P$1-7)-INDEX(Data!1372:1372,1,$P$1-7))</f>
        <v>8047552</v>
      </c>
      <c r="C230" s="87">
        <f>(INDEX(Data!369:369,1,$P$1-6)+INDEX(Data!886:886,1,$P$1-6)-INDEX(Data!1372:1372,1,$P$1-6))+(INDEX(Data!369:369,1,$P$1-5)+INDEX(Data!886:886,1,$P$1-5)-INDEX(Data!1372:1372,1,$P$1-5))</f>
        <v>9088096</v>
      </c>
      <c r="D230" s="404">
        <f>(INDEX(Data!369:369,1,$P$1-4)+INDEX(Data!886:886,1,$P$1-4)-INDEX(Data!1372:1372,1,$P$1-4))+(INDEX(Data!369:369,1,$P$1-3)+INDEX(Data!886:886,1,$P$1-3)-INDEX(Data!1372:1372,1,$P$1-3))</f>
        <v>8490970</v>
      </c>
      <c r="E230" s="90">
        <f>(INDEX(Data!369:369,1,$P$1-2)+INDEX(Data!886:886,1,$P$1-2)-INDEX(Data!1372:1372,1,$P$1-2))+(INDEX(Data!369:369,1,$P$1-1)+INDEX(Data!886:886,1,$P$1-1)-INDEX(Data!1372:1372,1,$P$1-1))</f>
        <v>9359713</v>
      </c>
      <c r="F230" s="88">
        <f>(INDEX(Data!369:369,1,$P$1)+INDEX(Data!886:886,1,$P$1)-INDEX(Data!1372:1372,1,$P$1))+(INDEX(Data!369:369,1,$P$1+1)+INDEX(Data!886:886,1,$P$1+1)-INDEX(Data!1372:1372,1,$P$1+1))</f>
        <v>9463447</v>
      </c>
      <c r="G230" s="91">
        <f>(INDEX(Data!421:421,1,$P$1-8)+INDEX(Data!886:886,1,$P$1-8)-INDEX(Data!1529:1529,1,$P$1-8))+(INDEX(Data!421:421,1,$P$1-7)+INDEX(Data!886:886,1,$P$1-7)-INDEX(Data!1529:1529,1,$P$1-7))</f>
        <v>8047552</v>
      </c>
      <c r="H230" s="87">
        <f>(INDEX(Data!421:421,1,$P$1-6)+INDEX(Data!886:886,1,$P$1-6)-INDEX(Data!1529:1529,1,$P$1-6))+(INDEX(Data!421:421,1,$P$1-5)+INDEX(Data!886:886,1,$P$1-5)-INDEX(Data!1529:1529,1,$P$1-5))</f>
        <v>9088096</v>
      </c>
      <c r="I230" s="404">
        <f>(INDEX(Data!421:421,1,$P$1-4)+INDEX(Data!886:886,1,$P$1-4)-INDEX(Data!1529:1529,1,$P$1-4))+(INDEX(Data!421:421,1,$P$1-3)+INDEX(Data!886:886,1,$P$1-3)-INDEX(Data!1529:1529,1,$P$1-3))</f>
        <v>8490970</v>
      </c>
      <c r="J230" s="90">
        <f>(INDEX(Data!421:421,1,$P$1-2)+INDEX(Data!886:886,1,$P$1-2)-INDEX(Data!1529:1529,1,$P$1-2))+(INDEX(Data!421:421,1,$P$1-1)+INDEX(Data!886:886,1,$P$1-1)-INDEX(Data!1529:1529,1,$P$1-1))</f>
        <v>9359713</v>
      </c>
      <c r="K230" s="88">
        <f>(INDEX(Data!421:421,1,$P$1)+INDEX(Data!886:886,1,$P$1)-INDEX(Data!1529:1529,1,$P$1))+(INDEX(Data!421:421,1,$P$1+1)+INDEX(Data!886:886,1,$P$1+1)-INDEX(Data!1529:1529,1,$P$1+1))</f>
        <v>9463447</v>
      </c>
    </row>
    <row r="231" spans="1:13" hidden="1" outlineLevel="1">
      <c r="A231" s="79" t="s">
        <v>149</v>
      </c>
      <c r="B231" s="86">
        <f>(INDEX(Data!370:370,1,$P$1-8)+INDEX(Data!887:887,1,$P$1-8)-INDEX(Data!1373:1373,1,$P$1-8))+(INDEX(Data!370:370,1,$P$1-7)+INDEX(Data!887:887,1,$P$1-7)-INDEX(Data!1373:1373,1,$P$1-7))</f>
        <v>19175136</v>
      </c>
      <c r="C231" s="87">
        <f>(INDEX(Data!370:370,1,$P$1-6)+INDEX(Data!887:887,1,$P$1-6)-INDEX(Data!1373:1373,1,$P$1-6))+(INDEX(Data!370:370,1,$P$1-5)+INDEX(Data!887:887,1,$P$1-5)-INDEX(Data!1373:1373,1,$P$1-5))</f>
        <v>21634795</v>
      </c>
      <c r="D231" s="404">
        <f>(INDEX(Data!370:370,1,$P$1-4)+INDEX(Data!887:887,1,$P$1-4)-INDEX(Data!1373:1373,1,$P$1-4))+(INDEX(Data!370:370,1,$P$1-3)+INDEX(Data!887:887,1,$P$1-3)-INDEX(Data!1373:1373,1,$P$1-3))</f>
        <v>21744915</v>
      </c>
      <c r="E231" s="90">
        <f>(INDEX(Data!370:370,1,$P$1-2)+INDEX(Data!887:887,1,$P$1-2)-INDEX(Data!1373:1373,1,$P$1-2))+(INDEX(Data!370:370,1,$P$1-1)+INDEX(Data!887:887,1,$P$1-1)-INDEX(Data!1373:1373,1,$P$1-1))</f>
        <v>22776022</v>
      </c>
      <c r="F231" s="88">
        <f>(INDEX(Data!370:370,1,$P$1)+INDEX(Data!887:887,1,$P$1)-INDEX(Data!1373:1373,1,$P$1))+(INDEX(Data!370:370,1,$P$1+1)+INDEX(Data!887:887,1,$P$1+1)-INDEX(Data!1373:1373,1,$P$1+1))</f>
        <v>23356205</v>
      </c>
      <c r="G231" s="91">
        <f>(INDEX(Data!422:422,1,$P$1-8)+INDEX(Data!887:887,1,$P$1-8)-INDEX(Data!1530:1530,1,$P$1-8))+(INDEX(Data!422:422,1,$P$1-7)+INDEX(Data!887:887,1,$P$1-7)-INDEX(Data!1530:1530,1,$P$1-7))</f>
        <v>19175136</v>
      </c>
      <c r="H231" s="87">
        <f>(INDEX(Data!422:422,1,$P$1-6)+INDEX(Data!887:887,1,$P$1-6)-INDEX(Data!1530:1530,1,$P$1-6))+(INDEX(Data!422:422,1,$P$1-5)+INDEX(Data!887:887,1,$P$1-5)-INDEX(Data!1530:1530,1,$P$1-5))</f>
        <v>21634795</v>
      </c>
      <c r="I231" s="404">
        <f>(INDEX(Data!422:422,1,$P$1-4)+INDEX(Data!887:887,1,$P$1-4)-INDEX(Data!1530:1530,1,$P$1-4))+(INDEX(Data!422:422,1,$P$1-3)+INDEX(Data!887:887,1,$P$1-3)-INDEX(Data!1530:1530,1,$P$1-3))</f>
        <v>21744915</v>
      </c>
      <c r="J231" s="90">
        <f>(INDEX(Data!422:422,1,$P$1-2)+INDEX(Data!887:887,1,$P$1-2)-INDEX(Data!1530:1530,1,$P$1-2))+(INDEX(Data!422:422,1,$P$1-1)+INDEX(Data!887:887,1,$P$1-1)-INDEX(Data!1530:1530,1,$P$1-1))</f>
        <v>22776022</v>
      </c>
      <c r="K231" s="88">
        <f>(INDEX(Data!422:422,1,$P$1)+INDEX(Data!887:887,1,$P$1)-INDEX(Data!1530:1530,1,$P$1))+(INDEX(Data!422:422,1,$P$1+1)+INDEX(Data!887:887,1,$P$1+1)-INDEX(Data!1530:1530,1,$P$1+1))</f>
        <v>23356205</v>
      </c>
    </row>
    <row r="232" spans="1:13" collapsed="1">
      <c r="A232" s="113" t="s">
        <v>77</v>
      </c>
      <c r="B232" s="105">
        <f t="shared" ref="B232:J232" si="29">SUM(B182:B231)</f>
        <v>1947779003</v>
      </c>
      <c r="C232" s="106">
        <f t="shared" si="29"/>
        <v>2072606651</v>
      </c>
      <c r="D232" s="405">
        <f t="shared" si="29"/>
        <v>2097422262</v>
      </c>
      <c r="E232" s="106">
        <f t="shared" si="29"/>
        <v>2159459114</v>
      </c>
      <c r="F232" s="107">
        <f t="shared" ref="F232" si="30">SUM(F182:F231)</f>
        <v>2235880458</v>
      </c>
      <c r="G232" s="405">
        <f t="shared" si="29"/>
        <v>1947779003</v>
      </c>
      <c r="H232" s="106">
        <f t="shared" si="29"/>
        <v>2072606651</v>
      </c>
      <c r="I232" s="405">
        <f t="shared" si="29"/>
        <v>2097422262</v>
      </c>
      <c r="J232" s="106">
        <f t="shared" si="29"/>
        <v>2159459114</v>
      </c>
      <c r="K232" s="107">
        <f t="shared" ref="K232" si="31">SUM(K182:K231)</f>
        <v>2235880458</v>
      </c>
    </row>
    <row r="233" spans="1:13" hidden="1" outlineLevel="1">
      <c r="A233" s="120" t="s">
        <v>27</v>
      </c>
      <c r="B233" s="86"/>
      <c r="C233" s="87"/>
      <c r="D233" s="404"/>
      <c r="E233" s="90"/>
      <c r="F233" s="88"/>
      <c r="G233" s="91"/>
      <c r="H233" s="87"/>
      <c r="I233" s="404"/>
      <c r="J233" s="90"/>
      <c r="K233" s="88"/>
    </row>
    <row r="234" spans="1:13" hidden="1" outlineLevel="1">
      <c r="A234" s="92" t="s">
        <v>790</v>
      </c>
      <c r="B234" s="86">
        <f>(INDEX(Data!989:989,1,$P$1-8)-INDEX(Data!1253:1253,1,$P$1-8))+(INDEX(Data!989:989,1,$P$1-7)-INDEX(Data!1253:1253,1,$P$1-7))</f>
        <v>24924372</v>
      </c>
      <c r="C234" s="87">
        <f>(INDEX(Data!989:989,1,$P$1-6)-INDEX(Data!1253:1253,1,$P$1-6))+(INDEX(Data!989:989,1,$P$1-5)-INDEX(Data!1253:1253,1,$P$1-5))</f>
        <v>25494230</v>
      </c>
      <c r="D234" s="404">
        <f>(INDEX(Data!989:989,1,$P$1-4)-INDEX(Data!1253:1253,1,$P$1-4))+(INDEX(Data!989:989,1,$P$1-3)-INDEX(Data!1253:1253,1,$P$1-3))</f>
        <v>26553295</v>
      </c>
      <c r="E234" s="90">
        <f>(INDEX(Data!989:989,1,$P$1-2)-INDEX(Data!1253:1253,1,$P$1-2))+(INDEX(Data!989:989,1,$P$1-1)-INDEX(Data!1253:1253,1,$P$1-1))</f>
        <v>29385730</v>
      </c>
      <c r="F234" s="88">
        <f>(INDEX(Data!989:989,1,$P$1)-INDEX(Data!1253:1253,1,$P$1))+(INDEX(Data!989:989,1,$P$1+1)-INDEX(Data!1253:1253,1,$P$1+1))</f>
        <v>30981170</v>
      </c>
      <c r="G234" s="91">
        <f>(INDEX(Data!1125:1125,1,$P$1-8)-INDEX(Data!1410:1410,1,$P$1-8))+(INDEX(Data!1125:1125,1,$P$1-7)-INDEX(Data!1410:1410,1,$P$1-7))</f>
        <v>14361401</v>
      </c>
      <c r="H234" s="87">
        <f>(INDEX(Data!1125:1125,1,$P$1-6)-INDEX(Data!1410:1410,1,$P$1-6))+(INDEX(Data!1125:1125,1,$P$1-5)-INDEX(Data!1410:1410,1,$P$1-5))</f>
        <v>12952110</v>
      </c>
      <c r="I234" s="404">
        <f>(INDEX(Data!1125:1125,1,$P$1-4)-INDEX(Data!1410:1410,1,$P$1-4))+(INDEX(Data!1125:1125,1,$P$1-3)-INDEX(Data!1410:1410,1,$P$1-3))</f>
        <v>13526481</v>
      </c>
      <c r="J234" s="90">
        <f>(INDEX(Data!1125:1125,1,$P$1-2)-INDEX(Data!1410:1410,1,$P$1-2))+(INDEX(Data!1125:1125,1,$P$1-1)-INDEX(Data!1410:1410,1,$P$1-1))</f>
        <v>15265580</v>
      </c>
      <c r="K234" s="88">
        <f>(INDEX(Data!1125:1125,1,$P$1)-INDEX(Data!1410:1410,1,$P$1))+(INDEX(Data!1125:1125,1,$P$1+1)-INDEX(Data!1410:1410,1,$P$1+1))</f>
        <v>14392388</v>
      </c>
    </row>
    <row r="235" spans="1:13" hidden="1" outlineLevel="1">
      <c r="A235" s="92" t="s">
        <v>791</v>
      </c>
      <c r="B235" s="86">
        <f>(INDEX(Data!1020:1020,1,$P$1-8)-INDEX(Data!1254:1254,1,$P$1-8))+(INDEX(Data!1020:1020,1,$P$1-7)-INDEX(Data!1254:1254,1,$P$1-7))</f>
        <v>1029220739</v>
      </c>
      <c r="C235" s="87">
        <f>(INDEX(Data!1020:1020,1,$P$1-6)-INDEX(Data!1254:1254,1,$P$1-6))+(INDEX(Data!1020:1020,1,$P$1-5)-INDEX(Data!1254:1254,1,$P$1-5))</f>
        <v>1122962285</v>
      </c>
      <c r="D235" s="404">
        <f>(INDEX(Data!1020:1020,1,$P$1-4)-INDEX(Data!1254:1254,1,$P$1-4))+(INDEX(Data!1020:1020,1,$P$1-3)-INDEX(Data!1254:1254,1,$P$1-3))</f>
        <v>1218202722</v>
      </c>
      <c r="E235" s="90">
        <f>(INDEX(Data!1020:1020,1,$P$1-2)-INDEX(Data!1254:1254,1,$P$1-2))+(INDEX(Data!1020:1020,1,$P$1-1)-INDEX(Data!1254:1254,1,$P$1-1))</f>
        <v>1105898813</v>
      </c>
      <c r="F235" s="88">
        <f>(INDEX(Data!1020:1020,1,$P$1)-INDEX(Data!1254:1254,1,$P$1))+(INDEX(Data!1020:1020,1,$P$1+1)-INDEX(Data!1254:1254,1,$P$1+1))</f>
        <v>1169854196</v>
      </c>
      <c r="G235" s="91">
        <f>(INDEX(Data!1154:1154,1,$P$1-8)-INDEX(Data!1411:1411,1,$P$1-8))+(INDEX(Data!1154:1154,1,$P$1-7)-INDEX(Data!1411:1411,1,$P$1-7))</f>
        <v>947553948</v>
      </c>
      <c r="H235" s="87">
        <f>(INDEX(Data!1154:1154,1,$P$1-6)-INDEX(Data!1411:1411,1,$P$1-6))+(INDEX(Data!1154:1154,1,$P$1-5)-INDEX(Data!1411:1411,1,$P$1-5))</f>
        <v>1005278946</v>
      </c>
      <c r="I235" s="404">
        <f>(INDEX(Data!1154:1154,1,$P$1-4)-INDEX(Data!1411:1411,1,$P$1-4))+(INDEX(Data!1154:1154,1,$P$1-3)-INDEX(Data!1411:1411,1,$P$1-3))</f>
        <v>1076219021</v>
      </c>
      <c r="J235" s="90">
        <f>(INDEX(Data!1154:1154,1,$P$1-2)-INDEX(Data!1411:1411,1,$P$1-2))+(INDEX(Data!1154:1154,1,$P$1-1)-INDEX(Data!1411:1411,1,$P$1-1))</f>
        <v>1087235407</v>
      </c>
      <c r="K235" s="88">
        <f>(INDEX(Data!1154:1154,1,$P$1)-INDEX(Data!1411:1411,1,$P$1))+(INDEX(Data!1154:1154,1,$P$1+1)-INDEX(Data!1411:1411,1,$P$1+1))</f>
        <v>1168349396</v>
      </c>
    </row>
    <row r="236" spans="1:13" s="1044" customFormat="1" hidden="1" outlineLevel="1">
      <c r="A236" s="92" t="s">
        <v>1873</v>
      </c>
      <c r="B236" s="86">
        <f>(INDEX(Data!1028:1028,1,$P$1-8)-INDEX(Data!1255:1255,1,$P$1-8))+(INDEX(Data!1028:1028,1,$P$1-7)-INDEX(Data!1255:1255,1,$P$1-7))</f>
        <v>0</v>
      </c>
      <c r="C236" s="87">
        <f>(INDEX(Data!1028:1028,1,$P$1-6)-INDEX(Data!1255:1255,1,$P$1-6))+(INDEX(Data!1028:1028,1,$P$1-5)-INDEX(Data!1255:1255,1,$P$1-5))</f>
        <v>0</v>
      </c>
      <c r="D236" s="404">
        <f>(INDEX(Data!1028:1028,1,$P$1-4)-INDEX(Data!1255:1255,1,$P$1-4))+(INDEX(Data!1028:1028,1,$P$1-3)-INDEX(Data!1255:1255,1,$P$1-3))</f>
        <v>0</v>
      </c>
      <c r="E236" s="90">
        <f>(INDEX(Data!1028:1028,1,$P$1-2)-INDEX(Data!1255:1255,1,$P$1-2))+(INDEX(Data!1028:1028,1,$P$1-1)-INDEX(Data!1255:1255,1,$P$1-1))</f>
        <v>6650000</v>
      </c>
      <c r="F236" s="88">
        <f>(INDEX(Data!1028:1028,1,$P$1)-INDEX(Data!1255:1255,1,$P$1))+(INDEX(Data!1028:1028,1,$P$1+1)-INDEX(Data!1255:1255,1,$P$1+1))</f>
        <v>7836000</v>
      </c>
      <c r="G236" s="91">
        <f>(INDEX(Data!1163:1163,1,$P$1-8)-INDEX(Data!1412:1412,1,$P$1-8))+(INDEX(Data!1163:1163,1,$P$1-7)-INDEX(Data!1412:1412,1,$P$1-7))</f>
        <v>0</v>
      </c>
      <c r="H236" s="87">
        <f>(INDEX(Data!1163:1163,1,$P$1-6)-INDEX(Data!1412:1412,1,$P$1-6))+(INDEX(Data!1163:1163,1,$P$1-5)-INDEX(Data!1412:1412,1,$P$1-5))</f>
        <v>0</v>
      </c>
      <c r="I236" s="404">
        <f>(INDEX(Data!1163:1163,1,$P$1-4)-INDEX(Data!1412:1412,1,$P$1-4))+(INDEX(Data!1163:1163,1,$P$1-3)-INDEX(Data!1412:1412,1,$P$1-3))</f>
        <v>0</v>
      </c>
      <c r="J236" s="90">
        <f>(INDEX(Data!1163:1163,1,$P$1-2)-INDEX(Data!1412:1412,1,$P$1-2))+(INDEX(Data!1163:1163,1,$P$1-1)-INDEX(Data!1412:1412,1,$P$1-1))</f>
        <v>6650000</v>
      </c>
      <c r="K236" s="88">
        <f>(INDEX(Data!1163:1163,1,$P$1)-INDEX(Data!1412:1412,1,$P$1))+(INDEX(Data!1163:1163,1,$P$1+1)-INDEX(Data!1412:1412,1,$P$1+1))</f>
        <v>7836000</v>
      </c>
      <c r="L236" s="67"/>
      <c r="M236" s="67"/>
    </row>
    <row r="237" spans="1:13" hidden="1" outlineLevel="1">
      <c r="A237" s="92" t="s">
        <v>792</v>
      </c>
      <c r="B237" s="86">
        <f>(INDEX(Data!1034:1034,1,$P$1-8)-INDEX(Data!1255:1255,1,$P$1-8))+(INDEX(Data!1034:1034,1,$P$1-7)-INDEX(Data!1255:1255,1,$P$1-7))</f>
        <v>1000000</v>
      </c>
      <c r="C237" s="87">
        <f>(INDEX(Data!1034:1034,1,$P$1-6)-INDEX(Data!1255:1255,1,$P$1-6))+(INDEX(Data!1034:1034,1,$P$1-5)-INDEX(Data!1255:1255,1,$P$1-5))</f>
        <v>36625000</v>
      </c>
      <c r="D237" s="404">
        <f>(INDEX(Data!1034:1034,1,$P$1-4)-INDEX(Data!1255:1255,1,$P$1-4))+(INDEX(Data!1034:1034,1,$P$1-3)-INDEX(Data!1255:1255,1,$P$1-3))</f>
        <v>138125000</v>
      </c>
      <c r="E237" s="90">
        <f>(INDEX(Data!1034:1034,1,$P$1-2)-INDEX(Data!1255:1255,1,$P$1-2))+(INDEX(Data!1034:1034,1,$P$1-1)-INDEX(Data!1255:1255,1,$P$1-1))</f>
        <v>42800000</v>
      </c>
      <c r="F237" s="88">
        <f>(INDEX(Data!1034:1034,1,$P$1)-INDEX(Data!1255:1255,1,$P$1))+(INDEX(Data!1034:1034,1,$P$1+1)-INDEX(Data!1255:1255,1,$P$1+1))</f>
        <v>42800000</v>
      </c>
      <c r="G237" s="91">
        <f>(INDEX(Data!1175:1175,1,$P$1-8)-INDEX(Data!1412:1412,1,$P$1-8))+(INDEX(Data!1175:1175,1,$P$1-7)-INDEX(Data!1412:1412,1,$P$1-7))</f>
        <v>1000000</v>
      </c>
      <c r="H237" s="87">
        <f>(INDEX(Data!1175:1175,1,$P$1-6)-INDEX(Data!1412:1412,1,$P$1-6))+(INDEX(Data!1175:1175,1,$P$1-5)-INDEX(Data!1412:1412,1,$P$1-5))</f>
        <v>36625000</v>
      </c>
      <c r="I237" s="404">
        <f>(INDEX(Data!1175:1175,1,$P$1-4)-INDEX(Data!1412:1412,1,$P$1-4))+(INDEX(Data!1175:1175,1,$P$1-3)-INDEX(Data!1412:1412,1,$P$1-3))</f>
        <v>129125000</v>
      </c>
      <c r="J237" s="90">
        <f>(INDEX(Data!1175:1175,1,$P$1-2)-INDEX(Data!1412:1412,1,$P$1-2))+(INDEX(Data!1175:1175,1,$P$1-1)-INDEX(Data!1412:1412,1,$P$1-1))</f>
        <v>42800000</v>
      </c>
      <c r="K237" s="88">
        <f>(INDEX(Data!1175:1175,1,$P$1)-INDEX(Data!1412:1412,1,$P$1))+(INDEX(Data!1175:1175,1,$P$1+1)-INDEX(Data!1412:1412,1,$P$1+1))</f>
        <v>42800000</v>
      </c>
    </row>
    <row r="238" spans="1:13" hidden="1" outlineLevel="1">
      <c r="A238" s="92" t="s">
        <v>793</v>
      </c>
      <c r="B238" s="86">
        <f>(INDEX(Data!1061:1061,1,$P$1-8)-INDEX(Data!1256:1256,1,$P$1-8)-INDEX(Data!1036:1036,1,$P$1-8)-INDEX(Data!1037:1037,1,$P$1-8))+(INDEX(Data!1061:1061,1,$P$1-7)-INDEX(Data!1256:1256,1,$P$1-7)-INDEX(Data!1036:1036,1,$P$1-7)-INDEX(Data!1037:1037,1,$P$1-7))</f>
        <v>70437419</v>
      </c>
      <c r="C238" s="87">
        <f>(INDEX(Data!1061:1061,1,$P$1-6)-INDEX(Data!1256:1256,1,$P$1-6)-INDEX(Data!1036:1036,1,$P$1-6)-INDEX(Data!1037:1037,1,$P$1-6))+(INDEX(Data!1061:1061,1,$P$1-5)-INDEX(Data!1256:1256,1,$P$1-5)-INDEX(Data!1036:1036,1,$P$1-5)-INDEX(Data!1037:1037,1,$P$1-5))</f>
        <v>99786794</v>
      </c>
      <c r="D238" s="91">
        <f>(INDEX(Data!1061:1061,1,$P$1-4)-INDEX(Data!1256:1256,1,$P$1-4)-INDEX(Data!1036:1036,1,$P$1-4)-INDEX(Data!1037:1037,1,$P$1-4))+(INDEX(Data!1061:1061,1,$P$1-3)-INDEX(Data!1256:1256,1,$P$1-3)-INDEX(Data!1036:1036,1,$P$1-3)-INDEX(Data!1037:1037,1,$P$1-3))</f>
        <v>168857100</v>
      </c>
      <c r="E238" s="87">
        <f>(INDEX(Data!1061:1061,1,$P$1-2)-INDEX(Data!1256:1256,1,$P$1-2)-INDEX(Data!1036:1036,1,$P$1-2)-INDEX(Data!1037:1037,1,$P$1-2))+(INDEX(Data!1061:1061,1,$P$1-1)-INDEX(Data!1256:1256,1,$P$1-1)-INDEX(Data!1036:1036,1,$P$1-1)-INDEX(Data!1037:1037,1,$P$1-1))</f>
        <v>179431794</v>
      </c>
      <c r="F238" s="88">
        <f>(INDEX(Data!1061:1061,1,$P$1)-INDEX(Data!1256:1256,1,$P$1)-INDEX(Data!1036:1036,1,$P$1)-INDEX(Data!1037:1037,1,$P$1))+(INDEX(Data!1061:1061,1,$P$1+1)-INDEX(Data!1256:1256,1,$P$1+1)-INDEX(Data!1036:1036,1,$P$1+1)-INDEX(Data!1037:1037,1,$P$1+1))</f>
        <v>338826635</v>
      </c>
      <c r="G238" s="91">
        <f>(INDEX(Data!1201:1201,1,$P$1-8)-INDEX(Data!1413:1413,1,$P$1-8)-INDEX(Data!1177:1177,1,$P$1-8)-INDEX(Data!1178:1178,1,$P$1-8))+(INDEX(Data!1201:1201,1,$P$1-7)-INDEX(Data!1413:1413,1,$P$1-7)-INDEX(Data!1177:1177,1,$P$1-7)-INDEX(Data!1178:1178,1,$P$1-7))</f>
        <v>64837419</v>
      </c>
      <c r="H238" s="87">
        <f>(INDEX(Data!1201:1201,1,$P$1-6)-INDEX(Data!1413:1413,1,$P$1-6)-INDEX(Data!1177:1177,1,$P$1-6)-INDEX(Data!1178:1178,1,$P$1-6))+(INDEX(Data!1201:1201,1,$P$1-5)-INDEX(Data!1413:1413,1,$P$1-5)-INDEX(Data!1177:1177,1,$P$1-5)-INDEX(Data!1178:1178,1,$P$1-5))</f>
        <v>61486794</v>
      </c>
      <c r="I238" s="91">
        <f>(INDEX(Data!1201:1201,1,$P$1-4)-INDEX(Data!1413:1413,1,$P$1-4)-INDEX(Data!1177:1177,1,$P$1-4)-INDEX(Data!1178:1178,1,$P$1-4))+(INDEX(Data!1201:1201,1,$P$1-3)-INDEX(Data!1413:1413,1,$P$1-3)-INDEX(Data!1177:1177,1,$P$1-3)-INDEX(Data!1178:1178,1,$P$1-3))</f>
        <v>116501794</v>
      </c>
      <c r="J238" s="87">
        <f>(INDEX(Data!1201:1201,1,$P$1-2)-INDEX(Data!1413:1413,1,$P$1-2)-INDEX(Data!1177:1177,1,$P$1-2)-INDEX(Data!1178:1178,1,$P$1-2))+(INDEX(Data!1201:1201,1,$P$1-1)-INDEX(Data!1413:1413,1,$P$1-1)-INDEX(Data!1177:1177,1,$P$1-1)-INDEX(Data!1178:1178,1,$P$1-1))</f>
        <v>127831794</v>
      </c>
      <c r="K238" s="88">
        <f>(INDEX(Data!1201:1201,1,$P$1)-INDEX(Data!1413:1413,1,$P$1)-INDEX(Data!1177:1177,1,$P$1)-INDEX(Data!1178:1178,1,$P$1))+(INDEX(Data!1201:1201,1,$P$1+1)-INDEX(Data!1413:1413,1,$P$1+1)-INDEX(Data!1177:1177,1,$P$1+1)-INDEX(Data!1178:1178,1,$P$1+1))</f>
        <v>286534342</v>
      </c>
    </row>
    <row r="239" spans="1:13" ht="25.5" hidden="1" outlineLevel="1">
      <c r="A239" s="92" t="s">
        <v>1287</v>
      </c>
      <c r="B239" s="86"/>
      <c r="C239" s="87"/>
      <c r="D239" s="404"/>
      <c r="E239" s="90"/>
      <c r="F239" s="88"/>
      <c r="G239" s="91"/>
      <c r="H239" s="87"/>
      <c r="I239" s="404"/>
      <c r="J239" s="90"/>
      <c r="K239" s="88"/>
    </row>
    <row r="240" spans="1:13" hidden="1" outlineLevel="1">
      <c r="A240" s="92" t="s">
        <v>794</v>
      </c>
      <c r="B240" s="86">
        <f>(INDEX(Data!1084:1084,1,$P$1-8)-INDEX(Data!1258:1258,1,$P$1-8))+(INDEX(Data!1084:1084,1,$P$1-7)-INDEX(Data!1258:1258,1,$P$1-7))</f>
        <v>11174138</v>
      </c>
      <c r="C240" s="87">
        <f>(INDEX(Data!1084:1084,1,$P$1-6)-INDEX(Data!1258:1258,1,$P$1-6))+(INDEX(Data!1084:1084,1,$P$1-5)-INDEX(Data!1258:1258,1,$P$1-5))</f>
        <v>28011036</v>
      </c>
      <c r="D240" s="404">
        <f>(INDEX(Data!1084:1084,1,$P$1-4)-INDEX(Data!1258:1258,1,$P$1-4))+(INDEX(Data!1084:1084,1,$P$1-3)-INDEX(Data!1258:1258,1,$P$1-3))</f>
        <v>252353800</v>
      </c>
      <c r="E240" s="90">
        <f>(INDEX(Data!1084:1084,1,$P$1-2)-INDEX(Data!1258:1258,1,$P$1-2))+(INDEX(Data!1084:1084,1,$P$1-1)-INDEX(Data!1258:1258,1,$P$1-1))</f>
        <v>0</v>
      </c>
      <c r="F240" s="88">
        <f>(INDEX(Data!1084:1084,1,$P$1)-INDEX(Data!1258:1258,1,$P$1))+(INDEX(Data!1084:1084,1,$P$1+1)-INDEX(Data!1258:1258,1,$P$1+1))</f>
        <v>0</v>
      </c>
      <c r="G240" s="91">
        <f>(INDEX(Data!1221:1221,1,$P$1-8)-INDEX(Data!1415:1415,1,$P$1-8))+(INDEX(Data!1221:1221,1,$P$1-7)-INDEX(Data!1415:1415,1,$P$1-7))</f>
        <v>11174138</v>
      </c>
      <c r="H240" s="87">
        <f>(INDEX(Data!1221:1221,1,$P$1-6)-INDEX(Data!1415:1415,1,$P$1-6))+(INDEX(Data!1221:1221,1,$P$1-5)-INDEX(Data!1415:1415,1,$P$1-5))</f>
        <v>28011036</v>
      </c>
      <c r="I240" s="404">
        <f>(INDEX(Data!1221:1221,1,$P$1-4)-INDEX(Data!1415:1415,1,$P$1-4))+(INDEX(Data!1221:1221,1,$P$1-3)-INDEX(Data!1415:1415,1,$P$1-3))</f>
        <v>252353800</v>
      </c>
      <c r="J240" s="90">
        <f>(INDEX(Data!1221:1221,1,$P$1-2)-INDEX(Data!1415:1415,1,$P$1-2))+(INDEX(Data!1221:1221,1,$P$1-1)-INDEX(Data!1415:1415,1,$P$1-1))</f>
        <v>0</v>
      </c>
      <c r="K240" s="88">
        <f>(INDEX(Data!1221:1221,1,$P$1)-INDEX(Data!1415:1415,1,$P$1))+(INDEX(Data!1221:1221,1,$P$1+1)-INDEX(Data!1415:1415,1,$P$1+1))</f>
        <v>0</v>
      </c>
    </row>
    <row r="241" spans="1:11" ht="15" hidden="1" customHeight="1" outlineLevel="1">
      <c r="A241" s="92" t="s">
        <v>1988</v>
      </c>
      <c r="B241" s="86">
        <f>(INDEX(Data!1096:1096,1,$P$1-8)-INDEX(Data!1259:1259,1,$P$1-8))+(INDEX(Data!1096:1096,1,$P$1-7)-INDEX(Data!1259:1259,1,$P$1-7))</f>
        <v>123636426</v>
      </c>
      <c r="C241" s="87">
        <f>(INDEX(Data!1096:1096,1,$P$1-6)-INDEX(Data!1259:1259,1,$P$1-6))+(INDEX(Data!1096:1096,1,$P$1-5)-INDEX(Data!1259:1259,1,$P$1-5))</f>
        <v>54546000</v>
      </c>
      <c r="D241" s="404">
        <f>(INDEX(Data!1096:1096,1,$P$1-4)-INDEX(Data!1259:1259,1,$P$1-4))+(INDEX(Data!1096:1096,1,$P$1-3)-INDEX(Data!1259:1259,1,$P$1-3))</f>
        <v>65226692</v>
      </c>
      <c r="E241" s="90">
        <f>(INDEX(Data!1096:1096,1,$P$1-2)-INDEX(Data!1259:1259,1,$P$1-2))+(INDEX(Data!1096:1096,1,$P$1-1)-INDEX(Data!1259:1259,1,$P$1-1))</f>
        <v>72517292</v>
      </c>
      <c r="F241" s="88">
        <f>(INDEX(Data!1096:1096,1,$P$1)-INDEX(Data!1259:1259,1,$P$1))+(INDEX(Data!1096:1096,1,$P$1+1)-INDEX(Data!1259:1259,1,$P$1+1))</f>
        <v>68347157</v>
      </c>
      <c r="G241" s="91">
        <f>(INDEX(Data!1170:1170,1,$P$1-8)-INDEX(Data!1416:1416,1,$P$1-8))+(INDEX(Data!1170:1170,1,$P$1-7)-INDEX(Data!1416:1416,1,$P$1-7))</f>
        <v>0</v>
      </c>
      <c r="H241" s="87">
        <f>(INDEX(Data!1170:1170,1,$P$1-6)-INDEX(Data!1416:1416,1,$P$1-6))+(INDEX(Data!1170:1170,1,$P$1-5)-INDEX(Data!1416:1416,1,$P$1-5))</f>
        <v>0</v>
      </c>
      <c r="I241" s="404">
        <f>(INDEX(Data!1170:1170,1,$P$1-4)-INDEX(Data!1416:1416,1,$P$1-4))+(INDEX(Data!1170:1170,1,$P$1-3)-INDEX(Data!1416:1416,1,$P$1-3))</f>
        <v>0</v>
      </c>
      <c r="J241" s="90">
        <f>(INDEX(Data!1170:1170,1,$P$1-2)-INDEX(Data!1416:1416,1,$P$1-2))+(INDEX(Data!1170:1170,1,$P$1-1)-INDEX(Data!1416:1416,1,$P$1-1))</f>
        <v>11750000</v>
      </c>
      <c r="K241" s="88">
        <f>(INDEX(Data!1170:1170,1,$P$1)-INDEX(Data!1416:1416,1,$P$1))+(INDEX(Data!1170:1170,1,$P$1+1)-INDEX(Data!1416:1416,1,$P$1+1))</f>
        <v>13483347</v>
      </c>
    </row>
    <row r="242" spans="1:11" hidden="1" outlineLevel="1">
      <c r="A242" s="92" t="s">
        <v>796</v>
      </c>
      <c r="B242" s="86">
        <f>(INDEX(Data!1102:1102,1,$P$1-8)-INDEX(Data!1260:1260,1,$P$1-8)-INDEX(Data!1100:1100,1,$P$1-8)-INDEX(Data!1101:1101,1,$P$1-8))+(INDEX(Data!1102:1102,1,$P$1-7)-INDEX(Data!1260:1260,1,$P$1-7)-INDEX(Data!1100:1100,1,$P$1-7)-INDEX(Data!1101:1101,1,$P$1-7))</f>
        <v>12099612</v>
      </c>
      <c r="C242" s="87">
        <f>(INDEX(Data!1102:1102,1,$P$1-6)-INDEX(Data!1260:1260,1,$P$1-6)-INDEX(Data!1100:1100,1,$P$1-6)-INDEX(Data!1101:1101,1,$P$1-6))+(INDEX(Data!1102:1102,1,$P$1-5)-INDEX(Data!1260:1260,1,$P$1-5)-INDEX(Data!1100:1100,1,$P$1-5)-INDEX(Data!1101:1101,1,$P$1-5))</f>
        <v>8350000</v>
      </c>
      <c r="D242" s="91">
        <f>(INDEX(Data!1102:1102,1,$P$1-4)-INDEX(Data!1260:1260,1,$P$1-4)-INDEX(Data!1100:1100,1,$P$1-4)-INDEX(Data!1101:1101,1,$P$1-4))+(INDEX(Data!1102:1102,1,$P$1-3)-INDEX(Data!1260:1260,1,$P$1-3)-INDEX(Data!1100:1100,1,$P$1-3)-INDEX(Data!1101:1101,1,$P$1-3))</f>
        <v>15291278</v>
      </c>
      <c r="E242" s="87">
        <f>(INDEX(Data!1102:1102,1,$P$1-2)-INDEX(Data!1260:1260,1,$P$1-2)-INDEX(Data!1100:1100,1,$P$1-2)-INDEX(Data!1101:1101,1,$P$1-2))+(INDEX(Data!1102:1102,1,$P$1-1)-INDEX(Data!1260:1260,1,$P$1-1)-INDEX(Data!1100:1100,1,$P$1-1)-INDEX(Data!1101:1101,1,$P$1-1))</f>
        <v>18785328</v>
      </c>
      <c r="F242" s="88">
        <f>(INDEX(Data!1102:1102,1,$P$1)-INDEX(Data!1260:1260,1,$P$1)-INDEX(Data!1100:1100,1,$P$1)-INDEX(Data!1101:1101,1,$P$1))+(INDEX(Data!1102:1102,1,$P$1+1)-INDEX(Data!1260:1260,1,$P$1+1)-INDEX(Data!1100:1100,1,$P$1+1)-INDEX(Data!1101:1101,1,$P$1+1))</f>
        <v>5900722</v>
      </c>
      <c r="G242" s="91"/>
      <c r="H242" s="87"/>
      <c r="I242" s="404"/>
      <c r="J242" s="90"/>
      <c r="K242" s="88"/>
    </row>
    <row r="243" spans="1:11" hidden="1" outlineLevel="1">
      <c r="A243" s="92" t="s">
        <v>260</v>
      </c>
      <c r="B243" s="86">
        <f>(INDEX(Data!1108:1108,1,$P$1-8)-INDEX(Data!1261:1261,1,$P$1-8))+(INDEX(Data!1108:1108,1,$P$1-7)-INDEX(Data!1261:1261,1,$P$1-7))</f>
        <v>18195621</v>
      </c>
      <c r="C243" s="87">
        <f>(INDEX(Data!1108:1108,1,$P$1-6)-INDEX(Data!1261:1261,1,$P$1-6))+(INDEX(Data!1108:1108,1,$P$1-5)-INDEX(Data!1261:1261,1,$P$1-5))</f>
        <v>20447157</v>
      </c>
      <c r="D243" s="404">
        <f>(INDEX(Data!1108:1108,1,$P$1-4)-INDEX(Data!1261:1261,1,$P$1-4))+(INDEX(Data!1108:1108,1,$P$1-3)-INDEX(Data!1261:1261,1,$P$1-3))</f>
        <v>22361777</v>
      </c>
      <c r="E243" s="90">
        <f>(INDEX(Data!1108:1108,1,$P$1-2)-INDEX(Data!1261:1261,1,$P$1-2))+(INDEX(Data!1108:1108,1,$P$1-1)-INDEX(Data!1261:1261,1,$P$1-1))</f>
        <v>25792970</v>
      </c>
      <c r="F243" s="88">
        <f>(INDEX(Data!1108:1108,1,$P$1)-INDEX(Data!1261:1261,1,$P$1))+(INDEX(Data!1108:1108,1,$P$1+1)-INDEX(Data!1261:1261,1,$P$1+1))</f>
        <v>27706998</v>
      </c>
      <c r="G243" s="91">
        <f>(INDEX(Data!1227:1227,1,$P$1-8)-INDEX(Data!1418:1418,1,$P$1-8))+(INDEX(Data!1227:1227,1,$P$1-7)-INDEX(Data!1418:1418,1,$P$1-7))</f>
        <v>9777303</v>
      </c>
      <c r="H243" s="87">
        <f>(INDEX(Data!1227:1227,1,$P$1-6)-INDEX(Data!1418:1418,1,$P$1-6))+(INDEX(Data!1227:1227,1,$P$1-5)-INDEX(Data!1418:1418,1,$P$1-5))</f>
        <v>12770564</v>
      </c>
      <c r="I243" s="404">
        <f>(INDEX(Data!1227:1227,1,$P$1-4)-INDEX(Data!1418:1418,1,$P$1-4))+(INDEX(Data!1227:1227,1,$P$1-3)-INDEX(Data!1418:1418,1,$P$1-3))</f>
        <v>14997651</v>
      </c>
      <c r="J243" s="90">
        <f>(INDEX(Data!1227:1227,1,$P$1-2)-INDEX(Data!1418:1418,1,$P$1-2))+(INDEX(Data!1227:1227,1,$P$1-1)-INDEX(Data!1418:1418,1,$P$1-1))</f>
        <v>13836879</v>
      </c>
      <c r="K243" s="88">
        <f>(INDEX(Data!1227:1227,1,$P$1)-INDEX(Data!1418:1418,1,$P$1))+(INDEX(Data!1227:1227,1,$P$1+1)-INDEX(Data!1418:1418,1,$P$1+1))</f>
        <v>14934829</v>
      </c>
    </row>
    <row r="244" spans="1:11" hidden="1" outlineLevel="1">
      <c r="A244" s="92" t="s">
        <v>797</v>
      </c>
      <c r="B244" s="86">
        <f>(INDEX(Data!1262:1262,1,$P$1-8))+(INDEX(Data!1262:1262,1,$P$1-7))</f>
        <v>0</v>
      </c>
      <c r="C244" s="87">
        <f>(INDEX(Data!1262:1262,1,$P$1-6))+(INDEX(Data!1262:1262,1,$P$1-5))</f>
        <v>0</v>
      </c>
      <c r="D244" s="404">
        <f>(INDEX(Data!1262:1262,1,$P$1-4))+(INDEX(Data!1262:1262,1,$P$1-3))</f>
        <v>0</v>
      </c>
      <c r="E244" s="90">
        <f>(INDEX(Data!1262:1262,1,$P$1-2))+(INDEX(Data!1262:1262,1,$P$1-1))</f>
        <v>0</v>
      </c>
      <c r="F244" s="88">
        <f>(INDEX(Data!1262:1262,1,$P$1))+(INDEX(Data!1262:1262,1,$P$1+1))</f>
        <v>0</v>
      </c>
      <c r="G244" s="91"/>
      <c r="H244" s="87"/>
      <c r="I244" s="404"/>
      <c r="J244" s="90"/>
      <c r="K244" s="88"/>
    </row>
    <row r="245" spans="1:11" collapsed="1">
      <c r="A245" s="113" t="s">
        <v>27</v>
      </c>
      <c r="B245" s="105">
        <f t="shared" ref="B245:K245" si="32">SUM(B234:B244)</f>
        <v>1290688327</v>
      </c>
      <c r="C245" s="106">
        <f t="shared" si="32"/>
        <v>1396222502</v>
      </c>
      <c r="D245" s="465">
        <f t="shared" si="32"/>
        <v>1906971664</v>
      </c>
      <c r="E245" s="115">
        <f t="shared" si="32"/>
        <v>1481261927</v>
      </c>
      <c r="F245" s="107">
        <f t="shared" si="32"/>
        <v>1692252878</v>
      </c>
      <c r="G245" s="405">
        <f t="shared" si="32"/>
        <v>1048704209</v>
      </c>
      <c r="H245" s="106">
        <f t="shared" si="32"/>
        <v>1157124450</v>
      </c>
      <c r="I245" s="465">
        <f t="shared" si="32"/>
        <v>1602723747</v>
      </c>
      <c r="J245" s="115">
        <f t="shared" si="32"/>
        <v>1305369660</v>
      </c>
      <c r="K245" s="115">
        <f t="shared" si="32"/>
        <v>1548330302</v>
      </c>
    </row>
    <row r="246" spans="1:11" ht="25.5" hidden="1" outlineLevel="1">
      <c r="A246" s="92" t="s">
        <v>798</v>
      </c>
      <c r="B246" s="86">
        <f>(INDEX(Data!500:500,1,$P$1-8))+(INDEX(Data!500:500,1,$P$1-7))</f>
        <v>0</v>
      </c>
      <c r="C246" s="87">
        <f>(INDEX(Data!500:500,1,$P$1-6))+(INDEX(Data!500:500,1,$P$1-5))</f>
        <v>0</v>
      </c>
      <c r="D246" s="404">
        <f>(INDEX(Data!500:500,1,$P$1-4))+(INDEX(Data!500:500,1,$P$1-3))</f>
        <v>0</v>
      </c>
      <c r="E246" s="90">
        <f>(INDEX(Data!500:500,1,$P$1-2))+(INDEX(Data!500:500,1,$P$1-1))</f>
        <v>0</v>
      </c>
      <c r="F246" s="88">
        <f>(INDEX(Data!500:500,1,$P$1))+(INDEX(Data!500:500,1,$P$1+1))</f>
        <v>0</v>
      </c>
      <c r="G246" s="91">
        <f>(INDEX(Data!500:500,1,$P$1-8))+(INDEX(Data!500:500,1,$P$1-7))</f>
        <v>0</v>
      </c>
      <c r="H246" s="87">
        <f>(INDEX(Data!500:500,1,$P$1-6))+(INDEX(Data!500:500,1,$P$1-5))</f>
        <v>0</v>
      </c>
      <c r="I246" s="404">
        <f>(INDEX(Data!500:500,1,$P$1-4))+(INDEX(Data!500:500,1,$P$1-3))</f>
        <v>0</v>
      </c>
      <c r="J246" s="90">
        <f>(INDEX(Data!500:500,1,$P$1-2))+(INDEX(Data!500:500,1,$P$1-1))</f>
        <v>0</v>
      </c>
      <c r="K246" s="88">
        <f>(INDEX(Data!500:500,1,$P$1))+(INDEX(Data!500:500,1,$P$1+1))</f>
        <v>0</v>
      </c>
    </row>
    <row r="247" spans="1:11" ht="25.5" hidden="1" outlineLevel="1">
      <c r="A247" s="92" t="s">
        <v>799</v>
      </c>
      <c r="B247" s="86">
        <f>(INDEX(Data!501:501,1,$P$1-8))+(INDEX(Data!501:501,1,$P$1-7))</f>
        <v>0</v>
      </c>
      <c r="C247" s="87">
        <f>(INDEX(Data!501:501,1,$P$1-6))+(INDEX(Data!501:501,1,$P$1-5))</f>
        <v>0</v>
      </c>
      <c r="D247" s="404">
        <f>(INDEX(Data!501:501,1,$P$1-4))+(INDEX(Data!501:501,1,$P$1-3))</f>
        <v>0</v>
      </c>
      <c r="E247" s="90">
        <f>(INDEX(Data!501:501,1,$P$1-2))+(INDEX(Data!501:501,1,$P$1-1))</f>
        <v>0</v>
      </c>
      <c r="F247" s="88">
        <f>(INDEX(Data!501:501,1,$P$1))+(INDEX(Data!501:501,1,$P$1+1))</f>
        <v>0</v>
      </c>
      <c r="G247" s="91">
        <f>(INDEX(Data!501:501,1,$P$1-8))+(INDEX(Data!501:501,1,$P$1-7))</f>
        <v>0</v>
      </c>
      <c r="H247" s="87">
        <f>(INDEX(Data!501:501,1,$P$1-6))+(INDEX(Data!501:501,1,$P$1-5))</f>
        <v>0</v>
      </c>
      <c r="I247" s="404">
        <f>(INDEX(Data!501:501,1,$P$1-4))+(INDEX(Data!501:501,1,$P$1-3))</f>
        <v>0</v>
      </c>
      <c r="J247" s="90">
        <f>(INDEX(Data!501:501,1,$P$1-2))+(INDEX(Data!501:501,1,$P$1-1))</f>
        <v>0</v>
      </c>
      <c r="K247" s="88">
        <f>(INDEX(Data!501:501,1,$P$1))+(INDEX(Data!501:501,1,$P$1+1))</f>
        <v>0</v>
      </c>
    </row>
    <row r="248" spans="1:11" hidden="1" outlineLevel="1">
      <c r="A248" s="92" t="s">
        <v>717</v>
      </c>
      <c r="B248" s="86">
        <f>(INDEX(Data!39:39,1,$P$1-8))+(INDEX(Data!39:39,1,$P$1-7))</f>
        <v>525000000</v>
      </c>
      <c r="C248" s="87">
        <f>(INDEX(Data!39:39,1,$P$1-6))+(INDEX(Data!39:39,1,$P$1-5))</f>
        <v>525000000</v>
      </c>
      <c r="D248" s="404">
        <f>(INDEX(Data!39:39,1,$P$1-4))+(INDEX(Data!39:39,1,$P$1-3))</f>
        <v>656250000</v>
      </c>
      <c r="E248" s="90">
        <f>(INDEX(Data!39:39,1,$P$1-2))+(INDEX(Data!39:39,1,$P$1-1))</f>
        <v>787500000</v>
      </c>
      <c r="F248" s="88">
        <f>(INDEX(Data!39:39,1,$P$1))+(INDEX(Data!39:39,1,$P$1+1))</f>
        <v>787500000</v>
      </c>
      <c r="G248" s="91">
        <f>(INDEX(Data!140:140,1,$P$1-8))+(INDEX(Data!140:140,1,$P$1-7))</f>
        <v>525000000</v>
      </c>
      <c r="H248" s="87">
        <f>(INDEX(Data!140:140,1,$P$1-6))+(INDEX(Data!140:140,1,$P$1-5))</f>
        <v>525000000</v>
      </c>
      <c r="I248" s="404">
        <f>(INDEX(Data!140:140,1,$P$1-4))+(INDEX(Data!140:140,1,$P$1-3))</f>
        <v>656250000</v>
      </c>
      <c r="J248" s="90">
        <f>(INDEX(Data!140:140,1,$P$1-2))+(INDEX(Data!140:140,1,$P$1-1))</f>
        <v>787500000</v>
      </c>
      <c r="K248" s="88">
        <f>(INDEX(Data!140:140,1,$P$1))+(INDEX(Data!140:140,1,$P$1+1))</f>
        <v>787500000</v>
      </c>
    </row>
    <row r="249" spans="1:11" hidden="1" outlineLevel="1">
      <c r="A249" s="92" t="s">
        <v>29</v>
      </c>
      <c r="B249" s="86">
        <f>(INDEX(Data!41:41,1,$P$1-8))+(INDEX(Data!41:41,1,$P$1-7))</f>
        <v>1061449668</v>
      </c>
      <c r="C249" s="87">
        <f>(INDEX(Data!41:41,1,$P$1-6))+(INDEX(Data!41:41,1,$P$1-5))</f>
        <v>1320507419</v>
      </c>
      <c r="D249" s="404">
        <f>(INDEX(Data!41:41,1,$P$1-4))+(INDEX(Data!41:41,1,$P$1-3))</f>
        <v>1690499008</v>
      </c>
      <c r="E249" s="90">
        <f>(INDEX(Data!41:41,1,$P$1-2))+(INDEX(Data!41:41,1,$P$1-1))</f>
        <v>1800547973</v>
      </c>
      <c r="F249" s="88">
        <f>(INDEX(Data!41:41,1,$P$1))+(INDEX(Data!41:41,1,$P$1+1))</f>
        <v>2384733000</v>
      </c>
      <c r="G249" s="91">
        <f>(INDEX(Data!218:218,1,$P$1-8))+(INDEX(Data!218:218,1,$P$1-7))</f>
        <v>0</v>
      </c>
      <c r="H249" s="87">
        <f>(INDEX(Data!218:218,1,$P$1-6))+(INDEX(Data!218:218,1,$P$1-5))</f>
        <v>0</v>
      </c>
      <c r="I249" s="404">
        <f>(INDEX(Data!218:218,1,$P$1-4))+(INDEX(Data!218:218,1,$P$1-3))</f>
        <v>0</v>
      </c>
      <c r="J249" s="90">
        <f>(INDEX(Data!218:218,1,$P$1-2))+(INDEX(Data!218:218,1,$P$1-1))</f>
        <v>0</v>
      </c>
      <c r="K249" s="88">
        <f>(INDEX(Data!218:218,1,$P$1))+(INDEX(Data!218:218,1,$P$1+1))</f>
        <v>0</v>
      </c>
    </row>
    <row r="250" spans="1:11" ht="25.5" hidden="1" outlineLevel="1">
      <c r="A250" s="92" t="s">
        <v>800</v>
      </c>
      <c r="B250" s="86">
        <f>(INDEX(Data!42:42,1,$P$1-8))+(INDEX(Data!42:42,1,$P$1-7))</f>
        <v>12400000</v>
      </c>
      <c r="C250" s="87">
        <f>(INDEX(Data!42:42,1,$P$1-6))+(INDEX(Data!42:42,1,$P$1-5))</f>
        <v>55896546</v>
      </c>
      <c r="D250" s="404">
        <f>(INDEX(Data!42:42,1,$P$1-4))+(INDEX(Data!42:42,1,$P$1-3))</f>
        <v>61068150</v>
      </c>
      <c r="E250" s="90">
        <f>(INDEX(Data!42:42,1,$P$1-2))+(INDEX(Data!42:42,1,$P$1-1))</f>
        <v>46326661</v>
      </c>
      <c r="F250" s="88">
        <f>(INDEX(Data!42:42,1,$P$1))+(INDEX(Data!42:42,1,$P$1+1))</f>
        <v>50225534</v>
      </c>
      <c r="G250" s="91"/>
      <c r="H250" s="87"/>
      <c r="I250" s="404"/>
      <c r="J250" s="90"/>
      <c r="K250" s="88"/>
    </row>
    <row r="251" spans="1:11" ht="25.5" hidden="1" outlineLevel="1">
      <c r="A251" s="112" t="s">
        <v>1666</v>
      </c>
      <c r="B251" s="86">
        <f>(INDEX(Data!43:43,1,$P$1-8))+(INDEX(Data!43:43,1,$P$1-7))</f>
        <v>0</v>
      </c>
      <c r="C251" s="87">
        <f>(INDEX(Data!43:43,1,$P$1-6))+(INDEX(Data!43:43,1,$P$1-5))</f>
        <v>0</v>
      </c>
      <c r="D251" s="404">
        <f>(INDEX(Data!43:43,1,$P$1-4))+(INDEX(Data!43:43,1,$P$1-3))</f>
        <v>23504213</v>
      </c>
      <c r="E251" s="90">
        <f>(INDEX(Data!43:43,1,$P$1-2))+(INDEX(Data!43:43,1,$P$1-1))</f>
        <v>47260506</v>
      </c>
      <c r="F251" s="88">
        <f>(INDEX(Data!43:43,1,$P$1))+(INDEX(Data!43:43,1,$P$1+1))</f>
        <v>47837074</v>
      </c>
      <c r="G251" s="91">
        <f>(INDEX(Data!142:142,1,$P$1-8))+(INDEX(Data!142:142,1,$P$1-7))</f>
        <v>0</v>
      </c>
      <c r="H251" s="87">
        <f>(INDEX(Data!142:142,1,$P$1-6))+(INDEX(Data!142:142,1,$P$1-5))</f>
        <v>0</v>
      </c>
      <c r="I251" s="404">
        <f>(INDEX(Data!142:142,1,$P$1-4))+(INDEX(Data!142:142,1,$P$1-3))</f>
        <v>0</v>
      </c>
      <c r="J251" s="90">
        <f>(INDEX(Data!142:142,1,$P$1-2))+(INDEX(Data!142:142,1,$P$1-1))</f>
        <v>30000000</v>
      </c>
      <c r="K251" s="88">
        <f>(INDEX(Data!142:142,1,$P$1))+(INDEX(Data!142:142,1,$P$1+1))</f>
        <v>30000000</v>
      </c>
    </row>
    <row r="252" spans="1:11" hidden="1" outlineLevel="1">
      <c r="A252" s="224" t="s">
        <v>1226</v>
      </c>
      <c r="B252" s="86">
        <f>(INDEX(Data!128:128,1,$P$1-8))*-1+(INDEX(Data!128:128,1,$P$1-7))*-1</f>
        <v>-82628334</v>
      </c>
      <c r="C252" s="87">
        <f>(INDEX(Data!128:128,1,$P$1-6))*-1+(INDEX(Data!128:128,1,$P$1-5))*-1</f>
        <v>-89740802</v>
      </c>
      <c r="D252" s="404">
        <f>(INDEX(Data!128:128,1,$P$1-4))*-1+(INDEX(Data!128:128,1,$P$1-3))*-1</f>
        <v>-100413776</v>
      </c>
      <c r="E252" s="90">
        <f>(INDEX(Data!128:128,1,$P$1-2))*-1+(INDEX(Data!128:128,1,$P$1-1))*-1</f>
        <v>-108341977</v>
      </c>
      <c r="F252" s="88">
        <f>(INDEX(Data!128:128,1,$P$1))*-1+(INDEX(Data!128:128,1,$P$1+1))*-1</f>
        <v>-117047932</v>
      </c>
      <c r="G252" s="91"/>
      <c r="H252" s="404"/>
      <c r="I252" s="87"/>
      <c r="J252" s="91"/>
      <c r="K252" s="88"/>
    </row>
    <row r="253" spans="1:11" collapsed="1">
      <c r="A253" s="113" t="s">
        <v>715</v>
      </c>
      <c r="B253" s="105">
        <f>SUM(B246:B252)</f>
        <v>1516221334</v>
      </c>
      <c r="C253" s="106">
        <f t="shared" ref="C253:E253" si="33">SUM(C246:C252)</f>
        <v>1811663163</v>
      </c>
      <c r="D253" s="465">
        <f t="shared" si="33"/>
        <v>2330907595</v>
      </c>
      <c r="E253" s="115">
        <f t="shared" si="33"/>
        <v>2573293163</v>
      </c>
      <c r="F253" s="107">
        <f>SUM(F246:F252)</f>
        <v>3153247676</v>
      </c>
      <c r="G253" s="405">
        <f t="shared" ref="G253:K253" si="34">SUM(G246:G252)</f>
        <v>525000000</v>
      </c>
      <c r="H253" s="106">
        <f t="shared" si="34"/>
        <v>525000000</v>
      </c>
      <c r="I253" s="465">
        <f t="shared" si="34"/>
        <v>656250000</v>
      </c>
      <c r="J253" s="115">
        <f t="shared" si="34"/>
        <v>817500000</v>
      </c>
      <c r="K253" s="107">
        <f t="shared" si="34"/>
        <v>817500000</v>
      </c>
    </row>
    <row r="254" spans="1:11" ht="13.5" thickBot="1">
      <c r="A254" s="95" t="s">
        <v>1229</v>
      </c>
      <c r="B254" s="96">
        <f t="shared" ref="B254:K254" si="35">B139+B146+B160+B169+B177+B181+B232+B245+B253</f>
        <v>20971681524</v>
      </c>
      <c r="C254" s="97">
        <f t="shared" si="35"/>
        <v>16561101557</v>
      </c>
      <c r="D254" s="100">
        <f t="shared" si="35"/>
        <v>18583818723</v>
      </c>
      <c r="E254" s="97">
        <f t="shared" si="35"/>
        <v>18995547627</v>
      </c>
      <c r="F254" s="98">
        <f t="shared" si="35"/>
        <v>24042687464</v>
      </c>
      <c r="G254" s="100">
        <f t="shared" si="35"/>
        <v>11433158274</v>
      </c>
      <c r="H254" s="97">
        <f t="shared" si="35"/>
        <v>12164549551</v>
      </c>
      <c r="I254" s="100">
        <f t="shared" si="35"/>
        <v>13585391933</v>
      </c>
      <c r="J254" s="97">
        <f t="shared" si="35"/>
        <v>13837103705</v>
      </c>
      <c r="K254" s="98">
        <f t="shared" si="35"/>
        <v>14864231851.231262</v>
      </c>
    </row>
    <row r="255" spans="1:11" ht="32.25" customHeight="1">
      <c r="D255" s="118"/>
      <c r="E255" s="118"/>
      <c r="K255" s="1177"/>
    </row>
    <row r="256" spans="1:11">
      <c r="K256" s="463"/>
    </row>
    <row r="257" spans="11:11">
      <c r="K257" s="463"/>
    </row>
    <row r="258" spans="11:11">
      <c r="K258" s="463"/>
    </row>
    <row r="259" spans="11:11">
      <c r="K259" s="463"/>
    </row>
    <row r="260" spans="11:11">
      <c r="K260" s="463"/>
    </row>
    <row r="261" spans="11:11">
      <c r="K261" s="463"/>
    </row>
    <row r="262" spans="11:11">
      <c r="K262" s="463"/>
    </row>
    <row r="263" spans="11:11">
      <c r="K263" s="463"/>
    </row>
    <row r="264" spans="11:11">
      <c r="K264" s="463"/>
    </row>
    <row r="265" spans="11:11">
      <c r="K265" s="463"/>
    </row>
    <row r="266" spans="11:11">
      <c r="K266" s="463"/>
    </row>
    <row r="267" spans="11:11">
      <c r="K267" s="463"/>
    </row>
    <row r="268" spans="11:11">
      <c r="K268" s="463"/>
    </row>
    <row r="269" spans="11:11">
      <c r="K269" s="463"/>
    </row>
    <row r="270" spans="11:11">
      <c r="K270" s="463"/>
    </row>
    <row r="271" spans="11:11">
      <c r="K271" s="463"/>
    </row>
    <row r="272" spans="11:11">
      <c r="K272" s="463"/>
    </row>
    <row r="273" spans="1:22">
      <c r="K273" s="463"/>
    </row>
    <row r="274" spans="1:22" ht="13.5" thickBot="1">
      <c r="K274" s="464"/>
    </row>
    <row r="275" spans="1:22" ht="13.5" customHeight="1" thickBot="1">
      <c r="A275" s="536" t="s">
        <v>1829</v>
      </c>
      <c r="B275" s="537"/>
      <c r="C275" s="537"/>
      <c r="D275" s="537"/>
      <c r="E275" s="537"/>
      <c r="F275" s="537"/>
      <c r="G275" s="537"/>
      <c r="H275" s="537"/>
      <c r="I275" s="537"/>
      <c r="J275" s="537"/>
      <c r="K275" s="537"/>
      <c r="L275" s="537"/>
      <c r="M275" s="537"/>
      <c r="N275" s="537"/>
      <c r="O275" s="537"/>
      <c r="P275" s="537"/>
      <c r="Q275" s="537"/>
      <c r="R275" s="537"/>
      <c r="S275" s="537"/>
      <c r="T275" s="538"/>
      <c r="U275" s="67"/>
      <c r="V275" s="67"/>
    </row>
    <row r="276" spans="1:22" ht="13.5" thickBot="1">
      <c r="A276" s="535" t="s">
        <v>1318</v>
      </c>
      <c r="B276" s="1292" t="s">
        <v>2</v>
      </c>
      <c r="C276" s="1293"/>
      <c r="D276" s="1293"/>
      <c r="E276" s="1293"/>
      <c r="F276" s="1293"/>
      <c r="G276" s="1295" t="s">
        <v>764</v>
      </c>
      <c r="H276" s="1295"/>
      <c r="I276" s="1295"/>
      <c r="J276" s="1295"/>
      <c r="K276" s="1295"/>
    </row>
    <row r="277" spans="1:22">
      <c r="A277" s="73" t="s">
        <v>772</v>
      </c>
      <c r="B277" s="466" t="str">
        <f>$O$1-8&amp;" - "&amp;$O$1-7</f>
        <v>2012 - 2013</v>
      </c>
      <c r="C277" s="75" t="str">
        <f>$O$1-6&amp;" - "&amp;$O$1-5</f>
        <v>2014 - 2015</v>
      </c>
      <c r="D277" s="75" t="str">
        <f>$O$1-4&amp;" - "&amp;$O$1-3</f>
        <v>2016 - 2017</v>
      </c>
      <c r="E277" s="75" t="str">
        <f>$O$1-2&amp;" - "&amp;$O$1-1</f>
        <v>2018 - 2019</v>
      </c>
      <c r="F277" s="78" t="str">
        <f>$O$1&amp;" - "&amp;$O$1+1</f>
        <v>2020 - 2021</v>
      </c>
      <c r="G277" s="509" t="str">
        <f>$O$1-8&amp;" - "&amp;$O$1-7</f>
        <v>2012 - 2013</v>
      </c>
      <c r="H277" s="75" t="str">
        <f>$O$1-6&amp;" - "&amp;$O$1-5</f>
        <v>2014 - 2015</v>
      </c>
      <c r="I277" s="75" t="str">
        <f>$O$1-4&amp;" - "&amp;$O$1-3</f>
        <v>2016 - 2017</v>
      </c>
      <c r="J277" s="75" t="str">
        <f>$O$1-2&amp;" - "&amp;$O$1-1</f>
        <v>2018 - 2019</v>
      </c>
      <c r="K277" s="78" t="str">
        <f>$O$1&amp;" - "&amp;$O$1+1</f>
        <v>2020 - 2021</v>
      </c>
    </row>
    <row r="278" spans="1:22" ht="25.5">
      <c r="A278" s="677" t="s">
        <v>1428</v>
      </c>
      <c r="B278" s="83">
        <f t="shared" ref="B278:K278" si="36">SUM(B100:B109,B140)</f>
        <v>2185016957</v>
      </c>
      <c r="C278" s="81">
        <f t="shared" si="36"/>
        <v>2409183516</v>
      </c>
      <c r="D278" s="403">
        <f t="shared" si="36"/>
        <v>2666133682</v>
      </c>
      <c r="E278" s="103">
        <f t="shared" si="36"/>
        <v>2688935936</v>
      </c>
      <c r="F278" s="82">
        <f t="shared" si="36"/>
        <v>2790726536</v>
      </c>
      <c r="G278" s="409">
        <f t="shared" si="36"/>
        <v>1566589641</v>
      </c>
      <c r="H278" s="81">
        <f t="shared" si="36"/>
        <v>1707020971</v>
      </c>
      <c r="I278" s="403">
        <f t="shared" si="36"/>
        <v>1914971557</v>
      </c>
      <c r="J278" s="103">
        <f t="shared" si="36"/>
        <v>1884554945</v>
      </c>
      <c r="K278" s="82">
        <f t="shared" si="36"/>
        <v>1986356744.2312622</v>
      </c>
    </row>
    <row r="279" spans="1:22" ht="25.5">
      <c r="A279" s="677" t="s">
        <v>1429</v>
      </c>
      <c r="B279" s="86">
        <f t="shared" ref="B279:K279" si="37">SUM(B110:B121,B141)</f>
        <v>1537315330</v>
      </c>
      <c r="C279" s="87">
        <f t="shared" si="37"/>
        <v>1687111077</v>
      </c>
      <c r="D279" s="404">
        <f t="shared" si="37"/>
        <v>1892781073</v>
      </c>
      <c r="E279" s="90">
        <f t="shared" si="37"/>
        <v>2006042990</v>
      </c>
      <c r="F279" s="88">
        <f t="shared" si="37"/>
        <v>2130595818</v>
      </c>
      <c r="G279" s="91">
        <f t="shared" si="37"/>
        <v>1154512470</v>
      </c>
      <c r="H279" s="87">
        <f t="shared" si="37"/>
        <v>1252006953</v>
      </c>
      <c r="I279" s="404">
        <f t="shared" si="37"/>
        <v>1415608366</v>
      </c>
      <c r="J279" s="90">
        <f t="shared" si="37"/>
        <v>1493063960</v>
      </c>
      <c r="K279" s="88">
        <f t="shared" si="37"/>
        <v>1622339943</v>
      </c>
    </row>
    <row r="280" spans="1:22" ht="25.5">
      <c r="A280" s="677" t="s">
        <v>1430</v>
      </c>
      <c r="B280" s="86">
        <f t="shared" ref="B280:K280" si="38">SUM(B122:B125,B142)</f>
        <v>669245090</v>
      </c>
      <c r="C280" s="87">
        <f t="shared" si="38"/>
        <v>728120730</v>
      </c>
      <c r="D280" s="404">
        <f t="shared" si="38"/>
        <v>787882592</v>
      </c>
      <c r="E280" s="90">
        <f t="shared" si="38"/>
        <v>842523842</v>
      </c>
      <c r="F280" s="88">
        <f t="shared" si="38"/>
        <v>911551684</v>
      </c>
      <c r="G280" s="91">
        <f t="shared" si="38"/>
        <v>466277213</v>
      </c>
      <c r="H280" s="87">
        <f t="shared" si="38"/>
        <v>506574094</v>
      </c>
      <c r="I280" s="404">
        <f t="shared" si="38"/>
        <v>552003680</v>
      </c>
      <c r="J280" s="90">
        <f t="shared" si="38"/>
        <v>596211658</v>
      </c>
      <c r="K280" s="88">
        <f t="shared" si="38"/>
        <v>672683660</v>
      </c>
    </row>
    <row r="281" spans="1:22" ht="25.5">
      <c r="A281" s="677" t="s">
        <v>1431</v>
      </c>
      <c r="B281" s="86">
        <f t="shared" ref="B281:K281" si="39">SUM(B127:B128,B143)</f>
        <v>369634220</v>
      </c>
      <c r="C281" s="87">
        <f t="shared" si="39"/>
        <v>394975363</v>
      </c>
      <c r="D281" s="404">
        <f t="shared" si="39"/>
        <v>405461461</v>
      </c>
      <c r="E281" s="90">
        <f t="shared" si="39"/>
        <v>442580559</v>
      </c>
      <c r="F281" s="88">
        <f t="shared" si="39"/>
        <v>465699340</v>
      </c>
      <c r="G281" s="91">
        <f t="shared" si="39"/>
        <v>262240002</v>
      </c>
      <c r="H281" s="87">
        <f t="shared" si="39"/>
        <v>282943269</v>
      </c>
      <c r="I281" s="404">
        <f t="shared" si="39"/>
        <v>297287574</v>
      </c>
      <c r="J281" s="90">
        <f t="shared" si="39"/>
        <v>308369225</v>
      </c>
      <c r="K281" s="88">
        <f t="shared" si="39"/>
        <v>322054974</v>
      </c>
    </row>
    <row r="282" spans="1:22" ht="25.5">
      <c r="A282" s="677" t="s">
        <v>1432</v>
      </c>
      <c r="B282" s="86">
        <f t="shared" ref="B282:K282" si="40">SUM(B131:B132,B144)</f>
        <v>462091121</v>
      </c>
      <c r="C282" s="87">
        <f t="shared" si="40"/>
        <v>517121981</v>
      </c>
      <c r="D282" s="404">
        <f t="shared" si="40"/>
        <v>547982243</v>
      </c>
      <c r="E282" s="90">
        <f t="shared" si="40"/>
        <v>570525728</v>
      </c>
      <c r="F282" s="88">
        <f t="shared" si="40"/>
        <v>598091897</v>
      </c>
      <c r="G282" s="91">
        <f t="shared" si="40"/>
        <v>340819057</v>
      </c>
      <c r="H282" s="87">
        <f t="shared" si="40"/>
        <v>387937531</v>
      </c>
      <c r="I282" s="404">
        <f t="shared" si="40"/>
        <v>415085678</v>
      </c>
      <c r="J282" s="90">
        <f t="shared" si="40"/>
        <v>418427293</v>
      </c>
      <c r="K282" s="88">
        <f t="shared" si="40"/>
        <v>453338747</v>
      </c>
    </row>
    <row r="283" spans="1:22">
      <c r="A283" s="677" t="s">
        <v>60</v>
      </c>
      <c r="B283" s="86">
        <f t="shared" ref="B283:K283" si="41">SUM(B134:B138,B145)</f>
        <v>613877091</v>
      </c>
      <c r="C283" s="87">
        <f t="shared" si="41"/>
        <v>647311298</v>
      </c>
      <c r="D283" s="404">
        <f t="shared" si="41"/>
        <v>720791280</v>
      </c>
      <c r="E283" s="90">
        <f t="shared" si="41"/>
        <v>741884947</v>
      </c>
      <c r="F283" s="88">
        <f t="shared" si="41"/>
        <v>769429042</v>
      </c>
      <c r="G283" s="91">
        <f t="shared" si="41"/>
        <v>409665075</v>
      </c>
      <c r="H283" s="87">
        <f t="shared" si="41"/>
        <v>443075248</v>
      </c>
      <c r="I283" s="404">
        <f t="shared" si="41"/>
        <v>516822599</v>
      </c>
      <c r="J283" s="90">
        <f t="shared" si="41"/>
        <v>530191511</v>
      </c>
      <c r="K283" s="88">
        <f t="shared" si="41"/>
        <v>561760898</v>
      </c>
    </row>
    <row r="284" spans="1:22">
      <c r="A284" s="79" t="s">
        <v>801</v>
      </c>
      <c r="B284" s="86">
        <f t="shared" ref="B284:K284" si="42">SUM(B126,B129,B130,B133)</f>
        <v>480616071</v>
      </c>
      <c r="C284" s="87">
        <f t="shared" si="42"/>
        <v>501317882</v>
      </c>
      <c r="D284" s="404">
        <f t="shared" si="42"/>
        <v>509265845</v>
      </c>
      <c r="E284" s="90">
        <f t="shared" si="42"/>
        <v>530516395</v>
      </c>
      <c r="F284" s="88">
        <f t="shared" si="42"/>
        <v>535503579</v>
      </c>
      <c r="G284" s="91">
        <f t="shared" si="42"/>
        <v>343188598</v>
      </c>
      <c r="H284" s="87">
        <f t="shared" si="42"/>
        <v>357406379</v>
      </c>
      <c r="I284" s="404">
        <f t="shared" si="42"/>
        <v>366409380</v>
      </c>
      <c r="J284" s="90">
        <f t="shared" si="42"/>
        <v>391818904</v>
      </c>
      <c r="K284" s="88">
        <f t="shared" si="42"/>
        <v>392906799</v>
      </c>
    </row>
    <row r="285" spans="1:22" ht="13.5" thickBot="1">
      <c r="A285" s="95" t="s">
        <v>280</v>
      </c>
      <c r="B285" s="96">
        <f t="shared" ref="B285:F285" si="43">SUM(B278:B284)</f>
        <v>6317795880</v>
      </c>
      <c r="C285" s="97">
        <f t="shared" si="43"/>
        <v>6885141847</v>
      </c>
      <c r="D285" s="408">
        <f t="shared" si="43"/>
        <v>7530298176</v>
      </c>
      <c r="E285" s="117">
        <f t="shared" si="43"/>
        <v>7823010397</v>
      </c>
      <c r="F285" s="98">
        <f t="shared" si="43"/>
        <v>8201597896</v>
      </c>
      <c r="G285" s="100">
        <f t="shared" ref="G285:J285" si="44">SUM(G278:G284)</f>
        <v>4543292056</v>
      </c>
      <c r="H285" s="97">
        <f t="shared" si="44"/>
        <v>4936964445</v>
      </c>
      <c r="I285" s="408">
        <f t="shared" si="44"/>
        <v>5478188834</v>
      </c>
      <c r="J285" s="117">
        <f t="shared" si="44"/>
        <v>5622637496</v>
      </c>
      <c r="K285" s="98">
        <f t="shared" ref="K285" si="45">SUM(K278:K284)</f>
        <v>6011441765.2312622</v>
      </c>
    </row>
    <row r="286" spans="1:22">
      <c r="K286" s="1177"/>
    </row>
    <row r="287" spans="1:22">
      <c r="K287" s="463"/>
    </row>
    <row r="288" spans="1:22">
      <c r="K288" s="463"/>
    </row>
    <row r="289" spans="11:11">
      <c r="K289" s="463"/>
    </row>
    <row r="290" spans="11:11">
      <c r="K290" s="463"/>
    </row>
    <row r="291" spans="11:11">
      <c r="K291" s="463"/>
    </row>
    <row r="292" spans="11:11">
      <c r="K292" s="463"/>
    </row>
    <row r="293" spans="11:11">
      <c r="K293" s="463"/>
    </row>
    <row r="294" spans="11:11">
      <c r="K294" s="463"/>
    </row>
    <row r="295" spans="11:11">
      <c r="K295" s="463"/>
    </row>
    <row r="296" spans="11:11">
      <c r="K296" s="463"/>
    </row>
    <row r="297" spans="11:11">
      <c r="K297" s="463"/>
    </row>
    <row r="298" spans="11:11">
      <c r="K298" s="463"/>
    </row>
    <row r="299" spans="11:11">
      <c r="K299" s="463"/>
    </row>
    <row r="300" spans="11:11">
      <c r="K300" s="463"/>
    </row>
    <row r="301" spans="11:11">
      <c r="K301" s="463"/>
    </row>
    <row r="302" spans="11:11">
      <c r="K302" s="463"/>
    </row>
    <row r="303" spans="11:11">
      <c r="K303" s="463"/>
    </row>
    <row r="304" spans="11:11">
      <c r="K304" s="463"/>
    </row>
    <row r="305" spans="1:22" ht="13.5" thickBot="1">
      <c r="K305" s="464"/>
    </row>
    <row r="306" spans="1:22" ht="13.5" customHeight="1" thickBot="1">
      <c r="A306" s="536" t="s">
        <v>1253</v>
      </c>
      <c r="B306" s="537"/>
      <c r="C306" s="537"/>
      <c r="D306" s="537"/>
      <c r="E306" s="537"/>
      <c r="F306" s="537"/>
      <c r="G306" s="537"/>
      <c r="H306" s="537"/>
      <c r="I306" s="537"/>
      <c r="J306" s="537"/>
      <c r="K306" s="537"/>
      <c r="L306" s="537"/>
      <c r="M306" s="537"/>
      <c r="N306" s="537"/>
      <c r="O306" s="537"/>
      <c r="P306" s="537"/>
      <c r="Q306" s="537"/>
      <c r="R306" s="537"/>
      <c r="S306" s="537"/>
      <c r="T306" s="538"/>
      <c r="U306" s="67"/>
      <c r="V306" s="67"/>
    </row>
    <row r="307" spans="1:22" ht="13.5" thickBot="1">
      <c r="A307" s="535" t="s">
        <v>1318</v>
      </c>
      <c r="B307" s="1292" t="s">
        <v>2</v>
      </c>
      <c r="C307" s="1293"/>
      <c r="D307" s="1293"/>
      <c r="E307" s="1293"/>
      <c r="F307" s="1293"/>
      <c r="G307" s="1295" t="s">
        <v>764</v>
      </c>
      <c r="H307" s="1295"/>
      <c r="I307" s="1295"/>
      <c r="J307" s="1295"/>
      <c r="K307" s="1295"/>
    </row>
    <row r="308" spans="1:22">
      <c r="A308" s="73" t="s">
        <v>772</v>
      </c>
      <c r="B308" s="466" t="str">
        <f>$O$1-8&amp;" - "&amp;$O$1-7</f>
        <v>2012 - 2013</v>
      </c>
      <c r="C308" s="75" t="str">
        <f>$O$1-6&amp;" - "&amp;$O$1-5</f>
        <v>2014 - 2015</v>
      </c>
      <c r="D308" s="75" t="str">
        <f>$O$1-4&amp;" - "&amp;$O$1-3</f>
        <v>2016 - 2017</v>
      </c>
      <c r="E308" s="75" t="str">
        <f>$O$1-2&amp;" - "&amp;$O$1-1</f>
        <v>2018 - 2019</v>
      </c>
      <c r="F308" s="78" t="str">
        <f>$O$1&amp;" - "&amp;$O$1+1</f>
        <v>2020 - 2021</v>
      </c>
      <c r="G308" s="509" t="str">
        <f>$O$1-8&amp;" - "&amp;$O$1-7</f>
        <v>2012 - 2013</v>
      </c>
      <c r="H308" s="75" t="str">
        <f>$O$1-6&amp;" - "&amp;$O$1-5</f>
        <v>2014 - 2015</v>
      </c>
      <c r="I308" s="75" t="str">
        <f>$O$1-4&amp;" - "&amp;$O$1-3</f>
        <v>2016 - 2017</v>
      </c>
      <c r="J308" s="75" t="str">
        <f>$O$1-2&amp;" - "&amp;$O$1-1</f>
        <v>2018 - 2019</v>
      </c>
      <c r="K308" s="78" t="str">
        <f>$O$1&amp;" - "&amp;$O$1+1</f>
        <v>2020 - 2021</v>
      </c>
    </row>
    <row r="309" spans="1:22" hidden="1" outlineLevel="1">
      <c r="A309" s="79" t="s">
        <v>754</v>
      </c>
      <c r="B309" s="83">
        <f t="shared" ref="B309:K309" si="46">B100</f>
        <v>306769019</v>
      </c>
      <c r="C309" s="81">
        <f t="shared" si="46"/>
        <v>331981835</v>
      </c>
      <c r="D309" s="409">
        <f t="shared" si="46"/>
        <v>370075114</v>
      </c>
      <c r="E309" s="81">
        <f t="shared" si="46"/>
        <v>391815527</v>
      </c>
      <c r="F309" s="82">
        <f t="shared" si="46"/>
        <v>418047132</v>
      </c>
      <c r="G309" s="409">
        <f t="shared" si="46"/>
        <v>201982657</v>
      </c>
      <c r="H309" s="81">
        <f t="shared" si="46"/>
        <v>212450644</v>
      </c>
      <c r="I309" s="409">
        <f t="shared" si="46"/>
        <v>239241852</v>
      </c>
      <c r="J309" s="81">
        <f t="shared" si="46"/>
        <v>238423872</v>
      </c>
      <c r="K309" s="82">
        <f t="shared" si="46"/>
        <v>274651336</v>
      </c>
    </row>
    <row r="310" spans="1:22" hidden="1" outlineLevel="1">
      <c r="A310" s="79" t="s">
        <v>749</v>
      </c>
      <c r="B310" s="86">
        <f t="shared" ref="B310:K310" si="47">B101</f>
        <v>750729426</v>
      </c>
      <c r="C310" s="87">
        <f t="shared" si="47"/>
        <v>815761711</v>
      </c>
      <c r="D310" s="91">
        <f t="shared" si="47"/>
        <v>872007259</v>
      </c>
      <c r="E310" s="87">
        <f t="shared" si="47"/>
        <v>882291145</v>
      </c>
      <c r="F310" s="88">
        <f t="shared" si="47"/>
        <v>899417490</v>
      </c>
      <c r="G310" s="91">
        <f t="shared" si="47"/>
        <v>540534492</v>
      </c>
      <c r="H310" s="87">
        <f t="shared" si="47"/>
        <v>580282165</v>
      </c>
      <c r="I310" s="91">
        <f t="shared" si="47"/>
        <v>639712433</v>
      </c>
      <c r="J310" s="87">
        <f t="shared" si="47"/>
        <v>644058146</v>
      </c>
      <c r="K310" s="88">
        <f t="shared" si="47"/>
        <v>655658476.23126221</v>
      </c>
    </row>
    <row r="311" spans="1:22" hidden="1" outlineLevel="1">
      <c r="A311" s="79" t="s">
        <v>755</v>
      </c>
      <c r="B311" s="86">
        <f t="shared" ref="B311:K311" si="48">B102</f>
        <v>236604239</v>
      </c>
      <c r="C311" s="87">
        <f t="shared" si="48"/>
        <v>283993782</v>
      </c>
      <c r="D311" s="91">
        <f t="shared" si="48"/>
        <v>313875620</v>
      </c>
      <c r="E311" s="87">
        <f t="shared" si="48"/>
        <v>347483148</v>
      </c>
      <c r="F311" s="88">
        <f t="shared" si="48"/>
        <v>363518011</v>
      </c>
      <c r="G311" s="91">
        <f t="shared" si="48"/>
        <v>161868758</v>
      </c>
      <c r="H311" s="87">
        <f t="shared" si="48"/>
        <v>188784538</v>
      </c>
      <c r="I311" s="91">
        <f t="shared" si="48"/>
        <v>190188902</v>
      </c>
      <c r="J311" s="87">
        <f t="shared" si="48"/>
        <v>197050386</v>
      </c>
      <c r="K311" s="88">
        <f t="shared" si="48"/>
        <v>215488743</v>
      </c>
    </row>
    <row r="312" spans="1:22" hidden="1" outlineLevel="1">
      <c r="A312" s="79" t="s">
        <v>756</v>
      </c>
      <c r="B312" s="86">
        <f t="shared" ref="B312:K312" si="49">B103</f>
        <v>216032182</v>
      </c>
      <c r="C312" s="87">
        <f t="shared" si="49"/>
        <v>234547294</v>
      </c>
      <c r="D312" s="91">
        <f t="shared" si="49"/>
        <v>254148111</v>
      </c>
      <c r="E312" s="87">
        <f t="shared" si="49"/>
        <v>255504649</v>
      </c>
      <c r="F312" s="88">
        <f t="shared" si="49"/>
        <v>275101761</v>
      </c>
      <c r="G312" s="91">
        <f t="shared" si="49"/>
        <v>158302796</v>
      </c>
      <c r="H312" s="87">
        <f t="shared" si="49"/>
        <v>172425717</v>
      </c>
      <c r="I312" s="91">
        <f t="shared" si="49"/>
        <v>193025066</v>
      </c>
      <c r="J312" s="87">
        <f t="shared" si="49"/>
        <v>192313295</v>
      </c>
      <c r="K312" s="88">
        <f t="shared" si="49"/>
        <v>204584764</v>
      </c>
    </row>
    <row r="313" spans="1:22" hidden="1" outlineLevel="1">
      <c r="A313" s="79" t="s">
        <v>757</v>
      </c>
      <c r="B313" s="86">
        <f t="shared" ref="B313:K313" si="50">B108</f>
        <v>281167943</v>
      </c>
      <c r="C313" s="87">
        <f t="shared" si="50"/>
        <v>308301393</v>
      </c>
      <c r="D313" s="91">
        <f t="shared" si="50"/>
        <v>313787991</v>
      </c>
      <c r="E313" s="87">
        <f t="shared" si="50"/>
        <v>313022613</v>
      </c>
      <c r="F313" s="88">
        <f t="shared" si="50"/>
        <v>341053281</v>
      </c>
      <c r="G313" s="91">
        <f t="shared" si="50"/>
        <v>199219435</v>
      </c>
      <c r="H313" s="87">
        <f t="shared" si="50"/>
        <v>219052492</v>
      </c>
      <c r="I313" s="91">
        <f t="shared" si="50"/>
        <v>218379337</v>
      </c>
      <c r="J313" s="87">
        <f t="shared" si="50"/>
        <v>228178434</v>
      </c>
      <c r="K313" s="88">
        <f t="shared" si="50"/>
        <v>254966074</v>
      </c>
    </row>
    <row r="314" spans="1:22" hidden="1" outlineLevel="1">
      <c r="A314" s="79" t="s">
        <v>751</v>
      </c>
      <c r="B314" s="86">
        <f t="shared" ref="B314:K314" si="51">B110</f>
        <v>704264385</v>
      </c>
      <c r="C314" s="87">
        <f t="shared" si="51"/>
        <v>771432117</v>
      </c>
      <c r="D314" s="91">
        <f t="shared" si="51"/>
        <v>885128693</v>
      </c>
      <c r="E314" s="87">
        <f t="shared" si="51"/>
        <v>913583481</v>
      </c>
      <c r="F314" s="88">
        <f t="shared" si="51"/>
        <v>1025599664</v>
      </c>
      <c r="G314" s="91">
        <f t="shared" si="51"/>
        <v>510676226</v>
      </c>
      <c r="H314" s="87">
        <f t="shared" si="51"/>
        <v>560008165</v>
      </c>
      <c r="I314" s="91">
        <f t="shared" si="51"/>
        <v>639784158</v>
      </c>
      <c r="J314" s="87">
        <f t="shared" si="51"/>
        <v>663675954</v>
      </c>
      <c r="K314" s="88">
        <f t="shared" si="51"/>
        <v>762030693</v>
      </c>
    </row>
    <row r="315" spans="1:22" hidden="1" outlineLevel="1">
      <c r="A315" s="79" t="s">
        <v>726</v>
      </c>
      <c r="B315" s="86">
        <f t="shared" ref="B315:K315" si="52">B122</f>
        <v>424045197</v>
      </c>
      <c r="C315" s="87">
        <f t="shared" si="52"/>
        <v>488226948</v>
      </c>
      <c r="D315" s="91">
        <f t="shared" si="52"/>
        <v>504673549</v>
      </c>
      <c r="E315" s="87">
        <f t="shared" si="52"/>
        <v>519183204</v>
      </c>
      <c r="F315" s="88">
        <f t="shared" si="52"/>
        <v>597657923</v>
      </c>
      <c r="G315" s="91">
        <f t="shared" si="52"/>
        <v>286561468</v>
      </c>
      <c r="H315" s="87">
        <f t="shared" si="52"/>
        <v>338177099</v>
      </c>
      <c r="I315" s="91">
        <f t="shared" si="52"/>
        <v>347478196</v>
      </c>
      <c r="J315" s="87">
        <f t="shared" si="52"/>
        <v>352740932</v>
      </c>
      <c r="K315" s="88">
        <f t="shared" si="52"/>
        <v>432238250</v>
      </c>
    </row>
    <row r="316" spans="1:22" hidden="1" outlineLevel="1">
      <c r="A316" s="79" t="s">
        <v>731</v>
      </c>
      <c r="B316" s="86">
        <f t="shared" ref="B316:K316" si="53">B127</f>
        <v>330528024</v>
      </c>
      <c r="C316" s="87">
        <f t="shared" si="53"/>
        <v>350284112</v>
      </c>
      <c r="D316" s="91">
        <f t="shared" si="53"/>
        <v>350994743</v>
      </c>
      <c r="E316" s="87">
        <f t="shared" si="53"/>
        <v>363085668</v>
      </c>
      <c r="F316" s="88">
        <f t="shared" si="53"/>
        <v>385419680</v>
      </c>
      <c r="G316" s="91">
        <f t="shared" si="53"/>
        <v>225446792</v>
      </c>
      <c r="H316" s="87">
        <f t="shared" si="53"/>
        <v>243597693</v>
      </c>
      <c r="I316" s="91">
        <f t="shared" si="53"/>
        <v>249994356</v>
      </c>
      <c r="J316" s="87">
        <f t="shared" si="53"/>
        <v>241232849</v>
      </c>
      <c r="K316" s="88">
        <f t="shared" si="53"/>
        <v>255630224</v>
      </c>
    </row>
    <row r="317" spans="1:22" hidden="1" outlineLevel="1">
      <c r="A317" s="79" t="s">
        <v>735</v>
      </c>
      <c r="B317" s="86">
        <f t="shared" ref="B317:K317" si="54">B131</f>
        <v>386977812</v>
      </c>
      <c r="C317" s="87">
        <f t="shared" si="54"/>
        <v>434079598</v>
      </c>
      <c r="D317" s="91">
        <f t="shared" si="54"/>
        <v>463830781</v>
      </c>
      <c r="E317" s="87">
        <f t="shared" si="54"/>
        <v>476309969</v>
      </c>
      <c r="F317" s="88">
        <f t="shared" si="54"/>
        <v>501251820</v>
      </c>
      <c r="G317" s="91">
        <f t="shared" si="54"/>
        <v>283898277</v>
      </c>
      <c r="H317" s="87">
        <f t="shared" si="54"/>
        <v>323658074</v>
      </c>
      <c r="I317" s="91">
        <f t="shared" si="54"/>
        <v>348832213</v>
      </c>
      <c r="J317" s="87">
        <f t="shared" si="54"/>
        <v>351134752</v>
      </c>
      <c r="K317" s="88">
        <f t="shared" si="54"/>
        <v>379898545</v>
      </c>
    </row>
    <row r="318" spans="1:22" hidden="1" outlineLevel="1">
      <c r="A318" s="79" t="s">
        <v>1094</v>
      </c>
      <c r="B318" s="86">
        <f t="shared" ref="B318:K318" si="55">B136</f>
        <v>274133678</v>
      </c>
      <c r="C318" s="87">
        <f t="shared" si="55"/>
        <v>302033487</v>
      </c>
      <c r="D318" s="91">
        <f t="shared" si="55"/>
        <v>329998094</v>
      </c>
      <c r="E318" s="87">
        <f t="shared" si="55"/>
        <v>348844183</v>
      </c>
      <c r="F318" s="88">
        <f t="shared" si="55"/>
        <v>369139936</v>
      </c>
      <c r="G318" s="91">
        <f t="shared" si="55"/>
        <v>184535959</v>
      </c>
      <c r="H318" s="87">
        <f t="shared" si="55"/>
        <v>209177673</v>
      </c>
      <c r="I318" s="91">
        <f t="shared" si="55"/>
        <v>233431895</v>
      </c>
      <c r="J318" s="87">
        <f t="shared" si="55"/>
        <v>246087929</v>
      </c>
      <c r="K318" s="88">
        <f t="shared" si="55"/>
        <v>270068495</v>
      </c>
    </row>
    <row r="319" spans="1:22" collapsed="1">
      <c r="A319" s="113" t="s">
        <v>802</v>
      </c>
      <c r="B319" s="105">
        <f>SUM(B309:B318)</f>
        <v>3911251905</v>
      </c>
      <c r="C319" s="106">
        <f t="shared" ref="C319:E319" si="56">SUM(C309:C318)</f>
        <v>4320642277</v>
      </c>
      <c r="D319" s="465">
        <f t="shared" si="56"/>
        <v>4658519955</v>
      </c>
      <c r="E319" s="115">
        <f t="shared" si="56"/>
        <v>4811123587</v>
      </c>
      <c r="F319" s="107">
        <f t="shared" ref="F319" si="57">SUM(F309:F318)</f>
        <v>5176206698</v>
      </c>
      <c r="G319" s="405">
        <f t="shared" ref="G319:K319" si="58">SUM(G309:G318)</f>
        <v>2753026860</v>
      </c>
      <c r="H319" s="106">
        <f t="shared" si="58"/>
        <v>3047614260</v>
      </c>
      <c r="I319" s="465">
        <f t="shared" si="58"/>
        <v>3300068408</v>
      </c>
      <c r="J319" s="115">
        <f t="shared" si="58"/>
        <v>3354896549</v>
      </c>
      <c r="K319" s="107">
        <f t="shared" si="58"/>
        <v>3705215600.2312622</v>
      </c>
    </row>
    <row r="320" spans="1:22">
      <c r="A320" s="79" t="s">
        <v>803</v>
      </c>
      <c r="B320" s="86">
        <f t="shared" ref="B320:K320" si="59">SUM(B105,B106,B107,B109,B111,B112,B113,B114,B115,B116,B117,B118,B119,B120,B121,B123,B124,B125,B126,B128,B129,B130,B132,B133,B134,B135,B137,B138)</f>
        <v>2314143297</v>
      </c>
      <c r="C320" s="87">
        <f t="shared" si="59"/>
        <v>2508884376</v>
      </c>
      <c r="D320" s="91">
        <f t="shared" si="59"/>
        <v>2420037335</v>
      </c>
      <c r="E320" s="87">
        <f t="shared" si="59"/>
        <v>2577324323</v>
      </c>
      <c r="F320" s="88">
        <f t="shared" si="59"/>
        <v>2609125702</v>
      </c>
      <c r="G320" s="91">
        <f t="shared" si="59"/>
        <v>1700108518</v>
      </c>
      <c r="H320" s="87">
        <f t="shared" si="59"/>
        <v>1836084991</v>
      </c>
      <c r="I320" s="91">
        <f t="shared" si="59"/>
        <v>1805300858</v>
      </c>
      <c r="J320" s="87">
        <f t="shared" si="59"/>
        <v>1907453733</v>
      </c>
      <c r="K320" s="88">
        <f t="shared" si="59"/>
        <v>1964455925</v>
      </c>
    </row>
    <row r="321" spans="1:11" ht="13.5" thickBot="1">
      <c r="A321" s="95" t="s">
        <v>280</v>
      </c>
      <c r="B321" s="96">
        <f>B319+B320</f>
        <v>6225395202</v>
      </c>
      <c r="C321" s="97">
        <f t="shared" ref="C321:E321" si="60">C319+C320</f>
        <v>6829526653</v>
      </c>
      <c r="D321" s="408">
        <f t="shared" si="60"/>
        <v>7078557290</v>
      </c>
      <c r="E321" s="117">
        <f t="shared" si="60"/>
        <v>7388447910</v>
      </c>
      <c r="F321" s="98">
        <f t="shared" ref="F321" si="61">F319+F320</f>
        <v>7785332400</v>
      </c>
      <c r="G321" s="100">
        <f t="shared" ref="G321:K321" si="62">G319+G320</f>
        <v>4453135378</v>
      </c>
      <c r="H321" s="97">
        <f t="shared" si="62"/>
        <v>4883699251</v>
      </c>
      <c r="I321" s="408">
        <f t="shared" si="62"/>
        <v>5105369266</v>
      </c>
      <c r="J321" s="117">
        <f t="shared" si="62"/>
        <v>5262350282</v>
      </c>
      <c r="K321" s="98">
        <f t="shared" si="62"/>
        <v>5669671525.2312622</v>
      </c>
    </row>
    <row r="322" spans="1:11">
      <c r="K322" s="1177"/>
    </row>
    <row r="323" spans="1:11">
      <c r="K323" s="463"/>
    </row>
    <row r="324" spans="1:11">
      <c r="K324" s="463"/>
    </row>
    <row r="325" spans="1:11">
      <c r="K325" s="463"/>
    </row>
    <row r="326" spans="1:11">
      <c r="K326" s="463"/>
    </row>
    <row r="327" spans="1:11">
      <c r="K327" s="463"/>
    </row>
    <row r="328" spans="1:11">
      <c r="K328" s="463"/>
    </row>
    <row r="329" spans="1:11">
      <c r="K329" s="463"/>
    </row>
    <row r="330" spans="1:11">
      <c r="K330" s="463"/>
    </row>
    <row r="331" spans="1:11">
      <c r="K331" s="463"/>
    </row>
    <row r="332" spans="1:11">
      <c r="K332" s="463"/>
    </row>
    <row r="333" spans="1:11">
      <c r="K333" s="463"/>
    </row>
    <row r="334" spans="1:11">
      <c r="K334" s="463"/>
    </row>
    <row r="335" spans="1:11">
      <c r="K335" s="463"/>
    </row>
    <row r="336" spans="1:11">
      <c r="K336" s="463"/>
    </row>
    <row r="337" spans="1:22">
      <c r="K337" s="463"/>
    </row>
    <row r="338" spans="1:22">
      <c r="K338" s="463"/>
    </row>
    <row r="339" spans="1:22">
      <c r="K339" s="463"/>
    </row>
    <row r="340" spans="1:22">
      <c r="K340" s="463"/>
    </row>
    <row r="341" spans="1:22" ht="13.5" thickBot="1">
      <c r="K341" s="464"/>
    </row>
    <row r="342" spans="1:22" ht="13.5" customHeight="1" thickBot="1">
      <c r="A342" s="536" t="s">
        <v>1252</v>
      </c>
      <c r="B342" s="537"/>
      <c r="C342" s="537"/>
      <c r="D342" s="537"/>
      <c r="E342" s="537"/>
      <c r="F342" s="537"/>
      <c r="G342" s="537"/>
      <c r="H342" s="537"/>
      <c r="I342" s="537"/>
      <c r="J342" s="537"/>
      <c r="K342" s="537"/>
      <c r="L342" s="537"/>
      <c r="M342" s="537"/>
      <c r="N342" s="537"/>
      <c r="O342" s="537"/>
      <c r="P342" s="537"/>
      <c r="Q342" s="537"/>
      <c r="R342" s="537"/>
      <c r="S342" s="537"/>
      <c r="T342" s="538"/>
      <c r="U342" s="67"/>
      <c r="V342" s="67"/>
    </row>
    <row r="343" spans="1:22" ht="13.5" thickBot="1">
      <c r="A343" s="535" t="s">
        <v>1318</v>
      </c>
      <c r="B343" s="1292" t="s">
        <v>2</v>
      </c>
      <c r="C343" s="1293"/>
      <c r="D343" s="1293"/>
      <c r="E343" s="1293"/>
      <c r="F343" s="1293"/>
      <c r="G343" s="1295" t="s">
        <v>764</v>
      </c>
      <c r="H343" s="1295"/>
      <c r="I343" s="1295"/>
      <c r="J343" s="1295"/>
      <c r="K343" s="1295"/>
    </row>
    <row r="344" spans="1:22">
      <c r="A344" s="73" t="s">
        <v>772</v>
      </c>
      <c r="B344" s="466" t="str">
        <f>$O$1-8&amp;" - "&amp;$O$1-7</f>
        <v>2012 - 2013</v>
      </c>
      <c r="C344" s="75" t="str">
        <f>$O$1-6&amp;" - "&amp;$O$1-5</f>
        <v>2014 - 2015</v>
      </c>
      <c r="D344" s="75" t="str">
        <f>$O$1-4&amp;" - "&amp;$O$1-3</f>
        <v>2016 - 2017</v>
      </c>
      <c r="E344" s="75" t="str">
        <f>$O$1-2&amp;" - "&amp;$O$1-1</f>
        <v>2018 - 2019</v>
      </c>
      <c r="F344" s="78" t="str">
        <f>$O$1&amp;" - "&amp;$O$1+1</f>
        <v>2020 - 2021</v>
      </c>
      <c r="G344" s="509" t="str">
        <f>$O$1-8&amp;" - "&amp;$O$1-7</f>
        <v>2012 - 2013</v>
      </c>
      <c r="H344" s="75" t="str">
        <f>$O$1-6&amp;" - "&amp;$O$1-5</f>
        <v>2014 - 2015</v>
      </c>
      <c r="I344" s="75" t="str">
        <f>$O$1-4&amp;" - "&amp;$O$1-3</f>
        <v>2016 - 2017</v>
      </c>
      <c r="J344" s="75" t="str">
        <f>$O$1-2&amp;" - "&amp;$O$1-1</f>
        <v>2018 - 2019</v>
      </c>
      <c r="K344" s="78" t="str">
        <f>$O$1&amp;" - "&amp;$O$1+1</f>
        <v>2020 - 2021</v>
      </c>
    </row>
    <row r="345" spans="1:22" hidden="1" outlineLevel="1">
      <c r="A345" s="79" t="s">
        <v>756</v>
      </c>
      <c r="B345" s="83">
        <f t="shared" ref="B345:K345" si="63">B103</f>
        <v>216032182</v>
      </c>
      <c r="C345" s="81">
        <f t="shared" si="63"/>
        <v>234547294</v>
      </c>
      <c r="D345" s="409">
        <f t="shared" si="63"/>
        <v>254148111</v>
      </c>
      <c r="E345" s="81">
        <f t="shared" si="63"/>
        <v>255504649</v>
      </c>
      <c r="F345" s="82">
        <f t="shared" si="63"/>
        <v>275101761</v>
      </c>
      <c r="G345" s="409">
        <f t="shared" si="63"/>
        <v>158302796</v>
      </c>
      <c r="H345" s="81">
        <f t="shared" si="63"/>
        <v>172425717</v>
      </c>
      <c r="I345" s="409">
        <f t="shared" si="63"/>
        <v>193025066</v>
      </c>
      <c r="J345" s="81">
        <f t="shared" si="63"/>
        <v>192313295</v>
      </c>
      <c r="K345" s="82">
        <f t="shared" si="63"/>
        <v>204584764</v>
      </c>
    </row>
    <row r="346" spans="1:22" ht="25.5" hidden="1" outlineLevel="1">
      <c r="A346" s="79" t="s">
        <v>1667</v>
      </c>
      <c r="B346" s="86">
        <f t="shared" ref="B346:K346" si="64">B104</f>
        <v>0</v>
      </c>
      <c r="C346" s="87">
        <f t="shared" si="64"/>
        <v>0</v>
      </c>
      <c r="D346" s="91">
        <f t="shared" si="64"/>
        <v>353305136</v>
      </c>
      <c r="E346" s="87">
        <f t="shared" si="64"/>
        <v>288881386</v>
      </c>
      <c r="F346" s="88">
        <f t="shared" si="64"/>
        <v>289698724</v>
      </c>
      <c r="G346" s="91">
        <f t="shared" si="64"/>
        <v>0</v>
      </c>
      <c r="H346" s="87">
        <f t="shared" si="64"/>
        <v>0</v>
      </c>
      <c r="I346" s="91">
        <f t="shared" si="64"/>
        <v>279203182</v>
      </c>
      <c r="J346" s="87">
        <f t="shared" si="64"/>
        <v>217076589</v>
      </c>
      <c r="K346" s="88">
        <f t="shared" si="64"/>
        <v>217737944</v>
      </c>
    </row>
    <row r="347" spans="1:22" hidden="1" outlineLevel="1">
      <c r="A347" s="79" t="s">
        <v>1356</v>
      </c>
      <c r="B347" s="86">
        <f t="shared" ref="B347:K347" si="65">B105</f>
        <v>176470188</v>
      </c>
      <c r="C347" s="87">
        <f t="shared" si="65"/>
        <v>187905136</v>
      </c>
      <c r="D347" s="91">
        <f t="shared" si="65"/>
        <v>0</v>
      </c>
      <c r="E347" s="87">
        <f t="shared" si="65"/>
        <v>0</v>
      </c>
      <c r="F347" s="88">
        <f t="shared" si="65"/>
        <v>0</v>
      </c>
      <c r="G347" s="91">
        <f t="shared" si="65"/>
        <v>124529618</v>
      </c>
      <c r="H347" s="87">
        <f t="shared" si="65"/>
        <v>134590213</v>
      </c>
      <c r="I347" s="91">
        <f t="shared" si="65"/>
        <v>0</v>
      </c>
      <c r="J347" s="87">
        <f t="shared" si="65"/>
        <v>0</v>
      </c>
      <c r="K347" s="88">
        <f t="shared" si="65"/>
        <v>0</v>
      </c>
    </row>
    <row r="348" spans="1:22" hidden="1" outlineLevel="1">
      <c r="A348" s="79" t="s">
        <v>1357</v>
      </c>
      <c r="B348" s="86">
        <f t="shared" ref="B348:K348" si="66">B106</f>
        <v>63663473</v>
      </c>
      <c r="C348" s="87">
        <f t="shared" si="66"/>
        <v>68917692</v>
      </c>
      <c r="D348" s="91">
        <f t="shared" si="66"/>
        <v>0</v>
      </c>
      <c r="E348" s="87">
        <f t="shared" si="66"/>
        <v>0</v>
      </c>
      <c r="F348" s="88">
        <f t="shared" si="66"/>
        <v>0</v>
      </c>
      <c r="G348" s="91">
        <f t="shared" si="66"/>
        <v>53459536</v>
      </c>
      <c r="H348" s="87">
        <f t="shared" si="66"/>
        <v>52575662</v>
      </c>
      <c r="I348" s="91">
        <f t="shared" si="66"/>
        <v>0</v>
      </c>
      <c r="J348" s="87">
        <f t="shared" si="66"/>
        <v>0</v>
      </c>
      <c r="K348" s="88">
        <f t="shared" si="66"/>
        <v>0</v>
      </c>
    </row>
    <row r="349" spans="1:22" hidden="1" outlineLevel="1">
      <c r="A349" s="79" t="s">
        <v>757</v>
      </c>
      <c r="B349" s="86">
        <f t="shared" ref="B349:K349" si="67">B108</f>
        <v>281167943</v>
      </c>
      <c r="C349" s="87">
        <f t="shared" si="67"/>
        <v>308301393</v>
      </c>
      <c r="D349" s="91">
        <f t="shared" si="67"/>
        <v>313787991</v>
      </c>
      <c r="E349" s="87">
        <f t="shared" si="67"/>
        <v>313022613</v>
      </c>
      <c r="F349" s="88">
        <f t="shared" si="67"/>
        <v>341053281</v>
      </c>
      <c r="G349" s="91">
        <f t="shared" si="67"/>
        <v>199219435</v>
      </c>
      <c r="H349" s="87">
        <f t="shared" si="67"/>
        <v>219052492</v>
      </c>
      <c r="I349" s="91">
        <f t="shared" si="67"/>
        <v>218379337</v>
      </c>
      <c r="J349" s="87">
        <f t="shared" si="67"/>
        <v>228178434</v>
      </c>
      <c r="K349" s="88">
        <f t="shared" si="67"/>
        <v>254966074</v>
      </c>
    </row>
    <row r="350" spans="1:22" hidden="1" outlineLevel="1">
      <c r="A350" s="79" t="s">
        <v>1211</v>
      </c>
      <c r="B350" s="86">
        <f t="shared" ref="B350:K350" si="68">B115</f>
        <v>118283920</v>
      </c>
      <c r="C350" s="87">
        <f t="shared" si="68"/>
        <v>126377721</v>
      </c>
      <c r="D350" s="91">
        <f t="shared" si="68"/>
        <v>134771786</v>
      </c>
      <c r="E350" s="87">
        <f t="shared" si="68"/>
        <v>133008602</v>
      </c>
      <c r="F350" s="88">
        <f t="shared" si="68"/>
        <v>149501816</v>
      </c>
      <c r="G350" s="91">
        <f t="shared" si="68"/>
        <v>89625262</v>
      </c>
      <c r="H350" s="87">
        <f t="shared" si="68"/>
        <v>96322858</v>
      </c>
      <c r="I350" s="91">
        <f t="shared" si="68"/>
        <v>104265592</v>
      </c>
      <c r="J350" s="87">
        <f t="shared" si="68"/>
        <v>98068651</v>
      </c>
      <c r="K350" s="88">
        <f t="shared" si="68"/>
        <v>113934014</v>
      </c>
    </row>
    <row r="351" spans="1:22" hidden="1" outlineLevel="1">
      <c r="A351" s="79" t="s">
        <v>1212</v>
      </c>
      <c r="B351" s="86">
        <f t="shared" ref="B351:K351" si="69">B116</f>
        <v>83386566</v>
      </c>
      <c r="C351" s="87">
        <f t="shared" si="69"/>
        <v>94335169</v>
      </c>
      <c r="D351" s="91">
        <f t="shared" si="69"/>
        <v>117651143</v>
      </c>
      <c r="E351" s="87">
        <f t="shared" si="69"/>
        <v>134290437</v>
      </c>
      <c r="F351" s="88">
        <f t="shared" si="69"/>
        <v>119643068</v>
      </c>
      <c r="G351" s="91">
        <f t="shared" si="69"/>
        <v>62048515</v>
      </c>
      <c r="H351" s="87">
        <f t="shared" si="69"/>
        <v>73253283</v>
      </c>
      <c r="I351" s="91">
        <f t="shared" si="69"/>
        <v>85035936</v>
      </c>
      <c r="J351" s="87">
        <f t="shared" si="69"/>
        <v>86545077</v>
      </c>
      <c r="K351" s="88">
        <f t="shared" si="69"/>
        <v>88011717</v>
      </c>
    </row>
    <row r="352" spans="1:22" hidden="1" outlineLevel="1">
      <c r="A352" s="79" t="s">
        <v>1213</v>
      </c>
      <c r="B352" s="86">
        <f t="shared" ref="B352:K352" si="70">B117</f>
        <v>38405636</v>
      </c>
      <c r="C352" s="87">
        <f t="shared" si="70"/>
        <v>47384335</v>
      </c>
      <c r="D352" s="91">
        <f t="shared" si="70"/>
        <v>62288439</v>
      </c>
      <c r="E352" s="87">
        <f t="shared" si="70"/>
        <v>72226347</v>
      </c>
      <c r="F352" s="88">
        <f t="shared" si="70"/>
        <v>81557108</v>
      </c>
      <c r="G352" s="91">
        <f t="shared" si="70"/>
        <v>30567870</v>
      </c>
      <c r="H352" s="87">
        <f t="shared" si="70"/>
        <v>37728555</v>
      </c>
      <c r="I352" s="91">
        <f t="shared" si="70"/>
        <v>53062640</v>
      </c>
      <c r="J352" s="87">
        <f t="shared" si="70"/>
        <v>59494210</v>
      </c>
      <c r="K352" s="88">
        <f t="shared" si="70"/>
        <v>66997701</v>
      </c>
    </row>
    <row r="353" spans="1:11" hidden="1" outlineLevel="1">
      <c r="A353" s="79" t="s">
        <v>861</v>
      </c>
      <c r="B353" s="86">
        <f t="shared" ref="B353:K353" si="71">B118</f>
        <v>78078013</v>
      </c>
      <c r="C353" s="87">
        <f t="shared" si="71"/>
        <v>79979610</v>
      </c>
      <c r="D353" s="91">
        <f t="shared" si="71"/>
        <v>84738369</v>
      </c>
      <c r="E353" s="87">
        <f t="shared" si="71"/>
        <v>86988081</v>
      </c>
      <c r="F353" s="88">
        <f t="shared" si="71"/>
        <v>89917897</v>
      </c>
      <c r="G353" s="91">
        <f t="shared" si="71"/>
        <v>62271210</v>
      </c>
      <c r="H353" s="87">
        <f t="shared" si="71"/>
        <v>63258440</v>
      </c>
      <c r="I353" s="91">
        <f t="shared" si="71"/>
        <v>68096136</v>
      </c>
      <c r="J353" s="87">
        <f t="shared" si="71"/>
        <v>68411646</v>
      </c>
      <c r="K353" s="88">
        <f t="shared" si="71"/>
        <v>69858362</v>
      </c>
    </row>
    <row r="354" spans="1:11" hidden="1" outlineLevel="1">
      <c r="A354" s="79" t="s">
        <v>859</v>
      </c>
      <c r="B354" s="86">
        <f t="shared" ref="B354:K354" si="72">B137</f>
        <v>41470097</v>
      </c>
      <c r="C354" s="87">
        <f t="shared" si="72"/>
        <v>34344856</v>
      </c>
      <c r="D354" s="91">
        <f t="shared" si="72"/>
        <v>35389803</v>
      </c>
      <c r="E354" s="87">
        <f t="shared" si="72"/>
        <v>33109080</v>
      </c>
      <c r="F354" s="88">
        <f t="shared" si="72"/>
        <v>31657601</v>
      </c>
      <c r="G354" s="91">
        <f t="shared" si="72"/>
        <v>36424548</v>
      </c>
      <c r="H354" s="87">
        <f t="shared" si="72"/>
        <v>30164588</v>
      </c>
      <c r="I354" s="91">
        <f t="shared" si="72"/>
        <v>30861380</v>
      </c>
      <c r="J354" s="87">
        <f t="shared" si="72"/>
        <v>27759805</v>
      </c>
      <c r="K354" s="88">
        <f t="shared" si="72"/>
        <v>26968069</v>
      </c>
    </row>
    <row r="355" spans="1:11" ht="25.5" hidden="1" outlineLevel="1">
      <c r="A355" s="79" t="s">
        <v>1427</v>
      </c>
      <c r="B355" s="86">
        <f t="shared" ref="B355:K355" si="73">B138</f>
        <v>12676559</v>
      </c>
      <c r="C355" s="87">
        <f t="shared" si="73"/>
        <v>12696527</v>
      </c>
      <c r="D355" s="91">
        <f t="shared" si="73"/>
        <v>12636666</v>
      </c>
      <c r="E355" s="87">
        <f t="shared" si="73"/>
        <v>11990271</v>
      </c>
      <c r="F355" s="88">
        <f t="shared" si="73"/>
        <v>12308557</v>
      </c>
      <c r="G355" s="91">
        <f t="shared" si="73"/>
        <v>9914108</v>
      </c>
      <c r="H355" s="87">
        <f t="shared" si="73"/>
        <v>10846729</v>
      </c>
      <c r="I355" s="91">
        <f t="shared" si="73"/>
        <v>10780795</v>
      </c>
      <c r="J355" s="87">
        <f t="shared" si="73"/>
        <v>10052166</v>
      </c>
      <c r="K355" s="88">
        <f t="shared" si="73"/>
        <v>10692543</v>
      </c>
    </row>
    <row r="356" spans="1:11" collapsed="1">
      <c r="A356" s="113" t="s">
        <v>804</v>
      </c>
      <c r="B356" s="105">
        <f t="shared" ref="B356:K356" si="74">SUM(B345:B355)</f>
        <v>1109634577</v>
      </c>
      <c r="C356" s="106">
        <f t="shared" si="74"/>
        <v>1194789733</v>
      </c>
      <c r="D356" s="465">
        <f t="shared" si="74"/>
        <v>1368717444</v>
      </c>
      <c r="E356" s="115">
        <f t="shared" si="74"/>
        <v>1329021466</v>
      </c>
      <c r="F356" s="107">
        <f t="shared" si="74"/>
        <v>1390439813</v>
      </c>
      <c r="G356" s="405">
        <f t="shared" si="74"/>
        <v>826362898</v>
      </c>
      <c r="H356" s="106">
        <f t="shared" si="74"/>
        <v>890218537</v>
      </c>
      <c r="I356" s="465">
        <f t="shared" si="74"/>
        <v>1042710064</v>
      </c>
      <c r="J356" s="115">
        <f t="shared" si="74"/>
        <v>987899873</v>
      </c>
      <c r="K356" s="107">
        <f t="shared" si="74"/>
        <v>1053751188</v>
      </c>
    </row>
    <row r="357" spans="1:11">
      <c r="A357" s="79" t="s">
        <v>803</v>
      </c>
      <c r="B357" s="86">
        <f t="shared" ref="B357:K357" si="75">SUM(B100,B101,B102,B107,B109,B110,B111,B112,B113,B114,B119,B120,B121,B122,B123,B124,B125,B126,B127,B128,B129,B130,B131,B132,B133,B134,B135,B136)</f>
        <v>5115760625</v>
      </c>
      <c r="C357" s="87">
        <f t="shared" si="75"/>
        <v>5634736920</v>
      </c>
      <c r="D357" s="91">
        <f t="shared" si="75"/>
        <v>6063144982</v>
      </c>
      <c r="E357" s="87">
        <f t="shared" si="75"/>
        <v>6348307830</v>
      </c>
      <c r="F357" s="88">
        <f t="shared" si="75"/>
        <v>6684591311</v>
      </c>
      <c r="G357" s="91">
        <f t="shared" si="75"/>
        <v>3626772480</v>
      </c>
      <c r="H357" s="87">
        <f t="shared" si="75"/>
        <v>3993480714</v>
      </c>
      <c r="I357" s="91">
        <f t="shared" si="75"/>
        <v>4341862384</v>
      </c>
      <c r="J357" s="87">
        <f t="shared" si="75"/>
        <v>4491526998</v>
      </c>
      <c r="K357" s="88">
        <f t="shared" si="75"/>
        <v>4833658281.2312622</v>
      </c>
    </row>
    <row r="358" spans="1:11" ht="13.5" thickBot="1">
      <c r="A358" s="95" t="s">
        <v>280</v>
      </c>
      <c r="B358" s="96">
        <f>B356+B357</f>
        <v>6225395202</v>
      </c>
      <c r="C358" s="97">
        <f t="shared" ref="C358:E358" si="76">C356+C357</f>
        <v>6829526653</v>
      </c>
      <c r="D358" s="408">
        <f t="shared" si="76"/>
        <v>7431862426</v>
      </c>
      <c r="E358" s="117">
        <f t="shared" si="76"/>
        <v>7677329296</v>
      </c>
      <c r="F358" s="98">
        <f t="shared" ref="F358" si="77">F356+F357</f>
        <v>8075031124</v>
      </c>
      <c r="G358" s="100">
        <f t="shared" ref="G358:K358" si="78">G356+G357</f>
        <v>4453135378</v>
      </c>
      <c r="H358" s="97">
        <f t="shared" si="78"/>
        <v>4883699251</v>
      </c>
      <c r="I358" s="408">
        <f t="shared" si="78"/>
        <v>5384572448</v>
      </c>
      <c r="J358" s="117">
        <f t="shared" si="78"/>
        <v>5479426871</v>
      </c>
      <c r="K358" s="98">
        <f t="shared" si="78"/>
        <v>5887409469.2312622</v>
      </c>
    </row>
    <row r="359" spans="1:11">
      <c r="B359" s="118"/>
      <c r="K359" s="1177"/>
    </row>
    <row r="360" spans="1:11">
      <c r="K360" s="463"/>
    </row>
    <row r="361" spans="1:11">
      <c r="K361" s="463"/>
    </row>
    <row r="362" spans="1:11">
      <c r="K362" s="463"/>
    </row>
    <row r="363" spans="1:11">
      <c r="K363" s="463"/>
    </row>
    <row r="364" spans="1:11">
      <c r="K364" s="463"/>
    </row>
    <row r="365" spans="1:11">
      <c r="K365" s="463"/>
    </row>
    <row r="366" spans="1:11">
      <c r="K366" s="463"/>
    </row>
    <row r="367" spans="1:11">
      <c r="K367" s="463"/>
    </row>
    <row r="368" spans="1:11">
      <c r="K368" s="463"/>
    </row>
    <row r="369" spans="1:22">
      <c r="K369" s="463"/>
    </row>
    <row r="370" spans="1:22">
      <c r="K370" s="463"/>
    </row>
    <row r="371" spans="1:22">
      <c r="K371" s="463"/>
    </row>
    <row r="372" spans="1:22">
      <c r="K372" s="463"/>
    </row>
    <row r="373" spans="1:22">
      <c r="K373" s="463"/>
    </row>
    <row r="374" spans="1:22">
      <c r="K374" s="463"/>
    </row>
    <row r="375" spans="1:22">
      <c r="K375" s="463"/>
    </row>
    <row r="376" spans="1:22">
      <c r="K376" s="463"/>
    </row>
    <row r="377" spans="1:22">
      <c r="K377" s="463"/>
    </row>
    <row r="378" spans="1:22" ht="13.5" thickBot="1">
      <c r="K378" s="464"/>
    </row>
    <row r="379" spans="1:22" ht="13.5" customHeight="1" thickBot="1">
      <c r="A379" s="536" t="s">
        <v>2204</v>
      </c>
      <c r="B379" s="537"/>
      <c r="C379" s="537"/>
      <c r="D379" s="537"/>
      <c r="E379" s="537"/>
      <c r="F379" s="537"/>
      <c r="G379" s="537"/>
      <c r="H379" s="537"/>
      <c r="I379" s="537"/>
      <c r="J379" s="537"/>
      <c r="K379" s="537"/>
      <c r="L379" s="537"/>
      <c r="M379" s="537"/>
      <c r="N379" s="537"/>
      <c r="O379" s="537"/>
      <c r="P379" s="537"/>
      <c r="Q379" s="537"/>
      <c r="R379" s="537"/>
      <c r="S379" s="537"/>
      <c r="T379" s="538"/>
      <c r="U379" s="67"/>
      <c r="V379" s="67"/>
    </row>
    <row r="380" spans="1:22" ht="13.5" thickBot="1">
      <c r="A380" s="535" t="s">
        <v>1318</v>
      </c>
      <c r="B380" s="1292" t="s">
        <v>2</v>
      </c>
      <c r="C380" s="1293"/>
      <c r="D380" s="1293"/>
      <c r="E380" s="1293"/>
      <c r="F380" s="1293"/>
      <c r="G380" s="1295" t="s">
        <v>764</v>
      </c>
      <c r="H380" s="1295"/>
      <c r="I380" s="1295"/>
      <c r="J380" s="1295"/>
      <c r="K380" s="1295"/>
    </row>
    <row r="381" spans="1:22">
      <c r="A381" s="73" t="s">
        <v>766</v>
      </c>
      <c r="B381" s="466" t="str">
        <f>$O$1-8&amp;" - "&amp;$O$1-7</f>
        <v>2012 - 2013</v>
      </c>
      <c r="C381" s="75" t="str">
        <f>$O$1-6&amp;" - "&amp;$O$1-5</f>
        <v>2014 - 2015</v>
      </c>
      <c r="D381" s="75" t="str">
        <f>$O$1-4&amp;" - "&amp;$O$1-3</f>
        <v>2016 - 2017</v>
      </c>
      <c r="E381" s="75" t="str">
        <f>$O$1-2&amp;" - "&amp;$O$1-1</f>
        <v>2018 - 2019</v>
      </c>
      <c r="F381" s="78" t="str">
        <f>$O$1&amp;" - "&amp;$O$1+1</f>
        <v>2020 - 2021</v>
      </c>
      <c r="G381" s="509" t="str">
        <f>$O$1-8&amp;" - "&amp;$O$1-7</f>
        <v>2012 - 2013</v>
      </c>
      <c r="H381" s="75" t="str">
        <f>$O$1-6&amp;" - "&amp;$O$1-5</f>
        <v>2014 - 2015</v>
      </c>
      <c r="I381" s="75" t="str">
        <f>$O$1-4&amp;" - "&amp;$O$1-3</f>
        <v>2016 - 2017</v>
      </c>
      <c r="J381" s="75" t="str">
        <f>$O$1-2&amp;" - "&amp;$O$1-1</f>
        <v>2018 - 2019</v>
      </c>
      <c r="K381" s="78" t="str">
        <f>$O$1&amp;" - "&amp;$O$1+1</f>
        <v>2020 - 2021</v>
      </c>
    </row>
    <row r="382" spans="1:22" hidden="1" outlineLevel="1">
      <c r="A382" s="50" t="s">
        <v>754</v>
      </c>
      <c r="B382" s="83">
        <f>INDEX(Data!1559:1559,1,$P$1-8)+INDEX(Data!1559:1559,1,$P$1-7)</f>
        <v>11025780</v>
      </c>
      <c r="C382" s="81">
        <f>INDEX(Data!1559:1559,1,$P$1-6)+INDEX(Data!1559:1559,1,$P$1-5)</f>
        <v>6025780</v>
      </c>
      <c r="D382" s="409">
        <f>INDEX(Data!1559:1559,1,$P$1-4)+INDEX(Data!1559:1559,1,$P$1-3)</f>
        <v>8030506</v>
      </c>
      <c r="E382" s="81">
        <f>INDEX(Data!1559:1559,1,$P$1-2)+INDEX(Data!1559:1559,1,$P$1-1)</f>
        <v>5435544</v>
      </c>
      <c r="F382" s="82">
        <f>INDEX(Data!1559:1559,1,$P$1)+INDEX(Data!1559:1559,1,$P$1+1)</f>
        <v>8935544</v>
      </c>
      <c r="G382" s="409">
        <f t="shared" ref="G382:G420" si="79">B382</f>
        <v>11025780</v>
      </c>
      <c r="H382" s="81">
        <f t="shared" ref="H382:H420" si="80">C382</f>
        <v>6025780</v>
      </c>
      <c r="I382" s="409">
        <f t="shared" ref="I382:I420" si="81">D382</f>
        <v>8030506</v>
      </c>
      <c r="J382" s="81">
        <f t="shared" ref="J382:K420" si="82">E382</f>
        <v>5435544</v>
      </c>
      <c r="K382" s="82">
        <f t="shared" si="82"/>
        <v>8935544</v>
      </c>
    </row>
    <row r="383" spans="1:22" hidden="1" outlineLevel="1">
      <c r="A383" s="678" t="s">
        <v>749</v>
      </c>
      <c r="B383" s="86">
        <f>INDEX(Data!1578:1578,1,$P$1-8)+INDEX(Data!1578:1578,1,$P$1-7)</f>
        <v>34421036</v>
      </c>
      <c r="C383" s="87">
        <f>INDEX(Data!1578:1578,1,$P$1-6)+INDEX(Data!1578:1578,1,$P$1-5)</f>
        <v>37956034</v>
      </c>
      <c r="D383" s="404">
        <f>INDEX(Data!1578:1578,1,$P$1-4)+INDEX(Data!1578:1578,1,$P$1-3)</f>
        <v>58023452</v>
      </c>
      <c r="E383" s="90">
        <f>INDEX(Data!1578:1578,1,$P$1-2)+INDEX(Data!1578:1578,1,$P$1-1)</f>
        <v>40937038</v>
      </c>
      <c r="F383" s="88">
        <f>INDEX(Data!1578:1578,1,$P$1)+INDEX(Data!1578:1578,1,$P$1+1)</f>
        <v>94244491</v>
      </c>
      <c r="G383" s="91">
        <f t="shared" si="79"/>
        <v>34421036</v>
      </c>
      <c r="H383" s="87">
        <f t="shared" si="80"/>
        <v>37956034</v>
      </c>
      <c r="I383" s="404">
        <f t="shared" si="81"/>
        <v>58023452</v>
      </c>
      <c r="J383" s="90">
        <f t="shared" si="82"/>
        <v>40937038</v>
      </c>
      <c r="K383" s="88">
        <f t="shared" si="82"/>
        <v>94244491</v>
      </c>
    </row>
    <row r="384" spans="1:22" hidden="1" outlineLevel="1">
      <c r="A384" s="50" t="s">
        <v>755</v>
      </c>
      <c r="B384" s="86">
        <f>INDEX(Data!1587:1587,1,$P$1-8)+INDEX(Data!1587:1587,1,$P$1-7)</f>
        <v>5655680</v>
      </c>
      <c r="C384" s="87">
        <f>INDEX(Data!1587:1587,1,$P$1-6)+INDEX(Data!1587:1587,1,$P$1-5)</f>
        <v>4765058</v>
      </c>
      <c r="D384" s="404">
        <f>INDEX(Data!1587:1587,1,$P$1-4)+INDEX(Data!1587:1587,1,$P$1-3)</f>
        <v>5765057</v>
      </c>
      <c r="E384" s="90">
        <f>INDEX(Data!1587:1587,1,$P$1-2)+INDEX(Data!1587:1587,1,$P$1-1)</f>
        <v>3747188</v>
      </c>
      <c r="F384" s="88">
        <f>INDEX(Data!1587:1587,1,$P$1)+INDEX(Data!1587:1587,1,$P$1+1)</f>
        <v>5184032</v>
      </c>
      <c r="G384" s="91">
        <f t="shared" si="79"/>
        <v>5655680</v>
      </c>
      <c r="H384" s="87">
        <f t="shared" si="80"/>
        <v>4765058</v>
      </c>
      <c r="I384" s="404">
        <f t="shared" si="81"/>
        <v>5765057</v>
      </c>
      <c r="J384" s="90">
        <f t="shared" si="82"/>
        <v>3747188</v>
      </c>
      <c r="K384" s="88">
        <f t="shared" si="82"/>
        <v>5184032</v>
      </c>
    </row>
    <row r="385" spans="1:11" hidden="1" outlineLevel="1">
      <c r="A385" s="50" t="s">
        <v>756</v>
      </c>
      <c r="B385" s="86">
        <f>INDEX(Data!1601:1601,1,$P$1-8)+INDEX(Data!1601:1601,1,$P$1-7)</f>
        <v>14961573</v>
      </c>
      <c r="C385" s="87">
        <f>INDEX(Data!1601:1601,1,$P$1-6)+INDEX(Data!1601:1601,1,$P$1-5)</f>
        <v>9961574</v>
      </c>
      <c r="D385" s="404">
        <f>INDEX(Data!1601:1601,1,$P$1-4)+INDEX(Data!1601:1601,1,$P$1-3)</f>
        <v>16968640</v>
      </c>
      <c r="E385" s="90">
        <f>INDEX(Data!1601:1601,1,$P$1-2)+INDEX(Data!1601:1601,1,$P$1-1)</f>
        <v>11491975</v>
      </c>
      <c r="F385" s="88">
        <f>INDEX(Data!1601:1601,1,$P$1)+INDEX(Data!1601:1601,1,$P$1+1)</f>
        <v>13320611</v>
      </c>
      <c r="G385" s="91">
        <f t="shared" si="79"/>
        <v>14961573</v>
      </c>
      <c r="H385" s="87">
        <f t="shared" si="80"/>
        <v>9961574</v>
      </c>
      <c r="I385" s="404">
        <f t="shared" si="81"/>
        <v>16968640</v>
      </c>
      <c r="J385" s="90">
        <f t="shared" si="82"/>
        <v>11491975</v>
      </c>
      <c r="K385" s="88">
        <f t="shared" si="82"/>
        <v>13320611</v>
      </c>
    </row>
    <row r="386" spans="1:11" hidden="1" outlineLevel="1">
      <c r="A386" s="50" t="s">
        <v>1667</v>
      </c>
      <c r="B386" s="86">
        <f>INDEX(Data!1619:1619,1,$P$1-8)+INDEX(Data!1619:1619,1,$P$1-7)</f>
        <v>0</v>
      </c>
      <c r="C386" s="87">
        <f>INDEX(Data!1619:1619,1,$P$1-6)+INDEX(Data!1619:1619,1,$P$1-5)</f>
        <v>0</v>
      </c>
      <c r="D386" s="404">
        <f>INDEX(Data!1619:1619,1,$P$1-4)+INDEX(Data!1619:1619,1,$P$1-3)</f>
        <v>89526538</v>
      </c>
      <c r="E386" s="90">
        <f>INDEX(Data!1619:1619,1,$P$1-2)+INDEX(Data!1619:1619,1,$P$1-1)</f>
        <v>17344258</v>
      </c>
      <c r="F386" s="88">
        <f>INDEX(Data!1619:1619,1,$P$1)+INDEX(Data!1619:1619,1,$P$1+1)</f>
        <v>21471070</v>
      </c>
      <c r="G386" s="91">
        <f t="shared" ref="G386" si="83">B386</f>
        <v>0</v>
      </c>
      <c r="H386" s="87">
        <f t="shared" ref="H386" si="84">C386</f>
        <v>0</v>
      </c>
      <c r="I386" s="404">
        <f t="shared" ref="I386" si="85">D386</f>
        <v>89526538</v>
      </c>
      <c r="J386" s="90">
        <f t="shared" ref="J386" si="86">E386</f>
        <v>17344258</v>
      </c>
      <c r="K386" s="88">
        <f t="shared" ref="K386" si="87">F386</f>
        <v>21471070</v>
      </c>
    </row>
    <row r="387" spans="1:11" hidden="1" outlineLevel="1">
      <c r="A387" s="50" t="s">
        <v>1356</v>
      </c>
      <c r="B387" s="86">
        <f>INDEX(Data!1633:1633,1,$P$1-8)+INDEX(Data!1633:1633,1,$P$1-7)</f>
        <v>15579752</v>
      </c>
      <c r="C387" s="87">
        <f>INDEX(Data!1633:1633,1,$P$1-6)+INDEX(Data!1633:1633,1,$P$1-5)</f>
        <v>17670354</v>
      </c>
      <c r="D387" s="404">
        <f>INDEX(Data!1633:1633,1,$P$1-4)+INDEX(Data!1633:1633,1,$P$1-3)</f>
        <v>0</v>
      </c>
      <c r="E387" s="90">
        <f>INDEX(Data!1633:1633,1,$P$1-2)+INDEX(Data!1633:1633,1,$P$1-1)</f>
        <v>0</v>
      </c>
      <c r="F387" s="88">
        <f>INDEX(Data!1633:1633,1,$P$1)+INDEX(Data!1633:1633,1,$P$1+1)</f>
        <v>0</v>
      </c>
      <c r="G387" s="91">
        <f t="shared" si="79"/>
        <v>15579752</v>
      </c>
      <c r="H387" s="87">
        <f t="shared" si="80"/>
        <v>17670354</v>
      </c>
      <c r="I387" s="404">
        <f t="shared" si="81"/>
        <v>0</v>
      </c>
      <c r="J387" s="90">
        <f t="shared" si="82"/>
        <v>0</v>
      </c>
      <c r="K387" s="88">
        <f t="shared" si="82"/>
        <v>0</v>
      </c>
    </row>
    <row r="388" spans="1:11" hidden="1" outlineLevel="1">
      <c r="A388" s="50" t="s">
        <v>1357</v>
      </c>
      <c r="B388" s="86">
        <f>INDEX(Data!1637:1637,1,$P$1-8)+INDEX(Data!1637:1637,1,$P$1-7)</f>
        <v>8408285</v>
      </c>
      <c r="C388" s="87">
        <f>INDEX(Data!1637:1637,1,$P$1-6)+INDEX(Data!1637:1637,1,$P$1-5)</f>
        <v>9458284</v>
      </c>
      <c r="D388" s="404">
        <f>INDEX(Data!1637:1637,1,$P$1-4)+INDEX(Data!1637:1637,1,$P$1-3)</f>
        <v>0</v>
      </c>
      <c r="E388" s="90">
        <f>INDEX(Data!1637:1637,1,$P$1-2)+INDEX(Data!1637:1637,1,$P$1-1)</f>
        <v>0</v>
      </c>
      <c r="F388" s="88">
        <f>INDEX(Data!1637:1637,1,$P$1)+INDEX(Data!1637:1637,1,$P$1+1)</f>
        <v>0</v>
      </c>
      <c r="G388" s="91">
        <f t="shared" si="79"/>
        <v>8408285</v>
      </c>
      <c r="H388" s="87">
        <f t="shared" si="80"/>
        <v>9458284</v>
      </c>
      <c r="I388" s="404">
        <f t="shared" si="81"/>
        <v>0</v>
      </c>
      <c r="J388" s="90">
        <f t="shared" si="82"/>
        <v>0</v>
      </c>
      <c r="K388" s="88">
        <f t="shared" si="82"/>
        <v>0</v>
      </c>
    </row>
    <row r="389" spans="1:11" hidden="1" outlineLevel="1">
      <c r="A389" s="50" t="s">
        <v>1358</v>
      </c>
      <c r="B389" s="86">
        <f>INDEX(Data!1647:1647,1,$P$1-8)+INDEX(Data!1647:1647,1,$P$1-7)</f>
        <v>15403266</v>
      </c>
      <c r="C389" s="87">
        <f>INDEX(Data!1647:1647,1,$P$1-6)+INDEX(Data!1647:1647,1,$P$1-5)</f>
        <v>18831258</v>
      </c>
      <c r="D389" s="404">
        <f>INDEX(Data!1647:1647,1,$P$1-4)+INDEX(Data!1647:1647,1,$P$1-3)</f>
        <v>21831258</v>
      </c>
      <c r="E389" s="90">
        <f>INDEX(Data!1647:1647,1,$P$1-2)+INDEX(Data!1647:1647,1,$P$1-1)</f>
        <v>16360516</v>
      </c>
      <c r="F389" s="88">
        <f>INDEX(Data!1647:1647,1,$P$1)+INDEX(Data!1647:1647,1,$P$1+1)</f>
        <v>19925995</v>
      </c>
      <c r="G389" s="91">
        <f t="shared" si="79"/>
        <v>15403266</v>
      </c>
      <c r="H389" s="87">
        <f t="shared" si="80"/>
        <v>18831258</v>
      </c>
      <c r="I389" s="404">
        <f t="shared" si="81"/>
        <v>21831258</v>
      </c>
      <c r="J389" s="90">
        <f t="shared" si="82"/>
        <v>16360516</v>
      </c>
      <c r="K389" s="88">
        <f t="shared" si="82"/>
        <v>19925995</v>
      </c>
    </row>
    <row r="390" spans="1:11" hidden="1" outlineLevel="1">
      <c r="A390" s="50" t="s">
        <v>757</v>
      </c>
      <c r="B390" s="86">
        <f>INDEX(Data!1660:1660,1,$P$1-8)+INDEX(Data!1660:1660,1,$P$1-7)</f>
        <v>26197738</v>
      </c>
      <c r="C390" s="87">
        <f>INDEX(Data!1660:1660,1,$P$1-6)+INDEX(Data!1660:1660,1,$P$1-5)</f>
        <v>22228600</v>
      </c>
      <c r="D390" s="404">
        <f>INDEX(Data!1660:1660,1,$P$1-4)+INDEX(Data!1660:1660,1,$P$1-3)</f>
        <v>25468688</v>
      </c>
      <c r="E390" s="90">
        <f>INDEX(Data!1660:1660,1,$P$1-2)+INDEX(Data!1660:1660,1,$P$1-1)</f>
        <v>16875706</v>
      </c>
      <c r="F390" s="88">
        <f>INDEX(Data!1660:1660,1,$P$1)+INDEX(Data!1660:1660,1,$P$1+1)</f>
        <v>20375706</v>
      </c>
      <c r="G390" s="91">
        <f t="shared" si="79"/>
        <v>26197738</v>
      </c>
      <c r="H390" s="87">
        <f t="shared" si="80"/>
        <v>22228600</v>
      </c>
      <c r="I390" s="404">
        <f t="shared" si="81"/>
        <v>25468688</v>
      </c>
      <c r="J390" s="90">
        <f t="shared" si="82"/>
        <v>16875706</v>
      </c>
      <c r="K390" s="88">
        <f t="shared" si="82"/>
        <v>20375706</v>
      </c>
    </row>
    <row r="391" spans="1:11" hidden="1" outlineLevel="1">
      <c r="A391" s="50" t="s">
        <v>1359</v>
      </c>
      <c r="B391" s="86">
        <f>INDEX(Data!1665:1665,1,$P$1-8)+INDEX(Data!1665:1665,1,$P$1-7)</f>
        <v>12158772</v>
      </c>
      <c r="C391" s="87">
        <f>INDEX(Data!1665:1665,1,$P$1-6)+INDEX(Data!1665:1665,1,$P$1-5)</f>
        <v>13158772</v>
      </c>
      <c r="D391" s="404">
        <f>INDEX(Data!1665:1665,1,$P$1-4)+INDEX(Data!1665:1665,1,$P$1-3)</f>
        <v>13147980</v>
      </c>
      <c r="E391" s="90">
        <f>INDEX(Data!1665:1665,1,$P$1-2)+INDEX(Data!1665:1665,1,$P$1-1)</f>
        <v>8008294</v>
      </c>
      <c r="F391" s="88">
        <f>INDEX(Data!1665:1665,1,$P$1)+INDEX(Data!1665:1665,1,$P$1+1)</f>
        <v>7858034</v>
      </c>
      <c r="G391" s="91">
        <f t="shared" si="79"/>
        <v>12158772</v>
      </c>
      <c r="H391" s="87">
        <f t="shared" si="80"/>
        <v>13158772</v>
      </c>
      <c r="I391" s="404">
        <f t="shared" si="81"/>
        <v>13147980</v>
      </c>
      <c r="J391" s="90">
        <f t="shared" si="82"/>
        <v>8008294</v>
      </c>
      <c r="K391" s="88">
        <f t="shared" si="82"/>
        <v>7858034</v>
      </c>
    </row>
    <row r="392" spans="1:11" hidden="1" outlineLevel="1">
      <c r="A392" s="50" t="s">
        <v>751</v>
      </c>
      <c r="B392" s="86">
        <f>INDEX(Data!1675:1675,1,$P$1-8)+INDEX(Data!1675:1675,1,$P$1-7)</f>
        <v>12006371</v>
      </c>
      <c r="C392" s="87">
        <f>INDEX(Data!1675:1675,1,$P$1-6)+INDEX(Data!1675:1675,1,$P$1-5)</f>
        <v>11880614</v>
      </c>
      <c r="D392" s="404">
        <f>INDEX(Data!1675:1675,1,$P$1-4)+INDEX(Data!1675:1675,1,$P$1-3)</f>
        <v>13640426</v>
      </c>
      <c r="E392" s="90">
        <f>INDEX(Data!1675:1675,1,$P$1-2)+INDEX(Data!1675:1675,1,$P$1-1)</f>
        <v>2428895</v>
      </c>
      <c r="F392" s="88">
        <f>INDEX(Data!1675:1675,1,$P$1)+INDEX(Data!1675:1675,1,$P$1+1)</f>
        <v>57428895</v>
      </c>
      <c r="G392" s="91">
        <f t="shared" si="79"/>
        <v>12006371</v>
      </c>
      <c r="H392" s="87">
        <f t="shared" si="80"/>
        <v>11880614</v>
      </c>
      <c r="I392" s="404">
        <f t="shared" si="81"/>
        <v>13640426</v>
      </c>
      <c r="J392" s="90">
        <f t="shared" si="82"/>
        <v>2428895</v>
      </c>
      <c r="K392" s="88">
        <f t="shared" si="82"/>
        <v>57428895</v>
      </c>
    </row>
    <row r="393" spans="1:11" hidden="1" outlineLevel="1">
      <c r="A393" s="50" t="s">
        <v>876</v>
      </c>
      <c r="B393" s="86">
        <f>INDEX(Data!1683:1683,1,$P$1-8)+INDEX(Data!1683:1683,1,$P$1-7)</f>
        <v>4226016</v>
      </c>
      <c r="C393" s="87">
        <f>INDEX(Data!1683:1683,1,$P$1-6)+INDEX(Data!1683:1683,1,$P$1-5)</f>
        <v>5426016</v>
      </c>
      <c r="D393" s="404">
        <f>INDEX(Data!1683:1683,1,$P$1-4)+INDEX(Data!1683:1683,1,$P$1-3)</f>
        <v>5426016</v>
      </c>
      <c r="E393" s="90">
        <f>INDEX(Data!1683:1683,1,$P$1-2)+INDEX(Data!1683:1683,1,$P$1-1)</f>
        <v>3780953</v>
      </c>
      <c r="F393" s="88">
        <f>INDEX(Data!1683:1683,1,$P$1)+INDEX(Data!1683:1683,1,$P$1+1)</f>
        <v>3840634</v>
      </c>
      <c r="G393" s="91">
        <f t="shared" si="79"/>
        <v>4226016</v>
      </c>
      <c r="H393" s="87">
        <f t="shared" si="80"/>
        <v>5426016</v>
      </c>
      <c r="I393" s="404">
        <f t="shared" si="81"/>
        <v>5426016</v>
      </c>
      <c r="J393" s="90">
        <f t="shared" si="82"/>
        <v>3780953</v>
      </c>
      <c r="K393" s="88">
        <f t="shared" si="82"/>
        <v>3840634</v>
      </c>
    </row>
    <row r="394" spans="1:11" hidden="1" outlineLevel="1">
      <c r="A394" s="50" t="s">
        <v>750</v>
      </c>
      <c r="B394" s="86">
        <f>INDEX(Data!1694:1694,1,$P$1-8)+INDEX(Data!1694:1694,1,$P$1-7)</f>
        <v>35356355</v>
      </c>
      <c r="C394" s="87">
        <f>INDEX(Data!1694:1694,1,$P$1-6)+INDEX(Data!1694:1694,1,$P$1-5)</f>
        <v>46790882</v>
      </c>
      <c r="D394" s="404">
        <f>INDEX(Data!1694:1694,1,$P$1-4)+INDEX(Data!1694:1694,1,$P$1-3)</f>
        <v>43555850</v>
      </c>
      <c r="E394" s="90">
        <f>INDEX(Data!1694:1694,1,$P$1-2)+INDEX(Data!1694:1694,1,$P$1-1)</f>
        <v>38058649</v>
      </c>
      <c r="F394" s="88">
        <f>INDEX(Data!1694:1694,1,$P$1)+INDEX(Data!1694:1694,1,$P$1+1)</f>
        <v>47654750</v>
      </c>
      <c r="G394" s="91">
        <f t="shared" si="79"/>
        <v>35356355</v>
      </c>
      <c r="H394" s="87">
        <f t="shared" si="80"/>
        <v>46790882</v>
      </c>
      <c r="I394" s="404">
        <f t="shared" si="81"/>
        <v>43555850</v>
      </c>
      <c r="J394" s="90">
        <f t="shared" si="82"/>
        <v>38058649</v>
      </c>
      <c r="K394" s="88">
        <f t="shared" si="82"/>
        <v>47654750</v>
      </c>
    </row>
    <row r="395" spans="1:11" hidden="1" outlineLevel="1">
      <c r="A395" s="50" t="s">
        <v>1209</v>
      </c>
      <c r="B395" s="86">
        <f>INDEX(Data!1703:1703,1,$P$1-8)+INDEX(Data!1703:1703,1,$P$1-7)</f>
        <v>9622442</v>
      </c>
      <c r="C395" s="87">
        <f>INDEX(Data!1703:1703,1,$P$1-6)+INDEX(Data!1703:1703,1,$P$1-5)</f>
        <v>10644442</v>
      </c>
      <c r="D395" s="404">
        <f>INDEX(Data!1703:1703,1,$P$1-4)+INDEX(Data!1703:1703,1,$P$1-3)</f>
        <v>10644442</v>
      </c>
      <c r="E395" s="90">
        <f>INDEX(Data!1703:1703,1,$P$1-2)+INDEX(Data!1703:1703,1,$P$1-1)</f>
        <v>7144450</v>
      </c>
      <c r="F395" s="88">
        <f>INDEX(Data!1703:1703,1,$P$1)+INDEX(Data!1703:1703,1,$P$1+1)</f>
        <v>6929985</v>
      </c>
      <c r="G395" s="91">
        <f t="shared" si="79"/>
        <v>9622442</v>
      </c>
      <c r="H395" s="87">
        <f t="shared" si="80"/>
        <v>10644442</v>
      </c>
      <c r="I395" s="404">
        <f t="shared" si="81"/>
        <v>10644442</v>
      </c>
      <c r="J395" s="90">
        <f t="shared" si="82"/>
        <v>7144450</v>
      </c>
      <c r="K395" s="88">
        <f t="shared" si="82"/>
        <v>6929985</v>
      </c>
    </row>
    <row r="396" spans="1:11" hidden="1" outlineLevel="1">
      <c r="A396" s="50" t="s">
        <v>1210</v>
      </c>
      <c r="B396" s="86">
        <f>INDEX(Data!1707:1707,1,$P$1-8)+INDEX(Data!1707:1707,1,$P$1-7)</f>
        <v>11420834</v>
      </c>
      <c r="C396" s="87">
        <f>INDEX(Data!1707:1707,1,$P$1-6)+INDEX(Data!1707:1707,1,$P$1-5)</f>
        <v>12420834</v>
      </c>
      <c r="D396" s="404">
        <f>INDEX(Data!1707:1707,1,$P$1-4)+INDEX(Data!1707:1707,1,$P$1-3)</f>
        <v>13920834</v>
      </c>
      <c r="E396" s="90">
        <f>INDEX(Data!1707:1707,1,$P$1-2)+INDEX(Data!1707:1707,1,$P$1-1)</f>
        <v>9269580</v>
      </c>
      <c r="F396" s="88">
        <f>INDEX(Data!1707:1707,1,$P$1)+INDEX(Data!1707:1707,1,$P$1+1)</f>
        <v>12164950</v>
      </c>
      <c r="G396" s="91">
        <f t="shared" si="79"/>
        <v>11420834</v>
      </c>
      <c r="H396" s="87">
        <f t="shared" si="80"/>
        <v>12420834</v>
      </c>
      <c r="I396" s="404">
        <f t="shared" si="81"/>
        <v>13920834</v>
      </c>
      <c r="J396" s="90">
        <f t="shared" si="82"/>
        <v>9269580</v>
      </c>
      <c r="K396" s="88">
        <f t="shared" si="82"/>
        <v>12164950</v>
      </c>
    </row>
    <row r="397" spans="1:11" hidden="1" outlineLevel="1">
      <c r="A397" s="678" t="s">
        <v>1211</v>
      </c>
      <c r="B397" s="86">
        <f>INDEX(Data!1719:1719,1,$P$1-8)+INDEX(Data!1719:1719,1,$P$1-7)</f>
        <v>20562264</v>
      </c>
      <c r="C397" s="87">
        <f>INDEX(Data!1719:1719,1,$P$1-6)+INDEX(Data!1719:1719,1,$P$1-5)</f>
        <v>23762264</v>
      </c>
      <c r="D397" s="404">
        <f>INDEX(Data!1719:1719,1,$P$1-4)+INDEX(Data!1719:1719,1,$P$1-3)</f>
        <v>25262264</v>
      </c>
      <c r="E397" s="90">
        <f>INDEX(Data!1719:1719,1,$P$1-2)+INDEX(Data!1719:1719,1,$P$1-1)</f>
        <v>24244261</v>
      </c>
      <c r="F397" s="88">
        <f>INDEX(Data!1719:1719,1,$P$1)+INDEX(Data!1719:1719,1,$P$1+1)</f>
        <v>26065811</v>
      </c>
      <c r="G397" s="91">
        <f t="shared" si="79"/>
        <v>20562264</v>
      </c>
      <c r="H397" s="87">
        <f t="shared" si="80"/>
        <v>23762264</v>
      </c>
      <c r="I397" s="404">
        <f t="shared" si="81"/>
        <v>25262264</v>
      </c>
      <c r="J397" s="90">
        <f t="shared" si="82"/>
        <v>24244261</v>
      </c>
      <c r="K397" s="88">
        <f t="shared" si="82"/>
        <v>26065811</v>
      </c>
    </row>
    <row r="398" spans="1:11" hidden="1" outlineLevel="1">
      <c r="A398" s="678" t="s">
        <v>1212</v>
      </c>
      <c r="B398" s="86">
        <f>INDEX(Data!1730:1730,1,$P$1-8)+INDEX(Data!1730:1730,1,$P$1-7)</f>
        <v>12361263</v>
      </c>
      <c r="C398" s="87">
        <f>INDEX(Data!1730:1730,1,$P$1-6)+INDEX(Data!1730:1730,1,$P$1-5)</f>
        <v>15158471</v>
      </c>
      <c r="D398" s="404">
        <f>INDEX(Data!1730:1730,1,$P$1-4)+INDEX(Data!1730:1730,1,$P$1-3)</f>
        <v>15124176</v>
      </c>
      <c r="E398" s="90">
        <f>INDEX(Data!1730:1730,1,$P$1-2)+INDEX(Data!1730:1730,1,$P$1-1)</f>
        <v>10182931</v>
      </c>
      <c r="F398" s="88">
        <f>INDEX(Data!1730:1730,1,$P$1)+INDEX(Data!1730:1730,1,$P$1+1)</f>
        <v>23927115</v>
      </c>
      <c r="G398" s="91">
        <f t="shared" si="79"/>
        <v>12361263</v>
      </c>
      <c r="H398" s="87">
        <f t="shared" si="80"/>
        <v>15158471</v>
      </c>
      <c r="I398" s="404">
        <f t="shared" si="81"/>
        <v>15124176</v>
      </c>
      <c r="J398" s="90">
        <f t="shared" si="82"/>
        <v>10182931</v>
      </c>
      <c r="K398" s="88">
        <f t="shared" si="82"/>
        <v>23927115</v>
      </c>
    </row>
    <row r="399" spans="1:11" hidden="1" outlineLevel="1">
      <c r="A399" s="678" t="s">
        <v>1213</v>
      </c>
      <c r="B399" s="86">
        <f>INDEX(Data!1734:1734,1,$P$1-8)+INDEX(Data!1734:1734,1,$P$1-7)</f>
        <v>11597650</v>
      </c>
      <c r="C399" s="87">
        <f>INDEX(Data!1734:1734,1,$P$1-6)+INDEX(Data!1734:1734,1,$P$1-5)</f>
        <v>12597650</v>
      </c>
      <c r="D399" s="404">
        <f>INDEX(Data!1734:1734,1,$P$1-4)+INDEX(Data!1734:1734,1,$P$1-3)</f>
        <v>23597650</v>
      </c>
      <c r="E399" s="90">
        <f>INDEX(Data!1734:1734,1,$P$1-2)+INDEX(Data!1734:1734,1,$P$1-1)</f>
        <v>15396170</v>
      </c>
      <c r="F399" s="88">
        <f>INDEX(Data!1734:1734,1,$P$1)+INDEX(Data!1734:1734,1,$P$1+1)</f>
        <v>20231498</v>
      </c>
      <c r="G399" s="91">
        <f t="shared" si="79"/>
        <v>11597650</v>
      </c>
      <c r="H399" s="87">
        <f t="shared" si="80"/>
        <v>12597650</v>
      </c>
      <c r="I399" s="404">
        <f t="shared" si="81"/>
        <v>23597650</v>
      </c>
      <c r="J399" s="90">
        <f t="shared" si="82"/>
        <v>15396170</v>
      </c>
      <c r="K399" s="88">
        <f t="shared" si="82"/>
        <v>20231498</v>
      </c>
    </row>
    <row r="400" spans="1:11" hidden="1" outlineLevel="1">
      <c r="A400" s="678" t="s">
        <v>861</v>
      </c>
      <c r="B400" s="86">
        <f>INDEX(Data!1742:1742,1,$P$1-8)+INDEX(Data!1742:1742,1,$P$1-7)</f>
        <v>16755536</v>
      </c>
      <c r="C400" s="87">
        <f>INDEX(Data!1742:1742,1,$P$1-6)+INDEX(Data!1742:1742,1,$P$1-5)</f>
        <v>17788536</v>
      </c>
      <c r="D400" s="404">
        <f>INDEX(Data!1742:1742,1,$P$1-4)+INDEX(Data!1742:1742,1,$P$1-3)</f>
        <v>17788536</v>
      </c>
      <c r="E400" s="90">
        <f>INDEX(Data!1742:1742,1,$P$1-2)+INDEX(Data!1742:1742,1,$P$1-1)</f>
        <v>12274465</v>
      </c>
      <c r="F400" s="88">
        <f>INDEX(Data!1742:1742,1,$P$1)+INDEX(Data!1742:1742,1,$P$1+1)</f>
        <v>12274465</v>
      </c>
      <c r="G400" s="91">
        <f t="shared" si="79"/>
        <v>16755536</v>
      </c>
      <c r="H400" s="87">
        <f t="shared" si="80"/>
        <v>17788536</v>
      </c>
      <c r="I400" s="404">
        <f t="shared" si="81"/>
        <v>17788536</v>
      </c>
      <c r="J400" s="90">
        <f t="shared" si="82"/>
        <v>12274465</v>
      </c>
      <c r="K400" s="88">
        <f t="shared" si="82"/>
        <v>12274465</v>
      </c>
    </row>
    <row r="401" spans="1:11" hidden="1" outlineLevel="1">
      <c r="A401" s="50" t="s">
        <v>871</v>
      </c>
      <c r="B401" s="86">
        <f>INDEX(Data!1753:1753,1,$P$1-8)+INDEX(Data!1753:1753,1,$P$1-7)</f>
        <v>10028938</v>
      </c>
      <c r="C401" s="87">
        <f>INDEX(Data!1753:1753,1,$P$1-6)+INDEX(Data!1753:1753,1,$P$1-5)</f>
        <v>11216363</v>
      </c>
      <c r="D401" s="404">
        <f>INDEX(Data!1753:1753,1,$P$1-4)+INDEX(Data!1753:1753,1,$P$1-3)</f>
        <v>12346363</v>
      </c>
      <c r="E401" s="90">
        <f>INDEX(Data!1753:1753,1,$P$1-2)+INDEX(Data!1753:1753,1,$P$1-1)</f>
        <v>8443180</v>
      </c>
      <c r="F401" s="88">
        <f>INDEX(Data!1753:1753,1,$P$1)+INDEX(Data!1753:1753,1,$P$1+1)</f>
        <v>12384763</v>
      </c>
      <c r="G401" s="91">
        <f t="shared" si="79"/>
        <v>10028938</v>
      </c>
      <c r="H401" s="87">
        <f t="shared" si="80"/>
        <v>11216363</v>
      </c>
      <c r="I401" s="404">
        <f t="shared" si="81"/>
        <v>12346363</v>
      </c>
      <c r="J401" s="90">
        <f t="shared" si="82"/>
        <v>8443180</v>
      </c>
      <c r="K401" s="88">
        <f t="shared" si="82"/>
        <v>12384763</v>
      </c>
    </row>
    <row r="402" spans="1:11" hidden="1" outlineLevel="1">
      <c r="A402" s="50" t="s">
        <v>1361</v>
      </c>
      <c r="B402" s="86">
        <f>INDEX(Data!1759:1759,1,$P$1-8)+INDEX(Data!1759:1759,1,$P$1-7)</f>
        <v>5054658</v>
      </c>
      <c r="C402" s="87">
        <f>INDEX(Data!1759:1759,1,$P$1-6)+INDEX(Data!1759:1759,1,$P$1-5)</f>
        <v>6054657</v>
      </c>
      <c r="D402" s="404">
        <f>INDEX(Data!1759:1759,1,$P$1-4)+INDEX(Data!1759:1759,1,$P$1-3)</f>
        <v>7541657</v>
      </c>
      <c r="E402" s="90">
        <f>INDEX(Data!1759:1759,1,$P$1-2)+INDEX(Data!1759:1759,1,$P$1-1)</f>
        <v>5074633</v>
      </c>
      <c r="F402" s="88">
        <f>INDEX(Data!1759:1759,1,$P$1)+INDEX(Data!1759:1759,1,$P$1+1)</f>
        <v>5060092</v>
      </c>
      <c r="G402" s="91">
        <f t="shared" si="79"/>
        <v>5054658</v>
      </c>
      <c r="H402" s="87">
        <f t="shared" si="80"/>
        <v>6054657</v>
      </c>
      <c r="I402" s="404">
        <f t="shared" si="81"/>
        <v>7541657</v>
      </c>
      <c r="J402" s="90">
        <f t="shared" si="82"/>
        <v>5074633</v>
      </c>
      <c r="K402" s="88">
        <f t="shared" si="82"/>
        <v>5060092</v>
      </c>
    </row>
    <row r="403" spans="1:11" hidden="1" outlineLevel="1">
      <c r="A403" s="678" t="s">
        <v>1425</v>
      </c>
      <c r="B403" s="86">
        <f>INDEX(Data!1768:1768,1,$P$1-8)+INDEX(Data!1768:1768,1,$P$1-7)</f>
        <v>9798383</v>
      </c>
      <c r="C403" s="87">
        <f>INDEX(Data!1768:1768,1,$P$1-6)+INDEX(Data!1768:1768,1,$P$1-5)</f>
        <v>10798388</v>
      </c>
      <c r="D403" s="404">
        <f>INDEX(Data!1768:1768,1,$P$1-4)+INDEX(Data!1768:1768,1,$P$1-3)</f>
        <v>14248379</v>
      </c>
      <c r="E403" s="90">
        <f>INDEX(Data!1768:1768,1,$P$1-2)+INDEX(Data!1768:1768,1,$P$1-1)</f>
        <v>8750630</v>
      </c>
      <c r="F403" s="88">
        <f>INDEX(Data!1768:1768,1,$P$1)+INDEX(Data!1768:1768,1,$P$1+1)</f>
        <v>18024117</v>
      </c>
      <c r="G403" s="91">
        <f t="shared" si="79"/>
        <v>9798383</v>
      </c>
      <c r="H403" s="87">
        <f t="shared" si="80"/>
        <v>10798388</v>
      </c>
      <c r="I403" s="404">
        <f t="shared" si="81"/>
        <v>14248379</v>
      </c>
      <c r="J403" s="90">
        <f t="shared" si="82"/>
        <v>8750630</v>
      </c>
      <c r="K403" s="88">
        <f t="shared" si="82"/>
        <v>18024117</v>
      </c>
    </row>
    <row r="404" spans="1:11" hidden="1" outlineLevel="1">
      <c r="A404" s="50" t="s">
        <v>726</v>
      </c>
      <c r="B404" s="86">
        <f>INDEX(Data!1789:1789,1,$P$1-8)+INDEX(Data!1789:1789,1,$P$1-7)</f>
        <v>28168814</v>
      </c>
      <c r="C404" s="87">
        <f>INDEX(Data!1789:1789,1,$P$1-6)+INDEX(Data!1789:1789,1,$P$1-5)</f>
        <v>33182954</v>
      </c>
      <c r="D404" s="404">
        <f>INDEX(Data!1789:1789,1,$P$1-4)+INDEX(Data!1789:1789,1,$P$1-3)</f>
        <v>33189652</v>
      </c>
      <c r="E404" s="90">
        <f>INDEX(Data!1789:1789,1,$P$1-2)+INDEX(Data!1789:1789,1,$P$1-1)</f>
        <v>32109605</v>
      </c>
      <c r="F404" s="88">
        <f>INDEX(Data!1789:1789,1,$P$1)+INDEX(Data!1789:1789,1,$P$1+1)</f>
        <v>108922862</v>
      </c>
      <c r="G404" s="91">
        <f t="shared" si="79"/>
        <v>28168814</v>
      </c>
      <c r="H404" s="87">
        <f t="shared" si="80"/>
        <v>33182954</v>
      </c>
      <c r="I404" s="404">
        <f t="shared" si="81"/>
        <v>33189652</v>
      </c>
      <c r="J404" s="90">
        <f t="shared" si="82"/>
        <v>32109605</v>
      </c>
      <c r="K404" s="88">
        <f t="shared" si="82"/>
        <v>108922862</v>
      </c>
    </row>
    <row r="405" spans="1:11" hidden="1" outlineLevel="1">
      <c r="A405" s="50" t="s">
        <v>1363</v>
      </c>
      <c r="B405" s="86">
        <f>INDEX(Data!1795:1795,1,$P$1-8)+INDEX(Data!1795:1795,1,$P$1-7)</f>
        <v>4238396</v>
      </c>
      <c r="C405" s="87">
        <f>INDEX(Data!1795:1795,1,$P$1-6)+INDEX(Data!1795:1795,1,$P$1-5)</f>
        <v>5238396</v>
      </c>
      <c r="D405" s="404">
        <f>INDEX(Data!1795:1795,1,$P$1-4)+INDEX(Data!1795:1795,1,$P$1-3)</f>
        <v>12143430</v>
      </c>
      <c r="E405" s="90">
        <f>INDEX(Data!1795:1795,1,$P$1-2)+INDEX(Data!1795:1795,1,$P$1-1)</f>
        <v>7995178</v>
      </c>
      <c r="F405" s="88">
        <f>INDEX(Data!1795:1795,1,$P$1)+INDEX(Data!1795:1795,1,$P$1+1)</f>
        <v>16441818</v>
      </c>
      <c r="G405" s="91">
        <f t="shared" si="79"/>
        <v>4238396</v>
      </c>
      <c r="H405" s="87">
        <f t="shared" si="80"/>
        <v>5238396</v>
      </c>
      <c r="I405" s="404">
        <f t="shared" si="81"/>
        <v>12143430</v>
      </c>
      <c r="J405" s="90">
        <f t="shared" si="82"/>
        <v>7995178</v>
      </c>
      <c r="K405" s="88">
        <f t="shared" si="82"/>
        <v>16441818</v>
      </c>
    </row>
    <row r="406" spans="1:11" hidden="1" outlineLevel="1">
      <c r="A406" s="50" t="s">
        <v>1364</v>
      </c>
      <c r="B406" s="86">
        <f>INDEX(Data!1799:1799,1,$P$1-8)+INDEX(Data!1799:1799,1,$P$1-7)</f>
        <v>4371908</v>
      </c>
      <c r="C406" s="87">
        <f>INDEX(Data!1799:1799,1,$P$1-6)+INDEX(Data!1799:1799,1,$P$1-5)</f>
        <v>5371908</v>
      </c>
      <c r="D406" s="404">
        <f>INDEX(Data!1799:1799,1,$P$1-4)+INDEX(Data!1799:1799,1,$P$1-3)</f>
        <v>5388280</v>
      </c>
      <c r="E406" s="90">
        <f>INDEX(Data!1799:1799,1,$P$1-2)+INDEX(Data!1799:1799,1,$P$1-1)</f>
        <v>3757376</v>
      </c>
      <c r="F406" s="88">
        <f>INDEX(Data!1799:1799,1,$P$1)+INDEX(Data!1799:1799,1,$P$1+1)</f>
        <v>3857376</v>
      </c>
      <c r="G406" s="91">
        <f t="shared" si="79"/>
        <v>4371908</v>
      </c>
      <c r="H406" s="87">
        <f t="shared" si="80"/>
        <v>5371908</v>
      </c>
      <c r="I406" s="404">
        <f t="shared" si="81"/>
        <v>5388280</v>
      </c>
      <c r="J406" s="90">
        <f t="shared" si="82"/>
        <v>3757376</v>
      </c>
      <c r="K406" s="88">
        <f t="shared" si="82"/>
        <v>3857376</v>
      </c>
    </row>
    <row r="407" spans="1:11" hidden="1" outlineLevel="1">
      <c r="A407" s="50" t="s">
        <v>1365</v>
      </c>
      <c r="B407" s="86">
        <f>INDEX(Data!1805:1805,1,$P$1-8)+INDEX(Data!1805:1805,1,$P$1-7)</f>
        <v>8691778</v>
      </c>
      <c r="C407" s="87">
        <f>INDEX(Data!1805:1805,1,$P$1-6)+INDEX(Data!1805:1805,1,$P$1-5)</f>
        <v>9734788</v>
      </c>
      <c r="D407" s="404">
        <f>INDEX(Data!1805:1805,1,$P$1-4)+INDEX(Data!1805:1805,1,$P$1-3)</f>
        <v>9736586</v>
      </c>
      <c r="E407" s="90">
        <f>INDEX(Data!1805:1805,1,$P$1-2)+INDEX(Data!1805:1805,1,$P$1-1)</f>
        <v>6372345</v>
      </c>
      <c r="F407" s="88">
        <f>INDEX(Data!1805:1805,1,$P$1)+INDEX(Data!1805:1805,1,$P$1+1)</f>
        <v>8233856</v>
      </c>
      <c r="G407" s="91">
        <f t="shared" si="79"/>
        <v>8691778</v>
      </c>
      <c r="H407" s="87">
        <f t="shared" si="80"/>
        <v>9734788</v>
      </c>
      <c r="I407" s="404">
        <f t="shared" si="81"/>
        <v>9736586</v>
      </c>
      <c r="J407" s="90">
        <f t="shared" si="82"/>
        <v>6372345</v>
      </c>
      <c r="K407" s="88">
        <f t="shared" si="82"/>
        <v>8233856</v>
      </c>
    </row>
    <row r="408" spans="1:11" hidden="1" outlineLevel="1">
      <c r="A408" s="50" t="s">
        <v>730</v>
      </c>
      <c r="B408" s="86">
        <f>INDEX(Data!1809:1809,1,$P$1-8)+INDEX(Data!1809:1809,1,$P$1-7)</f>
        <v>3971022</v>
      </c>
      <c r="C408" s="87">
        <f>INDEX(Data!1809:1809,1,$P$1-6)+INDEX(Data!1809:1809,1,$P$1-5)</f>
        <v>5002170</v>
      </c>
      <c r="D408" s="404">
        <f>INDEX(Data!1809:1809,1,$P$1-4)+INDEX(Data!1809:1809,1,$P$1-3)</f>
        <v>4992620</v>
      </c>
      <c r="E408" s="90">
        <f>INDEX(Data!1809:1809,1,$P$1-2)+INDEX(Data!1809:1809,1,$P$1-1)</f>
        <v>3472217</v>
      </c>
      <c r="F408" s="88">
        <f>INDEX(Data!1809:1809,1,$P$1)+INDEX(Data!1809:1809,1,$P$1+1)</f>
        <v>3832109</v>
      </c>
      <c r="G408" s="91">
        <f t="shared" si="79"/>
        <v>3971022</v>
      </c>
      <c r="H408" s="87">
        <f t="shared" si="80"/>
        <v>5002170</v>
      </c>
      <c r="I408" s="404">
        <f t="shared" si="81"/>
        <v>4992620</v>
      </c>
      <c r="J408" s="90">
        <f t="shared" si="82"/>
        <v>3472217</v>
      </c>
      <c r="K408" s="88">
        <f t="shared" si="82"/>
        <v>3832109</v>
      </c>
    </row>
    <row r="409" spans="1:11" hidden="1" outlineLevel="1">
      <c r="A409" s="50" t="s">
        <v>731</v>
      </c>
      <c r="B409" s="86">
        <f>INDEX(Data!1817:1817,1,$P$1-8)+INDEX(Data!1817:1817,1,$P$1-7)</f>
        <v>6348637</v>
      </c>
      <c r="C409" s="87">
        <f>INDEX(Data!1817:1817,1,$P$1-6)+INDEX(Data!1817:1817,1,$P$1-5)</f>
        <v>6348637</v>
      </c>
      <c r="D409" s="404">
        <f>INDEX(Data!1817:1817,1,$P$1-4)+INDEX(Data!1817:1817,1,$P$1-3)</f>
        <v>7964279</v>
      </c>
      <c r="E409" s="90">
        <f>INDEX(Data!1817:1817,1,$P$1-2)+INDEX(Data!1817:1817,1,$P$1-1)</f>
        <v>4133330</v>
      </c>
      <c r="F409" s="88">
        <f>INDEX(Data!1817:1817,1,$P$1)+INDEX(Data!1817:1817,1,$P$1+1)</f>
        <v>16731489</v>
      </c>
      <c r="G409" s="91">
        <f t="shared" si="79"/>
        <v>6348637</v>
      </c>
      <c r="H409" s="87">
        <f t="shared" si="80"/>
        <v>6348637</v>
      </c>
      <c r="I409" s="404">
        <f t="shared" si="81"/>
        <v>7964279</v>
      </c>
      <c r="J409" s="90">
        <f t="shared" si="82"/>
        <v>4133330</v>
      </c>
      <c r="K409" s="88">
        <f t="shared" si="82"/>
        <v>16731489</v>
      </c>
    </row>
    <row r="410" spans="1:11" hidden="1" outlineLevel="1">
      <c r="A410" s="50" t="s">
        <v>1453</v>
      </c>
      <c r="B410" s="86">
        <f>INDEX(Data!1822:1822,1,$P$1-8)+INDEX(Data!1822:1822,1,$P$1-7)</f>
        <v>11812363</v>
      </c>
      <c r="C410" s="87">
        <f>INDEX(Data!1822:1822,1,$P$1-6)+INDEX(Data!1822:1822,1,$P$1-5)</f>
        <v>12812362</v>
      </c>
      <c r="D410" s="404">
        <f>INDEX(Data!1822:1822,1,$P$1-4)+INDEX(Data!1822:1822,1,$P$1-3)</f>
        <v>12812362</v>
      </c>
      <c r="E410" s="90">
        <f>INDEX(Data!1822:1822,1,$P$1-2)+INDEX(Data!1822:1822,1,$P$1-1)</f>
        <v>11974688</v>
      </c>
      <c r="F410" s="88">
        <f>INDEX(Data!1822:1822,1,$P$1)+INDEX(Data!1822:1822,1,$P$1+1)</f>
        <v>12847379</v>
      </c>
      <c r="G410" s="91">
        <f t="shared" si="79"/>
        <v>11812363</v>
      </c>
      <c r="H410" s="87">
        <f t="shared" si="80"/>
        <v>12812362</v>
      </c>
      <c r="I410" s="404">
        <f t="shared" si="81"/>
        <v>12812362</v>
      </c>
      <c r="J410" s="90">
        <f t="shared" si="82"/>
        <v>11974688</v>
      </c>
      <c r="K410" s="88">
        <f t="shared" si="82"/>
        <v>12847379</v>
      </c>
    </row>
    <row r="411" spans="1:11" hidden="1" outlineLevel="1">
      <c r="A411" s="678" t="s">
        <v>1426</v>
      </c>
      <c r="B411" s="86">
        <f>INDEX(Data!1830:1830,1,$P$1-8)+INDEX(Data!1830:1830,1,$P$1-7)</f>
        <v>11346348</v>
      </c>
      <c r="C411" s="87">
        <f>INDEX(Data!1830:1830,1,$P$1-6)+INDEX(Data!1830:1830,1,$P$1-5)</f>
        <v>12346348</v>
      </c>
      <c r="D411" s="404">
        <f>INDEX(Data!1830:1830,1,$P$1-4)+INDEX(Data!1830:1830,1,$P$1-3)</f>
        <v>12362240</v>
      </c>
      <c r="E411" s="90">
        <f>INDEX(Data!1830:1830,1,$P$1-2)+INDEX(Data!1830:1830,1,$P$1-1)</f>
        <v>8135779</v>
      </c>
      <c r="F411" s="88">
        <f>INDEX(Data!1830:1830,1,$P$1)+INDEX(Data!1830:1830,1,$P$1+1)</f>
        <v>8075696</v>
      </c>
      <c r="G411" s="91">
        <f t="shared" si="79"/>
        <v>11346348</v>
      </c>
      <c r="H411" s="87">
        <f t="shared" si="80"/>
        <v>12346348</v>
      </c>
      <c r="I411" s="404">
        <f t="shared" si="81"/>
        <v>12362240</v>
      </c>
      <c r="J411" s="90">
        <f t="shared" si="82"/>
        <v>8135779</v>
      </c>
      <c r="K411" s="88">
        <f t="shared" si="82"/>
        <v>8075696</v>
      </c>
    </row>
    <row r="412" spans="1:11" hidden="1" outlineLevel="1">
      <c r="A412" s="50" t="s">
        <v>733</v>
      </c>
      <c r="B412" s="86">
        <f>INDEX(Data!1841:1841,1,$P$1-8)+INDEX(Data!1841:1841,1,$P$1-7)</f>
        <v>32710774</v>
      </c>
      <c r="C412" s="87">
        <f>INDEX(Data!1841:1841,1,$P$1-6)+INDEX(Data!1841:1841,1,$P$1-5)</f>
        <v>36230306</v>
      </c>
      <c r="D412" s="404">
        <f>INDEX(Data!1841:1841,1,$P$1-4)+INDEX(Data!1841:1841,1,$P$1-3)</f>
        <v>39967846</v>
      </c>
      <c r="E412" s="90">
        <f>INDEX(Data!1841:1841,1,$P$1-2)+INDEX(Data!1841:1841,1,$P$1-1)</f>
        <v>34304111</v>
      </c>
      <c r="F412" s="88">
        <f>INDEX(Data!1841:1841,1,$P$1)+INDEX(Data!1841:1841,1,$P$1+1)</f>
        <v>39972901</v>
      </c>
      <c r="G412" s="91">
        <f t="shared" si="79"/>
        <v>32710774</v>
      </c>
      <c r="H412" s="87">
        <f t="shared" si="80"/>
        <v>36230306</v>
      </c>
      <c r="I412" s="404">
        <f t="shared" si="81"/>
        <v>39967846</v>
      </c>
      <c r="J412" s="90">
        <f t="shared" si="82"/>
        <v>34304111</v>
      </c>
      <c r="K412" s="88">
        <f t="shared" si="82"/>
        <v>39972901</v>
      </c>
    </row>
    <row r="413" spans="1:11" hidden="1" outlineLevel="1">
      <c r="A413" s="50" t="s">
        <v>735</v>
      </c>
      <c r="B413" s="86">
        <f>INDEX(Data!1856:1856,1,$P$1-8)+INDEX(Data!1856:1856,1,$P$1-7)</f>
        <v>27745498</v>
      </c>
      <c r="C413" s="87">
        <f>INDEX(Data!1856:1856,1,$P$1-6)+INDEX(Data!1856:1856,1,$P$1-5)</f>
        <v>27863756</v>
      </c>
      <c r="D413" s="404">
        <f>INDEX(Data!1856:1856,1,$P$1-4)+INDEX(Data!1856:1856,1,$P$1-3)</f>
        <v>29036100</v>
      </c>
      <c r="E413" s="90">
        <f>INDEX(Data!1856:1856,1,$P$1-2)+INDEX(Data!1856:1856,1,$P$1-1)</f>
        <v>23277552</v>
      </c>
      <c r="F413" s="88">
        <f>INDEX(Data!1856:1856,1,$P$1)+INDEX(Data!1856:1856,1,$P$1+1)</f>
        <v>36670048</v>
      </c>
      <c r="G413" s="91">
        <f t="shared" si="79"/>
        <v>27745498</v>
      </c>
      <c r="H413" s="87">
        <f t="shared" si="80"/>
        <v>27863756</v>
      </c>
      <c r="I413" s="404">
        <f t="shared" si="81"/>
        <v>29036100</v>
      </c>
      <c r="J413" s="90">
        <f t="shared" si="82"/>
        <v>23277552</v>
      </c>
      <c r="K413" s="88">
        <f t="shared" si="82"/>
        <v>36670048</v>
      </c>
    </row>
    <row r="414" spans="1:11" hidden="1" outlineLevel="1">
      <c r="A414" s="50" t="s">
        <v>855</v>
      </c>
      <c r="B414" s="86">
        <f>INDEX(Data!1866:1866,1,$P$1-8)+INDEX(Data!1866:1866,1,$P$1-7)</f>
        <v>11211717</v>
      </c>
      <c r="C414" s="87">
        <f>INDEX(Data!1866:1866,1,$P$1-6)+INDEX(Data!1866:1866,1,$P$1-5)</f>
        <v>14438571</v>
      </c>
      <c r="D414" s="404">
        <f>INDEX(Data!1866:1866,1,$P$1-4)+INDEX(Data!1866:1866,1,$P$1-3)</f>
        <v>16638571</v>
      </c>
      <c r="E414" s="90">
        <f>INDEX(Data!1866:1866,1,$P$1-2)+INDEX(Data!1866:1866,1,$P$1-1)</f>
        <v>11475594</v>
      </c>
      <c r="F414" s="88">
        <f>INDEX(Data!1866:1866,1,$P$1)+INDEX(Data!1866:1866,1,$P$1+1)</f>
        <v>15466476</v>
      </c>
      <c r="G414" s="91">
        <f t="shared" si="79"/>
        <v>11211717</v>
      </c>
      <c r="H414" s="87">
        <f t="shared" si="80"/>
        <v>14438571</v>
      </c>
      <c r="I414" s="404">
        <f t="shared" si="81"/>
        <v>16638571</v>
      </c>
      <c r="J414" s="90">
        <f t="shared" si="82"/>
        <v>11475594</v>
      </c>
      <c r="K414" s="88">
        <f t="shared" si="82"/>
        <v>15466476</v>
      </c>
    </row>
    <row r="415" spans="1:11" hidden="1" outlineLevel="1">
      <c r="A415" s="50" t="s">
        <v>737</v>
      </c>
      <c r="B415" s="86">
        <f>INDEX(Data!1873:1873,1,$P$1-8)+INDEX(Data!1873:1873,1,$P$1-7)</f>
        <v>10740776</v>
      </c>
      <c r="C415" s="87">
        <f>INDEX(Data!1873:1873,1,$P$1-6)+INDEX(Data!1873:1873,1,$P$1-5)</f>
        <v>11740776</v>
      </c>
      <c r="D415" s="404">
        <f>INDEX(Data!1873:1873,1,$P$1-4)+INDEX(Data!1873:1873,1,$P$1-3)</f>
        <v>13598328</v>
      </c>
      <c r="E415" s="90">
        <f>INDEX(Data!1873:1873,1,$P$1-2)+INDEX(Data!1873:1873,1,$P$1-1)</f>
        <v>15089796</v>
      </c>
      <c r="F415" s="88">
        <f>INDEX(Data!1873:1873,1,$P$1)+INDEX(Data!1873:1873,1,$P$1+1)</f>
        <v>28005853</v>
      </c>
      <c r="G415" s="91">
        <f t="shared" si="79"/>
        <v>10740776</v>
      </c>
      <c r="H415" s="87">
        <f t="shared" si="80"/>
        <v>11740776</v>
      </c>
      <c r="I415" s="404">
        <f t="shared" si="81"/>
        <v>13598328</v>
      </c>
      <c r="J415" s="90">
        <f t="shared" si="82"/>
        <v>15089796</v>
      </c>
      <c r="K415" s="88">
        <f t="shared" si="82"/>
        <v>28005853</v>
      </c>
    </row>
    <row r="416" spans="1:11" hidden="1" outlineLevel="1">
      <c r="A416" s="50" t="s">
        <v>738</v>
      </c>
      <c r="B416" s="86">
        <f>INDEX(Data!1885:1885,1,$P$1-8)+INDEX(Data!1885:1885,1,$P$1-7)</f>
        <v>5485326</v>
      </c>
      <c r="C416" s="87">
        <f>INDEX(Data!1885:1885,1,$P$1-6)+INDEX(Data!1885:1885,1,$P$1-5)</f>
        <v>6509310</v>
      </c>
      <c r="D416" s="404">
        <f>INDEX(Data!1885:1885,1,$P$1-4)+INDEX(Data!1885:1885,1,$P$1-3)</f>
        <v>10329310</v>
      </c>
      <c r="E416" s="90">
        <f>INDEX(Data!1885:1885,1,$P$1-2)+INDEX(Data!1885:1885,1,$P$1-1)</f>
        <v>7015340</v>
      </c>
      <c r="F416" s="88">
        <f>INDEX(Data!1885:1885,1,$P$1)+INDEX(Data!1885:1885,1,$P$1+1)</f>
        <v>14928389</v>
      </c>
      <c r="G416" s="91">
        <f t="shared" si="79"/>
        <v>5485326</v>
      </c>
      <c r="H416" s="87">
        <f t="shared" si="80"/>
        <v>6509310</v>
      </c>
      <c r="I416" s="404">
        <f t="shared" si="81"/>
        <v>10329310</v>
      </c>
      <c r="J416" s="90">
        <f t="shared" si="82"/>
        <v>7015340</v>
      </c>
      <c r="K416" s="88">
        <f t="shared" si="82"/>
        <v>14928389</v>
      </c>
    </row>
    <row r="417" spans="1:11" hidden="1" outlineLevel="1">
      <c r="A417" s="50" t="s">
        <v>1367</v>
      </c>
      <c r="B417" s="86">
        <f>INDEX(Data!1896:1896,1,$P$1-8)+INDEX(Data!1896:1896,1,$P$1-7)</f>
        <v>17556376</v>
      </c>
      <c r="C417" s="87">
        <f>INDEX(Data!1896:1896,1,$P$1-6)+INDEX(Data!1896:1896,1,$P$1-5)</f>
        <v>21247996</v>
      </c>
      <c r="D417" s="404">
        <f>INDEX(Data!1896:1896,1,$P$1-4)+INDEX(Data!1896:1896,1,$P$1-3)</f>
        <v>25281498</v>
      </c>
      <c r="E417" s="90">
        <f>INDEX(Data!1896:1896,1,$P$1-2)+INDEX(Data!1896:1896,1,$P$1-1)</f>
        <v>16352146</v>
      </c>
      <c r="F417" s="88">
        <f>INDEX(Data!1896:1896,1,$P$1)+INDEX(Data!1896:1896,1,$P$1+1)</f>
        <v>18355667</v>
      </c>
      <c r="G417" s="91">
        <f t="shared" si="79"/>
        <v>17556376</v>
      </c>
      <c r="H417" s="87">
        <f t="shared" si="80"/>
        <v>21247996</v>
      </c>
      <c r="I417" s="404">
        <f t="shared" si="81"/>
        <v>25281498</v>
      </c>
      <c r="J417" s="90">
        <f t="shared" si="82"/>
        <v>16352146</v>
      </c>
      <c r="K417" s="88">
        <f t="shared" si="82"/>
        <v>18355667</v>
      </c>
    </row>
    <row r="418" spans="1:11" hidden="1" outlineLevel="1">
      <c r="A418" s="50" t="s">
        <v>1094</v>
      </c>
      <c r="B418" s="86">
        <f>INDEX(Data!1910:1910,1,$P$1-8)+INDEX(Data!1910:1910,1,$P$1-7)</f>
        <v>7927856</v>
      </c>
      <c r="C418" s="87">
        <f>INDEX(Data!1910:1910,1,$P$1-6)+INDEX(Data!1910:1910,1,$P$1-5)</f>
        <v>7965578</v>
      </c>
      <c r="D418" s="404">
        <f>INDEX(Data!1910:1910,1,$P$1-4)+INDEX(Data!1910:1910,1,$P$1-3)</f>
        <v>7981470</v>
      </c>
      <c r="E418" s="90">
        <f>INDEX(Data!1910:1910,1,$P$1-2)+INDEX(Data!1910:1910,1,$P$1-1)</f>
        <v>10949127</v>
      </c>
      <c r="F418" s="88">
        <f>INDEX(Data!1910:1910,1,$P$1)+INDEX(Data!1910:1910,1,$P$1+1)</f>
        <v>24056579</v>
      </c>
      <c r="G418" s="91">
        <f t="shared" si="79"/>
        <v>7927856</v>
      </c>
      <c r="H418" s="87">
        <f t="shared" si="80"/>
        <v>7965578</v>
      </c>
      <c r="I418" s="404">
        <f t="shared" si="81"/>
        <v>7981470</v>
      </c>
      <c r="J418" s="90">
        <f t="shared" si="82"/>
        <v>10949127</v>
      </c>
      <c r="K418" s="88">
        <f t="shared" si="82"/>
        <v>24056579</v>
      </c>
    </row>
    <row r="419" spans="1:11" hidden="1" outlineLevel="1">
      <c r="A419" s="678" t="s">
        <v>859</v>
      </c>
      <c r="B419" s="86">
        <f>INDEX(Data!1921:1921,1,$P$1-8)+INDEX(Data!1921:1921,1,$P$1-7)</f>
        <v>14206584</v>
      </c>
      <c r="C419" s="87">
        <f>INDEX(Data!1921:1921,1,$P$1-6)+INDEX(Data!1921:1921,1,$P$1-5)</f>
        <v>8233358</v>
      </c>
      <c r="D419" s="404">
        <f>INDEX(Data!1921:1921,1,$P$1-4)+INDEX(Data!1921:1921,1,$P$1-3)</f>
        <v>8249250</v>
      </c>
      <c r="E419" s="90">
        <f>INDEX(Data!1921:1921,1,$P$1-2)+INDEX(Data!1921:1921,1,$P$1-1)</f>
        <v>5754142</v>
      </c>
      <c r="F419" s="88">
        <f>INDEX(Data!1921:1921,1,$P$1)+INDEX(Data!1921:1921,1,$P$1+1)</f>
        <v>6932430</v>
      </c>
      <c r="G419" s="91">
        <f t="shared" si="79"/>
        <v>14206584</v>
      </c>
      <c r="H419" s="87">
        <f t="shared" si="80"/>
        <v>8233358</v>
      </c>
      <c r="I419" s="404">
        <f t="shared" si="81"/>
        <v>8249250</v>
      </c>
      <c r="J419" s="90">
        <f t="shared" si="82"/>
        <v>5754142</v>
      </c>
      <c r="K419" s="88">
        <f t="shared" si="82"/>
        <v>6932430</v>
      </c>
    </row>
    <row r="420" spans="1:11" hidden="1" outlineLevel="1">
      <c r="A420" s="50" t="s">
        <v>1427</v>
      </c>
      <c r="B420" s="86">
        <f>INDEX(Data!1926:1926,1,$P$1-8)+INDEX(Data!1926:1926,1,$P$1-7)</f>
        <v>4152928</v>
      </c>
      <c r="C420" s="87">
        <f>INDEX(Data!1926:1926,1,$P$1-6)+INDEX(Data!1926:1926,1,$P$1-5)</f>
        <v>5186496</v>
      </c>
      <c r="D420" s="404">
        <f>INDEX(Data!1926:1926,1,$P$1-4)+INDEX(Data!1926:1926,1,$P$1-3)</f>
        <v>5186496</v>
      </c>
      <c r="E420" s="90">
        <f>INDEX(Data!1926:1926,1,$P$1-2)+INDEX(Data!1926:1926,1,$P$1-1)</f>
        <v>3622619</v>
      </c>
      <c r="F420" s="88">
        <f>INDEX(Data!1926:1926,1,$P$1)+INDEX(Data!1926:1926,1,$P$1+1)</f>
        <v>3973619</v>
      </c>
      <c r="G420" s="91">
        <f t="shared" si="79"/>
        <v>4152928</v>
      </c>
      <c r="H420" s="87">
        <f t="shared" si="80"/>
        <v>5186496</v>
      </c>
      <c r="I420" s="404">
        <f t="shared" si="81"/>
        <v>5186496</v>
      </c>
      <c r="J420" s="90">
        <f t="shared" si="82"/>
        <v>3622619</v>
      </c>
      <c r="K420" s="88">
        <f t="shared" si="82"/>
        <v>3973619</v>
      </c>
    </row>
    <row r="421" spans="1:11" collapsed="1">
      <c r="A421" s="113" t="s">
        <v>805</v>
      </c>
      <c r="B421" s="105">
        <f>SUM(B382:B420)</f>
        <v>513289693</v>
      </c>
      <c r="C421" s="106">
        <f t="shared" ref="C421:E421" si="88">SUM(C382:C420)</f>
        <v>554048541</v>
      </c>
      <c r="D421" s="465">
        <f t="shared" si="88"/>
        <v>696717030</v>
      </c>
      <c r="E421" s="115">
        <f t="shared" si="88"/>
        <v>471040261</v>
      </c>
      <c r="F421" s="107">
        <f>SUM(F382:F420)</f>
        <v>804607105</v>
      </c>
      <c r="G421" s="405">
        <f t="shared" ref="G421:J421" si="89">SUM(G382:G420)</f>
        <v>513289693</v>
      </c>
      <c r="H421" s="106">
        <f t="shared" si="89"/>
        <v>554048541</v>
      </c>
      <c r="I421" s="465">
        <f t="shared" si="89"/>
        <v>696717030</v>
      </c>
      <c r="J421" s="115">
        <f t="shared" si="89"/>
        <v>471040261</v>
      </c>
      <c r="K421" s="107">
        <f t="shared" ref="K421" si="90">SUM(K382:K420)</f>
        <v>804607105</v>
      </c>
    </row>
    <row r="422" spans="1:11" ht="25.5" hidden="1" outlineLevel="1">
      <c r="A422" s="79" t="s">
        <v>1429</v>
      </c>
      <c r="B422" s="86">
        <f>INDEX(Data!1929:1929,1,$P$1-8)+INDEX(Data!1929:1929,1,$P$1-7)</f>
        <v>1739172</v>
      </c>
      <c r="C422" s="87">
        <f>INDEX(Data!1929:1929,1,$P$1-6)+INDEX(Data!1929:1929,1,$P$1-5)</f>
        <v>1711172</v>
      </c>
      <c r="D422" s="404">
        <f>INDEX(Data!1929:1929,1,$P$1-4)+INDEX(Data!1929:1929,1,$P$1-3)</f>
        <v>1711172</v>
      </c>
      <c r="E422" s="90">
        <f>INDEX(Data!1929:1929,1,$P$1-2)+INDEX(Data!1929:1929,1,$P$1-1)</f>
        <v>0</v>
      </c>
      <c r="F422" s="88">
        <f>INDEX(Data!1929:1929,1,$P$1)+INDEX(Data!1929:1929,1,$P$1+1)</f>
        <v>1140519</v>
      </c>
      <c r="G422" s="91">
        <f t="shared" ref="G422:K424" si="91">B422</f>
        <v>1739172</v>
      </c>
      <c r="H422" s="87">
        <f t="shared" si="91"/>
        <v>1711172</v>
      </c>
      <c r="I422" s="404">
        <f t="shared" si="91"/>
        <v>1711172</v>
      </c>
      <c r="J422" s="90">
        <f t="shared" si="91"/>
        <v>0</v>
      </c>
      <c r="K422" s="88">
        <f t="shared" si="91"/>
        <v>1140519</v>
      </c>
    </row>
    <row r="423" spans="1:11" ht="25.5" hidden="1" outlineLevel="1">
      <c r="A423" s="79" t="s">
        <v>1430</v>
      </c>
      <c r="B423" s="86">
        <f>INDEX(Data!1931:1931,1,$P$1-8)+INDEX(Data!1931:1931,1,$P$1-7)</f>
        <v>1173922</v>
      </c>
      <c r="C423" s="87">
        <f>INDEX(Data!1931:1931,1,$P$1-6)+INDEX(Data!1931:1931,1,$P$1-5)</f>
        <v>1423922</v>
      </c>
      <c r="D423" s="404">
        <f>INDEX(Data!1931:1931,1,$P$1-4)+INDEX(Data!1931:1931,1,$P$1-3)</f>
        <v>1423922</v>
      </c>
      <c r="E423" s="90">
        <f>INDEX(Data!1931:1931,1,$P$1-2)+INDEX(Data!1931:1931,1,$P$1-1)</f>
        <v>949063</v>
      </c>
      <c r="F423" s="88">
        <f>INDEX(Data!1931:1931,1,$P$1)+INDEX(Data!1931:1931,1,$P$1+1)</f>
        <v>0</v>
      </c>
      <c r="G423" s="91">
        <f t="shared" si="91"/>
        <v>1173922</v>
      </c>
      <c r="H423" s="87">
        <f t="shared" si="91"/>
        <v>1423922</v>
      </c>
      <c r="I423" s="404">
        <f t="shared" si="91"/>
        <v>1423922</v>
      </c>
      <c r="J423" s="90">
        <f t="shared" si="91"/>
        <v>949063</v>
      </c>
      <c r="K423" s="88">
        <f t="shared" si="91"/>
        <v>0</v>
      </c>
    </row>
    <row r="424" spans="1:11" ht="25.5" hidden="1" outlineLevel="1">
      <c r="A424" s="79" t="s">
        <v>1431</v>
      </c>
      <c r="B424" s="86">
        <f>INDEX(Data!1936:1936,1,$P$1-8)+INDEX(Data!1936:1936,1,$P$1-7)</f>
        <v>3882226</v>
      </c>
      <c r="C424" s="87">
        <f>INDEX(Data!1936:1936,1,$P$1-6)+INDEX(Data!1936:1936,1,$P$1-5)</f>
        <v>3882226</v>
      </c>
      <c r="D424" s="404">
        <f>INDEX(Data!1936:1936,1,$P$1-4)+INDEX(Data!1936:1936,1,$P$1-3)</f>
        <v>6326793</v>
      </c>
      <c r="E424" s="90">
        <f>INDEX(Data!1936:1936,1,$P$1-2)+INDEX(Data!1936:1936,1,$P$1-1)</f>
        <v>628006</v>
      </c>
      <c r="F424" s="88">
        <f>INDEX(Data!1936:1936,1,$P$1)+INDEX(Data!1936:1936,1,$P$1+1)</f>
        <v>628006</v>
      </c>
      <c r="G424" s="91">
        <f t="shared" si="91"/>
        <v>3882226</v>
      </c>
      <c r="H424" s="87">
        <f t="shared" si="91"/>
        <v>3882226</v>
      </c>
      <c r="I424" s="404">
        <f t="shared" si="91"/>
        <v>6326793</v>
      </c>
      <c r="J424" s="90">
        <f t="shared" si="91"/>
        <v>628006</v>
      </c>
      <c r="K424" s="88">
        <f t="shared" si="91"/>
        <v>628006</v>
      </c>
    </row>
    <row r="425" spans="1:11" collapsed="1">
      <c r="A425" s="113" t="s">
        <v>1830</v>
      </c>
      <c r="B425" s="105">
        <f t="shared" ref="B425:E425" si="92">SUM(B422:B424)</f>
        <v>6795320</v>
      </c>
      <c r="C425" s="106">
        <f t="shared" si="92"/>
        <v>7017320</v>
      </c>
      <c r="D425" s="465">
        <f t="shared" si="92"/>
        <v>9461887</v>
      </c>
      <c r="E425" s="115">
        <f t="shared" si="92"/>
        <v>1577069</v>
      </c>
      <c r="F425" s="107">
        <f t="shared" ref="F425" si="93">SUM(F422:F424)</f>
        <v>1768525</v>
      </c>
      <c r="G425" s="405">
        <f t="shared" ref="G425:J425" si="94">SUM(G422:G424)</f>
        <v>6795320</v>
      </c>
      <c r="H425" s="106">
        <f t="shared" si="94"/>
        <v>7017320</v>
      </c>
      <c r="I425" s="465">
        <f t="shared" si="94"/>
        <v>9461887</v>
      </c>
      <c r="J425" s="115">
        <f t="shared" si="94"/>
        <v>1577069</v>
      </c>
      <c r="K425" s="107">
        <f t="shared" ref="K425" si="95">SUM(K422:K424)</f>
        <v>1768525</v>
      </c>
    </row>
    <row r="426" spans="1:11" ht="25.5" hidden="1" outlineLevel="1">
      <c r="A426" s="79" t="s">
        <v>1433</v>
      </c>
      <c r="B426" s="86">
        <f>INDEX(Data!1951:1951,1,$P$1-8)+INDEX(Data!1951:1951,1,$P$1-7)</f>
        <v>67704217</v>
      </c>
      <c r="C426" s="87">
        <f>INDEX(Data!1951:1951,1,$P$1-6)+INDEX(Data!1951:1951,1,$P$1-5)</f>
        <v>73790442</v>
      </c>
      <c r="D426" s="404">
        <f>INDEX(Data!1951:1951,1,$P$1-4)+INDEX(Data!1951:1951,1,$P$1-3)</f>
        <v>91790442</v>
      </c>
      <c r="E426" s="90">
        <f>INDEX(Data!1951:1951,1,$P$1-2)+INDEX(Data!1951:1951,1,$P$1-1)</f>
        <v>83569932</v>
      </c>
      <c r="F426" s="88">
        <f>INDEX(Data!1951:1951,1,$P$1)+INDEX(Data!1951:1951,1,$P$1+1)</f>
        <v>4615264</v>
      </c>
      <c r="G426" s="91">
        <f t="shared" ref="G426:G434" si="96">B426</f>
        <v>67704217</v>
      </c>
      <c r="H426" s="87">
        <f t="shared" ref="H426:H434" si="97">C426</f>
        <v>73790442</v>
      </c>
      <c r="I426" s="404">
        <f t="shared" ref="I426:I434" si="98">D426</f>
        <v>91790442</v>
      </c>
      <c r="J426" s="90">
        <f t="shared" ref="J426:K434" si="99">E426</f>
        <v>83569932</v>
      </c>
      <c r="K426" s="88">
        <f t="shared" si="99"/>
        <v>4615264</v>
      </c>
    </row>
    <row r="427" spans="1:11" ht="25.5" hidden="1" outlineLevel="1">
      <c r="A427" s="79" t="s">
        <v>1434</v>
      </c>
      <c r="B427" s="86">
        <f>INDEX(Data!1960:1960,1,$P$1-8)+INDEX(Data!1960:1960,1,$P$1-7)</f>
        <v>32703218</v>
      </c>
      <c r="C427" s="87">
        <f>INDEX(Data!1960:1960,1,$P$1-6)+INDEX(Data!1960:1960,1,$P$1-5)</f>
        <v>21260170</v>
      </c>
      <c r="D427" s="404">
        <f>INDEX(Data!1960:1960,1,$P$1-4)+INDEX(Data!1960:1960,1,$P$1-3)</f>
        <v>21153294</v>
      </c>
      <c r="E427" s="90">
        <f>INDEX(Data!1960:1960,1,$P$1-2)+INDEX(Data!1960:1960,1,$P$1-1)</f>
        <v>15199452</v>
      </c>
      <c r="F427" s="88">
        <f>INDEX(Data!1960:1960,1,$P$1)+INDEX(Data!1960:1960,1,$P$1+1)</f>
        <v>16033234</v>
      </c>
      <c r="G427" s="91">
        <f t="shared" si="96"/>
        <v>32703218</v>
      </c>
      <c r="H427" s="87">
        <f t="shared" si="97"/>
        <v>21260170</v>
      </c>
      <c r="I427" s="404">
        <f t="shared" si="98"/>
        <v>21153294</v>
      </c>
      <c r="J427" s="90">
        <f t="shared" si="99"/>
        <v>15199452</v>
      </c>
      <c r="K427" s="88">
        <f t="shared" si="99"/>
        <v>16033234</v>
      </c>
    </row>
    <row r="428" spans="1:11" ht="25.5" hidden="1" outlineLevel="1">
      <c r="A428" s="79" t="s">
        <v>1435</v>
      </c>
      <c r="B428" s="86">
        <f>INDEX(Data!1975:1975,1,$P$1-8)+INDEX(Data!1975:1975,1,$P$1-7)</f>
        <v>53178817</v>
      </c>
      <c r="C428" s="87">
        <f>INDEX(Data!1975:1975,1,$P$1-6)+INDEX(Data!1975:1975,1,$P$1-5)</f>
        <v>48502638</v>
      </c>
      <c r="D428" s="404">
        <f>INDEX(Data!1975:1975,1,$P$1-4)+INDEX(Data!1975:1975,1,$P$1-3)</f>
        <v>46702638</v>
      </c>
      <c r="E428" s="90">
        <f>INDEX(Data!1975:1975,1,$P$1-2)+INDEX(Data!1975:1975,1,$P$1-1)</f>
        <v>46267070</v>
      </c>
      <c r="F428" s="88">
        <f>INDEX(Data!1975:1975,1,$P$1)+INDEX(Data!1975:1975,1,$P$1+1)</f>
        <v>34790910</v>
      </c>
      <c r="G428" s="91">
        <f t="shared" si="96"/>
        <v>53178817</v>
      </c>
      <c r="H428" s="87">
        <f t="shared" si="97"/>
        <v>48502638</v>
      </c>
      <c r="I428" s="404">
        <f t="shared" si="98"/>
        <v>46702638</v>
      </c>
      <c r="J428" s="90">
        <f t="shared" si="99"/>
        <v>46267070</v>
      </c>
      <c r="K428" s="88">
        <f t="shared" si="99"/>
        <v>34790910</v>
      </c>
    </row>
    <row r="429" spans="1:11" ht="25.5" hidden="1" outlineLevel="1">
      <c r="A429" s="79" t="s">
        <v>1436</v>
      </c>
      <c r="B429" s="86">
        <f>INDEX(Data!1988:1988,1,$P$1-8)+INDEX(Data!1988:1988,1,$P$1-7)</f>
        <v>55684649</v>
      </c>
      <c r="C429" s="87">
        <f>INDEX(Data!1988:1988,1,$P$1-6)+INDEX(Data!1988:1988,1,$P$1-5)</f>
        <v>47745562</v>
      </c>
      <c r="D429" s="404">
        <f>INDEX(Data!1988:1988,1,$P$1-4)+INDEX(Data!1988:1988,1,$P$1-3)</f>
        <v>30347662</v>
      </c>
      <c r="E429" s="90">
        <f>INDEX(Data!1988:1988,1,$P$1-2)+INDEX(Data!1988:1988,1,$P$1-1)</f>
        <v>32621270</v>
      </c>
      <c r="F429" s="88">
        <f>INDEX(Data!1988:1988,1,$P$1)+INDEX(Data!1988:1988,1,$P$1+1)</f>
        <v>21673270</v>
      </c>
      <c r="G429" s="91">
        <f t="shared" si="96"/>
        <v>55684649</v>
      </c>
      <c r="H429" s="87">
        <f t="shared" si="97"/>
        <v>47745562</v>
      </c>
      <c r="I429" s="404">
        <f t="shared" si="98"/>
        <v>30347662</v>
      </c>
      <c r="J429" s="90">
        <f t="shared" si="99"/>
        <v>32621270</v>
      </c>
      <c r="K429" s="88">
        <f t="shared" si="99"/>
        <v>21673270</v>
      </c>
    </row>
    <row r="430" spans="1:11" ht="25.5" hidden="1" outlineLevel="1">
      <c r="A430" s="79" t="s">
        <v>1668</v>
      </c>
      <c r="B430" s="86">
        <f>INDEX(Data!1993:1993,1,$P$1-8)+INDEX(Data!1993:1993,1,$P$1-7)</f>
        <v>0</v>
      </c>
      <c r="C430" s="87">
        <f>INDEX(Data!1993:1993,1,$P$1-6)+INDEX(Data!1993:1993,1,$P$1-5)</f>
        <v>0</v>
      </c>
      <c r="D430" s="404">
        <f>INDEX(Data!1993:1993,1,$P$1-4)+INDEX(Data!1993:1993,1,$P$1-3)</f>
        <v>0</v>
      </c>
      <c r="E430" s="90">
        <f>INDEX(Data!1993:1993,1,$P$1-2)+INDEX(Data!1993:1993,1,$P$1-1)</f>
        <v>42000000</v>
      </c>
      <c r="F430" s="88">
        <f>INDEX(Data!1993:1993,1,$P$1)+INDEX(Data!1993:1993,1,$P$1+1)</f>
        <v>44712500</v>
      </c>
      <c r="G430" s="91">
        <f t="shared" ref="G430" si="100">B430</f>
        <v>0</v>
      </c>
      <c r="H430" s="87">
        <f t="shared" ref="H430" si="101">C430</f>
        <v>0</v>
      </c>
      <c r="I430" s="404">
        <f t="shared" ref="I430" si="102">D430</f>
        <v>0</v>
      </c>
      <c r="J430" s="90">
        <f t="shared" ref="J430" si="103">E430</f>
        <v>42000000</v>
      </c>
      <c r="K430" s="88">
        <f t="shared" ref="K430" si="104">F430</f>
        <v>44712500</v>
      </c>
    </row>
    <row r="431" spans="1:11" ht="25.5" hidden="1" outlineLevel="1">
      <c r="A431" s="79" t="s">
        <v>1437</v>
      </c>
      <c r="B431" s="86">
        <f>INDEX(Data!1998:1998,1,$P$1-8)+INDEX(Data!1998:1998,1,$P$1-7)</f>
        <v>23478870</v>
      </c>
      <c r="C431" s="87">
        <f>INDEX(Data!1998:1998,1,$P$1-6)+INDEX(Data!1998:1998,1,$P$1-5)</f>
        <v>6501310</v>
      </c>
      <c r="D431" s="404">
        <f>INDEX(Data!1998:1998,1,$P$1-4)+INDEX(Data!1998:1998,1,$P$1-3)</f>
        <v>6505638</v>
      </c>
      <c r="E431" s="90">
        <f>INDEX(Data!1998:1998,1,$P$1-2)+INDEX(Data!1998:1998,1,$P$1-1)</f>
        <v>5969699</v>
      </c>
      <c r="F431" s="88">
        <f>INDEX(Data!1998:1998,1,$P$1)+INDEX(Data!1998:1998,1,$P$1+1)</f>
        <v>5969699</v>
      </c>
      <c r="G431" s="91">
        <f t="shared" si="96"/>
        <v>23478870</v>
      </c>
      <c r="H431" s="87">
        <f t="shared" si="97"/>
        <v>6501310</v>
      </c>
      <c r="I431" s="404">
        <f t="shared" si="98"/>
        <v>6505638</v>
      </c>
      <c r="J431" s="90">
        <f t="shared" si="99"/>
        <v>5969699</v>
      </c>
      <c r="K431" s="88">
        <f t="shared" si="99"/>
        <v>5969699</v>
      </c>
    </row>
    <row r="432" spans="1:11" ht="25.5" hidden="1" outlineLevel="1">
      <c r="A432" s="79" t="s">
        <v>1438</v>
      </c>
      <c r="B432" s="86">
        <f>INDEX(Data!2005:2005,1,$P$1-8)+INDEX(Data!2005:2005,1,$P$1-7)</f>
        <v>19833132</v>
      </c>
      <c r="C432" s="87">
        <f>INDEX(Data!2005:2005,1,$P$1-6)+INDEX(Data!2005:2005,1,$P$1-5)</f>
        <v>8411580</v>
      </c>
      <c r="D432" s="404">
        <f>INDEX(Data!2005:2005,1,$P$1-4)+INDEX(Data!2005:2005,1,$P$1-3)</f>
        <v>21411580</v>
      </c>
      <c r="E432" s="90">
        <f>INDEX(Data!2005:2005,1,$P$1-2)+INDEX(Data!2005:2005,1,$P$1-1)</f>
        <v>13466526</v>
      </c>
      <c r="F432" s="88">
        <f>INDEX(Data!2005:2005,1,$P$1)+INDEX(Data!2005:2005,1,$P$1+1)</f>
        <v>18926526</v>
      </c>
      <c r="G432" s="91">
        <f t="shared" si="96"/>
        <v>19833132</v>
      </c>
      <c r="H432" s="87">
        <f t="shared" si="97"/>
        <v>8411580</v>
      </c>
      <c r="I432" s="404">
        <f t="shared" si="98"/>
        <v>21411580</v>
      </c>
      <c r="J432" s="90">
        <f t="shared" si="99"/>
        <v>13466526</v>
      </c>
      <c r="K432" s="88">
        <f t="shared" si="99"/>
        <v>18926526</v>
      </c>
    </row>
    <row r="433" spans="1:11" ht="25.5" hidden="1" outlineLevel="1">
      <c r="A433" s="79" t="s">
        <v>1439</v>
      </c>
      <c r="B433" s="86">
        <f>INDEX(Data!2016:2016,1,$P$1-8)+INDEX(Data!2016:2016,1,$P$1-7)</f>
        <v>52384445</v>
      </c>
      <c r="C433" s="87">
        <f>INDEX(Data!2016:2016,1,$P$1-6)+INDEX(Data!2016:2016,1,$P$1-5)</f>
        <v>45482122</v>
      </c>
      <c r="D433" s="404">
        <f>INDEX(Data!2016:2016,1,$P$1-4)+INDEX(Data!2016:2016,1,$P$1-3)</f>
        <v>57982122</v>
      </c>
      <c r="E433" s="90">
        <f>INDEX(Data!2016:2016,1,$P$1-2)+INDEX(Data!2016:2016,1,$P$1-1)</f>
        <v>48177464</v>
      </c>
      <c r="F433" s="88">
        <f>INDEX(Data!2016:2016,1,$P$1)+INDEX(Data!2016:2016,1,$P$1+1)</f>
        <v>48177464</v>
      </c>
      <c r="G433" s="91">
        <f t="shared" si="96"/>
        <v>52384445</v>
      </c>
      <c r="H433" s="87">
        <f t="shared" si="97"/>
        <v>45482122</v>
      </c>
      <c r="I433" s="404">
        <f t="shared" si="98"/>
        <v>57982122</v>
      </c>
      <c r="J433" s="90">
        <f t="shared" si="99"/>
        <v>48177464</v>
      </c>
      <c r="K433" s="88">
        <f t="shared" si="99"/>
        <v>48177464</v>
      </c>
    </row>
    <row r="434" spans="1:11" ht="25.5" hidden="1" outlineLevel="1">
      <c r="A434" s="79" t="s">
        <v>1440</v>
      </c>
      <c r="B434" s="86">
        <f>INDEX(Data!2026:2026,1,$P$1-8)+INDEX(Data!2026:2026,1,$P$1-7)</f>
        <v>16827888</v>
      </c>
      <c r="C434" s="87">
        <f>INDEX(Data!2026:2026,1,$P$1-6)+INDEX(Data!2026:2026,1,$P$1-5)</f>
        <v>12213034</v>
      </c>
      <c r="D434" s="404">
        <f>INDEX(Data!2026:2026,1,$P$1-4)+INDEX(Data!2026:2026,1,$P$1-3)</f>
        <v>18511034</v>
      </c>
      <c r="E434" s="90">
        <f>INDEX(Data!2026:2026,1,$P$1-2)+INDEX(Data!2026:2026,1,$P$1-1)</f>
        <v>17098772</v>
      </c>
      <c r="F434" s="88">
        <f>INDEX(Data!2026:2026,1,$P$1)+INDEX(Data!2026:2026,1,$P$1+1)</f>
        <v>32098772</v>
      </c>
      <c r="G434" s="91">
        <f t="shared" si="96"/>
        <v>16827888</v>
      </c>
      <c r="H434" s="87">
        <f t="shared" si="97"/>
        <v>12213034</v>
      </c>
      <c r="I434" s="404">
        <f t="shared" si="98"/>
        <v>18511034</v>
      </c>
      <c r="J434" s="90">
        <f t="shared" si="99"/>
        <v>17098772</v>
      </c>
      <c r="K434" s="88">
        <f t="shared" si="99"/>
        <v>32098772</v>
      </c>
    </row>
    <row r="435" spans="1:11" ht="25.5" hidden="1" outlineLevel="1">
      <c r="A435" s="79" t="s">
        <v>942</v>
      </c>
      <c r="B435" s="86">
        <f>INDEX(Data!2045:2045,1,$P$1-8)+INDEX(Data!2045:2045,1,$P$1-7)</f>
        <v>108971744</v>
      </c>
      <c r="C435" s="87">
        <f>INDEX(Data!2045:2045,1,$P$1-6)+INDEX(Data!2045:2045,1,$P$1-5)</f>
        <v>100784914</v>
      </c>
      <c r="D435" s="404">
        <f>INDEX(Data!2045:2045,1,$P$1-4)+INDEX(Data!2045:2045,1,$P$1-3)</f>
        <v>36592512</v>
      </c>
      <c r="E435" s="90">
        <f>INDEX(Data!2045:2045,1,$P$1-2)+INDEX(Data!2045:2045,1,$P$1-1)</f>
        <v>33357701</v>
      </c>
      <c r="F435" s="88">
        <f>INDEX(Data!2045:2045,1,$P$1)+INDEX(Data!2045:2045,1,$P$1+1)</f>
        <v>38657705</v>
      </c>
      <c r="G435" s="91">
        <f t="shared" ref="G435:K436" si="105">B435</f>
        <v>108971744</v>
      </c>
      <c r="H435" s="87">
        <f t="shared" si="105"/>
        <v>100784914</v>
      </c>
      <c r="I435" s="404">
        <f t="shared" si="105"/>
        <v>36592512</v>
      </c>
      <c r="J435" s="90">
        <f t="shared" si="105"/>
        <v>33357701</v>
      </c>
      <c r="K435" s="88">
        <f t="shared" si="105"/>
        <v>38657705</v>
      </c>
    </row>
    <row r="436" spans="1:11" ht="25.5" hidden="1" outlineLevel="1">
      <c r="A436" s="79" t="s">
        <v>1556</v>
      </c>
      <c r="B436" s="86">
        <f>INDEX(Data!2053:2053,1,$P$1-8)+INDEX(Data!2053:2053,1,$P$1-7)</f>
        <v>0</v>
      </c>
      <c r="C436" s="87">
        <f>INDEX(Data!2053:2053,1,$P$1-6)+INDEX(Data!2053:2053,1,$P$1-5)</f>
        <v>0</v>
      </c>
      <c r="D436" s="404">
        <f>INDEX(Data!2053:2053,1,$P$1-4)+INDEX(Data!2053:2053,1,$P$1-3)</f>
        <v>66523562</v>
      </c>
      <c r="E436" s="90">
        <f>INDEX(Data!2053:2053,1,$P$1-2)+INDEX(Data!2053:2053,1,$P$1-1)</f>
        <v>58871718</v>
      </c>
      <c r="F436" s="88">
        <f>INDEX(Data!2053:2053,1,$P$1)+INDEX(Data!2053:2053,1,$P$1+1)</f>
        <v>58871720</v>
      </c>
      <c r="G436" s="91">
        <f t="shared" si="105"/>
        <v>0</v>
      </c>
      <c r="H436" s="87">
        <f t="shared" si="105"/>
        <v>0</v>
      </c>
      <c r="I436" s="404">
        <f t="shared" si="105"/>
        <v>66523562</v>
      </c>
      <c r="J436" s="90">
        <f t="shared" si="105"/>
        <v>58871718</v>
      </c>
      <c r="K436" s="88">
        <f t="shared" si="105"/>
        <v>58871720</v>
      </c>
    </row>
    <row r="437" spans="1:11" collapsed="1">
      <c r="A437" s="113" t="s">
        <v>806</v>
      </c>
      <c r="B437" s="105">
        <f t="shared" ref="B437:E437" si="106">SUM(B426:B436)</f>
        <v>430766980</v>
      </c>
      <c r="C437" s="106">
        <f t="shared" si="106"/>
        <v>364691772</v>
      </c>
      <c r="D437" s="465">
        <f t="shared" si="106"/>
        <v>397520484</v>
      </c>
      <c r="E437" s="115">
        <f t="shared" si="106"/>
        <v>396599604</v>
      </c>
      <c r="F437" s="107">
        <f>SUM(F426:F436)</f>
        <v>324527064</v>
      </c>
      <c r="G437" s="405">
        <f t="shared" ref="G437:K437" si="107">SUM(G426:G436)</f>
        <v>430766980</v>
      </c>
      <c r="H437" s="106">
        <f t="shared" si="107"/>
        <v>364691772</v>
      </c>
      <c r="I437" s="465">
        <f t="shared" si="107"/>
        <v>397520484</v>
      </c>
      <c r="J437" s="115">
        <f t="shared" si="107"/>
        <v>396599604</v>
      </c>
      <c r="K437" s="107">
        <f t="shared" si="107"/>
        <v>324527064</v>
      </c>
    </row>
    <row r="438" spans="1:11" ht="25.5" hidden="1" outlineLevel="1">
      <c r="A438" s="79" t="s">
        <v>1442</v>
      </c>
      <c r="B438" s="86">
        <f>INDEX(Data!2084:2084,1,$P$1-8)+INDEX(Data!2084:2084,1,$P$1-7)</f>
        <v>1833682</v>
      </c>
      <c r="C438" s="87">
        <f>INDEX(Data!2084:2084,1,$P$1-6)+INDEX(Data!2084:2084,1,$P$1-5)</f>
        <v>1833682</v>
      </c>
      <c r="D438" s="404">
        <f>INDEX(Data!2084:2084,1,$P$1-4)+INDEX(Data!2084:2084,1,$P$1-3)</f>
        <v>1833682</v>
      </c>
      <c r="E438" s="90">
        <f>INDEX(Data!2084:2084,1,$P$1-2)+INDEX(Data!2084:2084,1,$P$1-1)</f>
        <v>1263710</v>
      </c>
      <c r="F438" s="88">
        <f>INDEX(Data!2084:2084,1,$P$1)+INDEX(Data!2084:2084,1,$P$1+1)</f>
        <v>1263710</v>
      </c>
      <c r="G438" s="91">
        <f t="shared" ref="G438:K441" si="108">B438</f>
        <v>1833682</v>
      </c>
      <c r="H438" s="87">
        <f t="shared" si="108"/>
        <v>1833682</v>
      </c>
      <c r="I438" s="404">
        <f t="shared" si="108"/>
        <v>1833682</v>
      </c>
      <c r="J438" s="90">
        <f t="shared" si="108"/>
        <v>1263710</v>
      </c>
      <c r="K438" s="88">
        <f t="shared" si="108"/>
        <v>1263710</v>
      </c>
    </row>
    <row r="439" spans="1:11" ht="25.5" hidden="1" outlineLevel="1">
      <c r="A439" s="79" t="s">
        <v>1443</v>
      </c>
      <c r="B439" s="86">
        <f>INDEX(Data!2086:2086,1,$P$1-8)+INDEX(Data!2086:2086,1,$P$1-7)</f>
        <v>2199862</v>
      </c>
      <c r="C439" s="87">
        <f>INDEX(Data!2086:2086,1,$P$1-6)+INDEX(Data!2086:2086,1,$P$1-5)</f>
        <v>2199862</v>
      </c>
      <c r="D439" s="404">
        <f>INDEX(Data!2086:2086,1,$P$1-4)+INDEX(Data!2086:2086,1,$P$1-3)</f>
        <v>2199862</v>
      </c>
      <c r="E439" s="90">
        <f>INDEX(Data!2086:2086,1,$P$1-2)+INDEX(Data!2086:2086,1,$P$1-1)</f>
        <v>1540891</v>
      </c>
      <c r="F439" s="88">
        <f>INDEX(Data!2086:2086,1,$P$1)+INDEX(Data!2086:2086,1,$P$1+1)</f>
        <v>1547970</v>
      </c>
      <c r="G439" s="91">
        <f t="shared" si="108"/>
        <v>2199862</v>
      </c>
      <c r="H439" s="87">
        <f t="shared" si="108"/>
        <v>2199862</v>
      </c>
      <c r="I439" s="404">
        <f t="shared" si="108"/>
        <v>2199862</v>
      </c>
      <c r="J439" s="90">
        <f t="shared" si="108"/>
        <v>1540891</v>
      </c>
      <c r="K439" s="88">
        <f t="shared" si="108"/>
        <v>1547970</v>
      </c>
    </row>
    <row r="440" spans="1:11" ht="13.5" hidden="1" customHeight="1" outlineLevel="1">
      <c r="A440" s="79" t="s">
        <v>1444</v>
      </c>
      <c r="B440" s="86">
        <f>INDEX(Data!2088:2088,1,$P$1-8)+INDEX(Data!2088:2088,1,$P$1-7)</f>
        <v>1566016</v>
      </c>
      <c r="C440" s="87">
        <f>INDEX(Data!2088:2088,1,$P$1-6)+INDEX(Data!2088:2088,1,$P$1-5)</f>
        <v>1566016</v>
      </c>
      <c r="D440" s="404">
        <f>INDEX(Data!2088:2088,1,$P$1-4)+INDEX(Data!2088:2088,1,$P$1-3)</f>
        <v>1566016</v>
      </c>
      <c r="E440" s="90">
        <f>INDEX(Data!2088:2088,1,$P$1-2)+INDEX(Data!2088:2088,1,$P$1-1)</f>
        <v>1095949</v>
      </c>
      <c r="F440" s="88">
        <f>INDEX(Data!2088:2088,1,$P$1)+INDEX(Data!2088:2088,1,$P$1+1)</f>
        <v>1095949</v>
      </c>
      <c r="G440" s="91">
        <f t="shared" si="108"/>
        <v>1566016</v>
      </c>
      <c r="H440" s="87">
        <f t="shared" si="108"/>
        <v>1566016</v>
      </c>
      <c r="I440" s="404">
        <f t="shared" si="108"/>
        <v>1566016</v>
      </c>
      <c r="J440" s="90">
        <f t="shared" si="108"/>
        <v>1095949</v>
      </c>
      <c r="K440" s="88">
        <f t="shared" si="108"/>
        <v>1095949</v>
      </c>
    </row>
    <row r="441" spans="1:11" hidden="1" outlineLevel="1">
      <c r="A441" s="79" t="s">
        <v>1445</v>
      </c>
      <c r="B441" s="86">
        <f>INDEX(Data!2091:2091,1,$P$1-8)+INDEX(Data!2091:2091,1,$P$1-7)</f>
        <v>3974450</v>
      </c>
      <c r="C441" s="87">
        <f>INDEX(Data!2091:2091,1,$P$1-6)+INDEX(Data!2091:2091,1,$P$1-5)</f>
        <v>1974450</v>
      </c>
      <c r="D441" s="404">
        <f>INDEX(Data!2091:2091,1,$P$1-4)+INDEX(Data!2091:2091,1,$P$1-3)</f>
        <v>1974450</v>
      </c>
      <c r="E441" s="90">
        <f>INDEX(Data!2091:2091,1,$P$1-2)+INDEX(Data!2091:2091,1,$P$1-1)</f>
        <v>1379448</v>
      </c>
      <c r="F441" s="88">
        <f>INDEX(Data!2091:2091,1,$P$1)+INDEX(Data!2091:2091,1,$P$1+1)</f>
        <v>1379448</v>
      </c>
      <c r="G441" s="91">
        <f t="shared" si="108"/>
        <v>3974450</v>
      </c>
      <c r="H441" s="87">
        <f t="shared" si="108"/>
        <v>1974450</v>
      </c>
      <c r="I441" s="404">
        <f t="shared" si="108"/>
        <v>1974450</v>
      </c>
      <c r="J441" s="90">
        <f t="shared" si="108"/>
        <v>1379448</v>
      </c>
      <c r="K441" s="88">
        <f t="shared" si="108"/>
        <v>1379448</v>
      </c>
    </row>
    <row r="442" spans="1:11" collapsed="1">
      <c r="A442" s="113" t="s">
        <v>807</v>
      </c>
      <c r="B442" s="105">
        <f t="shared" ref="B442:E442" si="109">SUM(B438:B441)</f>
        <v>9574010</v>
      </c>
      <c r="C442" s="106">
        <f t="shared" si="109"/>
        <v>7574010</v>
      </c>
      <c r="D442" s="465">
        <f t="shared" si="109"/>
        <v>7574010</v>
      </c>
      <c r="E442" s="115">
        <f t="shared" si="109"/>
        <v>5279998</v>
      </c>
      <c r="F442" s="107">
        <f t="shared" ref="F442" si="110">SUM(F438:F441)</f>
        <v>5287077</v>
      </c>
      <c r="G442" s="405">
        <f t="shared" ref="G442:J442" si="111">SUM(G438:G441)</f>
        <v>9574010</v>
      </c>
      <c r="H442" s="106">
        <f t="shared" si="111"/>
        <v>7574010</v>
      </c>
      <c r="I442" s="465">
        <f t="shared" si="111"/>
        <v>7574010</v>
      </c>
      <c r="J442" s="115">
        <f t="shared" si="111"/>
        <v>5279998</v>
      </c>
      <c r="K442" s="107">
        <f t="shared" ref="K442" si="112">SUM(K438:K441)</f>
        <v>5287077</v>
      </c>
    </row>
    <row r="443" spans="1:11" ht="17.25" hidden="1" customHeight="1" outlineLevel="1">
      <c r="A443" s="79" t="s">
        <v>1446</v>
      </c>
      <c r="B443" s="86">
        <f>INDEX(Data!2107:2107,1,$P$1-8)+INDEX(Data!2107:2107,1,$P$1-7)</f>
        <v>6695229</v>
      </c>
      <c r="C443" s="87">
        <f>INDEX(Data!2107:2107,1,$P$1-6)+INDEX(Data!2107:2107,1,$P$1-5)</f>
        <v>3695228</v>
      </c>
      <c r="D443" s="404">
        <f>INDEX(Data!2107:2107,1,$P$1-4)+INDEX(Data!2107:2107,1,$P$1-3)</f>
        <v>4195228</v>
      </c>
      <c r="E443" s="90">
        <f>INDEX(Data!2107:2107,1,$P$1-2)+INDEX(Data!2107:2107,1,$P$1-1)</f>
        <v>2857399</v>
      </c>
      <c r="F443" s="88">
        <f>INDEX(Data!2107:2107,1,$P$1)+INDEX(Data!2107:2107,1,$P$1+1)</f>
        <v>3918958</v>
      </c>
      <c r="G443" s="91">
        <f t="shared" ref="G443:K445" si="113">B443</f>
        <v>6695229</v>
      </c>
      <c r="H443" s="87">
        <f t="shared" si="113"/>
        <v>3695228</v>
      </c>
      <c r="I443" s="404">
        <f t="shared" si="113"/>
        <v>4195228</v>
      </c>
      <c r="J443" s="90">
        <f t="shared" si="113"/>
        <v>2857399</v>
      </c>
      <c r="K443" s="88">
        <f t="shared" si="113"/>
        <v>3918958</v>
      </c>
    </row>
    <row r="444" spans="1:11" hidden="1" outlineLevel="1">
      <c r="A444" s="79" t="s">
        <v>1447</v>
      </c>
      <c r="B444" s="86">
        <f>INDEX(Data!2111:2111,1,$P$1-8)+INDEX(Data!2111:2111,1,$P$1-7)</f>
        <v>2167496</v>
      </c>
      <c r="C444" s="87">
        <f>INDEX(Data!2111:2111,1,$P$1-6)+INDEX(Data!2111:2111,1,$P$1-5)</f>
        <v>3167496</v>
      </c>
      <c r="D444" s="404">
        <f>INDEX(Data!2111:2111,1,$P$1-4)+INDEX(Data!2111:2111,1,$P$1-3)</f>
        <v>3167496</v>
      </c>
      <c r="E444" s="90">
        <f>INDEX(Data!2111:2111,1,$P$1-2)+INDEX(Data!2111:2111,1,$P$1-1)</f>
        <v>3662593</v>
      </c>
      <c r="F444" s="88">
        <f>INDEX(Data!2111:2111,1,$P$1)+INDEX(Data!2111:2111,1,$P$1+1)</f>
        <v>4464212</v>
      </c>
      <c r="G444" s="91">
        <f t="shared" si="113"/>
        <v>2167496</v>
      </c>
      <c r="H444" s="87">
        <f t="shared" si="113"/>
        <v>3167496</v>
      </c>
      <c r="I444" s="404">
        <f t="shared" si="113"/>
        <v>3167496</v>
      </c>
      <c r="J444" s="90">
        <f t="shared" si="113"/>
        <v>3662593</v>
      </c>
      <c r="K444" s="88">
        <f t="shared" si="113"/>
        <v>4464212</v>
      </c>
    </row>
    <row r="445" spans="1:11" hidden="1" outlineLevel="1">
      <c r="A445" s="79" t="s">
        <v>1448</v>
      </c>
      <c r="B445" s="86">
        <f>INDEX(Data!2117:2117,1,$P$1-8)+INDEX(Data!2117:2117,1,$P$1-7)</f>
        <v>2376229</v>
      </c>
      <c r="C445" s="87">
        <f>INDEX(Data!2117:2117,1,$P$1-6)+INDEX(Data!2117:2117,1,$P$1-5)</f>
        <v>3418229</v>
      </c>
      <c r="D445" s="404">
        <f>INDEX(Data!2117:2117,1,$P$1-4)+INDEX(Data!2117:2117,1,$P$1-3)</f>
        <v>5418230</v>
      </c>
      <c r="E445" s="90">
        <f>INDEX(Data!2117:2117,1,$P$1-2)+INDEX(Data!2117:2117,1,$P$1-1)</f>
        <v>2702698</v>
      </c>
      <c r="F445" s="88">
        <f>INDEX(Data!2117:2117,1,$P$1)+INDEX(Data!2117:2117,1,$P$1+1)</f>
        <v>4395561</v>
      </c>
      <c r="G445" s="91">
        <f t="shared" si="113"/>
        <v>2376229</v>
      </c>
      <c r="H445" s="87">
        <f t="shared" si="113"/>
        <v>3418229</v>
      </c>
      <c r="I445" s="404">
        <f t="shared" si="113"/>
        <v>5418230</v>
      </c>
      <c r="J445" s="90">
        <f t="shared" si="113"/>
        <v>2702698</v>
      </c>
      <c r="K445" s="88">
        <f t="shared" si="113"/>
        <v>4395561</v>
      </c>
    </row>
    <row r="446" spans="1:11" collapsed="1">
      <c r="A446" s="113" t="s">
        <v>808</v>
      </c>
      <c r="B446" s="105">
        <f t="shared" ref="B446:E446" si="114">SUM(B443:B445)</f>
        <v>11238954</v>
      </c>
      <c r="C446" s="106">
        <f t="shared" si="114"/>
        <v>10280953</v>
      </c>
      <c r="D446" s="465">
        <f t="shared" si="114"/>
        <v>12780954</v>
      </c>
      <c r="E446" s="115">
        <f t="shared" si="114"/>
        <v>9222690</v>
      </c>
      <c r="F446" s="107">
        <f t="shared" ref="F446" si="115">SUM(F443:F445)</f>
        <v>12778731</v>
      </c>
      <c r="G446" s="405">
        <f t="shared" ref="G446:J446" si="116">SUM(G443:G445)</f>
        <v>11238954</v>
      </c>
      <c r="H446" s="106">
        <f t="shared" si="116"/>
        <v>10280953</v>
      </c>
      <c r="I446" s="465">
        <f t="shared" si="116"/>
        <v>12780954</v>
      </c>
      <c r="J446" s="115">
        <f t="shared" si="116"/>
        <v>9222690</v>
      </c>
      <c r="K446" s="107">
        <f t="shared" ref="K446" si="117">SUM(K443:K445)</f>
        <v>12778731</v>
      </c>
    </row>
    <row r="447" spans="1:11" hidden="1" outlineLevel="1">
      <c r="A447" s="79" t="s">
        <v>105</v>
      </c>
      <c r="B447" s="86">
        <f>INDEX(Data!2060:2060,1,$P$1-8)+INDEX(Data!2060:2060,1,$P$1-7)</f>
        <v>712500</v>
      </c>
      <c r="C447" s="87">
        <f>INDEX(Data!2060:2060,1,$P$1-6)+INDEX(Data!2060:2060,1,$P$1-5)</f>
        <v>712500</v>
      </c>
      <c r="D447" s="404">
        <f>INDEX(Data!2060:2060,1,$P$1-4)+INDEX(Data!2060:2060,1,$P$1-3)</f>
        <v>5962500</v>
      </c>
      <c r="E447" s="90">
        <f>INDEX(Data!2060:2060,1,$P$1-2)+INDEX(Data!2060:2060,1,$P$1-1)</f>
        <v>5437800</v>
      </c>
      <c r="F447" s="88">
        <f>INDEX(Data!2060:2060,1,$P$1)+INDEX(Data!2060:2060,1,$P$1+1)</f>
        <v>5437800</v>
      </c>
      <c r="G447" s="91">
        <f t="shared" ref="G447:K454" si="118">B447</f>
        <v>712500</v>
      </c>
      <c r="H447" s="87">
        <f t="shared" si="118"/>
        <v>712500</v>
      </c>
      <c r="I447" s="404">
        <f t="shared" si="118"/>
        <v>5962500</v>
      </c>
      <c r="J447" s="90">
        <f t="shared" si="118"/>
        <v>5437800</v>
      </c>
      <c r="K447" s="88">
        <f t="shared" si="118"/>
        <v>5437800</v>
      </c>
    </row>
    <row r="448" spans="1:11" hidden="1" outlineLevel="1">
      <c r="A448" s="79" t="s">
        <v>106</v>
      </c>
      <c r="B448" s="86">
        <f>INDEX(Data!2062:2062,1,$P$1-8)+INDEX(Data!2062:2062,1,$P$1-7)</f>
        <v>507654</v>
      </c>
      <c r="C448" s="87">
        <f>INDEX(Data!2062:2062,1,$P$1-6)+INDEX(Data!2062:2062,1,$P$1-5)</f>
        <v>507654</v>
      </c>
      <c r="D448" s="404">
        <f>INDEX(Data!2062:2062,1,$P$1-4)+INDEX(Data!2062:2062,1,$P$1-3)</f>
        <v>900000</v>
      </c>
      <c r="E448" s="90">
        <f>INDEX(Data!2062:2062,1,$P$1-2)+INDEX(Data!2062:2062,1,$P$1-1)</f>
        <v>820800</v>
      </c>
      <c r="F448" s="88">
        <f>INDEX(Data!2062:2062,1,$P$1)+INDEX(Data!2062:2062,1,$P$1+1)</f>
        <v>136800</v>
      </c>
      <c r="G448" s="91">
        <f t="shared" si="118"/>
        <v>507654</v>
      </c>
      <c r="H448" s="87">
        <f t="shared" si="118"/>
        <v>507654</v>
      </c>
      <c r="I448" s="404">
        <f t="shared" si="118"/>
        <v>900000</v>
      </c>
      <c r="J448" s="90">
        <f t="shared" si="118"/>
        <v>820800</v>
      </c>
      <c r="K448" s="88">
        <f t="shared" si="118"/>
        <v>136800</v>
      </c>
    </row>
    <row r="449" spans="1:13" hidden="1" outlineLevel="1">
      <c r="A449" s="79" t="s">
        <v>107</v>
      </c>
      <c r="B449" s="86">
        <f>INDEX(Data!2065:2065,1,$P$1-8)+INDEX(Data!2065:2065,1,$P$1-7)</f>
        <v>0</v>
      </c>
      <c r="C449" s="87">
        <f>INDEX(Data!2065:2065,1,$P$1-6)+INDEX(Data!2065:2065,1,$P$1-5)</f>
        <v>1000000</v>
      </c>
      <c r="D449" s="404">
        <f>INDEX(Data!2065:2065,1,$P$1-4)+INDEX(Data!2065:2065,1,$P$1-3)</f>
        <v>1000000</v>
      </c>
      <c r="E449" s="90">
        <f>INDEX(Data!2065:2065,1,$P$1-2)+INDEX(Data!2065:2065,1,$P$1-1)</f>
        <v>0</v>
      </c>
      <c r="F449" s="88">
        <f>INDEX(Data!2065:2065,1,$P$1)+INDEX(Data!2065:2065,1,$P$1+1)</f>
        <v>1000000</v>
      </c>
      <c r="G449" s="91">
        <f t="shared" si="118"/>
        <v>0</v>
      </c>
      <c r="H449" s="87">
        <f t="shared" si="118"/>
        <v>1000000</v>
      </c>
      <c r="I449" s="404">
        <f t="shared" si="118"/>
        <v>1000000</v>
      </c>
      <c r="J449" s="90">
        <f t="shared" si="118"/>
        <v>0</v>
      </c>
      <c r="K449" s="88">
        <f t="shared" si="118"/>
        <v>1000000</v>
      </c>
    </row>
    <row r="450" spans="1:13" hidden="1" outlineLevel="1">
      <c r="A450" s="79" t="s">
        <v>1406</v>
      </c>
      <c r="B450" s="86">
        <f>INDEX(Data!2070:2070,1,$P$1-8)+INDEX(Data!2070:2070,1,$P$1-7)</f>
        <v>0</v>
      </c>
      <c r="C450" s="87">
        <f>INDEX(Data!2070:2070,1,$P$1-6)+INDEX(Data!2070:2070,1,$P$1-5)</f>
        <v>100000</v>
      </c>
      <c r="D450" s="404">
        <f>INDEX(Data!2070:2070,1,$P$1-4)+INDEX(Data!2070:2070,1,$P$1-3)</f>
        <v>700000</v>
      </c>
      <c r="E450" s="90">
        <f>INDEX(Data!2070:2070,1,$P$1-2)+INDEX(Data!2070:2070,1,$P$1-1)</f>
        <v>638400</v>
      </c>
      <c r="F450" s="88">
        <f>INDEX(Data!2070:2070,1,$P$1)+INDEX(Data!2070:2070,1,$P$1+1)</f>
        <v>638400</v>
      </c>
      <c r="G450" s="91">
        <f t="shared" si="118"/>
        <v>0</v>
      </c>
      <c r="H450" s="87">
        <f t="shared" si="118"/>
        <v>100000</v>
      </c>
      <c r="I450" s="404">
        <f t="shared" si="118"/>
        <v>700000</v>
      </c>
      <c r="J450" s="90">
        <f t="shared" si="118"/>
        <v>638400</v>
      </c>
      <c r="K450" s="88">
        <f t="shared" si="118"/>
        <v>638400</v>
      </c>
    </row>
    <row r="451" spans="1:13" hidden="1" outlineLevel="1">
      <c r="A451" s="79" t="s">
        <v>119</v>
      </c>
      <c r="B451" s="86">
        <f>INDEX(Data!2072:2072,1,$P$1-8)+INDEX(Data!2072:2072,1,$P$1-7)</f>
        <v>513000</v>
      </c>
      <c r="C451" s="87">
        <f>INDEX(Data!2072:2072,1,$P$1-6)+INDEX(Data!2072:2072,1,$P$1-5)</f>
        <v>713000</v>
      </c>
      <c r="D451" s="404">
        <f>INDEX(Data!2072:2072,1,$P$1-4)+INDEX(Data!2072:2072,1,$P$1-3)</f>
        <v>713000</v>
      </c>
      <c r="E451" s="90">
        <f>INDEX(Data!2072:2072,1,$P$1-2)+INDEX(Data!2072:2072,1,$P$1-1)</f>
        <v>650256</v>
      </c>
      <c r="F451" s="88">
        <f>INDEX(Data!2072:2072,1,$P$1)+INDEX(Data!2072:2072,1,$P$1+1)</f>
        <v>650256</v>
      </c>
      <c r="G451" s="91">
        <f t="shared" si="118"/>
        <v>513000</v>
      </c>
      <c r="H451" s="87">
        <f t="shared" si="118"/>
        <v>713000</v>
      </c>
      <c r="I451" s="404">
        <f t="shared" si="118"/>
        <v>713000</v>
      </c>
      <c r="J451" s="90">
        <f t="shared" si="118"/>
        <v>650256</v>
      </c>
      <c r="K451" s="88">
        <f t="shared" si="118"/>
        <v>650256</v>
      </c>
    </row>
    <row r="452" spans="1:13" hidden="1" outlineLevel="1">
      <c r="A452" s="79" t="s">
        <v>1415</v>
      </c>
      <c r="B452" s="86">
        <f>INDEX(Data!2077:2077,1,$P$1-8)+INDEX(Data!2077:2077,1,$P$1-7)</f>
        <v>5302585</v>
      </c>
      <c r="C452" s="87">
        <f>INDEX(Data!2077:2077,1,$P$1-6)+INDEX(Data!2077:2077,1,$P$1-5)</f>
        <v>5302586</v>
      </c>
      <c r="D452" s="404">
        <f>INDEX(Data!2077:2077,1,$P$1-4)+INDEX(Data!2077:2077,1,$P$1-3)</f>
        <v>7294744</v>
      </c>
      <c r="E452" s="90">
        <f>INDEX(Data!2077:2077,1,$P$1-2)+INDEX(Data!2077:2077,1,$P$1-1)</f>
        <v>6652806</v>
      </c>
      <c r="F452" s="88">
        <f>INDEX(Data!2077:2077,1,$P$1)+INDEX(Data!2077:2077,1,$P$1+1)</f>
        <v>6652806</v>
      </c>
      <c r="G452" s="91">
        <f t="shared" si="118"/>
        <v>5302585</v>
      </c>
      <c r="H452" s="87">
        <f t="shared" si="118"/>
        <v>5302586</v>
      </c>
      <c r="I452" s="404">
        <f t="shared" si="118"/>
        <v>7294744</v>
      </c>
      <c r="J452" s="90">
        <f t="shared" si="118"/>
        <v>6652806</v>
      </c>
      <c r="K452" s="88">
        <f t="shared" si="118"/>
        <v>6652806</v>
      </c>
    </row>
    <row r="453" spans="1:13" hidden="1" outlineLevel="1">
      <c r="A453" s="79" t="s">
        <v>123</v>
      </c>
      <c r="B453" s="86">
        <f>INDEX(Data!2079:2079,1,$P$1-8)+INDEX(Data!2079:2079,1,$P$1-7)</f>
        <v>322390</v>
      </c>
      <c r="C453" s="87">
        <f>INDEX(Data!2079:2079,1,$P$1-6)+INDEX(Data!2079:2079,1,$P$1-5)</f>
        <v>331140</v>
      </c>
      <c r="D453" s="404">
        <f>INDEX(Data!2079:2079,1,$P$1-4)+INDEX(Data!2079:2079,1,$P$1-3)</f>
        <v>331140</v>
      </c>
      <c r="E453" s="90">
        <f>INDEX(Data!2079:2079,1,$P$1-2)+INDEX(Data!2079:2079,1,$P$1-1)</f>
        <v>297188</v>
      </c>
      <c r="F453" s="88">
        <f>INDEX(Data!2079:2079,1,$P$1)+INDEX(Data!2079:2079,1,$P$1+1)</f>
        <v>297188</v>
      </c>
      <c r="G453" s="91">
        <f t="shared" si="118"/>
        <v>322390</v>
      </c>
      <c r="H453" s="87">
        <f t="shared" si="118"/>
        <v>331140</v>
      </c>
      <c r="I453" s="404">
        <f t="shared" si="118"/>
        <v>331140</v>
      </c>
      <c r="J453" s="90">
        <f t="shared" si="118"/>
        <v>297188</v>
      </c>
      <c r="K453" s="88">
        <f t="shared" si="118"/>
        <v>297188</v>
      </c>
    </row>
    <row r="454" spans="1:13" hidden="1" outlineLevel="1">
      <c r="A454" s="79" t="s">
        <v>127</v>
      </c>
      <c r="B454" s="86">
        <f>INDEX(Data!2082:2082,1,$P$1-8)+INDEX(Data!2082:2082,1,$P$1-7)</f>
        <v>710650</v>
      </c>
      <c r="C454" s="87">
        <f>INDEX(Data!2082:2082,1,$P$1-6)+INDEX(Data!2082:2082,1,$P$1-5)</f>
        <v>710650</v>
      </c>
      <c r="D454" s="404">
        <f>INDEX(Data!2082:2082,1,$P$1-4)+INDEX(Data!2082:2082,1,$P$1-3)</f>
        <v>710650</v>
      </c>
      <c r="E454" s="90">
        <f>INDEX(Data!2082:2082,1,$P$1-2)+INDEX(Data!2082:2082,1,$P$1-1)</f>
        <v>648112</v>
      </c>
      <c r="F454" s="88">
        <f>INDEX(Data!2082:2082,1,$P$1)+INDEX(Data!2082:2082,1,$P$1+1)</f>
        <v>648113</v>
      </c>
      <c r="G454" s="91">
        <f t="shared" si="118"/>
        <v>710650</v>
      </c>
      <c r="H454" s="87">
        <f t="shared" si="118"/>
        <v>710650</v>
      </c>
      <c r="I454" s="404">
        <f t="shared" si="118"/>
        <v>710650</v>
      </c>
      <c r="J454" s="90">
        <f t="shared" si="118"/>
        <v>648112</v>
      </c>
      <c r="K454" s="88">
        <f t="shared" si="118"/>
        <v>648113</v>
      </c>
    </row>
    <row r="455" spans="1:13" collapsed="1">
      <c r="A455" s="113" t="s">
        <v>77</v>
      </c>
      <c r="B455" s="105">
        <f t="shared" ref="B455:K455" si="119">SUM(B447:B454)</f>
        <v>8068779</v>
      </c>
      <c r="C455" s="106">
        <f t="shared" si="119"/>
        <v>9377530</v>
      </c>
      <c r="D455" s="405">
        <f t="shared" si="119"/>
        <v>17612034</v>
      </c>
      <c r="E455" s="106">
        <f t="shared" si="119"/>
        <v>15145362</v>
      </c>
      <c r="F455" s="107">
        <f t="shared" si="119"/>
        <v>15461363</v>
      </c>
      <c r="G455" s="405">
        <f t="shared" si="119"/>
        <v>8068779</v>
      </c>
      <c r="H455" s="106">
        <f t="shared" si="119"/>
        <v>9377530</v>
      </c>
      <c r="I455" s="405">
        <f t="shared" si="119"/>
        <v>17612034</v>
      </c>
      <c r="J455" s="106">
        <f t="shared" si="119"/>
        <v>15145362</v>
      </c>
      <c r="K455" s="107">
        <f t="shared" si="119"/>
        <v>15461363</v>
      </c>
      <c r="M455" s="121"/>
    </row>
    <row r="456" spans="1:13" ht="13.5" thickBot="1">
      <c r="A456" s="95" t="s">
        <v>280</v>
      </c>
      <c r="B456" s="96">
        <f t="shared" ref="B456:F456" si="120">B421+B425+B437+B442+B446+B455</f>
        <v>979733736</v>
      </c>
      <c r="C456" s="97">
        <f t="shared" si="120"/>
        <v>952990126</v>
      </c>
      <c r="D456" s="100">
        <f t="shared" si="120"/>
        <v>1141666399</v>
      </c>
      <c r="E456" s="97">
        <f t="shared" si="120"/>
        <v>898864984</v>
      </c>
      <c r="F456" s="98">
        <f t="shared" si="120"/>
        <v>1164429865</v>
      </c>
      <c r="G456" s="100">
        <f t="shared" ref="G456:J456" si="121">G421+G425+G437+G442+G446+G455</f>
        <v>979733736</v>
      </c>
      <c r="H456" s="97">
        <f t="shared" si="121"/>
        <v>952990126</v>
      </c>
      <c r="I456" s="100">
        <f t="shared" si="121"/>
        <v>1141666399</v>
      </c>
      <c r="J456" s="97">
        <f t="shared" si="121"/>
        <v>898864984</v>
      </c>
      <c r="K456" s="98">
        <f t="shared" ref="K456" si="122">K421+K425+K437+K442+K446+K455</f>
        <v>1164429865</v>
      </c>
    </row>
    <row r="457" spans="1:13">
      <c r="K457" s="1177"/>
    </row>
    <row r="458" spans="1:13">
      <c r="K458" s="463"/>
    </row>
    <row r="459" spans="1:13">
      <c r="K459" s="463"/>
    </row>
    <row r="460" spans="1:13">
      <c r="K460" s="463"/>
    </row>
    <row r="461" spans="1:13">
      <c r="K461" s="463"/>
    </row>
    <row r="462" spans="1:13">
      <c r="K462" s="463"/>
    </row>
    <row r="463" spans="1:13">
      <c r="K463" s="463"/>
    </row>
    <row r="464" spans="1:13">
      <c r="K464" s="463"/>
    </row>
    <row r="465" spans="1:22">
      <c r="K465" s="463"/>
    </row>
    <row r="466" spans="1:22">
      <c r="K466" s="463"/>
    </row>
    <row r="467" spans="1:22">
      <c r="K467" s="463"/>
    </row>
    <row r="468" spans="1:22">
      <c r="K468" s="463"/>
    </row>
    <row r="469" spans="1:22">
      <c r="K469" s="463"/>
    </row>
    <row r="470" spans="1:22">
      <c r="K470" s="463"/>
    </row>
    <row r="471" spans="1:22">
      <c r="K471" s="463"/>
    </row>
    <row r="472" spans="1:22">
      <c r="K472" s="463"/>
    </row>
    <row r="473" spans="1:22">
      <c r="K473" s="463"/>
    </row>
    <row r="474" spans="1:22">
      <c r="K474" s="463"/>
    </row>
    <row r="475" spans="1:22">
      <c r="K475" s="463"/>
    </row>
    <row r="476" spans="1:22" ht="13.5" thickBot="1">
      <c r="K476" s="464"/>
    </row>
    <row r="477" spans="1:22" ht="13.5" customHeight="1" thickBot="1">
      <c r="A477" s="536" t="s">
        <v>2205</v>
      </c>
      <c r="B477" s="537"/>
      <c r="C477" s="537"/>
      <c r="D477" s="537"/>
      <c r="E477" s="537"/>
      <c r="F477" s="537"/>
      <c r="G477" s="537"/>
      <c r="H477" s="537"/>
      <c r="I477" s="537"/>
      <c r="J477" s="537"/>
      <c r="K477" s="537"/>
      <c r="L477" s="537"/>
      <c r="M477" s="537"/>
      <c r="N477" s="537"/>
      <c r="O477" s="537"/>
      <c r="P477" s="537"/>
      <c r="Q477" s="537"/>
      <c r="R477" s="537"/>
      <c r="S477" s="537"/>
      <c r="T477" s="538"/>
      <c r="U477" s="67"/>
      <c r="V477" s="67"/>
    </row>
    <row r="478" spans="1:22" ht="13.5" thickBot="1">
      <c r="A478" s="535" t="s">
        <v>1318</v>
      </c>
      <c r="B478" s="1292" t="s">
        <v>2</v>
      </c>
      <c r="C478" s="1293"/>
      <c r="D478" s="1293"/>
      <c r="E478" s="1293"/>
      <c r="F478" s="1293"/>
      <c r="G478" s="1295" t="s">
        <v>764</v>
      </c>
      <c r="H478" s="1295"/>
      <c r="I478" s="1295"/>
      <c r="J478" s="1295"/>
      <c r="K478" s="1295"/>
    </row>
    <row r="479" spans="1:22">
      <c r="A479" s="73" t="s">
        <v>766</v>
      </c>
      <c r="B479" s="466" t="str">
        <f>$O$1-8&amp;" - "&amp;$O$1-7</f>
        <v>2012 - 2013</v>
      </c>
      <c r="C479" s="75" t="str">
        <f>$O$1-6&amp;" - "&amp;$O$1-5</f>
        <v>2014 - 2015</v>
      </c>
      <c r="D479" s="75" t="str">
        <f>$O$1-4&amp;" - "&amp;$O$1-3</f>
        <v>2016 - 2017</v>
      </c>
      <c r="E479" s="75" t="str">
        <f>$O$1-2&amp;" - "&amp;$O$1-1</f>
        <v>2018 - 2019</v>
      </c>
      <c r="F479" s="78" t="str">
        <f>$O$1&amp;" - "&amp;$O$1+1</f>
        <v>2020 - 2021</v>
      </c>
      <c r="G479" s="509" t="str">
        <f>$O$1-8&amp;" - "&amp;$O$1-7</f>
        <v>2012 - 2013</v>
      </c>
      <c r="H479" s="75" t="str">
        <f>$O$1-6&amp;" - "&amp;$O$1-5</f>
        <v>2014 - 2015</v>
      </c>
      <c r="I479" s="75" t="str">
        <f>$O$1-4&amp;" - "&amp;$O$1-3</f>
        <v>2016 - 2017</v>
      </c>
      <c r="J479" s="75" t="str">
        <f>$O$1-2&amp;" - "&amp;$O$1-1</f>
        <v>2018 - 2019</v>
      </c>
      <c r="K479" s="78" t="str">
        <f>$O$1&amp;" - "&amp;$O$1+1</f>
        <v>2020 - 2021</v>
      </c>
    </row>
    <row r="480" spans="1:22" hidden="1" outlineLevel="1">
      <c r="A480" s="79" t="s">
        <v>754</v>
      </c>
      <c r="B480" s="86">
        <f>INDEX(Data!1557:1557,1,$P$1-8)+INDEX(Data!1557:1557,1,$P$1-7)</f>
        <v>3282120</v>
      </c>
      <c r="C480" s="87">
        <f>INDEX(Data!1557:1557,1,$P$1-6)+INDEX(Data!1557:1557,1,$P$1-5)</f>
        <v>3282120</v>
      </c>
      <c r="D480" s="404">
        <f>INDEX(Data!1557:1557,1,$P$1-4)+INDEX(Data!1557:1557,1,$P$1-3)</f>
        <v>3286846</v>
      </c>
      <c r="E480" s="90">
        <f>INDEX(Data!1557:1557,1,$P$1-2)+INDEX(Data!1557:1557,1,$P$1-1)</f>
        <v>2402108</v>
      </c>
      <c r="F480" s="88">
        <f>INDEX(Data!1557:1557,1,$P$1)+INDEX(Data!1557:1557,1,$P$1+1)</f>
        <v>2402108</v>
      </c>
      <c r="G480" s="409">
        <f t="shared" ref="G480:G514" si="123">B480</f>
        <v>3282120</v>
      </c>
      <c r="H480" s="81">
        <f t="shared" ref="H480:H514" si="124">C480</f>
        <v>3282120</v>
      </c>
      <c r="I480" s="409">
        <f t="shared" ref="I480:I514" si="125">D480</f>
        <v>3286846</v>
      </c>
      <c r="J480" s="81">
        <f t="shared" ref="J480:K514" si="126">E480</f>
        <v>2402108</v>
      </c>
      <c r="K480" s="82">
        <f t="shared" si="126"/>
        <v>2402108</v>
      </c>
      <c r="L480" s="122"/>
      <c r="M480" s="123"/>
    </row>
    <row r="481" spans="1:13" hidden="1" outlineLevel="1">
      <c r="A481" s="79" t="s">
        <v>749</v>
      </c>
      <c r="B481" s="86">
        <f>INDEX(Data!1576:1576,1,$P$1-8)+INDEX(Data!1576:1576,1,$P$1-7)</f>
        <v>4236840</v>
      </c>
      <c r="C481" s="87">
        <f>INDEX(Data!1576:1576,1,$P$1-6)+INDEX(Data!1576:1576,1,$P$1-5)</f>
        <v>2236840</v>
      </c>
      <c r="D481" s="404">
        <f>INDEX(Data!1576:1576,1,$P$1-4)+INDEX(Data!1576:1576,1,$P$1-3)</f>
        <v>2454258</v>
      </c>
      <c r="E481" s="90">
        <f>INDEX(Data!1576:1576,1,$P$1-2)+INDEX(Data!1576:1576,1,$P$1-1)</f>
        <v>1702160</v>
      </c>
      <c r="F481" s="88">
        <f>INDEX(Data!1576:1576,1,$P$1)+INDEX(Data!1576:1576,1,$P$1+1)</f>
        <v>40831447</v>
      </c>
      <c r="G481" s="91">
        <f t="shared" si="123"/>
        <v>4236840</v>
      </c>
      <c r="H481" s="87">
        <f t="shared" si="124"/>
        <v>2236840</v>
      </c>
      <c r="I481" s="404">
        <f t="shared" si="125"/>
        <v>2454258</v>
      </c>
      <c r="J481" s="90">
        <f t="shared" si="126"/>
        <v>1702160</v>
      </c>
      <c r="K481" s="88">
        <f t="shared" si="126"/>
        <v>40831447</v>
      </c>
      <c r="L481" s="122"/>
      <c r="M481" s="121"/>
    </row>
    <row r="482" spans="1:13" hidden="1" outlineLevel="1">
      <c r="A482" s="79" t="s">
        <v>755</v>
      </c>
      <c r="B482" s="86">
        <f>INDEX(Data!1583:1583,1,$P$1-8)+INDEX(Data!1583:1583,1,$P$1-7)</f>
        <v>0</v>
      </c>
      <c r="C482" s="87">
        <f>INDEX(Data!1583:1583,1,$P$1-6)+INDEX(Data!1583:1583,1,$P$1-5)</f>
        <v>0</v>
      </c>
      <c r="D482" s="404">
        <f>INDEX(Data!1583:1583,1,$P$1-4)+INDEX(Data!1583:1583,1,$P$1-3)</f>
        <v>0</v>
      </c>
      <c r="E482" s="90">
        <f>INDEX(Data!1583:1583,1,$P$1-2)+INDEX(Data!1583:1583,1,$P$1-1)</f>
        <v>0</v>
      </c>
      <c r="F482" s="88">
        <f>INDEX(Data!1583:1583,1,$P$1)+INDEX(Data!1583:1583,1,$P$1+1)</f>
        <v>0</v>
      </c>
      <c r="G482" s="91">
        <f t="shared" si="123"/>
        <v>0</v>
      </c>
      <c r="H482" s="87">
        <f t="shared" si="124"/>
        <v>0</v>
      </c>
      <c r="I482" s="404">
        <f t="shared" si="125"/>
        <v>0</v>
      </c>
      <c r="J482" s="90">
        <f t="shared" si="126"/>
        <v>0</v>
      </c>
      <c r="K482" s="88">
        <f t="shared" si="126"/>
        <v>0</v>
      </c>
      <c r="L482" s="122"/>
      <c r="M482" s="121"/>
    </row>
    <row r="483" spans="1:13" hidden="1" outlineLevel="1">
      <c r="A483" s="79" t="s">
        <v>756</v>
      </c>
      <c r="B483" s="86">
        <f>INDEX(Data!1600:1600,1,$P$1-8)+INDEX(Data!1600:1600,1,$P$1-7)</f>
        <v>11443063</v>
      </c>
      <c r="C483" s="87">
        <f>INDEX(Data!1600:1600,1,$P$1-6)+INDEX(Data!1600:1600,1,$P$1-5)</f>
        <v>6443064</v>
      </c>
      <c r="D483" s="404">
        <f>INDEX(Data!1600:1600,1,$P$1-4)+INDEX(Data!1600:1600,1,$P$1-3)</f>
        <v>6450130</v>
      </c>
      <c r="E483" s="90">
        <f>INDEX(Data!1600:1600,1,$P$1-2)+INDEX(Data!1600:1600,1,$P$1-1)</f>
        <v>4514942</v>
      </c>
      <c r="F483" s="88">
        <f>INDEX(Data!1600:1600,1,$P$1)+INDEX(Data!1600:1600,1,$P$1+1)</f>
        <v>4514942</v>
      </c>
      <c r="G483" s="91">
        <f t="shared" si="123"/>
        <v>11443063</v>
      </c>
      <c r="H483" s="87">
        <f t="shared" si="124"/>
        <v>6443064</v>
      </c>
      <c r="I483" s="404">
        <f t="shared" si="125"/>
        <v>6450130</v>
      </c>
      <c r="J483" s="90">
        <f t="shared" si="126"/>
        <v>4514942</v>
      </c>
      <c r="K483" s="88">
        <f t="shared" si="126"/>
        <v>4514942</v>
      </c>
      <c r="L483" s="122"/>
      <c r="M483" s="121"/>
    </row>
    <row r="484" spans="1:13" ht="25.5" hidden="1" outlineLevel="1">
      <c r="A484" s="1104" t="s">
        <v>1667</v>
      </c>
      <c r="B484" s="86">
        <f>INDEX(Data!1616:1616,1,$P$1-8)+INDEX(Data!1616:1616,1,$P$1-7)</f>
        <v>0</v>
      </c>
      <c r="C484" s="87">
        <f>INDEX(Data!1616:1616,1,$P$1-6)+INDEX(Data!1616:1616,1,$P$1-5)</f>
        <v>0</v>
      </c>
      <c r="D484" s="404">
        <f>INDEX(Data!1616:1616,1,$P$1-4)+INDEX(Data!1616:1616,1,$P$1-3)</f>
        <v>21099920</v>
      </c>
      <c r="E484" s="90">
        <f>INDEX(Data!1616:1616,1,$P$1-2)+INDEX(Data!1616:1616,1,$P$1-1)</f>
        <v>12679758</v>
      </c>
      <c r="F484" s="88">
        <f>INDEX(Data!1616:1616,1,$P$1)+INDEX(Data!1616:1616,1,$P$1+1)</f>
        <v>16888427</v>
      </c>
      <c r="G484" s="91">
        <f t="shared" ref="G484" si="127">B484</f>
        <v>0</v>
      </c>
      <c r="H484" s="87">
        <f t="shared" ref="H484" si="128">C484</f>
        <v>0</v>
      </c>
      <c r="I484" s="404">
        <f t="shared" ref="I484" si="129">D484</f>
        <v>21099920</v>
      </c>
      <c r="J484" s="90">
        <f t="shared" ref="J484" si="130">E484</f>
        <v>12679758</v>
      </c>
      <c r="K484" s="88">
        <f t="shared" ref="K484" si="131">F484</f>
        <v>16888427</v>
      </c>
      <c r="L484" s="122"/>
      <c r="M484" s="121"/>
    </row>
    <row r="485" spans="1:13" hidden="1" outlineLevel="1">
      <c r="A485" s="79" t="s">
        <v>1356</v>
      </c>
      <c r="B485" s="86">
        <f>INDEX(Data!1631:1631,1,$P$1-8)+INDEX(Data!1631:1631,1,$P$1-7)</f>
        <v>11503354</v>
      </c>
      <c r="C485" s="87">
        <f>INDEX(Data!1631:1631,1,$P$1-6)+INDEX(Data!1631:1631,1,$P$1-5)</f>
        <v>12503354</v>
      </c>
      <c r="D485" s="404">
        <f>INDEX(Data!1631:1631,1,$P$1-4)+INDEX(Data!1631:1631,1,$P$1-3)</f>
        <v>0</v>
      </c>
      <c r="E485" s="90">
        <f>INDEX(Data!1631:1631,1,$P$1-2)+INDEX(Data!1631:1631,1,$P$1-1)</f>
        <v>0</v>
      </c>
      <c r="F485" s="88">
        <f>INDEX(Data!1631:1631,1,$P$1)+INDEX(Data!1631:1631,1,$P$1+1)</f>
        <v>0</v>
      </c>
      <c r="G485" s="91">
        <f t="shared" si="123"/>
        <v>11503354</v>
      </c>
      <c r="H485" s="87">
        <f t="shared" si="124"/>
        <v>12503354</v>
      </c>
      <c r="I485" s="404">
        <f t="shared" si="125"/>
        <v>0</v>
      </c>
      <c r="J485" s="90">
        <f t="shared" si="126"/>
        <v>0</v>
      </c>
      <c r="K485" s="88">
        <f t="shared" si="126"/>
        <v>0</v>
      </c>
      <c r="L485" s="122"/>
      <c r="M485" s="121"/>
    </row>
    <row r="486" spans="1:13" hidden="1" outlineLevel="1">
      <c r="A486" s="79" t="s">
        <v>1357</v>
      </c>
      <c r="B486" s="86">
        <f>INDEX(Data!1636:1636,1,$P$1-8)+INDEX(Data!1636:1636,1,$P$1-7)</f>
        <v>7596567</v>
      </c>
      <c r="C486" s="87">
        <f>INDEX(Data!1636:1636,1,$P$1-6)+INDEX(Data!1636:1636,1,$P$1-5)</f>
        <v>8596566</v>
      </c>
      <c r="D486" s="404">
        <f>INDEX(Data!1636:1636,1,$P$1-4)+INDEX(Data!1636:1636,1,$P$1-3)</f>
        <v>0</v>
      </c>
      <c r="E486" s="90">
        <f>INDEX(Data!1636:1636,1,$P$1-2)+INDEX(Data!1636:1636,1,$P$1-1)</f>
        <v>0</v>
      </c>
      <c r="F486" s="88">
        <f>INDEX(Data!1636:1636,1,$P$1)+INDEX(Data!1636:1636,1,$P$1+1)</f>
        <v>0</v>
      </c>
      <c r="G486" s="91">
        <f t="shared" si="123"/>
        <v>7596567</v>
      </c>
      <c r="H486" s="87">
        <f t="shared" si="124"/>
        <v>8596566</v>
      </c>
      <c r="I486" s="404">
        <f t="shared" si="125"/>
        <v>0</v>
      </c>
      <c r="J486" s="90">
        <f t="shared" si="126"/>
        <v>0</v>
      </c>
      <c r="K486" s="88">
        <f t="shared" si="126"/>
        <v>0</v>
      </c>
      <c r="L486" s="122"/>
      <c r="M486" s="121"/>
    </row>
    <row r="487" spans="1:13" ht="25.5" hidden="1" outlineLevel="1">
      <c r="A487" s="79" t="s">
        <v>1358</v>
      </c>
      <c r="B487" s="86">
        <f>INDEX(Data!1646:1646,1,$P$1-8)+INDEX(Data!1646:1646,1,$P$1-7)</f>
        <v>5285122</v>
      </c>
      <c r="C487" s="87">
        <f>INDEX(Data!1646:1646,1,$P$1-6)+INDEX(Data!1646:1646,1,$P$1-5)</f>
        <v>6285122</v>
      </c>
      <c r="D487" s="404">
        <f>INDEX(Data!1646:1646,1,$P$1-4)+INDEX(Data!1646:1646,1,$P$1-3)</f>
        <v>6285122</v>
      </c>
      <c r="E487" s="90">
        <f>INDEX(Data!1646:1646,1,$P$1-2)+INDEX(Data!1646:1646,1,$P$1-1)</f>
        <v>4270982</v>
      </c>
      <c r="F487" s="88">
        <f>INDEX(Data!1646:1646,1,$P$1)+INDEX(Data!1646:1646,1,$P$1+1)</f>
        <v>8482738</v>
      </c>
      <c r="G487" s="91">
        <f t="shared" si="123"/>
        <v>5285122</v>
      </c>
      <c r="H487" s="87">
        <f t="shared" si="124"/>
        <v>6285122</v>
      </c>
      <c r="I487" s="404">
        <f t="shared" si="125"/>
        <v>6285122</v>
      </c>
      <c r="J487" s="90">
        <f t="shared" si="126"/>
        <v>4270982</v>
      </c>
      <c r="K487" s="88">
        <f t="shared" si="126"/>
        <v>8482738</v>
      </c>
      <c r="L487" s="122"/>
      <c r="M487" s="121"/>
    </row>
    <row r="488" spans="1:13" hidden="1" outlineLevel="1">
      <c r="A488" s="79" t="s">
        <v>757</v>
      </c>
      <c r="B488" s="86">
        <f>INDEX(Data!1655:1655,1,$P$1-8)+INDEX(Data!1655:1655,1,$P$1-7)</f>
        <v>8115000</v>
      </c>
      <c r="C488" s="87">
        <f>INDEX(Data!1655:1655,1,$P$1-6)+INDEX(Data!1655:1655,1,$P$1-5)</f>
        <v>4970772</v>
      </c>
      <c r="D488" s="404">
        <f>INDEX(Data!1655:1655,1,$P$1-4)+INDEX(Data!1655:1655,1,$P$1-3)</f>
        <v>4970860</v>
      </c>
      <c r="E488" s="90">
        <f>INDEX(Data!1655:1655,1,$P$1-2)+INDEX(Data!1655:1655,1,$P$1-1)</f>
        <v>3577677</v>
      </c>
      <c r="F488" s="88">
        <f>INDEX(Data!1655:1655,1,$P$1)+INDEX(Data!1655:1655,1,$P$1+1)</f>
        <v>3577677</v>
      </c>
      <c r="G488" s="91">
        <f t="shared" si="123"/>
        <v>8115000</v>
      </c>
      <c r="H488" s="87">
        <f t="shared" si="124"/>
        <v>4970772</v>
      </c>
      <c r="I488" s="404">
        <f t="shared" si="125"/>
        <v>4970860</v>
      </c>
      <c r="J488" s="90">
        <f t="shared" si="126"/>
        <v>3577677</v>
      </c>
      <c r="K488" s="88">
        <f t="shared" si="126"/>
        <v>3577677</v>
      </c>
      <c r="L488" s="122"/>
      <c r="M488" s="121"/>
    </row>
    <row r="489" spans="1:13" hidden="1" outlineLevel="1">
      <c r="A489" s="79" t="s">
        <v>1359</v>
      </c>
      <c r="B489" s="86">
        <f>INDEX(Data!1664:1664,1,$P$1-8)+INDEX(Data!1664:1664,1,$P$1-7)</f>
        <v>8455254</v>
      </c>
      <c r="C489" s="87">
        <f>INDEX(Data!1664:1664,1,$P$1-6)+INDEX(Data!1664:1664,1,$P$1-5)</f>
        <v>9455254</v>
      </c>
      <c r="D489" s="404">
        <f>INDEX(Data!1664:1664,1,$P$1-4)+INDEX(Data!1664:1664,1,$P$1-3)</f>
        <v>9455254</v>
      </c>
      <c r="E489" s="90">
        <f>INDEX(Data!1664:1664,1,$P$1-2)+INDEX(Data!1664:1664,1,$P$1-1)</f>
        <v>6505684</v>
      </c>
      <c r="F489" s="88">
        <f>INDEX(Data!1664:1664,1,$P$1)+INDEX(Data!1664:1664,1,$P$1+1)</f>
        <v>6505684</v>
      </c>
      <c r="G489" s="91">
        <f t="shared" si="123"/>
        <v>8455254</v>
      </c>
      <c r="H489" s="87">
        <f t="shared" si="124"/>
        <v>9455254</v>
      </c>
      <c r="I489" s="404">
        <f t="shared" si="125"/>
        <v>9455254</v>
      </c>
      <c r="J489" s="90">
        <f t="shared" si="126"/>
        <v>6505684</v>
      </c>
      <c r="K489" s="88">
        <f t="shared" si="126"/>
        <v>6505684</v>
      </c>
      <c r="L489" s="122"/>
      <c r="M489" s="121"/>
    </row>
    <row r="490" spans="1:13" hidden="1" outlineLevel="1">
      <c r="A490" s="79" t="s">
        <v>876</v>
      </c>
      <c r="B490" s="86">
        <f>INDEX(Data!1682:1682,1,$P$1-8)+INDEX(Data!1682:1682,1,$P$1-7)</f>
        <v>3487706</v>
      </c>
      <c r="C490" s="87">
        <f>INDEX(Data!1682:1682,1,$P$1-6)+INDEX(Data!1682:1682,1,$P$1-5)</f>
        <v>4487706</v>
      </c>
      <c r="D490" s="404">
        <f>INDEX(Data!1682:1682,1,$P$1-4)+INDEX(Data!1682:1682,1,$P$1-3)</f>
        <v>4487706</v>
      </c>
      <c r="E490" s="90">
        <f>INDEX(Data!1682:1682,1,$P$1-2)+INDEX(Data!1682:1682,1,$P$1-1)</f>
        <v>3148541</v>
      </c>
      <c r="F490" s="88">
        <f>INDEX(Data!1682:1682,1,$P$1)+INDEX(Data!1682:1682,1,$P$1+1)</f>
        <v>3148541</v>
      </c>
      <c r="G490" s="91">
        <f t="shared" si="123"/>
        <v>3487706</v>
      </c>
      <c r="H490" s="87">
        <f t="shared" si="124"/>
        <v>4487706</v>
      </c>
      <c r="I490" s="404">
        <f t="shared" si="125"/>
        <v>4487706</v>
      </c>
      <c r="J490" s="90">
        <f t="shared" si="126"/>
        <v>3148541</v>
      </c>
      <c r="K490" s="88">
        <f t="shared" si="126"/>
        <v>3148541</v>
      </c>
      <c r="L490" s="122"/>
      <c r="M490" s="121"/>
    </row>
    <row r="491" spans="1:13" hidden="1" outlineLevel="1">
      <c r="A491" s="79" t="s">
        <v>750</v>
      </c>
      <c r="B491" s="86">
        <f>INDEX(Data!1691:1691,1,$P$1-8)+INDEX(Data!1691:1691,1,$P$1-7)</f>
        <v>6546409</v>
      </c>
      <c r="C491" s="87">
        <f>INDEX(Data!1691:1691,1,$P$1-6)+INDEX(Data!1691:1691,1,$P$1-5)</f>
        <v>7546408</v>
      </c>
      <c r="D491" s="404">
        <f>INDEX(Data!1691:1691,1,$P$1-4)+INDEX(Data!1691:1691,1,$P$1-3)</f>
        <v>6896408</v>
      </c>
      <c r="E491" s="90">
        <f>INDEX(Data!1691:1691,1,$P$1-2)+INDEX(Data!1691:1691,1,$P$1-1)</f>
        <v>5530620</v>
      </c>
      <c r="F491" s="88">
        <f>INDEX(Data!1691:1691,1,$P$1)+INDEX(Data!1691:1691,1,$P$1+1)</f>
        <v>15126721</v>
      </c>
      <c r="G491" s="91">
        <f t="shared" si="123"/>
        <v>6546409</v>
      </c>
      <c r="H491" s="87">
        <f t="shared" si="124"/>
        <v>7546408</v>
      </c>
      <c r="I491" s="404">
        <f t="shared" si="125"/>
        <v>6896408</v>
      </c>
      <c r="J491" s="90">
        <f t="shared" si="126"/>
        <v>5530620</v>
      </c>
      <c r="K491" s="88">
        <f t="shared" si="126"/>
        <v>15126721</v>
      </c>
      <c r="L491" s="122"/>
      <c r="M491" s="121"/>
    </row>
    <row r="492" spans="1:13" hidden="1" outlineLevel="1">
      <c r="A492" s="79" t="s">
        <v>1209</v>
      </c>
      <c r="B492" s="86">
        <f>INDEX(Data!1702:1702,1,$P$1-8)+INDEX(Data!1702:1702,1,$P$1-7)</f>
        <v>4484334</v>
      </c>
      <c r="C492" s="87">
        <f>INDEX(Data!1702:1702,1,$P$1-6)+INDEX(Data!1702:1702,1,$P$1-5)</f>
        <v>5484334</v>
      </c>
      <c r="D492" s="404">
        <f>INDEX(Data!1702:1702,1,$P$1-4)+INDEX(Data!1702:1702,1,$P$1-3)</f>
        <v>5484334</v>
      </c>
      <c r="E492" s="90">
        <f>INDEX(Data!1702:1702,1,$P$1-2)+INDEX(Data!1702:1702,1,$P$1-1)</f>
        <v>3819446</v>
      </c>
      <c r="F492" s="88">
        <f>INDEX(Data!1702:1702,1,$P$1)+INDEX(Data!1702:1702,1,$P$1+1)</f>
        <v>3819446</v>
      </c>
      <c r="G492" s="91">
        <f t="shared" si="123"/>
        <v>4484334</v>
      </c>
      <c r="H492" s="87">
        <f t="shared" si="124"/>
        <v>5484334</v>
      </c>
      <c r="I492" s="404">
        <f t="shared" si="125"/>
        <v>5484334</v>
      </c>
      <c r="J492" s="90">
        <f t="shared" si="126"/>
        <v>3819446</v>
      </c>
      <c r="K492" s="88">
        <f t="shared" si="126"/>
        <v>3819446</v>
      </c>
      <c r="L492" s="122"/>
      <c r="M492" s="121"/>
    </row>
    <row r="493" spans="1:13" hidden="1" outlineLevel="1">
      <c r="A493" s="79" t="s">
        <v>1211</v>
      </c>
      <c r="B493" s="86">
        <f>INDEX(Data!1718:1718,1,$P$1-8)+INDEX(Data!1718:1718,1,$P$1-7)</f>
        <v>14286938</v>
      </c>
      <c r="C493" s="87">
        <f>INDEX(Data!1718:1718,1,$P$1-6)+INDEX(Data!1718:1718,1,$P$1-5)</f>
        <v>15286938</v>
      </c>
      <c r="D493" s="404">
        <f>INDEX(Data!1718:1718,1,$P$1-4)+INDEX(Data!1718:1718,1,$P$1-3)</f>
        <v>15286938</v>
      </c>
      <c r="E493" s="90">
        <f>INDEX(Data!1718:1718,1,$P$1-2)+INDEX(Data!1718:1718,1,$P$1-1)</f>
        <v>10697529</v>
      </c>
      <c r="F493" s="88">
        <f>INDEX(Data!1718:1718,1,$P$1)+INDEX(Data!1718:1718,1,$P$1+1)</f>
        <v>10697530</v>
      </c>
      <c r="G493" s="91">
        <f t="shared" si="123"/>
        <v>14286938</v>
      </c>
      <c r="H493" s="87">
        <f t="shared" si="124"/>
        <v>15286938</v>
      </c>
      <c r="I493" s="404">
        <f t="shared" si="125"/>
        <v>15286938</v>
      </c>
      <c r="J493" s="90">
        <f t="shared" si="126"/>
        <v>10697529</v>
      </c>
      <c r="K493" s="88">
        <f t="shared" si="126"/>
        <v>10697530</v>
      </c>
      <c r="L493" s="122"/>
      <c r="M493" s="121"/>
    </row>
    <row r="494" spans="1:13" hidden="1" outlineLevel="1">
      <c r="A494" s="79" t="s">
        <v>1212</v>
      </c>
      <c r="B494" s="86">
        <f>INDEX(Data!1729:1729,1,$P$1-8)+INDEX(Data!1729:1729,1,$P$1-7)</f>
        <v>10025551</v>
      </c>
      <c r="C494" s="87">
        <f>INDEX(Data!1729:1729,1,$P$1-6)+INDEX(Data!1729:1729,1,$P$1-5)</f>
        <v>11065551</v>
      </c>
      <c r="D494" s="404">
        <f>INDEX(Data!1729:1729,1,$P$1-4)+INDEX(Data!1729:1729,1,$P$1-3)</f>
        <v>11031626</v>
      </c>
      <c r="E494" s="90">
        <f>INDEX(Data!1729:1729,1,$P$1-2)+INDEX(Data!1729:1729,1,$P$1-1)</f>
        <v>7592902</v>
      </c>
      <c r="F494" s="88">
        <f>INDEX(Data!1729:1729,1,$P$1)+INDEX(Data!1729:1729,1,$P$1+1)</f>
        <v>21075947</v>
      </c>
      <c r="G494" s="91">
        <f t="shared" si="123"/>
        <v>10025551</v>
      </c>
      <c r="H494" s="87">
        <f t="shared" si="124"/>
        <v>11065551</v>
      </c>
      <c r="I494" s="404">
        <f t="shared" si="125"/>
        <v>11031626</v>
      </c>
      <c r="J494" s="90">
        <f t="shared" si="126"/>
        <v>7592902</v>
      </c>
      <c r="K494" s="88">
        <f t="shared" si="126"/>
        <v>21075947</v>
      </c>
      <c r="L494" s="122"/>
      <c r="M494" s="121"/>
    </row>
    <row r="495" spans="1:13" hidden="1" outlineLevel="1">
      <c r="A495" s="79" t="s">
        <v>861</v>
      </c>
      <c r="B495" s="86">
        <f>INDEX(Data!1739:1739,1,$P$1-8)+INDEX(Data!1739:1739,1,$P$1-7)</f>
        <v>10853452</v>
      </c>
      <c r="C495" s="87">
        <f>INDEX(Data!1739:1739,1,$P$1-6)+INDEX(Data!1739:1739,1,$P$1-5)</f>
        <v>11853452</v>
      </c>
      <c r="D495" s="404">
        <f>INDEX(Data!1739:1739,1,$P$1-4)+INDEX(Data!1739:1739,1,$P$1-3)</f>
        <v>11853452</v>
      </c>
      <c r="E495" s="90">
        <f>INDEX(Data!1739:1739,1,$P$1-2)+INDEX(Data!1739:1739,1,$P$1-1)</f>
        <v>8662813</v>
      </c>
      <c r="F495" s="88">
        <f>INDEX(Data!1739:1739,1,$P$1)+INDEX(Data!1739:1739,1,$P$1+1)</f>
        <v>8662813</v>
      </c>
      <c r="G495" s="91">
        <f t="shared" si="123"/>
        <v>10853452</v>
      </c>
      <c r="H495" s="87">
        <f t="shared" si="124"/>
        <v>11853452</v>
      </c>
      <c r="I495" s="404">
        <f t="shared" si="125"/>
        <v>11853452</v>
      </c>
      <c r="J495" s="90">
        <f t="shared" si="126"/>
        <v>8662813</v>
      </c>
      <c r="K495" s="88">
        <f t="shared" si="126"/>
        <v>8662813</v>
      </c>
      <c r="L495" s="122"/>
      <c r="M495" s="121"/>
    </row>
    <row r="496" spans="1:13" hidden="1" outlineLevel="1">
      <c r="A496" s="79" t="s">
        <v>871</v>
      </c>
      <c r="B496" s="86">
        <f>INDEX(Data!1752:1752,1,$P$1-8)+INDEX(Data!1752:1752,1,$P$1-7)</f>
        <v>5747236</v>
      </c>
      <c r="C496" s="87">
        <f>INDEX(Data!1752:1752,1,$P$1-6)+INDEX(Data!1752:1752,1,$P$1-5)</f>
        <v>6747236</v>
      </c>
      <c r="D496" s="404">
        <f>INDEX(Data!1752:1752,1,$P$1-4)+INDEX(Data!1752:1752,1,$P$1-3)</f>
        <v>6747236</v>
      </c>
      <c r="E496" s="90">
        <f>INDEX(Data!1752:1752,1,$P$1-2)+INDEX(Data!1752:1752,1,$P$1-1)</f>
        <v>4931056</v>
      </c>
      <c r="F496" s="88">
        <f>INDEX(Data!1752:1752,1,$P$1)+INDEX(Data!1752:1752,1,$P$1+1)</f>
        <v>4931056</v>
      </c>
      <c r="G496" s="91">
        <f t="shared" si="123"/>
        <v>5747236</v>
      </c>
      <c r="H496" s="87">
        <f t="shared" si="124"/>
        <v>6747236</v>
      </c>
      <c r="I496" s="404">
        <f t="shared" si="125"/>
        <v>6747236</v>
      </c>
      <c r="J496" s="90">
        <f t="shared" si="126"/>
        <v>4931056</v>
      </c>
      <c r="K496" s="88">
        <f t="shared" si="126"/>
        <v>4931056</v>
      </c>
      <c r="L496" s="122"/>
      <c r="M496" s="121"/>
    </row>
    <row r="497" spans="1:13" hidden="1" outlineLevel="1">
      <c r="A497" s="79" t="s">
        <v>1361</v>
      </c>
      <c r="B497" s="86">
        <f>INDEX(Data!1757:1757,1,$P$1-8)+INDEX(Data!1757:1757,1,$P$1-7)</f>
        <v>3707104</v>
      </c>
      <c r="C497" s="87">
        <f>INDEX(Data!1757:1757,1,$P$1-6)+INDEX(Data!1757:1757,1,$P$1-5)</f>
        <v>4707104</v>
      </c>
      <c r="D497" s="404">
        <f>INDEX(Data!1757:1757,1,$P$1-4)+INDEX(Data!1757:1757,1,$P$1-3)</f>
        <v>4707104</v>
      </c>
      <c r="E497" s="90">
        <f>INDEX(Data!1757:1757,1,$P$1-2)+INDEX(Data!1757:1757,1,$P$1-1)</f>
        <v>3412974</v>
      </c>
      <c r="F497" s="88">
        <f>INDEX(Data!1757:1757,1,$P$1)+INDEX(Data!1757:1757,1,$P$1+1)</f>
        <v>3412974</v>
      </c>
      <c r="G497" s="91">
        <f t="shared" si="123"/>
        <v>3707104</v>
      </c>
      <c r="H497" s="87">
        <f t="shared" si="124"/>
        <v>4707104</v>
      </c>
      <c r="I497" s="404">
        <f t="shared" si="125"/>
        <v>4707104</v>
      </c>
      <c r="J497" s="90">
        <f t="shared" si="126"/>
        <v>3412974</v>
      </c>
      <c r="K497" s="88">
        <f t="shared" si="126"/>
        <v>3412974</v>
      </c>
      <c r="L497" s="122"/>
      <c r="M497" s="121"/>
    </row>
    <row r="498" spans="1:13" hidden="1" outlineLevel="1">
      <c r="A498" s="79" t="s">
        <v>1425</v>
      </c>
      <c r="B498" s="86">
        <f>INDEX(Data!1766:1766,1,$P$1-8)+INDEX(Data!1766:1766,1,$P$1-7)</f>
        <v>3948225</v>
      </c>
      <c r="C498" s="87">
        <f>INDEX(Data!1766:1766,1,$P$1-6)+INDEX(Data!1766:1766,1,$P$1-5)</f>
        <v>4948230</v>
      </c>
      <c r="D498" s="404">
        <f>INDEX(Data!1766:1766,1,$P$1-4)+INDEX(Data!1766:1766,1,$P$1-3)</f>
        <v>4948225</v>
      </c>
      <c r="E498" s="90">
        <f>INDEX(Data!1766:1766,1,$P$1-2)+INDEX(Data!1766:1766,1,$P$1-1)</f>
        <v>3217226</v>
      </c>
      <c r="F498" s="88">
        <f>INDEX(Data!1766:1766,1,$P$1)+INDEX(Data!1766:1766,1,$P$1+1)</f>
        <v>9332395</v>
      </c>
      <c r="G498" s="91">
        <f t="shared" si="123"/>
        <v>3948225</v>
      </c>
      <c r="H498" s="87">
        <f t="shared" si="124"/>
        <v>4948230</v>
      </c>
      <c r="I498" s="404">
        <f t="shared" si="125"/>
        <v>4948225</v>
      </c>
      <c r="J498" s="90">
        <f t="shared" si="126"/>
        <v>3217226</v>
      </c>
      <c r="K498" s="88">
        <f t="shared" si="126"/>
        <v>9332395</v>
      </c>
      <c r="L498" s="122"/>
      <c r="M498" s="121"/>
    </row>
    <row r="499" spans="1:13" hidden="1" outlineLevel="1">
      <c r="A499" s="79" t="s">
        <v>726</v>
      </c>
      <c r="B499" s="86">
        <f>INDEX(Data!1786:1786,1,$P$1-8)+INDEX(Data!1786:1786,1,$P$1-7)</f>
        <v>6774402</v>
      </c>
      <c r="C499" s="87">
        <f>INDEX(Data!1786:1786,1,$P$1-6)+INDEX(Data!1786:1786,1,$P$1-5)</f>
        <v>6774402</v>
      </c>
      <c r="D499" s="404">
        <f>INDEX(Data!1786:1786,1,$P$1-4)+INDEX(Data!1786:1786,1,$P$1-3)</f>
        <v>6781100</v>
      </c>
      <c r="E499" s="90">
        <f>INDEX(Data!1786:1786,1,$P$1-2)+INDEX(Data!1786:1786,1,$P$1-1)</f>
        <v>4858590</v>
      </c>
      <c r="F499" s="88">
        <f>INDEX(Data!1786:1786,1,$P$1)+INDEX(Data!1786:1786,1,$P$1+1)</f>
        <v>15458590</v>
      </c>
      <c r="G499" s="91">
        <f t="shared" si="123"/>
        <v>6774402</v>
      </c>
      <c r="H499" s="87">
        <f t="shared" si="124"/>
        <v>6774402</v>
      </c>
      <c r="I499" s="404">
        <f t="shared" si="125"/>
        <v>6781100</v>
      </c>
      <c r="J499" s="90">
        <f t="shared" si="126"/>
        <v>4858590</v>
      </c>
      <c r="K499" s="88">
        <f t="shared" si="126"/>
        <v>15458590</v>
      </c>
      <c r="L499" s="122"/>
      <c r="M499" s="121"/>
    </row>
    <row r="500" spans="1:13" hidden="1" outlineLevel="1">
      <c r="A500" s="79" t="s">
        <v>1363</v>
      </c>
      <c r="B500" s="86">
        <f>INDEX(Data!1794:1794,1,$P$1-8)+INDEX(Data!1794:1794,1,$P$1-7)</f>
        <v>3549932</v>
      </c>
      <c r="C500" s="87">
        <f>INDEX(Data!1794:1794,1,$P$1-6)+INDEX(Data!1794:1794,1,$P$1-5)</f>
        <v>4549932</v>
      </c>
      <c r="D500" s="404">
        <f>INDEX(Data!1794:1794,1,$P$1-4)+INDEX(Data!1794:1794,1,$P$1-3)</f>
        <v>4554966</v>
      </c>
      <c r="E500" s="90">
        <f>INDEX(Data!1794:1794,1,$P$1-2)+INDEX(Data!1794:1794,1,$P$1-1)</f>
        <v>2964141</v>
      </c>
      <c r="F500" s="88">
        <f>INDEX(Data!1794:1794,1,$P$1)+INDEX(Data!1794:1794,1,$P$1+1)</f>
        <v>10236113</v>
      </c>
      <c r="G500" s="91">
        <f t="shared" si="123"/>
        <v>3549932</v>
      </c>
      <c r="H500" s="87">
        <f t="shared" si="124"/>
        <v>4549932</v>
      </c>
      <c r="I500" s="404">
        <f t="shared" si="125"/>
        <v>4554966</v>
      </c>
      <c r="J500" s="90">
        <f t="shared" si="126"/>
        <v>2964141</v>
      </c>
      <c r="K500" s="88">
        <f t="shared" si="126"/>
        <v>10236113</v>
      </c>
      <c r="L500" s="122"/>
      <c r="M500" s="121"/>
    </row>
    <row r="501" spans="1:13" hidden="1" outlineLevel="1">
      <c r="A501" s="79" t="s">
        <v>1364</v>
      </c>
      <c r="B501" s="86">
        <f>INDEX(Data!1798:1798,1,$P$1-8)+INDEX(Data!1798:1798,1,$P$1-7)</f>
        <v>3576846</v>
      </c>
      <c r="C501" s="87">
        <f>INDEX(Data!1798:1798,1,$P$1-6)+INDEX(Data!1798:1798,1,$P$1-5)</f>
        <v>4576846</v>
      </c>
      <c r="D501" s="404">
        <f>INDEX(Data!1798:1798,1,$P$1-4)+INDEX(Data!1798:1798,1,$P$1-3)</f>
        <v>4593218</v>
      </c>
      <c r="E501" s="90">
        <f>INDEX(Data!1798:1798,1,$P$1-2)+INDEX(Data!1798:1798,1,$P$1-1)</f>
        <v>3227455</v>
      </c>
      <c r="F501" s="88">
        <f>INDEX(Data!1798:1798,1,$P$1)+INDEX(Data!1798:1798,1,$P$1+1)</f>
        <v>3227455</v>
      </c>
      <c r="G501" s="91">
        <f t="shared" si="123"/>
        <v>3576846</v>
      </c>
      <c r="H501" s="87">
        <f t="shared" si="124"/>
        <v>4576846</v>
      </c>
      <c r="I501" s="404">
        <f t="shared" si="125"/>
        <v>4593218</v>
      </c>
      <c r="J501" s="90">
        <f t="shared" si="126"/>
        <v>3227455</v>
      </c>
      <c r="K501" s="88">
        <f t="shared" si="126"/>
        <v>3227455</v>
      </c>
      <c r="L501" s="122"/>
      <c r="M501" s="121"/>
    </row>
    <row r="502" spans="1:13" hidden="1" outlineLevel="1">
      <c r="A502" s="79" t="s">
        <v>1365</v>
      </c>
      <c r="B502" s="86">
        <f>INDEX(Data!1804:1804,1,$P$1-8)+INDEX(Data!1804:1804,1,$P$1-7)</f>
        <v>2982522</v>
      </c>
      <c r="C502" s="87">
        <f>INDEX(Data!1804:1804,1,$P$1-6)+INDEX(Data!1804:1804,1,$P$1-5)</f>
        <v>3982522</v>
      </c>
      <c r="D502" s="404">
        <f>INDEX(Data!1804:1804,1,$P$1-4)+INDEX(Data!1804:1804,1,$P$1-3)</f>
        <v>3984320</v>
      </c>
      <c r="E502" s="90">
        <f>INDEX(Data!1804:1804,1,$P$1-2)+INDEX(Data!1804:1804,1,$P$1-1)</f>
        <v>2867127</v>
      </c>
      <c r="F502" s="88">
        <f>INDEX(Data!1804:1804,1,$P$1)+INDEX(Data!1804:1804,1,$P$1+1)</f>
        <v>5035868</v>
      </c>
      <c r="G502" s="91">
        <f t="shared" si="123"/>
        <v>2982522</v>
      </c>
      <c r="H502" s="87">
        <f t="shared" si="124"/>
        <v>3982522</v>
      </c>
      <c r="I502" s="404">
        <f t="shared" si="125"/>
        <v>3984320</v>
      </c>
      <c r="J502" s="90">
        <f t="shared" si="126"/>
        <v>2867127</v>
      </c>
      <c r="K502" s="88">
        <f t="shared" si="126"/>
        <v>5035868</v>
      </c>
      <c r="L502" s="122"/>
      <c r="M502" s="121"/>
    </row>
    <row r="503" spans="1:13" hidden="1" outlineLevel="1">
      <c r="A503" s="79" t="s">
        <v>730</v>
      </c>
      <c r="B503" s="86">
        <f>INDEX(Data!1807:1807,1,$P$1-8)+INDEX(Data!1807:1807,1,$P$1-7)</f>
        <v>3699544</v>
      </c>
      <c r="C503" s="87">
        <f>INDEX(Data!1807:1807,1,$P$1-6)+INDEX(Data!1807:1807,1,$P$1-5)</f>
        <v>4703544</v>
      </c>
      <c r="D503" s="404">
        <f>INDEX(Data!1807:1807,1,$P$1-4)+INDEX(Data!1807:1807,1,$P$1-3)</f>
        <v>4693994</v>
      </c>
      <c r="E503" s="90">
        <f>INDEX(Data!1807:1807,1,$P$1-2)+INDEX(Data!1807:1807,1,$P$1-1)</f>
        <v>3275798</v>
      </c>
      <c r="F503" s="88">
        <f>INDEX(Data!1807:1807,1,$P$1)+INDEX(Data!1807:1807,1,$P$1+1)</f>
        <v>3635690</v>
      </c>
      <c r="G503" s="91">
        <f t="shared" si="123"/>
        <v>3699544</v>
      </c>
      <c r="H503" s="87">
        <f t="shared" si="124"/>
        <v>4703544</v>
      </c>
      <c r="I503" s="404">
        <f t="shared" si="125"/>
        <v>4693994</v>
      </c>
      <c r="J503" s="90">
        <f t="shared" si="126"/>
        <v>3275798</v>
      </c>
      <c r="K503" s="88">
        <f t="shared" si="126"/>
        <v>3635690</v>
      </c>
      <c r="L503" s="122"/>
      <c r="M503" s="121"/>
    </row>
    <row r="504" spans="1:13" hidden="1" outlineLevel="1">
      <c r="A504" s="79" t="s">
        <v>731</v>
      </c>
      <c r="B504" s="86">
        <f>INDEX(Data!1815:1815,1,$P$1-8)+INDEX(Data!1815:1815,1,$P$1-7)</f>
        <v>3938896</v>
      </c>
      <c r="C504" s="87">
        <f>INDEX(Data!1815:1815,1,$P$1-6)+INDEX(Data!1815:1815,1,$P$1-5)</f>
        <v>3938896</v>
      </c>
      <c r="D504" s="404">
        <f>INDEX(Data!1815:1815,1,$P$1-4)+INDEX(Data!1815:1815,1,$P$1-3)</f>
        <v>3954538</v>
      </c>
      <c r="E504" s="90">
        <f>INDEX(Data!1815:1815,1,$P$1-2)+INDEX(Data!1815:1815,1,$P$1-1)</f>
        <v>2200228</v>
      </c>
      <c r="F504" s="88">
        <f>INDEX(Data!1815:1815,1,$P$1)+INDEX(Data!1815:1815,1,$P$1+1)</f>
        <v>3975586</v>
      </c>
      <c r="G504" s="91">
        <f t="shared" si="123"/>
        <v>3938896</v>
      </c>
      <c r="H504" s="87">
        <f t="shared" si="124"/>
        <v>3938896</v>
      </c>
      <c r="I504" s="404">
        <f t="shared" si="125"/>
        <v>3954538</v>
      </c>
      <c r="J504" s="90">
        <f t="shared" si="126"/>
        <v>2200228</v>
      </c>
      <c r="K504" s="88">
        <f t="shared" si="126"/>
        <v>3975586</v>
      </c>
      <c r="L504" s="122"/>
      <c r="M504" s="121"/>
    </row>
    <row r="505" spans="1:13" hidden="1" outlineLevel="1">
      <c r="A505" s="79" t="s">
        <v>1426</v>
      </c>
      <c r="B505" s="86">
        <f>INDEX(Data!1829:1829,1,$P$1-8)+INDEX(Data!1829:1829,1,$P$1-7)</f>
        <v>8524094</v>
      </c>
      <c r="C505" s="87">
        <f>INDEX(Data!1829:1829,1,$P$1-6)+INDEX(Data!1829:1829,1,$P$1-5)</f>
        <v>9524094</v>
      </c>
      <c r="D505" s="404">
        <f>INDEX(Data!1829:1829,1,$P$1-4)+INDEX(Data!1829:1829,1,$P$1-3)</f>
        <v>9539986</v>
      </c>
      <c r="E505" s="90">
        <f>INDEX(Data!1829:1829,1,$P$1-2)+INDEX(Data!1829:1829,1,$P$1-1)</f>
        <v>6476470</v>
      </c>
      <c r="F505" s="88">
        <f>INDEX(Data!1829:1829,1,$P$1)+INDEX(Data!1829:1829,1,$P$1+1)</f>
        <v>6476470</v>
      </c>
      <c r="G505" s="91">
        <f t="shared" si="123"/>
        <v>8524094</v>
      </c>
      <c r="H505" s="87">
        <f t="shared" si="124"/>
        <v>9524094</v>
      </c>
      <c r="I505" s="404">
        <f t="shared" si="125"/>
        <v>9539986</v>
      </c>
      <c r="J505" s="90">
        <f t="shared" si="126"/>
        <v>6476470</v>
      </c>
      <c r="K505" s="88">
        <f t="shared" si="126"/>
        <v>6476470</v>
      </c>
      <c r="L505" s="122"/>
      <c r="M505" s="121"/>
    </row>
    <row r="506" spans="1:13" hidden="1" outlineLevel="1">
      <c r="A506" s="79" t="s">
        <v>733</v>
      </c>
      <c r="B506" s="86">
        <f>INDEX(Data!1838:1838,1,$P$1-8)+INDEX(Data!1838:1838,1,$P$1-7)</f>
        <v>11770040</v>
      </c>
      <c r="C506" s="87">
        <f>INDEX(Data!1838:1838,1,$P$1-6)+INDEX(Data!1838:1838,1,$P$1-5)</f>
        <v>12770040</v>
      </c>
      <c r="D506" s="404">
        <f>INDEX(Data!1838:1838,1,$P$1-4)+INDEX(Data!1838:1838,1,$P$1-3)</f>
        <v>12777112</v>
      </c>
      <c r="E506" s="90">
        <f>INDEX(Data!1838:1838,1,$P$1-2)+INDEX(Data!1838:1838,1,$P$1-1)</f>
        <v>8032109</v>
      </c>
      <c r="F506" s="88">
        <f>INDEX(Data!1838:1838,1,$P$1)+INDEX(Data!1838:1838,1,$P$1+1)</f>
        <v>13735427</v>
      </c>
      <c r="G506" s="91">
        <f t="shared" si="123"/>
        <v>11770040</v>
      </c>
      <c r="H506" s="87">
        <f t="shared" si="124"/>
        <v>12770040</v>
      </c>
      <c r="I506" s="404">
        <f t="shared" si="125"/>
        <v>12777112</v>
      </c>
      <c r="J506" s="90">
        <f t="shared" si="126"/>
        <v>8032109</v>
      </c>
      <c r="K506" s="88">
        <f t="shared" si="126"/>
        <v>13735427</v>
      </c>
      <c r="L506" s="122"/>
      <c r="M506" s="121"/>
    </row>
    <row r="507" spans="1:13" hidden="1" outlineLevel="1">
      <c r="A507" s="79" t="s">
        <v>735</v>
      </c>
      <c r="B507" s="86">
        <f>INDEX(Data!1854:1854,1,$P$1-8)+INDEX(Data!1854:1854,1,$P$1-7)</f>
        <v>14300720</v>
      </c>
      <c r="C507" s="87">
        <f>INDEX(Data!1854:1854,1,$P$1-6)+INDEX(Data!1854:1854,1,$P$1-5)</f>
        <v>14173436</v>
      </c>
      <c r="D507" s="404">
        <f>INDEX(Data!1854:1854,1,$P$1-4)+INDEX(Data!1854:1854,1,$P$1-3)</f>
        <v>14315780</v>
      </c>
      <c r="E507" s="90">
        <f>INDEX(Data!1854:1854,1,$P$1-2)+INDEX(Data!1854:1854,1,$P$1-1)</f>
        <v>9996951</v>
      </c>
      <c r="F507" s="88">
        <f>INDEX(Data!1854:1854,1,$P$1)+INDEX(Data!1854:1854,1,$P$1+1)</f>
        <v>9964701</v>
      </c>
      <c r="G507" s="91">
        <f t="shared" si="123"/>
        <v>14300720</v>
      </c>
      <c r="H507" s="87">
        <f t="shared" si="124"/>
        <v>14173436</v>
      </c>
      <c r="I507" s="404">
        <f t="shared" si="125"/>
        <v>14315780</v>
      </c>
      <c r="J507" s="90">
        <f t="shared" si="126"/>
        <v>9996951</v>
      </c>
      <c r="K507" s="88">
        <f t="shared" si="126"/>
        <v>9964701</v>
      </c>
      <c r="L507" s="122"/>
      <c r="M507" s="121"/>
    </row>
    <row r="508" spans="1:13" hidden="1" outlineLevel="1">
      <c r="A508" s="79" t="s">
        <v>855</v>
      </c>
      <c r="B508" s="86">
        <f>INDEX(Data!1864:1864,1,$P$1-8)+INDEX(Data!1864:1864,1,$P$1-7)</f>
        <v>7800785</v>
      </c>
      <c r="C508" s="87">
        <f>INDEX(Data!1864:1864,1,$P$1-6)+INDEX(Data!1864:1864,1,$P$1-5)</f>
        <v>11000785</v>
      </c>
      <c r="D508" s="404">
        <f>INDEX(Data!1864:1864,1,$P$1-4)+INDEX(Data!1864:1864,1,$P$1-3)</f>
        <v>11070609</v>
      </c>
      <c r="E508" s="90">
        <f>INDEX(Data!1864:1864,1,$P$1-2)+INDEX(Data!1864:1864,1,$P$1-1)</f>
        <v>7767064</v>
      </c>
      <c r="F508" s="88">
        <f>INDEX(Data!1864:1864,1,$P$1)+INDEX(Data!1864:1864,1,$P$1+1)</f>
        <v>11891249</v>
      </c>
      <c r="G508" s="91">
        <f t="shared" si="123"/>
        <v>7800785</v>
      </c>
      <c r="H508" s="87">
        <f t="shared" si="124"/>
        <v>11000785</v>
      </c>
      <c r="I508" s="404">
        <f t="shared" si="125"/>
        <v>11070609</v>
      </c>
      <c r="J508" s="90">
        <f t="shared" si="126"/>
        <v>7767064</v>
      </c>
      <c r="K508" s="88">
        <f t="shared" si="126"/>
        <v>11891249</v>
      </c>
      <c r="L508" s="122"/>
      <c r="M508" s="121"/>
    </row>
    <row r="509" spans="1:13" hidden="1" outlineLevel="1">
      <c r="A509" s="79" t="s">
        <v>737</v>
      </c>
      <c r="B509" s="86">
        <f>INDEX(Data!1872:1872,1,$P$1-8)+INDEX(Data!1872:1872,1,$P$1-7)</f>
        <v>9686412</v>
      </c>
      <c r="C509" s="87">
        <f>INDEX(Data!1872:1872,1,$P$1-6)+INDEX(Data!1872:1872,1,$P$1-5)</f>
        <v>10686412</v>
      </c>
      <c r="D509" s="404">
        <f>INDEX(Data!1872:1872,1,$P$1-4)+INDEX(Data!1872:1872,1,$P$1-3)</f>
        <v>10247966</v>
      </c>
      <c r="E509" s="90">
        <f>INDEX(Data!1872:1872,1,$P$1-2)+INDEX(Data!1872:1872,1,$P$1-1)</f>
        <v>7385817</v>
      </c>
      <c r="F509" s="88">
        <f>INDEX(Data!1872:1872,1,$P$1)+INDEX(Data!1872:1872,1,$P$1+1)</f>
        <v>10347236</v>
      </c>
      <c r="G509" s="91">
        <f t="shared" si="123"/>
        <v>9686412</v>
      </c>
      <c r="H509" s="87">
        <f t="shared" si="124"/>
        <v>10686412</v>
      </c>
      <c r="I509" s="404">
        <f t="shared" si="125"/>
        <v>10247966</v>
      </c>
      <c r="J509" s="90">
        <f t="shared" si="126"/>
        <v>7385817</v>
      </c>
      <c r="K509" s="88">
        <f t="shared" si="126"/>
        <v>10347236</v>
      </c>
      <c r="L509" s="122"/>
      <c r="M509" s="121"/>
    </row>
    <row r="510" spans="1:13" hidden="1" outlineLevel="1">
      <c r="A510" s="79" t="s">
        <v>738</v>
      </c>
      <c r="B510" s="86">
        <f>INDEX(Data!1884:1884,1,$P$1-8)+INDEX(Data!1884:1884,1,$P$1-7)</f>
        <v>3004612</v>
      </c>
      <c r="C510" s="87">
        <f>INDEX(Data!1884:1884,1,$P$1-6)+INDEX(Data!1884:1884,1,$P$1-5)</f>
        <v>4004612</v>
      </c>
      <c r="D510" s="404">
        <f>INDEX(Data!1884:1884,1,$P$1-4)+INDEX(Data!1884:1884,1,$P$1-3)</f>
        <v>4004612</v>
      </c>
      <c r="E510" s="90">
        <f>INDEX(Data!1884:1884,1,$P$1-2)+INDEX(Data!1884:1884,1,$P$1-1)</f>
        <v>2926676</v>
      </c>
      <c r="F510" s="88">
        <f>INDEX(Data!1884:1884,1,$P$1)+INDEX(Data!1884:1884,1,$P$1+1)</f>
        <v>8939725</v>
      </c>
      <c r="G510" s="91">
        <f t="shared" si="123"/>
        <v>3004612</v>
      </c>
      <c r="H510" s="87">
        <f t="shared" si="124"/>
        <v>4004612</v>
      </c>
      <c r="I510" s="404">
        <f t="shared" si="125"/>
        <v>4004612</v>
      </c>
      <c r="J510" s="90">
        <f t="shared" si="126"/>
        <v>2926676</v>
      </c>
      <c r="K510" s="88">
        <f t="shared" si="126"/>
        <v>8939725</v>
      </c>
      <c r="L510" s="122"/>
      <c r="M510" s="121"/>
    </row>
    <row r="511" spans="1:13" hidden="1" outlineLevel="1">
      <c r="A511" s="79" t="s">
        <v>1367</v>
      </c>
      <c r="B511" s="86">
        <f>INDEX(Data!1894:1894,1,$P$1-8)+INDEX(Data!1894:1894,1,$P$1-7)</f>
        <v>3932797</v>
      </c>
      <c r="C511" s="87">
        <f>INDEX(Data!1894:1894,1,$P$1-6)+INDEX(Data!1894:1894,1,$P$1-5)</f>
        <v>4932797</v>
      </c>
      <c r="D511" s="404">
        <f>INDEX(Data!1894:1894,1,$P$1-4)+INDEX(Data!1894:1894,1,$P$1-3)</f>
        <v>4940307</v>
      </c>
      <c r="E511" s="90">
        <f>INDEX(Data!1894:1894,1,$P$1-2)+INDEX(Data!1894:1894,1,$P$1-1)</f>
        <v>3335220</v>
      </c>
      <c r="F511" s="88">
        <f>INDEX(Data!1894:1894,1,$P$1)+INDEX(Data!1894:1894,1,$P$1+1)</f>
        <v>3335220</v>
      </c>
      <c r="G511" s="91">
        <f t="shared" si="123"/>
        <v>3932797</v>
      </c>
      <c r="H511" s="87">
        <f t="shared" si="124"/>
        <v>4932797</v>
      </c>
      <c r="I511" s="404">
        <f t="shared" si="125"/>
        <v>4940307</v>
      </c>
      <c r="J511" s="90">
        <f t="shared" si="126"/>
        <v>3335220</v>
      </c>
      <c r="K511" s="88">
        <f t="shared" si="126"/>
        <v>3335220</v>
      </c>
      <c r="L511" s="122"/>
      <c r="M511" s="121"/>
    </row>
    <row r="512" spans="1:13" hidden="1" outlineLevel="1">
      <c r="A512" s="79" t="s">
        <v>1094</v>
      </c>
      <c r="B512" s="86">
        <f>INDEX(Data!1908:1908,1,$P$1-8)+INDEX(Data!1908:1908,1,$P$1-7)</f>
        <v>3843762</v>
      </c>
      <c r="C512" s="87">
        <f>INDEX(Data!1908:1908,1,$P$1-6)+INDEX(Data!1908:1908,1,$P$1-5)</f>
        <v>3843762</v>
      </c>
      <c r="D512" s="404">
        <f>INDEX(Data!1908:1908,1,$P$1-4)+INDEX(Data!1908:1908,1,$P$1-3)</f>
        <v>3859654</v>
      </c>
      <c r="E512" s="90">
        <f>INDEX(Data!1908:1908,1,$P$1-2)+INDEX(Data!1908:1908,1,$P$1-1)</f>
        <v>2789611</v>
      </c>
      <c r="F512" s="88">
        <f>INDEX(Data!1908:1908,1,$P$1)+INDEX(Data!1908:1908,1,$P$1+1)</f>
        <v>2789611</v>
      </c>
      <c r="G512" s="91">
        <f t="shared" si="123"/>
        <v>3843762</v>
      </c>
      <c r="H512" s="87">
        <f t="shared" si="124"/>
        <v>3843762</v>
      </c>
      <c r="I512" s="404">
        <f t="shared" si="125"/>
        <v>3859654</v>
      </c>
      <c r="J512" s="90">
        <f t="shared" si="126"/>
        <v>2789611</v>
      </c>
      <c r="K512" s="88">
        <f t="shared" si="126"/>
        <v>2789611</v>
      </c>
      <c r="L512" s="122"/>
      <c r="M512" s="121"/>
    </row>
    <row r="513" spans="1:13" hidden="1" outlineLevel="1">
      <c r="A513" s="79" t="s">
        <v>859</v>
      </c>
      <c r="B513" s="86">
        <f>INDEX(Data!1919:1919,1,$P$1-8)+INDEX(Data!1919:1919,1,$P$1-7)</f>
        <v>6220352</v>
      </c>
      <c r="C513" s="87">
        <f>INDEX(Data!1919:1919,1,$P$1-6)+INDEX(Data!1919:1919,1,$P$1-5)</f>
        <v>7220352</v>
      </c>
      <c r="D513" s="404">
        <f>INDEX(Data!1919:1919,1,$P$1-4)+INDEX(Data!1919:1919,1,$P$1-3)</f>
        <v>7236244</v>
      </c>
      <c r="E513" s="90">
        <f>INDEX(Data!1919:1919,1,$P$1-2)+INDEX(Data!1919:1919,1,$P$1-1)</f>
        <v>5100648</v>
      </c>
      <c r="F513" s="88">
        <f>INDEX(Data!1919:1919,1,$P$1)+INDEX(Data!1919:1919,1,$P$1+1)</f>
        <v>6278936</v>
      </c>
      <c r="G513" s="91">
        <f t="shared" si="123"/>
        <v>6220352</v>
      </c>
      <c r="H513" s="87">
        <f t="shared" si="124"/>
        <v>7220352</v>
      </c>
      <c r="I513" s="404">
        <f t="shared" si="125"/>
        <v>7236244</v>
      </c>
      <c r="J513" s="90">
        <f t="shared" si="126"/>
        <v>5100648</v>
      </c>
      <c r="K513" s="88">
        <f t="shared" si="126"/>
        <v>6278936</v>
      </c>
      <c r="L513" s="122"/>
      <c r="M513" s="121"/>
    </row>
    <row r="514" spans="1:13" ht="25.5" hidden="1" outlineLevel="1">
      <c r="A514" s="79" t="s">
        <v>1427</v>
      </c>
      <c r="B514" s="86">
        <f>INDEX(Data!1925:1925,1,$P$1-8)+INDEX(Data!1925:1925,1,$P$1-7)</f>
        <v>3817252</v>
      </c>
      <c r="C514" s="87">
        <f>INDEX(Data!1925:1925,1,$P$1-6)+INDEX(Data!1925:1925,1,$P$1-5)</f>
        <v>4817252</v>
      </c>
      <c r="D514" s="404">
        <f>INDEX(Data!1925:1925,1,$P$1-4)+INDEX(Data!1925:1925,1,$P$1-3)</f>
        <v>4817252</v>
      </c>
      <c r="E514" s="90">
        <f>INDEX(Data!1925:1925,1,$P$1-2)+INDEX(Data!1925:1925,1,$P$1-1)</f>
        <v>3379751</v>
      </c>
      <c r="F514" s="88">
        <f>INDEX(Data!1925:1925,1,$P$1)+INDEX(Data!1925:1925,1,$P$1+1)</f>
        <v>3379751</v>
      </c>
      <c r="G514" s="91">
        <f t="shared" si="123"/>
        <v>3817252</v>
      </c>
      <c r="H514" s="87">
        <f t="shared" si="124"/>
        <v>4817252</v>
      </c>
      <c r="I514" s="404">
        <f t="shared" si="125"/>
        <v>4817252</v>
      </c>
      <c r="J514" s="90">
        <f t="shared" si="126"/>
        <v>3379751</v>
      </c>
      <c r="K514" s="88">
        <f t="shared" si="126"/>
        <v>3379751</v>
      </c>
      <c r="L514" s="122"/>
      <c r="M514" s="121"/>
    </row>
    <row r="515" spans="1:13" collapsed="1">
      <c r="A515" s="113" t="s">
        <v>805</v>
      </c>
      <c r="B515" s="105">
        <f>SUM(B480:B514)</f>
        <v>220427243</v>
      </c>
      <c r="C515" s="106">
        <f>SUM(C480:C514)</f>
        <v>237399735</v>
      </c>
      <c r="D515" s="465">
        <f>SUM(D480:D514)</f>
        <v>236817077</v>
      </c>
      <c r="E515" s="115">
        <f>SUM(E480:E514)</f>
        <v>163250074</v>
      </c>
      <c r="F515" s="107">
        <f>SUM(F480:F514)</f>
        <v>282118074</v>
      </c>
      <c r="G515" s="405">
        <f t="shared" ref="G515:J515" si="132">SUM(G480:G514)</f>
        <v>220427243</v>
      </c>
      <c r="H515" s="106">
        <f t="shared" si="132"/>
        <v>237399735</v>
      </c>
      <c r="I515" s="465">
        <f t="shared" si="132"/>
        <v>236817077</v>
      </c>
      <c r="J515" s="115">
        <f t="shared" si="132"/>
        <v>163250074</v>
      </c>
      <c r="K515" s="107">
        <f t="shared" ref="K515" si="133">SUM(K480:K514)</f>
        <v>282118074</v>
      </c>
      <c r="L515" s="122"/>
      <c r="M515" s="121"/>
    </row>
    <row r="516" spans="1:13" ht="25.5" hidden="1" outlineLevel="1">
      <c r="A516" s="79" t="s">
        <v>1433</v>
      </c>
      <c r="B516" s="86">
        <f>INDEX(Data!1948:1948,1,$P$1-8)+INDEX(Data!1948:1948,1,$P$1-7)</f>
        <v>1424984</v>
      </c>
      <c r="C516" s="87">
        <f>INDEX(Data!1948:1948,1,$P$1-6)+INDEX(Data!1948:1948,1,$P$1-5)</f>
        <v>1519984</v>
      </c>
      <c r="D516" s="404">
        <f>INDEX(Data!1948:1948,1,$P$1-4)+INDEX(Data!1948:1948,1,$P$1-3)</f>
        <v>1519984</v>
      </c>
      <c r="E516" s="90">
        <f>INDEX(Data!1948:1948,1,$P$1-2)+INDEX(Data!1948:1948,1,$P$1-1)</f>
        <v>1459184</v>
      </c>
      <c r="F516" s="88">
        <f>INDEX(Data!1948:1948,1,$P$1)+INDEX(Data!1948:1948,1,$P$1+1)</f>
        <v>1459184</v>
      </c>
      <c r="G516" s="91">
        <f t="shared" ref="G516:G526" si="134">B516</f>
        <v>1424984</v>
      </c>
      <c r="H516" s="87">
        <f t="shared" ref="H516:H526" si="135">C516</f>
        <v>1519984</v>
      </c>
      <c r="I516" s="404">
        <f t="shared" ref="I516:I526" si="136">D516</f>
        <v>1519984</v>
      </c>
      <c r="J516" s="90">
        <f t="shared" ref="J516:K526" si="137">E516</f>
        <v>1459184</v>
      </c>
      <c r="K516" s="88">
        <f t="shared" si="137"/>
        <v>1459184</v>
      </c>
      <c r="L516" s="122"/>
      <c r="M516" s="121"/>
    </row>
    <row r="517" spans="1:13" ht="25.5" hidden="1" outlineLevel="1">
      <c r="A517" s="79" t="s">
        <v>1434</v>
      </c>
      <c r="B517" s="86">
        <f>INDEX(Data!1958:1958,1,$P$1-8)+INDEX(Data!1958:1958,1,$P$1-7)</f>
        <v>1715492</v>
      </c>
      <c r="C517" s="87">
        <f>INDEX(Data!1958:1958,1,$P$1-6)+INDEX(Data!1958:1958,1,$P$1-5)</f>
        <v>397346</v>
      </c>
      <c r="D517" s="404">
        <f>INDEX(Data!1958:1958,1,$P$1-4)+INDEX(Data!1958:1958,1,$P$1-3)</f>
        <v>397346</v>
      </c>
      <c r="E517" s="90">
        <f>INDEX(Data!1958:1958,1,$P$1-2)+INDEX(Data!1958:1958,1,$P$1-1)</f>
        <v>153378</v>
      </c>
      <c r="F517" s="88">
        <f>INDEX(Data!1958:1958,1,$P$1)+INDEX(Data!1958:1958,1,$P$1+1)</f>
        <v>256798</v>
      </c>
      <c r="G517" s="91">
        <f t="shared" si="134"/>
        <v>1715492</v>
      </c>
      <c r="H517" s="87">
        <f t="shared" si="135"/>
        <v>397346</v>
      </c>
      <c r="I517" s="404">
        <f t="shared" si="136"/>
        <v>397346</v>
      </c>
      <c r="J517" s="90">
        <f t="shared" si="137"/>
        <v>153378</v>
      </c>
      <c r="K517" s="88">
        <f t="shared" si="137"/>
        <v>256798</v>
      </c>
      <c r="L517" s="122"/>
      <c r="M517" s="121"/>
    </row>
    <row r="518" spans="1:13" ht="25.5" hidden="1" outlineLevel="1">
      <c r="A518" s="79" t="s">
        <v>1435</v>
      </c>
      <c r="B518" s="86">
        <f>INDEX(Data!1973:1973,1,$P$1-8)+INDEX(Data!1973:1973,1,$P$1-7)</f>
        <v>1137372</v>
      </c>
      <c r="C518" s="87">
        <f>INDEX(Data!1973:1973,1,$P$1-6)+INDEX(Data!1973:1973,1,$P$1-5)</f>
        <v>1213196</v>
      </c>
      <c r="D518" s="404">
        <f>INDEX(Data!1973:1973,1,$P$1-4)+INDEX(Data!1973:1973,1,$P$1-3)</f>
        <v>1213196</v>
      </c>
      <c r="E518" s="90">
        <f>INDEX(Data!1973:1973,1,$P$1-2)+INDEX(Data!1973:1973,1,$P$1-1)</f>
        <v>1164668</v>
      </c>
      <c r="F518" s="88">
        <f>INDEX(Data!1973:1973,1,$P$1)+INDEX(Data!1973:1973,1,$P$1+1)</f>
        <v>1164668</v>
      </c>
      <c r="G518" s="91">
        <f t="shared" si="134"/>
        <v>1137372</v>
      </c>
      <c r="H518" s="87">
        <f t="shared" si="135"/>
        <v>1213196</v>
      </c>
      <c r="I518" s="404">
        <f t="shared" si="136"/>
        <v>1213196</v>
      </c>
      <c r="J518" s="90">
        <f t="shared" si="137"/>
        <v>1164668</v>
      </c>
      <c r="K518" s="88">
        <f t="shared" si="137"/>
        <v>1164668</v>
      </c>
      <c r="L518" s="122"/>
      <c r="M518" s="121"/>
    </row>
    <row r="519" spans="1:13" ht="25.5" hidden="1" outlineLevel="1">
      <c r="A519" s="79" t="s">
        <v>1436</v>
      </c>
      <c r="B519" s="86">
        <f>INDEX(Data!1985:1985,1,$P$1-8)+INDEX(Data!1985:1985,1,$P$1-7)</f>
        <v>10684048</v>
      </c>
      <c r="C519" s="87">
        <f>INDEX(Data!1985:1985,1,$P$1-6)+INDEX(Data!1985:1985,1,$P$1-5)</f>
        <v>10684048</v>
      </c>
      <c r="D519" s="404">
        <f>INDEX(Data!1985:1985,1,$P$1-4)+INDEX(Data!1985:1985,1,$P$1-3)</f>
        <v>10684048</v>
      </c>
      <c r="E519" s="90">
        <f>INDEX(Data!1985:1985,1,$P$1-2)+INDEX(Data!1985:1985,1,$P$1-1)</f>
        <v>10684048</v>
      </c>
      <c r="F519" s="88">
        <f>INDEX(Data!1985:1985,1,$P$1)+INDEX(Data!1985:1985,1,$P$1+1)</f>
        <v>12184048</v>
      </c>
      <c r="G519" s="91">
        <f t="shared" si="134"/>
        <v>10684048</v>
      </c>
      <c r="H519" s="87">
        <f t="shared" si="135"/>
        <v>10684048</v>
      </c>
      <c r="I519" s="404">
        <f t="shared" si="136"/>
        <v>10684048</v>
      </c>
      <c r="J519" s="90">
        <f t="shared" si="137"/>
        <v>10684048</v>
      </c>
      <c r="K519" s="88">
        <f t="shared" si="137"/>
        <v>12184048</v>
      </c>
      <c r="L519" s="122"/>
      <c r="M519" s="121"/>
    </row>
    <row r="520" spans="1:13" ht="25.5" hidden="1" outlineLevel="1">
      <c r="A520" s="1104" t="s">
        <v>1668</v>
      </c>
      <c r="B520" s="86">
        <f>INDEX(Data!1986:1986,1,$P$1-8)+INDEX(Data!1986:1986,1,$P$1-7)</f>
        <v>16818235</v>
      </c>
      <c r="C520" s="87">
        <f>INDEX(Data!1986:1986,1,$P$1-6)+INDEX(Data!1986:1986,1,$P$1-5)</f>
        <v>0</v>
      </c>
      <c r="D520" s="404">
        <f>INDEX(Data!1986:1986,1,$P$1-4)+INDEX(Data!1986:1986,1,$P$1-3)</f>
        <v>0</v>
      </c>
      <c r="E520" s="90">
        <f>INDEX(Data!1986:1986,1,$P$1-2)+INDEX(Data!1986:1986,1,$P$1-1)</f>
        <v>0</v>
      </c>
      <c r="F520" s="88">
        <f>INDEX(Data!1986:1986,1,$P$1)+INDEX(Data!1986:1986,1,$P$1+1)</f>
        <v>0</v>
      </c>
      <c r="G520" s="91">
        <f t="shared" ref="G520" si="138">B520</f>
        <v>16818235</v>
      </c>
      <c r="H520" s="87">
        <f t="shared" ref="H520" si="139">C520</f>
        <v>0</v>
      </c>
      <c r="I520" s="404">
        <f t="shared" ref="I520" si="140">D520</f>
        <v>0</v>
      </c>
      <c r="J520" s="90">
        <f t="shared" ref="J520" si="141">E520</f>
        <v>0</v>
      </c>
      <c r="K520" s="88">
        <f t="shared" ref="K520" si="142">F520</f>
        <v>0</v>
      </c>
      <c r="L520" s="122"/>
      <c r="M520" s="121"/>
    </row>
    <row r="521" spans="1:13" ht="25.5" hidden="1" outlineLevel="1">
      <c r="A521" s="79" t="s">
        <v>1437</v>
      </c>
      <c r="B521" s="86">
        <f>INDEX(Data!1996:1996,1,$P$1-8)+INDEX(Data!1996:1996,1,$P$1-7)</f>
        <v>922120</v>
      </c>
      <c r="C521" s="87">
        <f>INDEX(Data!1996:1996,1,$P$1-6)+INDEX(Data!1996:1996,1,$P$1-5)</f>
        <v>983596</v>
      </c>
      <c r="D521" s="404">
        <f>INDEX(Data!1996:1996,1,$P$1-4)+INDEX(Data!1996:1996,1,$P$1-3)</f>
        <v>987924</v>
      </c>
      <c r="E521" s="90">
        <f>INDEX(Data!1996:1996,1,$P$1-2)+INDEX(Data!1996:1996,1,$P$1-1)</f>
        <v>727871</v>
      </c>
      <c r="F521" s="88">
        <f>INDEX(Data!1996:1996,1,$P$1)+INDEX(Data!1996:1996,1,$P$1+1)</f>
        <v>727871</v>
      </c>
      <c r="G521" s="91">
        <f t="shared" si="134"/>
        <v>922120</v>
      </c>
      <c r="H521" s="87">
        <f t="shared" si="135"/>
        <v>983596</v>
      </c>
      <c r="I521" s="404">
        <f t="shared" si="136"/>
        <v>987924</v>
      </c>
      <c r="J521" s="90">
        <f t="shared" si="137"/>
        <v>727871</v>
      </c>
      <c r="K521" s="88">
        <f t="shared" si="137"/>
        <v>727871</v>
      </c>
      <c r="L521" s="122"/>
      <c r="M521" s="121"/>
    </row>
    <row r="522" spans="1:13" ht="25.5" hidden="1" outlineLevel="1">
      <c r="A522" s="79" t="s">
        <v>1438</v>
      </c>
      <c r="B522" s="86">
        <f>INDEX(Data!2003:2003,1,$P$1-8)+INDEX(Data!2003:2003,1,$P$1-7)</f>
        <v>1527600</v>
      </c>
      <c r="C522" s="87">
        <f>INDEX(Data!2003:2003,1,$P$1-6)+INDEX(Data!2003:2003,1,$P$1-5)</f>
        <v>2053322</v>
      </c>
      <c r="D522" s="404">
        <f>INDEX(Data!2003:2003,1,$P$1-4)+INDEX(Data!2003:2003,1,$P$1-3)</f>
        <v>2053322</v>
      </c>
      <c r="E522" s="90">
        <f>INDEX(Data!2003:2003,1,$P$1-2)+INDEX(Data!2003:2003,1,$P$1-1)</f>
        <v>2053322</v>
      </c>
      <c r="F522" s="88">
        <f>INDEX(Data!2003:2003,1,$P$1)+INDEX(Data!2003:2003,1,$P$1+1)</f>
        <v>2053322</v>
      </c>
      <c r="G522" s="91">
        <f t="shared" si="134"/>
        <v>1527600</v>
      </c>
      <c r="H522" s="87">
        <f t="shared" si="135"/>
        <v>2053322</v>
      </c>
      <c r="I522" s="404">
        <f t="shared" si="136"/>
        <v>2053322</v>
      </c>
      <c r="J522" s="90">
        <f t="shared" si="137"/>
        <v>2053322</v>
      </c>
      <c r="K522" s="88">
        <f t="shared" si="137"/>
        <v>2053322</v>
      </c>
      <c r="L522" s="122"/>
      <c r="M522" s="121"/>
    </row>
    <row r="523" spans="1:13" ht="25.5" hidden="1" outlineLevel="1">
      <c r="A523" s="79" t="s">
        <v>1439</v>
      </c>
      <c r="B523" s="86">
        <f>INDEX(Data!2013:2013,1,$P$1-8)+INDEX(Data!2013:2013,1,$P$1-7)</f>
        <v>4190302</v>
      </c>
      <c r="C523" s="87">
        <f>INDEX(Data!2013:2013,1,$P$1-6)+INDEX(Data!2013:2013,1,$P$1-5)</f>
        <v>4469656</v>
      </c>
      <c r="D523" s="404">
        <f>INDEX(Data!2013:2013,1,$P$1-4)+INDEX(Data!2013:2013,1,$P$1-3)</f>
        <v>4469656</v>
      </c>
      <c r="E523" s="90">
        <f>INDEX(Data!2013:2013,1,$P$1-2)+INDEX(Data!2013:2013,1,$P$1-1)</f>
        <v>4290864</v>
      </c>
      <c r="F523" s="88">
        <f>INDEX(Data!2013:2013,1,$P$1)+INDEX(Data!2013:2013,1,$P$1+1)</f>
        <v>4290864</v>
      </c>
      <c r="G523" s="91">
        <f t="shared" si="134"/>
        <v>4190302</v>
      </c>
      <c r="H523" s="87">
        <f t="shared" si="135"/>
        <v>4469656</v>
      </c>
      <c r="I523" s="404">
        <f t="shared" si="136"/>
        <v>4469656</v>
      </c>
      <c r="J523" s="90">
        <f t="shared" si="137"/>
        <v>4290864</v>
      </c>
      <c r="K523" s="88">
        <f t="shared" si="137"/>
        <v>4290864</v>
      </c>
      <c r="L523" s="122"/>
      <c r="M523" s="121"/>
    </row>
    <row r="524" spans="1:13" ht="25.5" hidden="1" outlineLevel="1">
      <c r="A524" s="79" t="s">
        <v>1440</v>
      </c>
      <c r="B524" s="86">
        <f>INDEX(Data!2024:2024,1,$P$1-8)+INDEX(Data!2024:2024,1,$P$1-7)</f>
        <v>1463662</v>
      </c>
      <c r="C524" s="87">
        <f>INDEX(Data!2024:2024,1,$P$1-6)+INDEX(Data!2024:2024,1,$P$1-5)</f>
        <v>1456048</v>
      </c>
      <c r="D524" s="404">
        <f>INDEX(Data!2024:2024,1,$P$1-4)+INDEX(Data!2024:2024,1,$P$1-3)</f>
        <v>1456048</v>
      </c>
      <c r="E524" s="90">
        <f>INDEX(Data!2024:2024,1,$P$1-2)+INDEX(Data!2024:2024,1,$P$1-1)</f>
        <v>1300000</v>
      </c>
      <c r="F524" s="88">
        <f>INDEX(Data!2024:2024,1,$P$1)+INDEX(Data!2024:2024,1,$P$1+1)</f>
        <v>1300000</v>
      </c>
      <c r="G524" s="91">
        <f t="shared" si="134"/>
        <v>1463662</v>
      </c>
      <c r="H524" s="87">
        <f t="shared" si="135"/>
        <v>1456048</v>
      </c>
      <c r="I524" s="404">
        <f t="shared" si="136"/>
        <v>1456048</v>
      </c>
      <c r="J524" s="90">
        <f t="shared" si="137"/>
        <v>1300000</v>
      </c>
      <c r="K524" s="88">
        <f t="shared" si="137"/>
        <v>1300000</v>
      </c>
      <c r="L524" s="122"/>
      <c r="M524" s="121"/>
    </row>
    <row r="525" spans="1:13" ht="25.5" hidden="1" outlineLevel="1">
      <c r="A525" s="79" t="s">
        <v>942</v>
      </c>
      <c r="B525" s="86">
        <f>INDEX(Data!2042:2042,1,$P$1-8)+INDEX(Data!2042:2042,1,$P$1-7)</f>
        <v>4000000</v>
      </c>
      <c r="C525" s="87">
        <f>INDEX(Data!2042:2042,1,$P$1-6)+INDEX(Data!2042:2042,1,$P$1-5)</f>
        <v>4000000</v>
      </c>
      <c r="D525" s="404">
        <f>INDEX(Data!2042:2042,1,$P$1-4)+INDEX(Data!2042:2042,1,$P$1-3)</f>
        <v>4000000</v>
      </c>
      <c r="E525" s="90">
        <f>INDEX(Data!2042:2042,1,$P$1-2)+INDEX(Data!2042:2042,1,$P$1-1)</f>
        <v>3648000</v>
      </c>
      <c r="F525" s="88">
        <f>INDEX(Data!2042:2042,1,$P$1)+INDEX(Data!2042:2042,1,$P$1+1)</f>
        <v>3648000</v>
      </c>
      <c r="G525" s="91">
        <f t="shared" ref="G525" si="143">B525</f>
        <v>4000000</v>
      </c>
      <c r="H525" s="87">
        <f t="shared" ref="H525" si="144">C525</f>
        <v>4000000</v>
      </c>
      <c r="I525" s="404">
        <f t="shared" ref="I525" si="145">D525</f>
        <v>4000000</v>
      </c>
      <c r="J525" s="90">
        <f t="shared" ref="J525" si="146">E525</f>
        <v>3648000</v>
      </c>
      <c r="K525" s="88">
        <f t="shared" ref="K525" si="147">F525</f>
        <v>3648000</v>
      </c>
      <c r="L525" s="122"/>
      <c r="M525" s="121"/>
    </row>
    <row r="526" spans="1:13" ht="25.5" hidden="1" outlineLevel="1">
      <c r="A526" s="79" t="s">
        <v>1556</v>
      </c>
      <c r="B526" s="86">
        <f>INDEX(Data!2043:2043,1,$P$1-8)+INDEX(Data!2043:2043,1,$P$1-7)</f>
        <v>16459886</v>
      </c>
      <c r="C526" s="87">
        <f>INDEX(Data!2043:2043,1,$P$1-6)+INDEX(Data!2043:2043,1,$P$1-5)</f>
        <v>17557212</v>
      </c>
      <c r="D526" s="404">
        <f>INDEX(Data!2043:2043,1,$P$1-4)+INDEX(Data!2043:2043,1,$P$1-3)</f>
        <v>16037212</v>
      </c>
      <c r="E526" s="90">
        <f>INDEX(Data!2043:2043,1,$P$1-2)+INDEX(Data!2043:2043,1,$P$1-1)</f>
        <v>15395727</v>
      </c>
      <c r="F526" s="88">
        <f>INDEX(Data!2043:2043,1,$P$1)+INDEX(Data!2043:2043,1,$P$1+1)</f>
        <v>15395731</v>
      </c>
      <c r="G526" s="91">
        <f t="shared" si="134"/>
        <v>16459886</v>
      </c>
      <c r="H526" s="87">
        <f t="shared" si="135"/>
        <v>17557212</v>
      </c>
      <c r="I526" s="404">
        <f t="shared" si="136"/>
        <v>16037212</v>
      </c>
      <c r="J526" s="90">
        <f t="shared" si="137"/>
        <v>15395727</v>
      </c>
      <c r="K526" s="88">
        <f t="shared" si="137"/>
        <v>15395731</v>
      </c>
      <c r="L526" s="122"/>
      <c r="M526" s="121"/>
    </row>
    <row r="527" spans="1:13" collapsed="1">
      <c r="A527" s="113" t="s">
        <v>806</v>
      </c>
      <c r="B527" s="105">
        <f>SUM(B516:B526)</f>
        <v>60343701</v>
      </c>
      <c r="C527" s="106">
        <f>SUM(C516:C526)</f>
        <v>44334408</v>
      </c>
      <c r="D527" s="465">
        <f>SUM(D516:D526)</f>
        <v>42818736</v>
      </c>
      <c r="E527" s="115">
        <f>SUM(E516:E526)</f>
        <v>40877062</v>
      </c>
      <c r="F527" s="107">
        <f>SUM(F516:F526)</f>
        <v>42480486</v>
      </c>
      <c r="G527" s="405">
        <f t="shared" ref="G527:J527" si="148">SUM(G516:G526)</f>
        <v>60343701</v>
      </c>
      <c r="H527" s="106">
        <f t="shared" si="148"/>
        <v>44334408</v>
      </c>
      <c r="I527" s="465">
        <f t="shared" si="148"/>
        <v>42818736</v>
      </c>
      <c r="J527" s="115">
        <f t="shared" si="148"/>
        <v>40877062</v>
      </c>
      <c r="K527" s="107">
        <f t="shared" ref="K527" si="149">SUM(K516:K526)</f>
        <v>42480486</v>
      </c>
      <c r="L527" s="122"/>
      <c r="M527" s="121"/>
    </row>
    <row r="528" spans="1:13" ht="25.5" hidden="1" outlineLevel="1">
      <c r="A528" s="79" t="s">
        <v>1442</v>
      </c>
      <c r="B528" s="86">
        <f>INDEX(Data!2083:2083,1,$P$1-8)+INDEX(Data!2083:2083,1,$P$1-7)</f>
        <v>1833682</v>
      </c>
      <c r="C528" s="87">
        <f>INDEX(Data!2083:2083,1,$P$1-6)+INDEX(Data!2083:2083,1,$P$1-5)</f>
        <v>1833682</v>
      </c>
      <c r="D528" s="404">
        <f>INDEX(Data!2083:2083,1,$P$1-4)+INDEX(Data!2083:2083,1,$P$1-3)</f>
        <v>1833682</v>
      </c>
      <c r="E528" s="90">
        <f>INDEX(Data!2083:2083,1,$P$1-2)+INDEX(Data!2083:2083,1,$P$1-1)</f>
        <v>1263710</v>
      </c>
      <c r="F528" s="88">
        <f>INDEX(Data!2083:2083,1,$P$1)+INDEX(Data!2083:2083,1,$P$1+1)</f>
        <v>1263710</v>
      </c>
      <c r="G528" s="91">
        <f t="shared" ref="G528:K531" si="150">B528</f>
        <v>1833682</v>
      </c>
      <c r="H528" s="87">
        <f t="shared" si="150"/>
        <v>1833682</v>
      </c>
      <c r="I528" s="404">
        <f t="shared" si="150"/>
        <v>1833682</v>
      </c>
      <c r="J528" s="90">
        <f t="shared" si="150"/>
        <v>1263710</v>
      </c>
      <c r="K528" s="88">
        <f t="shared" si="150"/>
        <v>1263710</v>
      </c>
      <c r="L528" s="122"/>
      <c r="M528" s="121"/>
    </row>
    <row r="529" spans="1:13" ht="25.5" hidden="1" outlineLevel="1">
      <c r="A529" s="79" t="s">
        <v>1443</v>
      </c>
      <c r="B529" s="86">
        <f>INDEX(Data!2085:2085,1,$P$1-8)+INDEX(Data!2085:2085,1,$P$1-7)</f>
        <v>2199862</v>
      </c>
      <c r="C529" s="87">
        <f>INDEX(Data!2085:2085,1,$P$1-6)+INDEX(Data!2085:2085,1,$P$1-5)</f>
        <v>2199862</v>
      </c>
      <c r="D529" s="404">
        <f>INDEX(Data!2085:2085,1,$P$1-4)+INDEX(Data!2085:2085,1,$P$1-3)</f>
        <v>2199862</v>
      </c>
      <c r="E529" s="90">
        <f>INDEX(Data!2085:2085,1,$P$1-2)+INDEX(Data!2085:2085,1,$P$1-1)</f>
        <v>1540891</v>
      </c>
      <c r="F529" s="88">
        <f>INDEX(Data!2085:2085,1,$P$1)+INDEX(Data!2085:2085,1,$P$1+1)</f>
        <v>1547970</v>
      </c>
      <c r="G529" s="91">
        <f t="shared" si="150"/>
        <v>2199862</v>
      </c>
      <c r="H529" s="87">
        <f t="shared" si="150"/>
        <v>2199862</v>
      </c>
      <c r="I529" s="404">
        <f t="shared" si="150"/>
        <v>2199862</v>
      </c>
      <c r="J529" s="90">
        <f t="shared" si="150"/>
        <v>1540891</v>
      </c>
      <c r="K529" s="88">
        <f t="shared" si="150"/>
        <v>1547970</v>
      </c>
      <c r="L529" s="122"/>
      <c r="M529" s="121"/>
    </row>
    <row r="530" spans="1:13" ht="14.25" hidden="1" customHeight="1" outlineLevel="1">
      <c r="A530" s="79" t="s">
        <v>1444</v>
      </c>
      <c r="B530" s="86">
        <f>INDEX(Data!2087:2087,1,$P$1-8)+INDEX(Data!2087:2087,1,$P$1-7)</f>
        <v>1566016</v>
      </c>
      <c r="C530" s="87">
        <f>INDEX(Data!2087:2087,1,$P$1-6)+INDEX(Data!2087:2087,1,$P$1-5)</f>
        <v>1566016</v>
      </c>
      <c r="D530" s="404">
        <f>INDEX(Data!2087:2087,1,$P$1-4)+INDEX(Data!2087:2087,1,$P$1-3)</f>
        <v>1566016</v>
      </c>
      <c r="E530" s="90">
        <f>INDEX(Data!2087:2087,1,$P$1-2)+INDEX(Data!2087:2087,1,$P$1-1)</f>
        <v>1095949</v>
      </c>
      <c r="F530" s="88">
        <f>INDEX(Data!2087:2087,1,$P$1)+INDEX(Data!2087:2087,1,$P$1+1)</f>
        <v>1095949</v>
      </c>
      <c r="G530" s="91">
        <f t="shared" si="150"/>
        <v>1566016</v>
      </c>
      <c r="H530" s="87">
        <f t="shared" si="150"/>
        <v>1566016</v>
      </c>
      <c r="I530" s="404">
        <f t="shared" si="150"/>
        <v>1566016</v>
      </c>
      <c r="J530" s="90">
        <f t="shared" si="150"/>
        <v>1095949</v>
      </c>
      <c r="K530" s="88">
        <f t="shared" si="150"/>
        <v>1095949</v>
      </c>
      <c r="L530" s="122"/>
      <c r="M530" s="121"/>
    </row>
    <row r="531" spans="1:13" hidden="1" outlineLevel="1">
      <c r="A531" s="79" t="s">
        <v>1445</v>
      </c>
      <c r="B531" s="86">
        <f>INDEX(Data!2089:2089,1,$P$1-8)+INDEX(Data!2089:2089,1,$P$1-7)</f>
        <v>1974450</v>
      </c>
      <c r="C531" s="87">
        <f>INDEX(Data!2089:2089,1,$P$1-6)+INDEX(Data!2089:2089,1,$P$1-5)</f>
        <v>1974450</v>
      </c>
      <c r="D531" s="404">
        <f>INDEX(Data!2089:2089,1,$P$1-4)+INDEX(Data!2089:2089,1,$P$1-3)</f>
        <v>1974450</v>
      </c>
      <c r="E531" s="90">
        <f>INDEX(Data!2089:2089,1,$P$1-2)+INDEX(Data!2089:2089,1,$P$1-1)</f>
        <v>1379448</v>
      </c>
      <c r="F531" s="88">
        <f>INDEX(Data!2089:2089,1,$P$1)+INDEX(Data!2089:2089,1,$P$1+1)</f>
        <v>1379448</v>
      </c>
      <c r="G531" s="91">
        <f t="shared" si="150"/>
        <v>1974450</v>
      </c>
      <c r="H531" s="87">
        <f t="shared" si="150"/>
        <v>1974450</v>
      </c>
      <c r="I531" s="404">
        <f t="shared" si="150"/>
        <v>1974450</v>
      </c>
      <c r="J531" s="90">
        <f t="shared" si="150"/>
        <v>1379448</v>
      </c>
      <c r="K531" s="88">
        <f t="shared" si="150"/>
        <v>1379448</v>
      </c>
      <c r="L531" s="122"/>
      <c r="M531" s="121"/>
    </row>
    <row r="532" spans="1:13" collapsed="1">
      <c r="A532" s="113" t="s">
        <v>807</v>
      </c>
      <c r="B532" s="105">
        <f>SUM(B528:B531)</f>
        <v>7574010</v>
      </c>
      <c r="C532" s="106">
        <f>SUM(C528:C531)</f>
        <v>7574010</v>
      </c>
      <c r="D532" s="465">
        <f>SUM(D528:D531)</f>
        <v>7574010</v>
      </c>
      <c r="E532" s="115">
        <f>SUM(E528:E531)</f>
        <v>5279998</v>
      </c>
      <c r="F532" s="107">
        <f>SUM(F528:F531)</f>
        <v>5287077</v>
      </c>
      <c r="G532" s="405">
        <f t="shared" ref="G532:J532" si="151">SUM(G528:G531)</f>
        <v>7574010</v>
      </c>
      <c r="H532" s="106">
        <f t="shared" si="151"/>
        <v>7574010</v>
      </c>
      <c r="I532" s="465">
        <f t="shared" si="151"/>
        <v>7574010</v>
      </c>
      <c r="J532" s="115">
        <f t="shared" si="151"/>
        <v>5279998</v>
      </c>
      <c r="K532" s="107">
        <f t="shared" ref="K532" si="152">SUM(K528:K531)</f>
        <v>5287077</v>
      </c>
      <c r="L532" s="122"/>
      <c r="M532" s="121"/>
    </row>
    <row r="533" spans="1:13" ht="15" hidden="1" customHeight="1" outlineLevel="1">
      <c r="A533" s="79" t="s">
        <v>1446</v>
      </c>
      <c r="B533" s="86">
        <f>INDEX(Data!2103:2103,1,$P$1-8)+INDEX(Data!2103:2103,1,$P$1-7)</f>
        <v>1614091</v>
      </c>
      <c r="C533" s="87">
        <f>INDEX(Data!2103:2103,1,$P$1-6)+INDEX(Data!2103:2103,1,$P$1-5)</f>
        <v>2614090</v>
      </c>
      <c r="D533" s="404">
        <f>INDEX(Data!2103:2103,1,$P$1-4)+INDEX(Data!2103:2103,1,$P$1-3)</f>
        <v>2614090</v>
      </c>
      <c r="E533" s="90">
        <f>INDEX(Data!2103:2103,1,$P$1-2)+INDEX(Data!2103:2103,1,$P$1-1)</f>
        <v>1781249</v>
      </c>
      <c r="F533" s="88">
        <f>INDEX(Data!2103:2103,1,$P$1)+INDEX(Data!2103:2103,1,$P$1+1)</f>
        <v>1781249</v>
      </c>
      <c r="G533" s="91">
        <f t="shared" ref="G533:K535" si="153">B533</f>
        <v>1614091</v>
      </c>
      <c r="H533" s="87">
        <f t="shared" si="153"/>
        <v>2614090</v>
      </c>
      <c r="I533" s="404">
        <f t="shared" si="153"/>
        <v>2614090</v>
      </c>
      <c r="J533" s="90">
        <f t="shared" si="153"/>
        <v>1781249</v>
      </c>
      <c r="K533" s="88">
        <f t="shared" si="153"/>
        <v>1781249</v>
      </c>
      <c r="L533" s="122"/>
      <c r="M533" s="121"/>
    </row>
    <row r="534" spans="1:13" hidden="1" outlineLevel="1">
      <c r="A534" s="79" t="s">
        <v>1447</v>
      </c>
      <c r="B534" s="86">
        <f>INDEX(Data!2110:2110,1,$P$1-8)+INDEX(Data!2110:2110,1,$P$1-7)</f>
        <v>2167496</v>
      </c>
      <c r="C534" s="87">
        <f>INDEX(Data!2110:2110,1,$P$1-6)+INDEX(Data!2110:2110,1,$P$1-5)</f>
        <v>3167496</v>
      </c>
      <c r="D534" s="404">
        <f>INDEX(Data!2110:2110,1,$P$1-4)+INDEX(Data!2110:2110,1,$P$1-3)</f>
        <v>3167496</v>
      </c>
      <c r="E534" s="90">
        <f>INDEX(Data!2110:2110,1,$P$1-2)+INDEX(Data!2110:2110,1,$P$1-1)</f>
        <v>2314889</v>
      </c>
      <c r="F534" s="88">
        <f>INDEX(Data!2110:2110,1,$P$1)+INDEX(Data!2110:2110,1,$P$1+1)</f>
        <v>3189240</v>
      </c>
      <c r="G534" s="91">
        <f t="shared" si="153"/>
        <v>2167496</v>
      </c>
      <c r="H534" s="87">
        <f t="shared" si="153"/>
        <v>3167496</v>
      </c>
      <c r="I534" s="404">
        <f t="shared" si="153"/>
        <v>3167496</v>
      </c>
      <c r="J534" s="90">
        <f t="shared" si="153"/>
        <v>2314889</v>
      </c>
      <c r="K534" s="88">
        <f t="shared" si="153"/>
        <v>3189240</v>
      </c>
      <c r="L534" s="122"/>
      <c r="M534" s="121"/>
    </row>
    <row r="535" spans="1:13" hidden="1" outlineLevel="1">
      <c r="A535" s="79" t="s">
        <v>1448</v>
      </c>
      <c r="B535" s="86">
        <f>INDEX(Data!2114:2114,1,$P$1-8)+INDEX(Data!2114:2114,1,$P$1-7)</f>
        <v>1956229</v>
      </c>
      <c r="C535" s="87">
        <f>INDEX(Data!2114:2114,1,$P$1-6)+INDEX(Data!2114:2114,1,$P$1-5)</f>
        <v>2956229</v>
      </c>
      <c r="D535" s="404">
        <f>INDEX(Data!2114:2114,1,$P$1-4)+INDEX(Data!2114:2114,1,$P$1-3)</f>
        <v>2956230</v>
      </c>
      <c r="E535" s="90">
        <f>INDEX(Data!2114:2114,1,$P$1-2)+INDEX(Data!2114:2114,1,$P$1-1)</f>
        <v>2160489</v>
      </c>
      <c r="F535" s="88">
        <f>INDEX(Data!2114:2114,1,$P$1)+INDEX(Data!2114:2114,1,$P$1+1)</f>
        <v>3877185</v>
      </c>
      <c r="G535" s="91">
        <f t="shared" si="153"/>
        <v>1956229</v>
      </c>
      <c r="H535" s="87">
        <f t="shared" si="153"/>
        <v>2956229</v>
      </c>
      <c r="I535" s="404">
        <f t="shared" si="153"/>
        <v>2956230</v>
      </c>
      <c r="J535" s="90">
        <f t="shared" si="153"/>
        <v>2160489</v>
      </c>
      <c r="K535" s="88">
        <f t="shared" si="153"/>
        <v>3877185</v>
      </c>
      <c r="L535" s="122"/>
      <c r="M535" s="121"/>
    </row>
    <row r="536" spans="1:13" collapsed="1">
      <c r="A536" s="113" t="s">
        <v>808</v>
      </c>
      <c r="B536" s="105">
        <f>SUM(B533:B535)</f>
        <v>5737816</v>
      </c>
      <c r="C536" s="106">
        <f t="shared" ref="C536:F536" si="154">SUM(C533:C535)</f>
        <v>8737815</v>
      </c>
      <c r="D536" s="465">
        <f t="shared" si="154"/>
        <v>8737816</v>
      </c>
      <c r="E536" s="115">
        <f t="shared" si="154"/>
        <v>6256627</v>
      </c>
      <c r="F536" s="107">
        <f t="shared" si="154"/>
        <v>8847674</v>
      </c>
      <c r="G536" s="405">
        <f t="shared" ref="G536:J536" si="155">SUM(G533:G535)</f>
        <v>5737816</v>
      </c>
      <c r="H536" s="106">
        <f t="shared" si="155"/>
        <v>8737815</v>
      </c>
      <c r="I536" s="465">
        <f t="shared" si="155"/>
        <v>8737816</v>
      </c>
      <c r="J536" s="115">
        <f t="shared" si="155"/>
        <v>6256627</v>
      </c>
      <c r="K536" s="107">
        <f t="shared" ref="K536" si="156">SUM(K533:K535)</f>
        <v>8847674</v>
      </c>
      <c r="M536" s="122"/>
    </row>
    <row r="537" spans="1:13" ht="13.5" thickBot="1">
      <c r="A537" s="95" t="s">
        <v>280</v>
      </c>
      <c r="B537" s="96">
        <f>B515+B527+B532+B536</f>
        <v>294082770</v>
      </c>
      <c r="C537" s="97">
        <f t="shared" ref="C537:F537" si="157">C515+C527+C532+C536</f>
        <v>298045968</v>
      </c>
      <c r="D537" s="100">
        <f t="shared" si="157"/>
        <v>295947639</v>
      </c>
      <c r="E537" s="97">
        <f t="shared" si="157"/>
        <v>215663761</v>
      </c>
      <c r="F537" s="98">
        <f t="shared" si="157"/>
        <v>338733311</v>
      </c>
      <c r="G537" s="100">
        <f t="shared" ref="G537:K537" si="158">G515+G527+G532+G536</f>
        <v>294082770</v>
      </c>
      <c r="H537" s="97">
        <f t="shared" si="158"/>
        <v>298045968</v>
      </c>
      <c r="I537" s="100">
        <f t="shared" si="158"/>
        <v>295947639</v>
      </c>
      <c r="J537" s="97">
        <f t="shared" si="158"/>
        <v>215663761</v>
      </c>
      <c r="K537" s="98">
        <f t="shared" si="158"/>
        <v>338733311</v>
      </c>
      <c r="M537" s="122"/>
    </row>
    <row r="538" spans="1:13">
      <c r="K538" s="1177"/>
      <c r="M538" s="122"/>
    </row>
    <row r="539" spans="1:13">
      <c r="K539" s="463"/>
    </row>
    <row r="540" spans="1:13">
      <c r="K540" s="463"/>
    </row>
    <row r="541" spans="1:13">
      <c r="K541" s="463"/>
    </row>
    <row r="542" spans="1:13">
      <c r="K542" s="463"/>
    </row>
    <row r="543" spans="1:13">
      <c r="K543" s="463"/>
    </row>
    <row r="544" spans="1:13">
      <c r="K544" s="463"/>
    </row>
    <row r="545" spans="1:22">
      <c r="K545" s="463"/>
    </row>
    <row r="546" spans="1:22">
      <c r="K546" s="463"/>
    </row>
    <row r="547" spans="1:22">
      <c r="K547" s="463"/>
    </row>
    <row r="548" spans="1:22">
      <c r="K548" s="463"/>
    </row>
    <row r="549" spans="1:22">
      <c r="K549" s="463"/>
    </row>
    <row r="550" spans="1:22">
      <c r="K550" s="463"/>
    </row>
    <row r="551" spans="1:22">
      <c r="K551" s="463"/>
    </row>
    <row r="552" spans="1:22">
      <c r="K552" s="463"/>
    </row>
    <row r="553" spans="1:22">
      <c r="K553" s="463"/>
    </row>
    <row r="554" spans="1:22">
      <c r="K554" s="463"/>
    </row>
    <row r="555" spans="1:22">
      <c r="K555" s="463"/>
    </row>
    <row r="556" spans="1:22">
      <c r="K556" s="463"/>
    </row>
    <row r="557" spans="1:22" ht="13.5" thickBot="1">
      <c r="K557" s="464"/>
    </row>
    <row r="558" spans="1:22" ht="13.5" customHeight="1" thickBot="1">
      <c r="A558" s="536" t="s">
        <v>810</v>
      </c>
      <c r="B558" s="537"/>
      <c r="C558" s="537"/>
      <c r="D558" s="537"/>
      <c r="E558" s="537"/>
      <c r="F558" s="537"/>
      <c r="G558" s="537"/>
      <c r="H558" s="537"/>
      <c r="I558" s="537"/>
      <c r="J558" s="537"/>
      <c r="K558" s="537"/>
      <c r="L558" s="537"/>
      <c r="M558" s="537"/>
      <c r="N558" s="537"/>
      <c r="O558" s="537"/>
      <c r="P558" s="537"/>
      <c r="Q558" s="537"/>
      <c r="R558" s="537"/>
      <c r="S558" s="537"/>
      <c r="T558" s="538"/>
      <c r="U558" s="67"/>
      <c r="V558" s="67"/>
    </row>
    <row r="559" spans="1:22" ht="13.5" thickBot="1">
      <c r="A559" s="535" t="s">
        <v>1318</v>
      </c>
      <c r="B559" s="1292" t="s">
        <v>2</v>
      </c>
      <c r="C559" s="1293"/>
      <c r="D559" s="1293"/>
      <c r="E559" s="1293"/>
      <c r="F559" s="1293"/>
      <c r="G559" s="1295" t="s">
        <v>764</v>
      </c>
      <c r="H559" s="1295"/>
      <c r="I559" s="1295"/>
      <c r="J559" s="1295"/>
      <c r="K559" s="1295"/>
    </row>
    <row r="560" spans="1:22">
      <c r="A560" s="73" t="s">
        <v>766</v>
      </c>
      <c r="B560" s="466" t="str">
        <f>$O$1-8&amp;" - "&amp;$O$1-7</f>
        <v>2012 - 2013</v>
      </c>
      <c r="C560" s="75" t="str">
        <f>$O$1-6&amp;" - "&amp;$O$1-5</f>
        <v>2014 - 2015</v>
      </c>
      <c r="D560" s="75" t="str">
        <f>$O$1-4&amp;" - "&amp;$O$1-3</f>
        <v>2016 - 2017</v>
      </c>
      <c r="E560" s="75" t="str">
        <f>$O$1-2&amp;" - "&amp;$O$1-1</f>
        <v>2018 - 2019</v>
      </c>
      <c r="F560" s="78" t="str">
        <f>$O$1&amp;" - "&amp;$O$1+1</f>
        <v>2020 - 2021</v>
      </c>
      <c r="G560" s="509" t="str">
        <f>$O$1-8&amp;" - "&amp;$O$1-7</f>
        <v>2012 - 2013</v>
      </c>
      <c r="H560" s="75" t="str">
        <f>$O$1-6&amp;" - "&amp;$O$1-5</f>
        <v>2014 - 2015</v>
      </c>
      <c r="I560" s="75" t="str">
        <f>$O$1-4&amp;" - "&amp;$O$1-3</f>
        <v>2016 - 2017</v>
      </c>
      <c r="J560" s="75" t="str">
        <f>$O$1-2&amp;" - "&amp;$O$1-1</f>
        <v>2018 - 2019</v>
      </c>
      <c r="K560" s="78" t="str">
        <f>$O$1&amp;" - "&amp;$O$1+1</f>
        <v>2020 - 2021</v>
      </c>
      <c r="M560" s="122"/>
    </row>
    <row r="561" spans="1:13" hidden="1" outlineLevel="1">
      <c r="A561" s="79" t="s">
        <v>754</v>
      </c>
      <c r="B561" s="83">
        <f>INDEX(Data!2223:2223,1,$P$1-8)+INDEX(Data!2223:2223,1,$P$1-7)</f>
        <v>14838046</v>
      </c>
      <c r="C561" s="81">
        <f>INDEX(Data!2223:2223,1,$P$1-6)+INDEX(Data!2223:2223,1,$P$1-5)</f>
        <v>14829627</v>
      </c>
      <c r="D561" s="403">
        <f>INDEX(Data!2223:2223,1,$P$1-4)+INDEX(Data!2223:2223,1,$P$1-3)</f>
        <v>20248475</v>
      </c>
      <c r="E561" s="103">
        <f>INDEX(Data!2223:2223,1,$P$1-2)+INDEX(Data!2223:2223,1,$P$1-1)</f>
        <v>25656574</v>
      </c>
      <c r="F561" s="82">
        <f>INDEX(Data!2223:2223,1,$P$1)+INDEX(Data!2223:2223,1,$P$1+1)</f>
        <v>25656175</v>
      </c>
      <c r="G561" s="409">
        <f t="shared" ref="G561:G599" si="159">B561</f>
        <v>14838046</v>
      </c>
      <c r="H561" s="81">
        <f t="shared" ref="H561:H599" si="160">C561</f>
        <v>14829627</v>
      </c>
      <c r="I561" s="403">
        <f t="shared" ref="I561:I599" si="161">D561</f>
        <v>20248475</v>
      </c>
      <c r="J561" s="103">
        <f t="shared" ref="J561:K599" si="162">E561</f>
        <v>25656574</v>
      </c>
      <c r="K561" s="82">
        <f t="shared" si="162"/>
        <v>25656175</v>
      </c>
      <c r="L561" s="122"/>
      <c r="M561" s="121"/>
    </row>
    <row r="562" spans="1:13" hidden="1" outlineLevel="1">
      <c r="A562" s="79" t="s">
        <v>749</v>
      </c>
      <c r="B562" s="86">
        <f>INDEX(Data!2224:2224,1,$P$1-8)+INDEX(Data!2224:2224,1,$P$1-7)</f>
        <v>27753903</v>
      </c>
      <c r="C562" s="87">
        <f>INDEX(Data!2224:2224,1,$P$1-6)+INDEX(Data!2224:2224,1,$P$1-5)</f>
        <v>27757451</v>
      </c>
      <c r="D562" s="404">
        <f>INDEX(Data!2224:2224,1,$P$1-4)+INDEX(Data!2224:2224,1,$P$1-3)</f>
        <v>33553067</v>
      </c>
      <c r="E562" s="90">
        <f>INDEX(Data!2224:2224,1,$P$1-2)+INDEX(Data!2224:2224,1,$P$1-1)</f>
        <v>39357170</v>
      </c>
      <c r="F562" s="88">
        <f>INDEX(Data!2224:2224,1,$P$1)+INDEX(Data!2224:2224,1,$P$1+1)</f>
        <v>39350338</v>
      </c>
      <c r="G562" s="91">
        <f t="shared" si="159"/>
        <v>27753903</v>
      </c>
      <c r="H562" s="87">
        <f t="shared" si="160"/>
        <v>27757451</v>
      </c>
      <c r="I562" s="404">
        <f t="shared" si="161"/>
        <v>33553067</v>
      </c>
      <c r="J562" s="90">
        <f t="shared" si="162"/>
        <v>39357170</v>
      </c>
      <c r="K562" s="88">
        <f t="shared" si="162"/>
        <v>39350338</v>
      </c>
      <c r="L562" s="122"/>
      <c r="M562" s="123"/>
    </row>
    <row r="563" spans="1:13" hidden="1" outlineLevel="1">
      <c r="A563" s="79" t="s">
        <v>755</v>
      </c>
      <c r="B563" s="86">
        <f>INDEX(Data!2225:2225,1,$P$1-8)+INDEX(Data!2225:2225,1,$P$1-7)</f>
        <v>6687728</v>
      </c>
      <c r="C563" s="87">
        <f>INDEX(Data!2225:2225,1,$P$1-6)+INDEX(Data!2225:2225,1,$P$1-5)</f>
        <v>6685892</v>
      </c>
      <c r="D563" s="404">
        <f>INDEX(Data!2225:2225,1,$P$1-4)+INDEX(Data!2225:2225,1,$P$1-3)</f>
        <v>12095237</v>
      </c>
      <c r="E563" s="90">
        <f>INDEX(Data!2225:2225,1,$P$1-2)+INDEX(Data!2225:2225,1,$P$1-1)</f>
        <v>17514124</v>
      </c>
      <c r="F563" s="88">
        <f>INDEX(Data!2225:2225,1,$P$1)+INDEX(Data!2225:2225,1,$P$1+1)</f>
        <v>17513225</v>
      </c>
      <c r="G563" s="91">
        <f t="shared" si="159"/>
        <v>6687728</v>
      </c>
      <c r="H563" s="87">
        <f t="shared" si="160"/>
        <v>6685892</v>
      </c>
      <c r="I563" s="404">
        <f t="shared" si="161"/>
        <v>12095237</v>
      </c>
      <c r="J563" s="90">
        <f t="shared" si="162"/>
        <v>17514124</v>
      </c>
      <c r="K563" s="88">
        <f t="shared" si="162"/>
        <v>17513225</v>
      </c>
      <c r="L563" s="122"/>
      <c r="M563" s="123"/>
    </row>
    <row r="564" spans="1:13" hidden="1" outlineLevel="1">
      <c r="A564" s="79" t="s">
        <v>756</v>
      </c>
      <c r="B564" s="86">
        <f>INDEX(Data!2226:2226,1,$P$1-8)+INDEX(Data!2226:2226,1,$P$1-7)</f>
        <v>14591583</v>
      </c>
      <c r="C564" s="87">
        <f>INDEX(Data!2226:2226,1,$P$1-6)+INDEX(Data!2226:2226,1,$P$1-5)</f>
        <v>14584228</v>
      </c>
      <c r="D564" s="404">
        <f>INDEX(Data!2226:2226,1,$P$1-4)+INDEX(Data!2226:2226,1,$P$1-3)</f>
        <v>20002599</v>
      </c>
      <c r="E564" s="90">
        <f>INDEX(Data!2226:2226,1,$P$1-2)+INDEX(Data!2226:2226,1,$P$1-1)</f>
        <v>25415698</v>
      </c>
      <c r="F564" s="88">
        <f>INDEX(Data!2226:2226,1,$P$1)+INDEX(Data!2226:2226,1,$P$1+1)</f>
        <v>25414625</v>
      </c>
      <c r="G564" s="91">
        <f t="shared" si="159"/>
        <v>14591583</v>
      </c>
      <c r="H564" s="87">
        <f t="shared" si="160"/>
        <v>14584228</v>
      </c>
      <c r="I564" s="404">
        <f t="shared" si="161"/>
        <v>20002599</v>
      </c>
      <c r="J564" s="90">
        <f t="shared" si="162"/>
        <v>25415698</v>
      </c>
      <c r="K564" s="88">
        <f t="shared" si="162"/>
        <v>25414625</v>
      </c>
      <c r="L564" s="122"/>
      <c r="M564" s="123"/>
    </row>
    <row r="565" spans="1:13" ht="12" hidden="1" customHeight="1" outlineLevel="1">
      <c r="A565" s="1104" t="s">
        <v>1667</v>
      </c>
      <c r="B565" s="86">
        <f>INDEX(Data!2227:2227,1,$P$1-8)+INDEX(Data!2227:2227,1,$P$1-7)</f>
        <v>0</v>
      </c>
      <c r="C565" s="87">
        <f>INDEX(Data!2227:2227,1,$P$1-6)+INDEX(Data!2227:2227,1,$P$1-5)</f>
        <v>0</v>
      </c>
      <c r="D565" s="404">
        <f>INDEX(Data!2227:2227,1,$P$1-4)+INDEX(Data!2227:2227,1,$P$1-3)</f>
        <v>30858213</v>
      </c>
      <c r="E565" s="90">
        <f>INDEX(Data!2227:2227,1,$P$1-2)+INDEX(Data!2227:2227,1,$P$1-1)</f>
        <v>36041300</v>
      </c>
      <c r="F565" s="88">
        <f>INDEX(Data!2227:2227,1,$P$1)+INDEX(Data!2227:2227,1,$P$1+1)</f>
        <v>36040063</v>
      </c>
      <c r="G565" s="91">
        <f t="shared" ref="G565" si="163">B565</f>
        <v>0</v>
      </c>
      <c r="H565" s="87">
        <f t="shared" ref="H565" si="164">C565</f>
        <v>0</v>
      </c>
      <c r="I565" s="404">
        <f t="shared" ref="I565" si="165">D565</f>
        <v>30858213</v>
      </c>
      <c r="J565" s="90">
        <f t="shared" ref="J565" si="166">E565</f>
        <v>36041300</v>
      </c>
      <c r="K565" s="88">
        <f t="shared" ref="K565" si="167">F565</f>
        <v>36040063</v>
      </c>
      <c r="L565" s="122"/>
      <c r="M565" s="123"/>
    </row>
    <row r="566" spans="1:13" hidden="1" outlineLevel="1">
      <c r="A566" s="79" t="s">
        <v>1356</v>
      </c>
      <c r="B566" s="86">
        <f>INDEX(Data!2228:2228,1,$P$1-8)+INDEX(Data!2228:2228,1,$P$1-7)</f>
        <v>14436241</v>
      </c>
      <c r="C566" s="87">
        <f>INDEX(Data!2228:2228,1,$P$1-6)+INDEX(Data!2228:2228,1,$P$1-5)</f>
        <v>14432096</v>
      </c>
      <c r="D566" s="404">
        <f>INDEX(Data!2228:2228,1,$P$1-4)+INDEX(Data!2228:2228,1,$P$1-3)</f>
        <v>0</v>
      </c>
      <c r="E566" s="90">
        <f>INDEX(Data!2228:2228,1,$P$1-2)+INDEX(Data!2228:2228,1,$P$1-1)</f>
        <v>0</v>
      </c>
      <c r="F566" s="88">
        <f>INDEX(Data!2228:2228,1,$P$1)+INDEX(Data!2228:2228,1,$P$1+1)</f>
        <v>0</v>
      </c>
      <c r="G566" s="91">
        <f t="shared" si="159"/>
        <v>14436241</v>
      </c>
      <c r="H566" s="87">
        <f t="shared" si="160"/>
        <v>14432096</v>
      </c>
      <c r="I566" s="404">
        <f t="shared" si="161"/>
        <v>0</v>
      </c>
      <c r="J566" s="90">
        <f t="shared" si="162"/>
        <v>0</v>
      </c>
      <c r="K566" s="88">
        <f t="shared" si="162"/>
        <v>0</v>
      </c>
      <c r="L566" s="122"/>
      <c r="M566" s="123"/>
    </row>
    <row r="567" spans="1:13" hidden="1" outlineLevel="1">
      <c r="A567" s="79" t="s">
        <v>1357</v>
      </c>
      <c r="B567" s="86">
        <f>INDEX(Data!2229:2229,1,$P$1-8)+INDEX(Data!2229:2229,1,$P$1-7)</f>
        <v>11250400</v>
      </c>
      <c r="C567" s="87">
        <f>INDEX(Data!2229:2229,1,$P$1-6)+INDEX(Data!2229:2229,1,$P$1-5)</f>
        <v>11244542</v>
      </c>
      <c r="D567" s="404">
        <f>INDEX(Data!2229:2229,1,$P$1-4)+INDEX(Data!2229:2229,1,$P$1-3)</f>
        <v>0</v>
      </c>
      <c r="E567" s="90">
        <f>INDEX(Data!2229:2229,1,$P$1-2)+INDEX(Data!2229:2229,1,$P$1-1)</f>
        <v>0</v>
      </c>
      <c r="F567" s="88">
        <f>INDEX(Data!2229:2229,1,$P$1)+INDEX(Data!2229:2229,1,$P$1+1)</f>
        <v>0</v>
      </c>
      <c r="G567" s="91">
        <f t="shared" si="159"/>
        <v>11250400</v>
      </c>
      <c r="H567" s="87">
        <f t="shared" si="160"/>
        <v>11244542</v>
      </c>
      <c r="I567" s="404">
        <f t="shared" si="161"/>
        <v>0</v>
      </c>
      <c r="J567" s="90">
        <f t="shared" si="162"/>
        <v>0</v>
      </c>
      <c r="K567" s="88">
        <f t="shared" si="162"/>
        <v>0</v>
      </c>
      <c r="L567" s="122"/>
      <c r="M567" s="121"/>
    </row>
    <row r="568" spans="1:13" ht="25.5" hidden="1" outlineLevel="1">
      <c r="A568" s="79" t="s">
        <v>1358</v>
      </c>
      <c r="B568" s="86">
        <f>INDEX(Data!2230:2230,1,$P$1-8)+INDEX(Data!2230:2230,1,$P$1-7)</f>
        <v>16960263</v>
      </c>
      <c r="C568" s="87">
        <f>INDEX(Data!2230:2230,1,$P$1-6)+INDEX(Data!2230:2230,1,$P$1-5)</f>
        <v>16953603</v>
      </c>
      <c r="D568" s="404">
        <f>INDEX(Data!2230:2230,1,$P$1-4)+INDEX(Data!2230:2230,1,$P$1-3)</f>
        <v>20662257</v>
      </c>
      <c r="E568" s="90">
        <f>INDEX(Data!2230:2230,1,$P$1-2)+INDEX(Data!2230:2230,1,$P$1-1)</f>
        <v>24372714</v>
      </c>
      <c r="F568" s="88">
        <f>INDEX(Data!2230:2230,1,$P$1)+INDEX(Data!2230:2230,1,$P$1+1)</f>
        <v>24372038</v>
      </c>
      <c r="G568" s="91">
        <f t="shared" si="159"/>
        <v>16960263</v>
      </c>
      <c r="H568" s="87">
        <f t="shared" si="160"/>
        <v>16953603</v>
      </c>
      <c r="I568" s="404">
        <f t="shared" si="161"/>
        <v>20662257</v>
      </c>
      <c r="J568" s="90">
        <f t="shared" si="162"/>
        <v>24372714</v>
      </c>
      <c r="K568" s="88">
        <f t="shared" si="162"/>
        <v>24372038</v>
      </c>
      <c r="L568" s="122"/>
      <c r="M568" s="121"/>
    </row>
    <row r="569" spans="1:13" hidden="1" outlineLevel="1">
      <c r="A569" s="79" t="s">
        <v>757</v>
      </c>
      <c r="B569" s="86">
        <f>INDEX(Data!2231:2231,1,$P$1-8)+INDEX(Data!2231:2231,1,$P$1-7)</f>
        <v>22454498</v>
      </c>
      <c r="C569" s="87">
        <f>INDEX(Data!2231:2231,1,$P$1-6)+INDEX(Data!2231:2231,1,$P$1-5)</f>
        <v>22449277</v>
      </c>
      <c r="D569" s="404">
        <f>INDEX(Data!2231:2231,1,$P$1-4)+INDEX(Data!2231:2231,1,$P$1-3)</f>
        <v>27864712</v>
      </c>
      <c r="E569" s="90">
        <f>INDEX(Data!2231:2231,1,$P$1-2)+INDEX(Data!2231:2231,1,$P$1-1)</f>
        <v>33282348</v>
      </c>
      <c r="F569" s="88">
        <f>INDEX(Data!2231:2231,1,$P$1)+INDEX(Data!2231:2231,1,$P$1+1)</f>
        <v>33281763</v>
      </c>
      <c r="G569" s="91">
        <f t="shared" si="159"/>
        <v>22454498</v>
      </c>
      <c r="H569" s="87">
        <f t="shared" si="160"/>
        <v>22449277</v>
      </c>
      <c r="I569" s="404">
        <f t="shared" si="161"/>
        <v>27864712</v>
      </c>
      <c r="J569" s="90">
        <f t="shared" si="162"/>
        <v>33282348</v>
      </c>
      <c r="K569" s="88">
        <f t="shared" si="162"/>
        <v>33281763</v>
      </c>
      <c r="L569" s="122"/>
      <c r="M569" s="121"/>
    </row>
    <row r="570" spans="1:13" hidden="1" outlineLevel="1">
      <c r="A570" s="79" t="s">
        <v>1359</v>
      </c>
      <c r="B570" s="86">
        <f>INDEX(Data!2232:2232,1,$P$1-8)+INDEX(Data!2232:2232,1,$P$1-7)</f>
        <v>10462763</v>
      </c>
      <c r="C570" s="87">
        <f>INDEX(Data!2232:2232,1,$P$1-6)+INDEX(Data!2232:2232,1,$P$1-5)</f>
        <v>10455756</v>
      </c>
      <c r="D570" s="404">
        <f>INDEX(Data!2232:2232,1,$P$1-4)+INDEX(Data!2232:2232,1,$P$1-3)</f>
        <v>15099993</v>
      </c>
      <c r="E570" s="90">
        <f>INDEX(Data!2232:2232,1,$P$1-2)+INDEX(Data!2232:2232,1,$P$1-1)</f>
        <v>19739910</v>
      </c>
      <c r="F570" s="88">
        <f>INDEX(Data!2232:2232,1,$P$1)+INDEX(Data!2232:2232,1,$P$1+1)</f>
        <v>19739750</v>
      </c>
      <c r="G570" s="91">
        <f t="shared" si="159"/>
        <v>10462763</v>
      </c>
      <c r="H570" s="87">
        <f t="shared" si="160"/>
        <v>10455756</v>
      </c>
      <c r="I570" s="404">
        <f t="shared" si="161"/>
        <v>15099993</v>
      </c>
      <c r="J570" s="90">
        <f t="shared" si="162"/>
        <v>19739910</v>
      </c>
      <c r="K570" s="88">
        <f t="shared" si="162"/>
        <v>19739750</v>
      </c>
      <c r="L570" s="122"/>
      <c r="M570" s="121"/>
    </row>
    <row r="571" spans="1:13" hidden="1" outlineLevel="1">
      <c r="A571" s="79" t="s">
        <v>41</v>
      </c>
      <c r="B571" s="86">
        <f>INDEX(Data!2234:2234,1,$P$1-8)+INDEX(Data!2234:2234,1,$P$1-7)</f>
        <v>5459796</v>
      </c>
      <c r="C571" s="87">
        <f>INDEX(Data!2234:2234,1,$P$1-6)+INDEX(Data!2234:2234,1,$P$1-5)</f>
        <v>5456000</v>
      </c>
      <c r="D571" s="404">
        <f>INDEX(Data!2234:2234,1,$P$1-4)+INDEX(Data!2234:2234,1,$P$1-3)</f>
        <v>11253287</v>
      </c>
      <c r="E571" s="90">
        <f>INDEX(Data!2234:2234,1,$P$1-2)+INDEX(Data!2234:2234,1,$P$1-1)</f>
        <v>16760905</v>
      </c>
      <c r="F571" s="88">
        <f>INDEX(Data!2234:2234,1,$P$1)+INDEX(Data!2234:2234,1,$P$1+1)</f>
        <v>16555811</v>
      </c>
      <c r="G571" s="91">
        <f t="shared" si="159"/>
        <v>5459796</v>
      </c>
      <c r="H571" s="87">
        <f t="shared" si="160"/>
        <v>5456000</v>
      </c>
      <c r="I571" s="404">
        <f t="shared" si="161"/>
        <v>11253287</v>
      </c>
      <c r="J571" s="90">
        <f t="shared" si="162"/>
        <v>16760905</v>
      </c>
      <c r="K571" s="88">
        <f t="shared" si="162"/>
        <v>16555811</v>
      </c>
      <c r="L571" s="122"/>
      <c r="M571" s="121"/>
    </row>
    <row r="572" spans="1:13" hidden="1" outlineLevel="1">
      <c r="A572" s="79" t="s">
        <v>876</v>
      </c>
      <c r="B572" s="86">
        <f>INDEX(Data!2235:2235,1,$P$1-8)+INDEX(Data!2235:2235,1,$P$1-7)</f>
        <v>7674543</v>
      </c>
      <c r="C572" s="87">
        <f>INDEX(Data!2235:2235,1,$P$1-6)+INDEX(Data!2235:2235,1,$P$1-5)</f>
        <v>7675107</v>
      </c>
      <c r="D572" s="404">
        <f>INDEX(Data!2235:2235,1,$P$1-4)+INDEX(Data!2235:2235,1,$P$1-3)</f>
        <v>12174424</v>
      </c>
      <c r="E572" s="90">
        <f>INDEX(Data!2235:2235,1,$P$1-2)+INDEX(Data!2235:2235,1,$P$1-1)</f>
        <v>16840219</v>
      </c>
      <c r="F572" s="88">
        <f>INDEX(Data!2235:2235,1,$P$1)+INDEX(Data!2235:2235,1,$P$1+1)</f>
        <v>16541879</v>
      </c>
      <c r="G572" s="91">
        <f t="shared" si="159"/>
        <v>7674543</v>
      </c>
      <c r="H572" s="87">
        <f t="shared" si="160"/>
        <v>7675107</v>
      </c>
      <c r="I572" s="404">
        <f t="shared" si="161"/>
        <v>12174424</v>
      </c>
      <c r="J572" s="90">
        <f t="shared" si="162"/>
        <v>16840219</v>
      </c>
      <c r="K572" s="88">
        <f t="shared" si="162"/>
        <v>16541879</v>
      </c>
      <c r="L572" s="122"/>
      <c r="M572" s="121"/>
    </row>
    <row r="573" spans="1:13" hidden="1" outlineLevel="1">
      <c r="A573" s="79" t="s">
        <v>750</v>
      </c>
      <c r="B573" s="86">
        <f>INDEX(Data!2236:2236,1,$P$1-8)+INDEX(Data!2236:2236,1,$P$1-7)</f>
        <v>12696556</v>
      </c>
      <c r="C573" s="87">
        <f>INDEX(Data!2236:2236,1,$P$1-6)+INDEX(Data!2236:2236,1,$P$1-5)</f>
        <v>12695492</v>
      </c>
      <c r="D573" s="404">
        <f>INDEX(Data!2236:2236,1,$P$1-4)+INDEX(Data!2236:2236,1,$P$1-3)</f>
        <v>14542043</v>
      </c>
      <c r="E573" s="90">
        <f>INDEX(Data!2236:2236,1,$P$1-2)+INDEX(Data!2236:2236,1,$P$1-1)</f>
        <v>13335808</v>
      </c>
      <c r="F573" s="88">
        <f>INDEX(Data!2236:2236,1,$P$1)+INDEX(Data!2236:2236,1,$P$1+1)</f>
        <v>13339750</v>
      </c>
      <c r="G573" s="91">
        <f t="shared" si="159"/>
        <v>12696556</v>
      </c>
      <c r="H573" s="87">
        <f t="shared" si="160"/>
        <v>12695492</v>
      </c>
      <c r="I573" s="404">
        <f t="shared" si="161"/>
        <v>14542043</v>
      </c>
      <c r="J573" s="90">
        <f t="shared" si="162"/>
        <v>13335808</v>
      </c>
      <c r="K573" s="88">
        <f t="shared" si="162"/>
        <v>13339750</v>
      </c>
      <c r="L573" s="122"/>
      <c r="M573" s="121"/>
    </row>
    <row r="574" spans="1:13" hidden="1" outlineLevel="1">
      <c r="A574" s="79" t="s">
        <v>1209</v>
      </c>
      <c r="B574" s="86">
        <f>INDEX(Data!2237:2237,1,$P$1-8)+INDEX(Data!2237:2237,1,$P$1-7)</f>
        <v>9855185</v>
      </c>
      <c r="C574" s="87">
        <f>INDEX(Data!2237:2237,1,$P$1-6)+INDEX(Data!2237:2237,1,$P$1-5)</f>
        <v>9851787</v>
      </c>
      <c r="D574" s="404">
        <f>INDEX(Data!2237:2237,1,$P$1-4)+INDEX(Data!2237:2237,1,$P$1-3)</f>
        <v>17081591</v>
      </c>
      <c r="E574" s="90">
        <f>INDEX(Data!2237:2237,1,$P$1-2)+INDEX(Data!2237:2237,1,$P$1-1)</f>
        <v>21585412</v>
      </c>
      <c r="F574" s="88">
        <f>INDEX(Data!2237:2237,1,$P$1)+INDEX(Data!2237:2237,1,$P$1+1)</f>
        <v>21467640</v>
      </c>
      <c r="G574" s="91">
        <f t="shared" si="159"/>
        <v>9855185</v>
      </c>
      <c r="H574" s="87">
        <f t="shared" si="160"/>
        <v>9851787</v>
      </c>
      <c r="I574" s="404">
        <f t="shared" si="161"/>
        <v>17081591</v>
      </c>
      <c r="J574" s="90">
        <f t="shared" si="162"/>
        <v>21585412</v>
      </c>
      <c r="K574" s="88">
        <f t="shared" si="162"/>
        <v>21467640</v>
      </c>
      <c r="L574" s="122"/>
      <c r="M574" s="121"/>
    </row>
    <row r="575" spans="1:13" hidden="1" outlineLevel="1">
      <c r="A575" s="79" t="s">
        <v>1210</v>
      </c>
      <c r="B575" s="86">
        <f>INDEX(Data!2238:2238,1,$P$1-8)+INDEX(Data!2238:2238,1,$P$1-7)</f>
        <v>3292400</v>
      </c>
      <c r="C575" s="87">
        <f>INDEX(Data!2238:2238,1,$P$1-6)+INDEX(Data!2238:2238,1,$P$1-5)</f>
        <v>3294300</v>
      </c>
      <c r="D575" s="404">
        <f>INDEX(Data!2238:2238,1,$P$1-4)+INDEX(Data!2238:2238,1,$P$1-3)</f>
        <v>6078545</v>
      </c>
      <c r="E575" s="90">
        <f>INDEX(Data!2238:2238,1,$P$1-2)+INDEX(Data!2238:2238,1,$P$1-1)</f>
        <v>9073518</v>
      </c>
      <c r="F575" s="88">
        <f>INDEX(Data!2238:2238,1,$P$1)+INDEX(Data!2238:2238,1,$P$1+1)</f>
        <v>9082051</v>
      </c>
      <c r="G575" s="91">
        <f t="shared" si="159"/>
        <v>3292400</v>
      </c>
      <c r="H575" s="87">
        <f t="shared" si="160"/>
        <v>3294300</v>
      </c>
      <c r="I575" s="404">
        <f t="shared" si="161"/>
        <v>6078545</v>
      </c>
      <c r="J575" s="90">
        <f t="shared" si="162"/>
        <v>9073518</v>
      </c>
      <c r="K575" s="88">
        <f t="shared" si="162"/>
        <v>9082051</v>
      </c>
      <c r="L575" s="122"/>
      <c r="M575" s="121"/>
    </row>
    <row r="576" spans="1:13" hidden="1" outlineLevel="1">
      <c r="A576" s="79" t="s">
        <v>1211</v>
      </c>
      <c r="B576" s="86">
        <f>INDEX(Data!2239:2239,1,$P$1-8)+INDEX(Data!2239:2239,1,$P$1-7)</f>
        <v>13560704</v>
      </c>
      <c r="C576" s="87">
        <f>INDEX(Data!2239:2239,1,$P$1-6)+INDEX(Data!2239:2239,1,$P$1-5)</f>
        <v>13498909</v>
      </c>
      <c r="D576" s="404">
        <f>INDEX(Data!2239:2239,1,$P$1-4)+INDEX(Data!2239:2239,1,$P$1-3)</f>
        <v>17175216</v>
      </c>
      <c r="E576" s="90">
        <f>INDEX(Data!2239:2239,1,$P$1-2)+INDEX(Data!2239:2239,1,$P$1-1)</f>
        <v>20022806</v>
      </c>
      <c r="F576" s="88">
        <f>INDEX(Data!2239:2239,1,$P$1)+INDEX(Data!2239:2239,1,$P$1+1)</f>
        <v>19766929</v>
      </c>
      <c r="G576" s="91">
        <f t="shared" si="159"/>
        <v>13560704</v>
      </c>
      <c r="H576" s="87">
        <f t="shared" si="160"/>
        <v>13498909</v>
      </c>
      <c r="I576" s="404">
        <f t="shared" si="161"/>
        <v>17175216</v>
      </c>
      <c r="J576" s="90">
        <f t="shared" si="162"/>
        <v>20022806</v>
      </c>
      <c r="K576" s="88">
        <f t="shared" si="162"/>
        <v>19766929</v>
      </c>
      <c r="L576" s="122"/>
      <c r="M576" s="121"/>
    </row>
    <row r="577" spans="1:13" hidden="1" outlineLevel="1">
      <c r="A577" s="79" t="s">
        <v>1212</v>
      </c>
      <c r="B577" s="86">
        <f>INDEX(Data!2240:2240,1,$P$1-8)+INDEX(Data!2240:2240,1,$P$1-7)</f>
        <v>5449032</v>
      </c>
      <c r="C577" s="87">
        <f>INDEX(Data!2240:2240,1,$P$1-6)+INDEX(Data!2240:2240,1,$P$1-5)</f>
        <v>5418941</v>
      </c>
      <c r="D577" s="404">
        <f>INDEX(Data!2240:2240,1,$P$1-4)+INDEX(Data!2240:2240,1,$P$1-3)</f>
        <v>9293793</v>
      </c>
      <c r="E577" s="90">
        <f>INDEX(Data!2240:2240,1,$P$1-2)+INDEX(Data!2240:2240,1,$P$1-1)</f>
        <v>13236320</v>
      </c>
      <c r="F577" s="88">
        <f>INDEX(Data!2240:2240,1,$P$1)+INDEX(Data!2240:2240,1,$P$1+1)</f>
        <v>13193654</v>
      </c>
      <c r="G577" s="91">
        <f t="shared" si="159"/>
        <v>5449032</v>
      </c>
      <c r="H577" s="87">
        <f t="shared" si="160"/>
        <v>5418941</v>
      </c>
      <c r="I577" s="404">
        <f t="shared" si="161"/>
        <v>9293793</v>
      </c>
      <c r="J577" s="90">
        <f t="shared" si="162"/>
        <v>13236320</v>
      </c>
      <c r="K577" s="88">
        <f t="shared" si="162"/>
        <v>13193654</v>
      </c>
      <c r="L577" s="122"/>
      <c r="M577" s="121"/>
    </row>
    <row r="578" spans="1:13" hidden="1" outlineLevel="1">
      <c r="A578" s="79" t="s">
        <v>1213</v>
      </c>
      <c r="B578" s="86">
        <f>INDEX(Data!2241:2241,1,$P$1-8)+INDEX(Data!2241:2241,1,$P$1-7)</f>
        <v>5271926</v>
      </c>
      <c r="C578" s="87">
        <f>INDEX(Data!2241:2241,1,$P$1-6)+INDEX(Data!2241:2241,1,$P$1-5)</f>
        <v>5269676</v>
      </c>
      <c r="D578" s="404">
        <f>INDEX(Data!2241:2241,1,$P$1-4)+INDEX(Data!2241:2241,1,$P$1-3)</f>
        <v>10143055</v>
      </c>
      <c r="E578" s="90">
        <f>INDEX(Data!2241:2241,1,$P$1-2)+INDEX(Data!2241:2241,1,$P$1-1)</f>
        <v>15380692</v>
      </c>
      <c r="F578" s="88">
        <f>INDEX(Data!2241:2241,1,$P$1)+INDEX(Data!2241:2241,1,$P$1+1)</f>
        <v>15377891</v>
      </c>
      <c r="G578" s="91">
        <f t="shared" si="159"/>
        <v>5271926</v>
      </c>
      <c r="H578" s="87">
        <f t="shared" si="160"/>
        <v>5269676</v>
      </c>
      <c r="I578" s="404">
        <f t="shared" si="161"/>
        <v>10143055</v>
      </c>
      <c r="J578" s="90">
        <f t="shared" si="162"/>
        <v>15380692</v>
      </c>
      <c r="K578" s="88">
        <f t="shared" si="162"/>
        <v>15377891</v>
      </c>
      <c r="L578" s="122"/>
      <c r="M578" s="121"/>
    </row>
    <row r="579" spans="1:13" hidden="1" outlineLevel="1">
      <c r="A579" s="79" t="s">
        <v>861</v>
      </c>
      <c r="B579" s="86">
        <f>INDEX(Data!2242:2242,1,$P$1-8)+INDEX(Data!2242:2242,1,$P$1-7)</f>
        <v>16886539</v>
      </c>
      <c r="C579" s="87">
        <f>INDEX(Data!2242:2242,1,$P$1-6)+INDEX(Data!2242:2242,1,$P$1-5)</f>
        <v>16201186</v>
      </c>
      <c r="D579" s="404">
        <f>INDEX(Data!2242:2242,1,$P$1-4)+INDEX(Data!2242:2242,1,$P$1-3)</f>
        <v>17556146</v>
      </c>
      <c r="E579" s="90">
        <f>INDEX(Data!2242:2242,1,$P$1-2)+INDEX(Data!2242:2242,1,$P$1-1)</f>
        <v>17316858</v>
      </c>
      <c r="F579" s="88">
        <f>INDEX(Data!2242:2242,1,$P$1)+INDEX(Data!2242:2242,1,$P$1+1)</f>
        <v>17166830</v>
      </c>
      <c r="G579" s="91">
        <f t="shared" si="159"/>
        <v>16886539</v>
      </c>
      <c r="H579" s="87">
        <f t="shared" si="160"/>
        <v>16201186</v>
      </c>
      <c r="I579" s="404">
        <f t="shared" si="161"/>
        <v>17556146</v>
      </c>
      <c r="J579" s="90">
        <f t="shared" si="162"/>
        <v>17316858</v>
      </c>
      <c r="K579" s="88">
        <f t="shared" si="162"/>
        <v>17166830</v>
      </c>
      <c r="L579" s="122"/>
      <c r="M579" s="121"/>
    </row>
    <row r="580" spans="1:13" hidden="1" outlineLevel="1">
      <c r="A580" s="79" t="s">
        <v>871</v>
      </c>
      <c r="B580" s="86">
        <f>INDEX(Data!2243:2243,1,$P$1-8)+INDEX(Data!2243:2243,1,$P$1-7)</f>
        <v>7306463</v>
      </c>
      <c r="C580" s="87">
        <f>INDEX(Data!2243:2243,1,$P$1-6)+INDEX(Data!2243:2243,1,$P$1-5)</f>
        <v>7271298</v>
      </c>
      <c r="D580" s="404">
        <f>INDEX(Data!2243:2243,1,$P$1-4)+INDEX(Data!2243:2243,1,$P$1-3)</f>
        <v>10256768</v>
      </c>
      <c r="E580" s="90">
        <f>INDEX(Data!2243:2243,1,$P$1-2)+INDEX(Data!2243:2243,1,$P$1-1)</f>
        <v>12560939</v>
      </c>
      <c r="F580" s="88">
        <f>INDEX(Data!2243:2243,1,$P$1)+INDEX(Data!2243:2243,1,$P$1+1)</f>
        <v>12449420</v>
      </c>
      <c r="G580" s="91">
        <f t="shared" si="159"/>
        <v>7306463</v>
      </c>
      <c r="H580" s="87">
        <f t="shared" si="160"/>
        <v>7271298</v>
      </c>
      <c r="I580" s="404">
        <f t="shared" si="161"/>
        <v>10256768</v>
      </c>
      <c r="J580" s="90">
        <f t="shared" si="162"/>
        <v>12560939</v>
      </c>
      <c r="K580" s="88">
        <f t="shared" si="162"/>
        <v>12449420</v>
      </c>
      <c r="L580" s="122"/>
      <c r="M580" s="121"/>
    </row>
    <row r="581" spans="1:13" hidden="1" outlineLevel="1">
      <c r="A581" s="79" t="s">
        <v>1361</v>
      </c>
      <c r="B581" s="86">
        <f>INDEX(Data!2244:2244,1,$P$1-8)+INDEX(Data!2244:2244,1,$P$1-7)</f>
        <v>3998385</v>
      </c>
      <c r="C581" s="87">
        <f>INDEX(Data!2244:2244,1,$P$1-6)+INDEX(Data!2244:2244,1,$P$1-5)</f>
        <v>3995952</v>
      </c>
      <c r="D581" s="404">
        <f>INDEX(Data!2244:2244,1,$P$1-4)+INDEX(Data!2244:2244,1,$P$1-3)</f>
        <v>7696021</v>
      </c>
      <c r="E581" s="90">
        <f>INDEX(Data!2244:2244,1,$P$1-2)+INDEX(Data!2244:2244,1,$P$1-1)</f>
        <v>10715236</v>
      </c>
      <c r="F581" s="88">
        <f>INDEX(Data!2244:2244,1,$P$1)+INDEX(Data!2244:2244,1,$P$1+1)</f>
        <v>10568881</v>
      </c>
      <c r="G581" s="91">
        <f t="shared" si="159"/>
        <v>3998385</v>
      </c>
      <c r="H581" s="87">
        <f t="shared" si="160"/>
        <v>3995952</v>
      </c>
      <c r="I581" s="404">
        <f t="shared" si="161"/>
        <v>7696021</v>
      </c>
      <c r="J581" s="90">
        <f t="shared" si="162"/>
        <v>10715236</v>
      </c>
      <c r="K581" s="88">
        <f t="shared" si="162"/>
        <v>10568881</v>
      </c>
      <c r="L581" s="122"/>
      <c r="M581" s="121"/>
    </row>
    <row r="582" spans="1:13" hidden="1" outlineLevel="1">
      <c r="A582" s="79" t="s">
        <v>1425</v>
      </c>
      <c r="B582" s="86">
        <f>INDEX(Data!2245:2245,1,$P$1-8)+INDEX(Data!2245:2245,1,$P$1-7)</f>
        <v>11735620</v>
      </c>
      <c r="C582" s="87">
        <f>INDEX(Data!2245:2245,1,$P$1-6)+INDEX(Data!2245:2245,1,$P$1-5)</f>
        <v>11739864</v>
      </c>
      <c r="D582" s="404">
        <f>INDEX(Data!2245:2245,1,$P$1-4)+INDEX(Data!2245:2245,1,$P$1-3)</f>
        <v>14213637</v>
      </c>
      <c r="E582" s="90">
        <f>INDEX(Data!2245:2245,1,$P$1-2)+INDEX(Data!2245:2245,1,$P$1-1)</f>
        <v>15501755</v>
      </c>
      <c r="F582" s="88">
        <f>INDEX(Data!2245:2245,1,$P$1)+INDEX(Data!2245:2245,1,$P$1+1)</f>
        <v>15043177</v>
      </c>
      <c r="G582" s="91">
        <f t="shared" si="159"/>
        <v>11735620</v>
      </c>
      <c r="H582" s="87">
        <f t="shared" si="160"/>
        <v>11739864</v>
      </c>
      <c r="I582" s="404">
        <f t="shared" si="161"/>
        <v>14213637</v>
      </c>
      <c r="J582" s="90">
        <f t="shared" si="162"/>
        <v>15501755</v>
      </c>
      <c r="K582" s="88">
        <f t="shared" si="162"/>
        <v>15043177</v>
      </c>
      <c r="L582" s="122"/>
      <c r="M582" s="121"/>
    </row>
    <row r="583" spans="1:13" hidden="1" outlineLevel="1">
      <c r="A583" s="79" t="s">
        <v>726</v>
      </c>
      <c r="B583" s="86">
        <f>INDEX(Data!2247:2247,1,$P$1-8)+INDEX(Data!2247:2247,1,$P$1-7)</f>
        <v>21386414</v>
      </c>
      <c r="C583" s="87">
        <f>INDEX(Data!2247:2247,1,$P$1-6)+INDEX(Data!2247:2247,1,$P$1-5)</f>
        <v>19772534</v>
      </c>
      <c r="D583" s="404">
        <f>INDEX(Data!2247:2247,1,$P$1-4)+INDEX(Data!2247:2247,1,$P$1-3)</f>
        <v>28764180</v>
      </c>
      <c r="E583" s="90">
        <f>INDEX(Data!2247:2247,1,$P$1-2)+INDEX(Data!2247:2247,1,$P$1-1)</f>
        <v>34336921</v>
      </c>
      <c r="F583" s="88">
        <f>INDEX(Data!2247:2247,1,$P$1)+INDEX(Data!2247:2247,1,$P$1+1)</f>
        <v>30927204</v>
      </c>
      <c r="G583" s="91">
        <f t="shared" si="159"/>
        <v>21386414</v>
      </c>
      <c r="H583" s="87">
        <f t="shared" si="160"/>
        <v>19772534</v>
      </c>
      <c r="I583" s="404">
        <f t="shared" si="161"/>
        <v>28764180</v>
      </c>
      <c r="J583" s="90">
        <f t="shared" si="162"/>
        <v>34336921</v>
      </c>
      <c r="K583" s="88">
        <f t="shared" si="162"/>
        <v>30927204</v>
      </c>
      <c r="L583" s="122"/>
      <c r="M583" s="121"/>
    </row>
    <row r="584" spans="1:13" hidden="1" outlineLevel="1">
      <c r="A584" s="79" t="s">
        <v>1363</v>
      </c>
      <c r="B584" s="86">
        <f>INDEX(Data!2248:2248,1,$P$1-8)+INDEX(Data!2248:2248,1,$P$1-7)</f>
        <v>6045951</v>
      </c>
      <c r="C584" s="87">
        <f>INDEX(Data!2248:2248,1,$P$1-6)+INDEX(Data!2248:2248,1,$P$1-5)</f>
        <v>5562641</v>
      </c>
      <c r="D584" s="404">
        <f>INDEX(Data!2248:2248,1,$P$1-4)+INDEX(Data!2248:2248,1,$P$1-3)</f>
        <v>11663038</v>
      </c>
      <c r="E584" s="90">
        <f>INDEX(Data!2248:2248,1,$P$1-2)+INDEX(Data!2248:2248,1,$P$1-1)</f>
        <v>16855476</v>
      </c>
      <c r="F584" s="88">
        <f>INDEX(Data!2248:2248,1,$P$1)+INDEX(Data!2248:2248,1,$P$1+1)</f>
        <v>16401217</v>
      </c>
      <c r="G584" s="91">
        <f t="shared" si="159"/>
        <v>6045951</v>
      </c>
      <c r="H584" s="87">
        <f t="shared" si="160"/>
        <v>5562641</v>
      </c>
      <c r="I584" s="404">
        <f t="shared" si="161"/>
        <v>11663038</v>
      </c>
      <c r="J584" s="90">
        <f t="shared" si="162"/>
        <v>16855476</v>
      </c>
      <c r="K584" s="88">
        <f t="shared" si="162"/>
        <v>16401217</v>
      </c>
      <c r="L584" s="122"/>
      <c r="M584" s="121"/>
    </row>
    <row r="585" spans="1:13" hidden="1" outlineLevel="1">
      <c r="A585" s="79" t="s">
        <v>1364</v>
      </c>
      <c r="B585" s="86">
        <f>INDEX(Data!2249:2249,1,$P$1-8)+INDEX(Data!2249:2249,1,$P$1-7)</f>
        <v>12386577</v>
      </c>
      <c r="C585" s="87">
        <f>INDEX(Data!2249:2249,1,$P$1-6)+INDEX(Data!2249:2249,1,$P$1-5)</f>
        <v>12096414</v>
      </c>
      <c r="D585" s="404">
        <f>INDEX(Data!2249:2249,1,$P$1-4)+INDEX(Data!2249:2249,1,$P$1-3)</f>
        <v>16557574</v>
      </c>
      <c r="E585" s="90">
        <f>INDEX(Data!2249:2249,1,$P$1-2)+INDEX(Data!2249:2249,1,$P$1-1)</f>
        <v>17075508</v>
      </c>
      <c r="F585" s="88">
        <f>INDEX(Data!2249:2249,1,$P$1)+INDEX(Data!2249:2249,1,$P$1+1)</f>
        <v>15007996</v>
      </c>
      <c r="G585" s="91">
        <f t="shared" si="159"/>
        <v>12386577</v>
      </c>
      <c r="H585" s="87">
        <f t="shared" si="160"/>
        <v>12096414</v>
      </c>
      <c r="I585" s="404">
        <f t="shared" si="161"/>
        <v>16557574</v>
      </c>
      <c r="J585" s="90">
        <f t="shared" si="162"/>
        <v>17075508</v>
      </c>
      <c r="K585" s="88">
        <f t="shared" si="162"/>
        <v>15007996</v>
      </c>
      <c r="L585" s="122"/>
      <c r="M585" s="121"/>
    </row>
    <row r="586" spans="1:13" hidden="1" outlineLevel="1">
      <c r="A586" s="79" t="s">
        <v>1365</v>
      </c>
      <c r="B586" s="86">
        <f>INDEX(Data!2250:2250,1,$P$1-8)+INDEX(Data!2250:2250,1,$P$1-7)</f>
        <v>7825598</v>
      </c>
      <c r="C586" s="87">
        <f>INDEX(Data!2250:2250,1,$P$1-6)+INDEX(Data!2250:2250,1,$P$1-5)</f>
        <v>7509278</v>
      </c>
      <c r="D586" s="404">
        <f>INDEX(Data!2250:2250,1,$P$1-4)+INDEX(Data!2250:2250,1,$P$1-3)</f>
        <v>12153661</v>
      </c>
      <c r="E586" s="90">
        <f>INDEX(Data!2250:2250,1,$P$1-2)+INDEX(Data!2250:2250,1,$P$1-1)</f>
        <v>12254917</v>
      </c>
      <c r="F586" s="88">
        <f>INDEX(Data!2250:2250,1,$P$1)+INDEX(Data!2250:2250,1,$P$1+1)</f>
        <v>8245467</v>
      </c>
      <c r="G586" s="91">
        <f t="shared" si="159"/>
        <v>7825598</v>
      </c>
      <c r="H586" s="87">
        <f t="shared" si="160"/>
        <v>7509278</v>
      </c>
      <c r="I586" s="404">
        <f t="shared" si="161"/>
        <v>12153661</v>
      </c>
      <c r="J586" s="90">
        <f t="shared" si="162"/>
        <v>12254917</v>
      </c>
      <c r="K586" s="88">
        <f t="shared" si="162"/>
        <v>8245467</v>
      </c>
      <c r="L586" s="122"/>
      <c r="M586" s="121"/>
    </row>
    <row r="587" spans="1:13" hidden="1" outlineLevel="1">
      <c r="A587" s="79" t="s">
        <v>730</v>
      </c>
      <c r="B587" s="86">
        <f>INDEX(Data!2251:2251,1,$P$1-8)+INDEX(Data!2251:2251,1,$P$1-7)</f>
        <v>4317019</v>
      </c>
      <c r="C587" s="87">
        <f>INDEX(Data!2251:2251,1,$P$1-6)+INDEX(Data!2251:2251,1,$P$1-5)</f>
        <v>4321591</v>
      </c>
      <c r="D587" s="404">
        <f>INDEX(Data!2251:2251,1,$P$1-4)+INDEX(Data!2251:2251,1,$P$1-3)</f>
        <v>8825612</v>
      </c>
      <c r="E587" s="90">
        <f>INDEX(Data!2251:2251,1,$P$1-2)+INDEX(Data!2251:2251,1,$P$1-1)</f>
        <v>14259437</v>
      </c>
      <c r="F587" s="88">
        <f>INDEX(Data!2251:2251,1,$P$1)+INDEX(Data!2251:2251,1,$P$1+1)</f>
        <v>10303400</v>
      </c>
      <c r="G587" s="91">
        <f t="shared" si="159"/>
        <v>4317019</v>
      </c>
      <c r="H587" s="87">
        <f t="shared" si="160"/>
        <v>4321591</v>
      </c>
      <c r="I587" s="404">
        <f t="shared" si="161"/>
        <v>8825612</v>
      </c>
      <c r="J587" s="90">
        <f t="shared" si="162"/>
        <v>14259437</v>
      </c>
      <c r="K587" s="88">
        <f t="shared" si="162"/>
        <v>10303400</v>
      </c>
      <c r="L587" s="122"/>
      <c r="M587" s="121"/>
    </row>
    <row r="588" spans="1:13" hidden="1" outlineLevel="1">
      <c r="A588" s="79" t="s">
        <v>731</v>
      </c>
      <c r="B588" s="86">
        <f>INDEX(Data!2253:2253,1,$P$1-8)+INDEX(Data!2253:2253,1,$P$1-7)</f>
        <v>16744500</v>
      </c>
      <c r="C588" s="87">
        <f>INDEX(Data!2253:2253,1,$P$1-6)+INDEX(Data!2253:2253,1,$P$1-5)</f>
        <v>16748800</v>
      </c>
      <c r="D588" s="404">
        <f>INDEX(Data!2253:2253,1,$P$1-4)+INDEX(Data!2253:2253,1,$P$1-3)</f>
        <v>20340962</v>
      </c>
      <c r="E588" s="90">
        <f>INDEX(Data!2253:2253,1,$P$1-2)+INDEX(Data!2253:2253,1,$P$1-1)</f>
        <v>23053173</v>
      </c>
      <c r="F588" s="88">
        <f>INDEX(Data!2253:2253,1,$P$1)+INDEX(Data!2253:2253,1,$P$1+1)</f>
        <v>20027889</v>
      </c>
      <c r="G588" s="91">
        <f t="shared" si="159"/>
        <v>16744500</v>
      </c>
      <c r="H588" s="87">
        <f t="shared" si="160"/>
        <v>16748800</v>
      </c>
      <c r="I588" s="404">
        <f t="shared" si="161"/>
        <v>20340962</v>
      </c>
      <c r="J588" s="90">
        <f t="shared" si="162"/>
        <v>23053173</v>
      </c>
      <c r="K588" s="88">
        <f t="shared" si="162"/>
        <v>20027889</v>
      </c>
      <c r="L588" s="122"/>
      <c r="M588" s="121"/>
    </row>
    <row r="589" spans="1:13" hidden="1" outlineLevel="1">
      <c r="A589" s="79" t="s">
        <v>1689</v>
      </c>
      <c r="B589" s="86">
        <f>INDEX(Data!2254:2254,1,$P$1-8)+INDEX(Data!2254:2254,1,$P$1-7)</f>
        <v>6471850</v>
      </c>
      <c r="C589" s="87">
        <f>INDEX(Data!2254:2254,1,$P$1-6)+INDEX(Data!2254:2254,1,$P$1-5)</f>
        <v>6470325</v>
      </c>
      <c r="D589" s="404">
        <f>INDEX(Data!2254:2254,1,$P$1-4)+INDEX(Data!2254:2254,1,$P$1-3)</f>
        <v>11342604</v>
      </c>
      <c r="E589" s="90">
        <f>INDEX(Data!2254:2254,1,$P$1-2)+INDEX(Data!2254:2254,1,$P$1-1)</f>
        <v>15861541</v>
      </c>
      <c r="F589" s="88">
        <f>INDEX(Data!2254:2254,1,$P$1)+INDEX(Data!2254:2254,1,$P$1+1)</f>
        <v>15646553</v>
      </c>
      <c r="G589" s="91">
        <f t="shared" si="159"/>
        <v>6471850</v>
      </c>
      <c r="H589" s="87">
        <f t="shared" si="160"/>
        <v>6470325</v>
      </c>
      <c r="I589" s="404">
        <f t="shared" si="161"/>
        <v>11342604</v>
      </c>
      <c r="J589" s="90">
        <f t="shared" si="162"/>
        <v>15861541</v>
      </c>
      <c r="K589" s="88">
        <f t="shared" si="162"/>
        <v>15646553</v>
      </c>
      <c r="L589" s="122"/>
      <c r="M589" s="121"/>
    </row>
    <row r="590" spans="1:13" hidden="1" outlineLevel="1">
      <c r="A590" s="79" t="s">
        <v>1426</v>
      </c>
      <c r="B590" s="86">
        <f>INDEX(Data!2255:2255,1,$P$1-8)+INDEX(Data!2255:2255,1,$P$1-7)</f>
        <v>8896194</v>
      </c>
      <c r="C590" s="87">
        <f>INDEX(Data!2255:2255,1,$P$1-6)+INDEX(Data!2255:2255,1,$P$1-5)</f>
        <v>8876416</v>
      </c>
      <c r="D590" s="404">
        <f>INDEX(Data!2255:2255,1,$P$1-4)+INDEX(Data!2255:2255,1,$P$1-3)</f>
        <v>12214235</v>
      </c>
      <c r="E590" s="90">
        <f>INDEX(Data!2255:2255,1,$P$1-2)+INDEX(Data!2255:2255,1,$P$1-1)</f>
        <v>14885532</v>
      </c>
      <c r="F590" s="88">
        <f>INDEX(Data!2255:2255,1,$P$1)+INDEX(Data!2255:2255,1,$P$1+1)</f>
        <v>11828456</v>
      </c>
      <c r="G590" s="91">
        <f t="shared" si="159"/>
        <v>8896194</v>
      </c>
      <c r="H590" s="87">
        <f t="shared" si="160"/>
        <v>8876416</v>
      </c>
      <c r="I590" s="404">
        <f t="shared" si="161"/>
        <v>12214235</v>
      </c>
      <c r="J590" s="90">
        <f t="shared" si="162"/>
        <v>14885532</v>
      </c>
      <c r="K590" s="88">
        <f t="shared" si="162"/>
        <v>11828456</v>
      </c>
      <c r="L590" s="122"/>
      <c r="M590" s="121"/>
    </row>
    <row r="591" spans="1:13" hidden="1" outlineLevel="1">
      <c r="A591" s="79" t="s">
        <v>733</v>
      </c>
      <c r="B591" s="86">
        <f>INDEX(Data!2256:2256,1,$P$1-8)+INDEX(Data!2256:2256,1,$P$1-7)</f>
        <v>21110040</v>
      </c>
      <c r="C591" s="87">
        <f>INDEX(Data!2256:2256,1,$P$1-6)+INDEX(Data!2256:2256,1,$P$1-5)</f>
        <v>20646295</v>
      </c>
      <c r="D591" s="404">
        <f>INDEX(Data!2256:2256,1,$P$1-4)+INDEX(Data!2256:2256,1,$P$1-3)</f>
        <v>23429793</v>
      </c>
      <c r="E591" s="90">
        <f>INDEX(Data!2256:2256,1,$P$1-2)+INDEX(Data!2256:2256,1,$P$1-1)</f>
        <v>26043176</v>
      </c>
      <c r="F591" s="88">
        <f>INDEX(Data!2256:2256,1,$P$1)+INDEX(Data!2256:2256,1,$P$1+1)</f>
        <v>26540007</v>
      </c>
      <c r="G591" s="91">
        <f t="shared" si="159"/>
        <v>21110040</v>
      </c>
      <c r="H591" s="87">
        <f t="shared" si="160"/>
        <v>20646295</v>
      </c>
      <c r="I591" s="404">
        <f t="shared" si="161"/>
        <v>23429793</v>
      </c>
      <c r="J591" s="90">
        <f t="shared" si="162"/>
        <v>26043176</v>
      </c>
      <c r="K591" s="88">
        <f t="shared" si="162"/>
        <v>26540007</v>
      </c>
      <c r="L591" s="122"/>
      <c r="M591" s="121"/>
    </row>
    <row r="592" spans="1:13" hidden="1" outlineLevel="1">
      <c r="A592" s="79" t="s">
        <v>735</v>
      </c>
      <c r="B592" s="86">
        <f>INDEX(Data!2258:2258,1,$P$1-8)+INDEX(Data!2258:2258,1,$P$1-7)</f>
        <v>18472913</v>
      </c>
      <c r="C592" s="87">
        <f>INDEX(Data!2258:2258,1,$P$1-6)+INDEX(Data!2258:2258,1,$P$1-5)</f>
        <v>18105155</v>
      </c>
      <c r="D592" s="404">
        <f>INDEX(Data!2258:2258,1,$P$1-4)+INDEX(Data!2258:2258,1,$P$1-3)</f>
        <v>19742436</v>
      </c>
      <c r="E592" s="90">
        <f>INDEX(Data!2258:2258,1,$P$1-2)+INDEX(Data!2258:2258,1,$P$1-1)</f>
        <v>28997879</v>
      </c>
      <c r="F592" s="88">
        <f>INDEX(Data!2258:2258,1,$P$1)+INDEX(Data!2258:2258,1,$P$1+1)</f>
        <v>26996840</v>
      </c>
      <c r="G592" s="91">
        <f t="shared" si="159"/>
        <v>18472913</v>
      </c>
      <c r="H592" s="87">
        <f t="shared" si="160"/>
        <v>18105155</v>
      </c>
      <c r="I592" s="404">
        <f t="shared" si="161"/>
        <v>19742436</v>
      </c>
      <c r="J592" s="90">
        <f t="shared" si="162"/>
        <v>28997879</v>
      </c>
      <c r="K592" s="88">
        <f t="shared" si="162"/>
        <v>26996840</v>
      </c>
      <c r="L592" s="122"/>
      <c r="M592" s="121"/>
    </row>
    <row r="593" spans="1:13" hidden="1" outlineLevel="1">
      <c r="A593" s="79" t="s">
        <v>855</v>
      </c>
      <c r="B593" s="86">
        <f>INDEX(Data!2259:2259,1,$P$1-8)+INDEX(Data!2259:2259,1,$P$1-7)</f>
        <v>7966063</v>
      </c>
      <c r="C593" s="87">
        <f>INDEX(Data!2259:2259,1,$P$1-6)+INDEX(Data!2259:2259,1,$P$1-5)</f>
        <v>6672467</v>
      </c>
      <c r="D593" s="404">
        <f>INDEX(Data!2259:2259,1,$P$1-4)+INDEX(Data!2259:2259,1,$P$1-3)</f>
        <v>7129404</v>
      </c>
      <c r="E593" s="90">
        <f>INDEX(Data!2259:2259,1,$P$1-2)+INDEX(Data!2259:2259,1,$P$1-1)</f>
        <v>7258714</v>
      </c>
      <c r="F593" s="88">
        <f>INDEX(Data!2259:2259,1,$P$1)+INDEX(Data!2259:2259,1,$P$1+1)</f>
        <v>5739590</v>
      </c>
      <c r="G593" s="91">
        <f t="shared" si="159"/>
        <v>7966063</v>
      </c>
      <c r="H593" s="87">
        <f t="shared" si="160"/>
        <v>6672467</v>
      </c>
      <c r="I593" s="404">
        <f t="shared" si="161"/>
        <v>7129404</v>
      </c>
      <c r="J593" s="90">
        <f t="shared" si="162"/>
        <v>7258714</v>
      </c>
      <c r="K593" s="88">
        <f t="shared" si="162"/>
        <v>5739590</v>
      </c>
      <c r="L593" s="122"/>
      <c r="M593" s="121"/>
    </row>
    <row r="594" spans="1:13" hidden="1" outlineLevel="1">
      <c r="A594" s="79" t="s">
        <v>737</v>
      </c>
      <c r="B594" s="86">
        <f>INDEX(Data!2260:2260,1,$P$1-8)+INDEX(Data!2260:2260,1,$P$1-7)</f>
        <v>8877493</v>
      </c>
      <c r="C594" s="87">
        <f>INDEX(Data!2260:2260,1,$P$1-6)+INDEX(Data!2260:2260,1,$P$1-5)</f>
        <v>8350063</v>
      </c>
      <c r="D594" s="404">
        <f>INDEX(Data!2260:2260,1,$P$1-4)+INDEX(Data!2260:2260,1,$P$1-3)</f>
        <v>11294143</v>
      </c>
      <c r="E594" s="90">
        <f>INDEX(Data!2260:2260,1,$P$1-2)+INDEX(Data!2260:2260,1,$P$1-1)</f>
        <v>14230972</v>
      </c>
      <c r="F594" s="88">
        <f>INDEX(Data!2260:2260,1,$P$1)+INDEX(Data!2260:2260,1,$P$1+1)</f>
        <v>12488825</v>
      </c>
      <c r="G594" s="91">
        <f t="shared" si="159"/>
        <v>8877493</v>
      </c>
      <c r="H594" s="87">
        <f t="shared" si="160"/>
        <v>8350063</v>
      </c>
      <c r="I594" s="404">
        <f t="shared" si="161"/>
        <v>11294143</v>
      </c>
      <c r="J594" s="90">
        <f t="shared" si="162"/>
        <v>14230972</v>
      </c>
      <c r="K594" s="88">
        <f t="shared" si="162"/>
        <v>12488825</v>
      </c>
      <c r="L594" s="122"/>
      <c r="M594" s="121"/>
    </row>
    <row r="595" spans="1:13" hidden="1" outlineLevel="1">
      <c r="A595" s="79" t="s">
        <v>738</v>
      </c>
      <c r="B595" s="86">
        <f>INDEX(Data!2262:2262,1,$P$1-8)+INDEX(Data!2262:2262,1,$P$1-7)</f>
        <v>4947387</v>
      </c>
      <c r="C595" s="87">
        <f>INDEX(Data!2262:2262,1,$P$1-6)+INDEX(Data!2262:2262,1,$P$1-5)</f>
        <v>4893943</v>
      </c>
      <c r="D595" s="404">
        <f>INDEX(Data!2262:2262,1,$P$1-4)+INDEX(Data!2262:2262,1,$P$1-3)</f>
        <v>9555487</v>
      </c>
      <c r="E595" s="90">
        <f>INDEX(Data!2262:2262,1,$P$1-2)+INDEX(Data!2262:2262,1,$P$1-1)</f>
        <v>13477382</v>
      </c>
      <c r="F595" s="88">
        <f>INDEX(Data!2262:2262,1,$P$1)+INDEX(Data!2262:2262,1,$P$1+1)</f>
        <v>12866586</v>
      </c>
      <c r="G595" s="91">
        <f t="shared" si="159"/>
        <v>4947387</v>
      </c>
      <c r="H595" s="87">
        <f t="shared" si="160"/>
        <v>4893943</v>
      </c>
      <c r="I595" s="404">
        <f t="shared" si="161"/>
        <v>9555487</v>
      </c>
      <c r="J595" s="90">
        <f t="shared" si="162"/>
        <v>13477382</v>
      </c>
      <c r="K595" s="88">
        <f t="shared" si="162"/>
        <v>12866586</v>
      </c>
      <c r="L595" s="122"/>
      <c r="M595" s="121"/>
    </row>
    <row r="596" spans="1:13" hidden="1" outlineLevel="1">
      <c r="A596" s="79" t="s">
        <v>1367</v>
      </c>
      <c r="B596" s="86">
        <f>INDEX(Data!2266:2266,1,$P$1-8)+INDEX(Data!2266:2266,1,$P$1-7)</f>
        <v>5387330</v>
      </c>
      <c r="C596" s="87">
        <f>INDEX(Data!2266:2266,1,$P$1-6)+INDEX(Data!2266:2266,1,$P$1-5)</f>
        <v>5199776</v>
      </c>
      <c r="D596" s="404">
        <f>INDEX(Data!2266:2266,1,$P$1-4)+INDEX(Data!2266:2266,1,$P$1-3)</f>
        <v>8774584</v>
      </c>
      <c r="E596" s="90">
        <f>INDEX(Data!2266:2266,1,$P$1-2)+INDEX(Data!2266:2266,1,$P$1-1)</f>
        <v>11795100</v>
      </c>
      <c r="F596" s="88">
        <f>INDEX(Data!2266:2266,1,$P$1)+INDEX(Data!2266:2266,1,$P$1+1)</f>
        <v>11166139</v>
      </c>
      <c r="G596" s="91">
        <f t="shared" si="159"/>
        <v>5387330</v>
      </c>
      <c r="H596" s="87">
        <f t="shared" si="160"/>
        <v>5199776</v>
      </c>
      <c r="I596" s="404">
        <f t="shared" si="161"/>
        <v>8774584</v>
      </c>
      <c r="J596" s="90">
        <f t="shared" si="162"/>
        <v>11795100</v>
      </c>
      <c r="K596" s="88">
        <f t="shared" si="162"/>
        <v>11166139</v>
      </c>
      <c r="L596" s="122"/>
      <c r="M596" s="121"/>
    </row>
    <row r="597" spans="1:13" hidden="1" outlineLevel="1">
      <c r="A597" s="79" t="s">
        <v>1094</v>
      </c>
      <c r="B597" s="86">
        <f>INDEX(Data!2267:2267,1,$P$1-8)+INDEX(Data!2267:2267,1,$P$1-7)</f>
        <v>21857318</v>
      </c>
      <c r="C597" s="87">
        <f>INDEX(Data!2267:2267,1,$P$1-6)+INDEX(Data!2267:2267,1,$P$1-5)</f>
        <v>21240243</v>
      </c>
      <c r="D597" s="404">
        <f>INDEX(Data!2267:2267,1,$P$1-4)+INDEX(Data!2267:2267,1,$P$1-3)</f>
        <v>29313781</v>
      </c>
      <c r="E597" s="90">
        <f>INDEX(Data!2267:2267,1,$P$1-2)+INDEX(Data!2267:2267,1,$P$1-1)</f>
        <v>36128268</v>
      </c>
      <c r="F597" s="88">
        <f>INDEX(Data!2267:2267,1,$P$1)+INDEX(Data!2267:2267,1,$P$1+1)</f>
        <v>34147156</v>
      </c>
      <c r="G597" s="91">
        <f t="shared" si="159"/>
        <v>21857318</v>
      </c>
      <c r="H597" s="87">
        <f t="shared" si="160"/>
        <v>21240243</v>
      </c>
      <c r="I597" s="404">
        <f t="shared" si="161"/>
        <v>29313781</v>
      </c>
      <c r="J597" s="90">
        <f t="shared" si="162"/>
        <v>36128268</v>
      </c>
      <c r="K597" s="88">
        <f t="shared" si="162"/>
        <v>34147156</v>
      </c>
      <c r="L597" s="122"/>
      <c r="M597" s="121"/>
    </row>
    <row r="598" spans="1:13" hidden="1" outlineLevel="1">
      <c r="A598" s="79" t="s">
        <v>859</v>
      </c>
      <c r="B598" s="86">
        <f>INDEX(Data!2268:2268,1,$P$1-8)+INDEX(Data!2268:2268,1,$P$1-7)</f>
        <v>5382484</v>
      </c>
      <c r="C598" s="87">
        <f>INDEX(Data!2268:2268,1,$P$1-6)+INDEX(Data!2268:2268,1,$P$1-5)</f>
        <v>5112821</v>
      </c>
      <c r="D598" s="404">
        <f>INDEX(Data!2268:2268,1,$P$1-4)+INDEX(Data!2268:2268,1,$P$1-3)</f>
        <v>5378242</v>
      </c>
      <c r="E598" s="90">
        <f>INDEX(Data!2268:2268,1,$P$1-2)+INDEX(Data!2268:2268,1,$P$1-1)</f>
        <v>4255733</v>
      </c>
      <c r="F598" s="88">
        <f>INDEX(Data!2268:2268,1,$P$1)+INDEX(Data!2268:2268,1,$P$1+1)</f>
        <v>3024505</v>
      </c>
      <c r="G598" s="91">
        <f t="shared" si="159"/>
        <v>5382484</v>
      </c>
      <c r="H598" s="87">
        <f t="shared" si="160"/>
        <v>5112821</v>
      </c>
      <c r="I598" s="404">
        <f t="shared" si="161"/>
        <v>5378242</v>
      </c>
      <c r="J598" s="90">
        <f t="shared" si="162"/>
        <v>4255733</v>
      </c>
      <c r="K598" s="88">
        <f t="shared" si="162"/>
        <v>3024505</v>
      </c>
      <c r="L598" s="122"/>
      <c r="M598" s="121"/>
    </row>
    <row r="599" spans="1:13" ht="25.5" hidden="1" outlineLevel="1">
      <c r="A599" s="79" t="s">
        <v>1427</v>
      </c>
      <c r="B599" s="86">
        <f>INDEX(Data!2269:2269,1,$P$1-8)+INDEX(Data!2269:2269,1,$P$1-7)</f>
        <v>0</v>
      </c>
      <c r="C599" s="87">
        <f>INDEX(Data!2269:2269,1,$P$1-6)+INDEX(Data!2269:2269,1,$P$1-5)</f>
        <v>0</v>
      </c>
      <c r="D599" s="404">
        <f>INDEX(Data!2269:2269,1,$P$1-4)+INDEX(Data!2269:2269,1,$P$1-3)</f>
        <v>0</v>
      </c>
      <c r="E599" s="90">
        <f>INDEX(Data!2269:2269,1,$P$1-2)+INDEX(Data!2269:2269,1,$P$1-1)</f>
        <v>0</v>
      </c>
      <c r="F599" s="88">
        <f>INDEX(Data!2269:2269,1,$P$1)+INDEX(Data!2269:2269,1,$P$1+1)</f>
        <v>0</v>
      </c>
      <c r="G599" s="91">
        <f t="shared" si="159"/>
        <v>0</v>
      </c>
      <c r="H599" s="87">
        <f t="shared" si="160"/>
        <v>0</v>
      </c>
      <c r="I599" s="404">
        <f t="shared" si="161"/>
        <v>0</v>
      </c>
      <c r="J599" s="90">
        <f t="shared" si="162"/>
        <v>0</v>
      </c>
      <c r="K599" s="88">
        <f t="shared" si="162"/>
        <v>0</v>
      </c>
      <c r="L599" s="122"/>
      <c r="M599" s="121"/>
    </row>
    <row r="600" spans="1:13" collapsed="1">
      <c r="A600" s="113" t="s">
        <v>784</v>
      </c>
      <c r="B600" s="105">
        <f>SUM(B561:B599)</f>
        <v>420697705</v>
      </c>
      <c r="C600" s="106">
        <f>SUM(C561:C599)</f>
        <v>413339746</v>
      </c>
      <c r="D600" s="465">
        <f>SUM(D561:D599)</f>
        <v>564328815</v>
      </c>
      <c r="E600" s="115">
        <f>SUM(E561:E599)</f>
        <v>694480035</v>
      </c>
      <c r="F600" s="107">
        <f>SUM(F561:F599)</f>
        <v>663279720</v>
      </c>
      <c r="G600" s="405">
        <f t="shared" ref="G600:J600" si="168">SUM(G561:G599)</f>
        <v>420697705</v>
      </c>
      <c r="H600" s="106">
        <f t="shared" si="168"/>
        <v>413339746</v>
      </c>
      <c r="I600" s="465">
        <f t="shared" si="168"/>
        <v>564328815</v>
      </c>
      <c r="J600" s="115">
        <f t="shared" si="168"/>
        <v>694480035</v>
      </c>
      <c r="K600" s="107">
        <f t="shared" ref="K600" si="169">SUM(K561:K599)</f>
        <v>663279720</v>
      </c>
      <c r="L600" s="122"/>
      <c r="M600" s="121"/>
    </row>
    <row r="601" spans="1:13" ht="25.5" hidden="1" outlineLevel="1">
      <c r="A601" s="79" t="s">
        <v>1428</v>
      </c>
      <c r="B601" s="86">
        <f>INDEX(Data!2222:2222,1,$P$1-8)+INDEX(Data!2222:2222,1,$P$1-7)</f>
        <v>0</v>
      </c>
      <c r="C601" s="87">
        <f>INDEX(Data!2222:2222,1,$P$1-6)+INDEX(Data!2222:2222,1,$P$1-5)</f>
        <v>0</v>
      </c>
      <c r="D601" s="404">
        <f>INDEX(Data!2222:2222,1,$P$1-4)+INDEX(Data!2222:2222,1,$P$1-3)</f>
        <v>0</v>
      </c>
      <c r="E601" s="90">
        <f>INDEX(Data!2222:2222,1,$P$1-2)+INDEX(Data!2222:2222,1,$P$1-1)</f>
        <v>0</v>
      </c>
      <c r="F601" s="88">
        <f>INDEX(Data!2222:2222,1,$P$1)+INDEX(Data!2222:2222,1,$P$1+1)</f>
        <v>0</v>
      </c>
      <c r="G601" s="91">
        <f t="shared" ref="G601:K606" si="170">B601</f>
        <v>0</v>
      </c>
      <c r="H601" s="87">
        <f t="shared" si="170"/>
        <v>0</v>
      </c>
      <c r="I601" s="404">
        <f t="shared" si="170"/>
        <v>0</v>
      </c>
      <c r="J601" s="90">
        <f t="shared" si="170"/>
        <v>0</v>
      </c>
      <c r="K601" s="88">
        <f t="shared" si="170"/>
        <v>0</v>
      </c>
      <c r="L601" s="122"/>
      <c r="M601" s="123"/>
    </row>
    <row r="602" spans="1:13" hidden="1" outlineLevel="1">
      <c r="A602" s="79" t="s">
        <v>40</v>
      </c>
      <c r="B602" s="86">
        <f>INDEX(Data!2233:2233,1,$P$1-8)+INDEX(Data!2233:2233,1,$P$1-7)</f>
        <v>0</v>
      </c>
      <c r="C602" s="87">
        <f>INDEX(Data!2233:2233,1,$P$1-6)+INDEX(Data!2233:2233,1,$P$1-5)</f>
        <v>0</v>
      </c>
      <c r="D602" s="404">
        <f>INDEX(Data!2233:2233,1,$P$1-4)+INDEX(Data!2233:2233,1,$P$1-3)</f>
        <v>0</v>
      </c>
      <c r="E602" s="90">
        <f>INDEX(Data!2233:2233,1,$P$1-2)+INDEX(Data!2233:2233,1,$P$1-1)</f>
        <v>0</v>
      </c>
      <c r="F602" s="88">
        <f>INDEX(Data!2233:2233,1,$P$1)+INDEX(Data!2233:2233,1,$P$1+1)</f>
        <v>0</v>
      </c>
      <c r="G602" s="91">
        <f t="shared" si="170"/>
        <v>0</v>
      </c>
      <c r="H602" s="87">
        <f t="shared" si="170"/>
        <v>0</v>
      </c>
      <c r="I602" s="404">
        <f t="shared" si="170"/>
        <v>0</v>
      </c>
      <c r="J602" s="90">
        <f t="shared" si="170"/>
        <v>0</v>
      </c>
      <c r="K602" s="88">
        <f t="shared" si="170"/>
        <v>0</v>
      </c>
      <c r="L602" s="122"/>
      <c r="M602" s="121"/>
    </row>
    <row r="603" spans="1:13" hidden="1" outlineLevel="1">
      <c r="A603" s="79" t="s">
        <v>45</v>
      </c>
      <c r="B603" s="86">
        <f>INDEX(Data!2246:2246,1,$P$1-8)+INDEX(Data!2246:2246,1,$P$1-7)</f>
        <v>0</v>
      </c>
      <c r="C603" s="87">
        <f>INDEX(Data!2246:2246,1,$P$1-6)+INDEX(Data!2246:2246,1,$P$1-5)</f>
        <v>0</v>
      </c>
      <c r="D603" s="404">
        <f>INDEX(Data!2246:2246,1,$P$1-4)+INDEX(Data!2246:2246,1,$P$1-3)</f>
        <v>3622254</v>
      </c>
      <c r="E603" s="90">
        <f>INDEX(Data!2246:2246,1,$P$1-2)+INDEX(Data!2246:2246,1,$P$1-1)</f>
        <v>10704183</v>
      </c>
      <c r="F603" s="88">
        <f>INDEX(Data!2246:2246,1,$P$1)+INDEX(Data!2246:2246,1,$P$1+1)</f>
        <v>9429125</v>
      </c>
      <c r="G603" s="91">
        <f t="shared" si="170"/>
        <v>0</v>
      </c>
      <c r="H603" s="87">
        <f t="shared" si="170"/>
        <v>0</v>
      </c>
      <c r="I603" s="404">
        <f t="shared" si="170"/>
        <v>3622254</v>
      </c>
      <c r="J603" s="90">
        <f t="shared" si="170"/>
        <v>10704183</v>
      </c>
      <c r="K603" s="88">
        <f t="shared" si="170"/>
        <v>9429125</v>
      </c>
      <c r="L603" s="122"/>
      <c r="M603" s="121"/>
    </row>
    <row r="604" spans="1:13" hidden="1" outlineLevel="1">
      <c r="A604" s="79" t="s">
        <v>51</v>
      </c>
      <c r="B604" s="86">
        <f>INDEX(Data!2252:2252,1,$P$1-8)+INDEX(Data!2252:2252,1,$P$1-7)</f>
        <v>0</v>
      </c>
      <c r="C604" s="87">
        <f>INDEX(Data!2252:2252,1,$P$1-6)+INDEX(Data!2252:2252,1,$P$1-5)</f>
        <v>0</v>
      </c>
      <c r="D604" s="404">
        <f>INDEX(Data!2252:2252,1,$P$1-4)+INDEX(Data!2252:2252,1,$P$1-3)</f>
        <v>4331359</v>
      </c>
      <c r="E604" s="90">
        <f>INDEX(Data!2252:2252,1,$P$1-2)+INDEX(Data!2252:2252,1,$P$1-1)</f>
        <v>8734000</v>
      </c>
      <c r="F604" s="88">
        <f>INDEX(Data!2252:2252,1,$P$1)+INDEX(Data!2252:2252,1,$P$1+1)</f>
        <v>8719041</v>
      </c>
      <c r="G604" s="91">
        <f t="shared" si="170"/>
        <v>0</v>
      </c>
      <c r="H604" s="87">
        <f t="shared" si="170"/>
        <v>0</v>
      </c>
      <c r="I604" s="404">
        <f t="shared" si="170"/>
        <v>4331359</v>
      </c>
      <c r="J604" s="90">
        <f t="shared" si="170"/>
        <v>8734000</v>
      </c>
      <c r="K604" s="88">
        <f t="shared" si="170"/>
        <v>8719041</v>
      </c>
      <c r="L604" s="122"/>
      <c r="M604" s="121"/>
    </row>
    <row r="605" spans="1:13" hidden="1" outlineLevel="1">
      <c r="A605" s="79" t="s">
        <v>56</v>
      </c>
      <c r="B605" s="86">
        <f>INDEX(Data!2257:2257,1,$P$1-8)+INDEX(Data!2257:2257,1,$P$1-7)</f>
        <v>0</v>
      </c>
      <c r="C605" s="87">
        <f>INDEX(Data!2257:2257,1,$P$1-6)+INDEX(Data!2257:2257,1,$P$1-5)</f>
        <v>0</v>
      </c>
      <c r="D605" s="404">
        <f>INDEX(Data!2257:2257,1,$P$1-4)+INDEX(Data!2257:2257,1,$P$1-3)</f>
        <v>0</v>
      </c>
      <c r="E605" s="90">
        <f>INDEX(Data!2257:2257,1,$P$1-2)+INDEX(Data!2257:2257,1,$P$1-1)</f>
        <v>0</v>
      </c>
      <c r="F605" s="88">
        <f>INDEX(Data!2257:2257,1,$P$1)+INDEX(Data!2257:2257,1,$P$1+1)</f>
        <v>0</v>
      </c>
      <c r="G605" s="91">
        <f t="shared" si="170"/>
        <v>0</v>
      </c>
      <c r="H605" s="87">
        <f t="shared" si="170"/>
        <v>0</v>
      </c>
      <c r="I605" s="404">
        <f t="shared" si="170"/>
        <v>0</v>
      </c>
      <c r="J605" s="90">
        <f t="shared" si="170"/>
        <v>0</v>
      </c>
      <c r="K605" s="88">
        <f t="shared" si="170"/>
        <v>0</v>
      </c>
      <c r="L605" s="122"/>
      <c r="M605" s="121"/>
    </row>
    <row r="606" spans="1:13" hidden="1" outlineLevel="1">
      <c r="A606" s="79" t="s">
        <v>60</v>
      </c>
      <c r="B606" s="86">
        <f>INDEX(Data!2261:2261,1,$P$1-8)+INDEX(Data!2261:2261,1,$P$1-7)</f>
        <v>0</v>
      </c>
      <c r="C606" s="87">
        <f>INDEX(Data!2261:2261,1,$P$1-6)+INDEX(Data!2261:2261,1,$P$1-5)</f>
        <v>0</v>
      </c>
      <c r="D606" s="404">
        <f>INDEX(Data!2261:2261,1,$P$1-4)+INDEX(Data!2261:2261,1,$P$1-3)</f>
        <v>0</v>
      </c>
      <c r="E606" s="90">
        <f>INDEX(Data!2261:2261,1,$P$1-2)+INDEX(Data!2261:2261,1,$P$1-1)</f>
        <v>0</v>
      </c>
      <c r="F606" s="88">
        <f>INDEX(Data!2261:2261,1,$P$1)+INDEX(Data!2261:2261,1,$P$1+1)</f>
        <v>0</v>
      </c>
      <c r="G606" s="91">
        <f t="shared" si="170"/>
        <v>0</v>
      </c>
      <c r="H606" s="87">
        <f t="shared" si="170"/>
        <v>0</v>
      </c>
      <c r="I606" s="404">
        <f t="shared" si="170"/>
        <v>0</v>
      </c>
      <c r="J606" s="90">
        <f t="shared" si="170"/>
        <v>0</v>
      </c>
      <c r="K606" s="88">
        <f t="shared" si="170"/>
        <v>0</v>
      </c>
      <c r="L606" s="122"/>
      <c r="M606" s="121"/>
    </row>
    <row r="607" spans="1:13" collapsed="1">
      <c r="A607" s="113" t="s">
        <v>1830</v>
      </c>
      <c r="B607" s="105">
        <f>SUM(B601:B606)</f>
        <v>0</v>
      </c>
      <c r="C607" s="106">
        <f>SUM(C601:C606)</f>
        <v>0</v>
      </c>
      <c r="D607" s="465">
        <f>SUM(D601:D606)</f>
        <v>7953613</v>
      </c>
      <c r="E607" s="115">
        <f>SUM(E601:E606)</f>
        <v>19438183</v>
      </c>
      <c r="F607" s="107">
        <f>SUM(F601:F606)</f>
        <v>18148166</v>
      </c>
      <c r="G607" s="405">
        <f t="shared" ref="G607:J607" si="171">SUM(G601:G606)</f>
        <v>0</v>
      </c>
      <c r="H607" s="106">
        <f t="shared" si="171"/>
        <v>0</v>
      </c>
      <c r="I607" s="465">
        <f t="shared" si="171"/>
        <v>7953613</v>
      </c>
      <c r="J607" s="115">
        <f t="shared" si="171"/>
        <v>19438183</v>
      </c>
      <c r="K607" s="107">
        <f t="shared" ref="K607" si="172">SUM(K601:K606)</f>
        <v>18148166</v>
      </c>
      <c r="L607" s="122"/>
      <c r="M607" s="121"/>
    </row>
    <row r="608" spans="1:13" ht="25.5" hidden="1" outlineLevel="1">
      <c r="A608" s="79" t="s">
        <v>1433</v>
      </c>
      <c r="B608" s="86">
        <f>INDEX(Data!2270:2270,1,$P$1-8)+INDEX(Data!2270:2270,1,$P$1-7)</f>
        <v>24664410</v>
      </c>
      <c r="C608" s="87">
        <f>INDEX(Data!2270:2270,1,$P$1-6)+INDEX(Data!2270:2270,1,$P$1-5)</f>
        <v>24659150</v>
      </c>
      <c r="D608" s="404">
        <f>INDEX(Data!2270:2270,1,$P$1-4)+INDEX(Data!2270:2270,1,$P$1-3)</f>
        <v>30853694</v>
      </c>
      <c r="E608" s="90">
        <f>INDEX(Data!2270:2270,1,$P$1-2)+INDEX(Data!2270:2270,1,$P$1-1)</f>
        <v>37040262</v>
      </c>
      <c r="F608" s="88">
        <f>INDEX(Data!2270:2270,1,$P$1)+INDEX(Data!2270:2270,1,$P$1+1)</f>
        <v>37032100</v>
      </c>
      <c r="G608" s="91">
        <f t="shared" ref="G608:G616" si="173">B608</f>
        <v>24664410</v>
      </c>
      <c r="H608" s="87">
        <f t="shared" ref="H608:H616" si="174">C608</f>
        <v>24659150</v>
      </c>
      <c r="I608" s="404">
        <f t="shared" ref="I608:I616" si="175">D608</f>
        <v>30853694</v>
      </c>
      <c r="J608" s="90">
        <f t="shared" ref="J608:K616" si="176">E608</f>
        <v>37040262</v>
      </c>
      <c r="K608" s="88">
        <f t="shared" si="176"/>
        <v>37032100</v>
      </c>
      <c r="L608" s="122"/>
      <c r="M608" s="121"/>
    </row>
    <row r="609" spans="1:13" ht="25.5" hidden="1" outlineLevel="1">
      <c r="A609" s="79" t="s">
        <v>1434</v>
      </c>
      <c r="B609" s="86">
        <f>INDEX(Data!2271:2271,1,$P$1-8)+INDEX(Data!2271:2271,1,$P$1-7)</f>
        <v>12360962</v>
      </c>
      <c r="C609" s="87">
        <f>INDEX(Data!2271:2271,1,$P$1-6)+INDEX(Data!2271:2271,1,$P$1-5)</f>
        <v>34264949</v>
      </c>
      <c r="D609" s="404">
        <f>INDEX(Data!2271:2271,1,$P$1-4)+INDEX(Data!2271:2271,1,$P$1-3)</f>
        <v>39610620</v>
      </c>
      <c r="E609" s="90">
        <f>INDEX(Data!2271:2271,1,$P$1-2)+INDEX(Data!2271:2271,1,$P$1-1)</f>
        <v>44856884</v>
      </c>
      <c r="F609" s="88">
        <f>INDEX(Data!2271:2271,1,$P$1)+INDEX(Data!2271:2271,1,$P$1+1)</f>
        <v>44848300</v>
      </c>
      <c r="G609" s="91">
        <f t="shared" si="173"/>
        <v>12360962</v>
      </c>
      <c r="H609" s="87">
        <f t="shared" si="174"/>
        <v>34264949</v>
      </c>
      <c r="I609" s="404">
        <f t="shared" si="175"/>
        <v>39610620</v>
      </c>
      <c r="J609" s="90">
        <f t="shared" si="176"/>
        <v>44856884</v>
      </c>
      <c r="K609" s="88">
        <f t="shared" si="176"/>
        <v>44848300</v>
      </c>
      <c r="L609" s="122"/>
      <c r="M609" s="121"/>
    </row>
    <row r="610" spans="1:13" ht="25.5" hidden="1" outlineLevel="1">
      <c r="A610" s="79" t="s">
        <v>1435</v>
      </c>
      <c r="B610" s="86">
        <f>INDEX(Data!2272:2272,1,$P$1-8)+INDEX(Data!2272:2272,1,$P$1-7)</f>
        <v>25117011</v>
      </c>
      <c r="C610" s="87">
        <f>INDEX(Data!2272:2272,1,$P$1-6)+INDEX(Data!2272:2272,1,$P$1-5)</f>
        <v>25121128</v>
      </c>
      <c r="D610" s="404">
        <f>INDEX(Data!2272:2272,1,$P$1-4)+INDEX(Data!2272:2272,1,$P$1-3)</f>
        <v>31307229</v>
      </c>
      <c r="E610" s="90">
        <f>INDEX(Data!2272:2272,1,$P$1-2)+INDEX(Data!2272:2272,1,$P$1-1)</f>
        <v>37499622</v>
      </c>
      <c r="F610" s="88">
        <f>INDEX(Data!2272:2272,1,$P$1)+INDEX(Data!2272:2272,1,$P$1+1)</f>
        <v>37499000</v>
      </c>
      <c r="G610" s="91">
        <f t="shared" si="173"/>
        <v>25117011</v>
      </c>
      <c r="H610" s="87">
        <f t="shared" si="174"/>
        <v>25121128</v>
      </c>
      <c r="I610" s="404">
        <f t="shared" si="175"/>
        <v>31307229</v>
      </c>
      <c r="J610" s="90">
        <f t="shared" si="176"/>
        <v>37499622</v>
      </c>
      <c r="K610" s="88">
        <f t="shared" si="176"/>
        <v>37499000</v>
      </c>
      <c r="L610" s="122"/>
      <c r="M610" s="121"/>
    </row>
    <row r="611" spans="1:13" ht="25.5" hidden="1" outlineLevel="1">
      <c r="A611" s="79" t="s">
        <v>1436</v>
      </c>
      <c r="B611" s="86">
        <f>INDEX(Data!2273:2273,1,$P$1-8)+INDEX(Data!2273:2273,1,$P$1-7)</f>
        <v>19421845</v>
      </c>
      <c r="C611" s="87">
        <f>INDEX(Data!2273:2273,1,$P$1-6)+INDEX(Data!2273:2273,1,$P$1-5)</f>
        <v>19417465</v>
      </c>
      <c r="D611" s="404">
        <f>INDEX(Data!2273:2273,1,$P$1-4)+INDEX(Data!2273:2273,1,$P$1-3)</f>
        <v>25600696</v>
      </c>
      <c r="E611" s="90">
        <f>INDEX(Data!2273:2273,1,$P$1-2)+INDEX(Data!2273:2273,1,$P$1-1)</f>
        <v>31793152</v>
      </c>
      <c r="F611" s="88">
        <f>INDEX(Data!2273:2273,1,$P$1)+INDEX(Data!2273:2273,1,$P$1+1)</f>
        <v>31791463</v>
      </c>
      <c r="G611" s="91">
        <f t="shared" si="173"/>
        <v>19421845</v>
      </c>
      <c r="H611" s="87">
        <f t="shared" si="174"/>
        <v>19417465</v>
      </c>
      <c r="I611" s="404">
        <f t="shared" si="175"/>
        <v>25600696</v>
      </c>
      <c r="J611" s="90">
        <f t="shared" si="176"/>
        <v>31793152</v>
      </c>
      <c r="K611" s="88">
        <f t="shared" si="176"/>
        <v>31791463</v>
      </c>
      <c r="L611" s="122"/>
      <c r="M611" s="121"/>
    </row>
    <row r="612" spans="1:13" ht="25.5" hidden="1" outlineLevel="1">
      <c r="A612" s="79" t="s">
        <v>1668</v>
      </c>
      <c r="B612" s="86">
        <f>INDEX(Data!2274:2274,1,$P$1-8)+INDEX(Data!2274:2274,1,$P$1-7)</f>
        <v>0</v>
      </c>
      <c r="C612" s="87">
        <f>INDEX(Data!2274:2274,1,$P$1-6)+INDEX(Data!2274:2274,1,$P$1-5)</f>
        <v>0</v>
      </c>
      <c r="D612" s="404">
        <f>INDEX(Data!2274:2274,1,$P$1-4)+INDEX(Data!2274:2274,1,$P$1-3)</f>
        <v>0</v>
      </c>
      <c r="E612" s="90">
        <f>INDEX(Data!2274:2274,1,$P$1-2)+INDEX(Data!2274:2274,1,$P$1-1)</f>
        <v>0</v>
      </c>
      <c r="F612" s="88">
        <f>INDEX(Data!2274:2274,1,$P$1)+INDEX(Data!2274:2274,1,$P$1+1)</f>
        <v>0</v>
      </c>
      <c r="G612" s="91">
        <f t="shared" ref="G612" si="177">B612</f>
        <v>0</v>
      </c>
      <c r="H612" s="87">
        <f t="shared" ref="H612" si="178">C612</f>
        <v>0</v>
      </c>
      <c r="I612" s="404">
        <f t="shared" ref="I612" si="179">D612</f>
        <v>0</v>
      </c>
      <c r="J612" s="90">
        <f t="shared" ref="J612" si="180">E612</f>
        <v>0</v>
      </c>
      <c r="K612" s="88">
        <f t="shared" ref="K612" si="181">F612</f>
        <v>0</v>
      </c>
      <c r="L612" s="122"/>
      <c r="M612" s="121"/>
    </row>
    <row r="613" spans="1:13" ht="25.5" hidden="1" outlineLevel="1">
      <c r="A613" s="79" t="s">
        <v>1437</v>
      </c>
      <c r="B613" s="86">
        <f>INDEX(Data!2275:2275,1,$P$1-8)+INDEX(Data!2275:2275,1,$P$1-7)</f>
        <v>11831738</v>
      </c>
      <c r="C613" s="87">
        <f>INDEX(Data!2275:2275,1,$P$1-6)+INDEX(Data!2275:2275,1,$P$1-5)</f>
        <v>11827075</v>
      </c>
      <c r="D613" s="404">
        <f>INDEX(Data!2275:2275,1,$P$1-4)+INDEX(Data!2275:2275,1,$P$1-3)</f>
        <v>17237949</v>
      </c>
      <c r="E613" s="90">
        <f>INDEX(Data!2275:2275,1,$P$1-2)+INDEX(Data!2275:2275,1,$P$1-1)</f>
        <v>22655898</v>
      </c>
      <c r="F613" s="88">
        <f>INDEX(Data!2275:2275,1,$P$1)+INDEX(Data!2275:2275,1,$P$1+1)</f>
        <v>22654350</v>
      </c>
      <c r="G613" s="91">
        <f t="shared" si="173"/>
        <v>11831738</v>
      </c>
      <c r="H613" s="87">
        <f t="shared" si="174"/>
        <v>11827075</v>
      </c>
      <c r="I613" s="404">
        <f t="shared" si="175"/>
        <v>17237949</v>
      </c>
      <c r="J613" s="90">
        <f t="shared" si="176"/>
        <v>22655898</v>
      </c>
      <c r="K613" s="88">
        <f t="shared" si="176"/>
        <v>22654350</v>
      </c>
      <c r="L613" s="122"/>
      <c r="M613" s="121"/>
    </row>
    <row r="614" spans="1:13" ht="25.5" hidden="1" outlineLevel="1">
      <c r="A614" s="79" t="s">
        <v>1438</v>
      </c>
      <c r="B614" s="86">
        <f>INDEX(Data!2276:2276,1,$P$1-8)+INDEX(Data!2276:2276,1,$P$1-7)</f>
        <v>5154475</v>
      </c>
      <c r="C614" s="87">
        <f>INDEX(Data!2276:2276,1,$P$1-6)+INDEX(Data!2276:2276,1,$P$1-5)</f>
        <v>5156525</v>
      </c>
      <c r="D614" s="404">
        <f>INDEX(Data!2276:2276,1,$P$1-4)+INDEX(Data!2276:2276,1,$P$1-3)</f>
        <v>6302566</v>
      </c>
      <c r="E614" s="90">
        <f>INDEX(Data!2276:2276,1,$P$1-2)+INDEX(Data!2276:2276,1,$P$1-1)</f>
        <v>7443532</v>
      </c>
      <c r="F614" s="88">
        <f>INDEX(Data!2276:2276,1,$P$1)+INDEX(Data!2276:2276,1,$P$1+1)</f>
        <v>7442900</v>
      </c>
      <c r="G614" s="91">
        <f t="shared" si="173"/>
        <v>5154475</v>
      </c>
      <c r="H614" s="87">
        <f t="shared" si="174"/>
        <v>5156525</v>
      </c>
      <c r="I614" s="404">
        <f t="shared" si="175"/>
        <v>6302566</v>
      </c>
      <c r="J614" s="90">
        <f t="shared" si="176"/>
        <v>7443532</v>
      </c>
      <c r="K614" s="88">
        <f t="shared" si="176"/>
        <v>7442900</v>
      </c>
      <c r="L614" s="122"/>
      <c r="M614" s="121"/>
    </row>
    <row r="615" spans="1:13" ht="25.5" hidden="1" outlineLevel="1">
      <c r="A615" s="79" t="s">
        <v>1439</v>
      </c>
      <c r="B615" s="86">
        <f>INDEX(Data!2277:2277,1,$P$1-8)+INDEX(Data!2277:2277,1,$P$1-7)</f>
        <v>16589452</v>
      </c>
      <c r="C615" s="87">
        <f>INDEX(Data!2277:2277,1,$P$1-6)+INDEX(Data!2277:2277,1,$P$1-5)</f>
        <v>16551601</v>
      </c>
      <c r="D615" s="404">
        <f>INDEX(Data!2277:2277,1,$P$1-4)+INDEX(Data!2277:2277,1,$P$1-3)</f>
        <v>27439384</v>
      </c>
      <c r="E615" s="90">
        <f>INDEX(Data!2277:2277,1,$P$1-2)+INDEX(Data!2277:2277,1,$P$1-1)</f>
        <v>37464118</v>
      </c>
      <c r="F615" s="88">
        <f>INDEX(Data!2277:2277,1,$P$1)+INDEX(Data!2277:2277,1,$P$1+1)</f>
        <v>37097485</v>
      </c>
      <c r="G615" s="91">
        <f t="shared" si="173"/>
        <v>16589452</v>
      </c>
      <c r="H615" s="87">
        <f t="shared" si="174"/>
        <v>16551601</v>
      </c>
      <c r="I615" s="404">
        <f t="shared" si="175"/>
        <v>27439384</v>
      </c>
      <c r="J615" s="90">
        <f t="shared" si="176"/>
        <v>37464118</v>
      </c>
      <c r="K615" s="88">
        <f t="shared" si="176"/>
        <v>37097485</v>
      </c>
      <c r="L615" s="122"/>
      <c r="M615" s="121"/>
    </row>
    <row r="616" spans="1:13" ht="25.5" hidden="1" outlineLevel="1">
      <c r="A616" s="79" t="s">
        <v>1440</v>
      </c>
      <c r="B616" s="86">
        <f>INDEX(Data!2278:2278,1,$P$1-8)+INDEX(Data!2278:2278,1,$P$1-7)</f>
        <v>14547476</v>
      </c>
      <c r="C616" s="87">
        <f>INDEX(Data!2278:2278,1,$P$1-6)+INDEX(Data!2278:2278,1,$P$1-5)</f>
        <v>14546526</v>
      </c>
      <c r="D616" s="404">
        <f>INDEX(Data!2278:2278,1,$P$1-4)+INDEX(Data!2278:2278,1,$P$1-3)</f>
        <v>20796457</v>
      </c>
      <c r="E616" s="90">
        <f>INDEX(Data!2278:2278,1,$P$1-2)+INDEX(Data!2278:2278,1,$P$1-1)</f>
        <v>24765543</v>
      </c>
      <c r="F616" s="88">
        <f>INDEX(Data!2278:2278,1,$P$1)+INDEX(Data!2278:2278,1,$P$1+1)</f>
        <v>21960728</v>
      </c>
      <c r="G616" s="91">
        <f t="shared" si="173"/>
        <v>14547476</v>
      </c>
      <c r="H616" s="87">
        <f t="shared" si="174"/>
        <v>14546526</v>
      </c>
      <c r="I616" s="404">
        <f t="shared" si="175"/>
        <v>20796457</v>
      </c>
      <c r="J616" s="90">
        <f t="shared" si="176"/>
        <v>24765543</v>
      </c>
      <c r="K616" s="88">
        <f t="shared" si="176"/>
        <v>21960728</v>
      </c>
      <c r="L616" s="122"/>
      <c r="M616" s="121"/>
    </row>
    <row r="617" spans="1:13" ht="25.5" hidden="1" outlineLevel="1">
      <c r="A617" s="1104" t="s">
        <v>942</v>
      </c>
      <c r="B617" s="86">
        <f>INDEX(Data!2279:2279,1,$P$1-8)+INDEX(Data!2279:2279,1,$P$1-7)</f>
        <v>25829407</v>
      </c>
      <c r="C617" s="87">
        <f>INDEX(Data!2279:2279,1,$P$1-6)+INDEX(Data!2279:2279,1,$P$1-5)</f>
        <v>24882541</v>
      </c>
      <c r="D617" s="404">
        <f>INDEX(Data!2279:2279,1,$P$1-4)+INDEX(Data!2279:2279,1,$P$1-3)</f>
        <v>17604723</v>
      </c>
      <c r="E617" s="90">
        <f>INDEX(Data!2279:2279,1,$P$1-2)+INDEX(Data!2279:2279,1,$P$1-1)</f>
        <v>27212800</v>
      </c>
      <c r="F617" s="88">
        <f>INDEX(Data!2279:2279,1,$P$1)+INDEX(Data!2279:2279,1,$P$1+1)</f>
        <v>43729102</v>
      </c>
      <c r="G617" s="91">
        <f t="shared" ref="G617:K618" si="182">B617</f>
        <v>25829407</v>
      </c>
      <c r="H617" s="87">
        <f t="shared" si="182"/>
        <v>24882541</v>
      </c>
      <c r="I617" s="404">
        <f t="shared" si="182"/>
        <v>17604723</v>
      </c>
      <c r="J617" s="90">
        <f t="shared" si="182"/>
        <v>27212800</v>
      </c>
      <c r="K617" s="88">
        <f t="shared" si="182"/>
        <v>43729102</v>
      </c>
      <c r="L617" s="122"/>
      <c r="M617" s="121"/>
    </row>
    <row r="618" spans="1:13" ht="25.5" hidden="1" outlineLevel="1">
      <c r="A618" s="1104" t="s">
        <v>1556</v>
      </c>
      <c r="B618" s="86">
        <f>INDEX(Data!2280:2280,1,$P$1-8)+INDEX(Data!2280:2280,1,$P$1-7)</f>
        <v>0</v>
      </c>
      <c r="C618" s="87">
        <f>INDEX(Data!2280:2280,1,$P$1-6)+INDEX(Data!2280:2280,1,$P$1-5)</f>
        <v>0</v>
      </c>
      <c r="D618" s="404">
        <f>INDEX(Data!2280:2280,1,$P$1-4)+INDEX(Data!2280:2280,1,$P$1-3)</f>
        <v>19176533</v>
      </c>
      <c r="E618" s="90">
        <f>INDEX(Data!2280:2280,1,$P$1-2)+INDEX(Data!2280:2280,1,$P$1-1)</f>
        <v>21939397</v>
      </c>
      <c r="F618" s="88">
        <f>INDEX(Data!2280:2280,1,$P$1)+INDEX(Data!2280:2280,1,$P$1+1)</f>
        <v>28107856</v>
      </c>
      <c r="G618" s="91">
        <f t="shared" si="182"/>
        <v>0</v>
      </c>
      <c r="H618" s="87">
        <f t="shared" si="182"/>
        <v>0</v>
      </c>
      <c r="I618" s="404">
        <f t="shared" si="182"/>
        <v>19176533</v>
      </c>
      <c r="J618" s="90">
        <f t="shared" si="182"/>
        <v>21939397</v>
      </c>
      <c r="K618" s="88">
        <f t="shared" si="182"/>
        <v>28107856</v>
      </c>
      <c r="L618" s="122"/>
      <c r="M618" s="121"/>
    </row>
    <row r="619" spans="1:13" collapsed="1">
      <c r="A619" s="113" t="s">
        <v>786</v>
      </c>
      <c r="B619" s="105">
        <f t="shared" ref="B619:E619" si="183">SUM(B608:B618)</f>
        <v>155516776</v>
      </c>
      <c r="C619" s="106">
        <f t="shared" si="183"/>
        <v>176426960</v>
      </c>
      <c r="D619" s="465">
        <f t="shared" si="183"/>
        <v>235929851</v>
      </c>
      <c r="E619" s="115">
        <f t="shared" si="183"/>
        <v>292671208</v>
      </c>
      <c r="F619" s="107">
        <f>SUM(F608:F618)</f>
        <v>312163284</v>
      </c>
      <c r="G619" s="405">
        <f t="shared" ref="G619:K619" si="184">SUM(G608:G618)</f>
        <v>155516776</v>
      </c>
      <c r="H619" s="106">
        <f t="shared" si="184"/>
        <v>176426960</v>
      </c>
      <c r="I619" s="465">
        <f t="shared" si="184"/>
        <v>235929851</v>
      </c>
      <c r="J619" s="115">
        <f t="shared" si="184"/>
        <v>292671208</v>
      </c>
      <c r="K619" s="107">
        <f t="shared" si="184"/>
        <v>312163284</v>
      </c>
      <c r="L619" s="122"/>
      <c r="M619" s="121"/>
    </row>
    <row r="620" spans="1:13" ht="25.5" hidden="1" outlineLevel="1">
      <c r="A620" s="79" t="s">
        <v>1441</v>
      </c>
      <c r="B620" s="86">
        <f>INDEX(Data!2281:2281,1,$P$1-8)+INDEX(Data!2281:2281,1,$P$1-7)</f>
        <v>0</v>
      </c>
      <c r="C620" s="87">
        <f>INDEX(Data!2281:2281,1,$P$1-6)+INDEX(Data!2281:2281,1,$P$1-5)</f>
        <v>0</v>
      </c>
      <c r="D620" s="404">
        <f>INDEX(Data!2281:2281,1,$P$1-4)+INDEX(Data!2281:2281,1,$P$1-3)</f>
        <v>0</v>
      </c>
      <c r="E620" s="90">
        <f>INDEX(Data!2281:2281,1,$P$1-2)+INDEX(Data!2281:2281,1,$P$1-1)</f>
        <v>0</v>
      </c>
      <c r="F620" s="88">
        <f>INDEX(Data!2281:2281,1,$P$1)+INDEX(Data!2281:2281,1,$P$1+1)</f>
        <v>0</v>
      </c>
      <c r="G620" s="91">
        <f t="shared" ref="G620:K624" si="185">B620</f>
        <v>0</v>
      </c>
      <c r="H620" s="87">
        <f t="shared" si="185"/>
        <v>0</v>
      </c>
      <c r="I620" s="404">
        <f t="shared" si="185"/>
        <v>0</v>
      </c>
      <c r="J620" s="90">
        <f t="shared" si="185"/>
        <v>0</v>
      </c>
      <c r="K620" s="88">
        <f t="shared" si="185"/>
        <v>0</v>
      </c>
      <c r="L620" s="122"/>
      <c r="M620" s="121"/>
    </row>
    <row r="621" spans="1:13" ht="25.5" hidden="1" outlineLevel="1">
      <c r="A621" s="79" t="s">
        <v>1442</v>
      </c>
      <c r="B621" s="86">
        <f>INDEX(Data!2282:2282,1,$P$1-8)+INDEX(Data!2282:2282,1,$P$1-7)</f>
        <v>510605</v>
      </c>
      <c r="C621" s="87">
        <f>INDEX(Data!2282:2282,1,$P$1-6)+INDEX(Data!2282:2282,1,$P$1-5)</f>
        <v>486017</v>
      </c>
      <c r="D621" s="404">
        <f>INDEX(Data!2282:2282,1,$P$1-4)+INDEX(Data!2282:2282,1,$P$1-3)</f>
        <v>775906</v>
      </c>
      <c r="E621" s="90">
        <f>INDEX(Data!2282:2282,1,$P$1-2)+INDEX(Data!2282:2282,1,$P$1-1)</f>
        <v>968897</v>
      </c>
      <c r="F621" s="88">
        <f>INDEX(Data!2282:2282,1,$P$1)+INDEX(Data!2282:2282,1,$P$1+1)</f>
        <v>972297</v>
      </c>
      <c r="G621" s="91">
        <f t="shared" si="185"/>
        <v>510605</v>
      </c>
      <c r="H621" s="87">
        <f t="shared" si="185"/>
        <v>486017</v>
      </c>
      <c r="I621" s="404">
        <f t="shared" si="185"/>
        <v>775906</v>
      </c>
      <c r="J621" s="90">
        <f t="shared" si="185"/>
        <v>968897</v>
      </c>
      <c r="K621" s="88">
        <f t="shared" si="185"/>
        <v>972297</v>
      </c>
      <c r="L621" s="122"/>
      <c r="M621" s="121"/>
    </row>
    <row r="622" spans="1:13" ht="25.5" hidden="1" outlineLevel="1">
      <c r="A622" s="79" t="s">
        <v>1443</v>
      </c>
      <c r="B622" s="86">
        <f>INDEX(Data!2283:2283,1,$P$1-8)+INDEX(Data!2283:2283,1,$P$1-7)</f>
        <v>344658</v>
      </c>
      <c r="C622" s="87">
        <f>INDEX(Data!2283:2283,1,$P$1-6)+INDEX(Data!2283:2283,1,$P$1-5)</f>
        <v>328061</v>
      </c>
      <c r="D622" s="404">
        <f>INDEX(Data!2283:2283,1,$P$1-4)+INDEX(Data!2283:2283,1,$P$1-3)</f>
        <v>1256104</v>
      </c>
      <c r="E622" s="90">
        <f>INDEX(Data!2283:2283,1,$P$1-2)+INDEX(Data!2283:2283,1,$P$1-1)</f>
        <v>1882436</v>
      </c>
      <c r="F622" s="88">
        <f>INDEX(Data!2283:2283,1,$P$1)+INDEX(Data!2283:2283,1,$P$1+1)</f>
        <v>1886338</v>
      </c>
      <c r="G622" s="91">
        <f t="shared" si="185"/>
        <v>344658</v>
      </c>
      <c r="H622" s="87">
        <f t="shared" si="185"/>
        <v>328061</v>
      </c>
      <c r="I622" s="404">
        <f t="shared" si="185"/>
        <v>1256104</v>
      </c>
      <c r="J622" s="90">
        <f t="shared" si="185"/>
        <v>1882436</v>
      </c>
      <c r="K622" s="88">
        <f t="shared" si="185"/>
        <v>1886338</v>
      </c>
      <c r="L622" s="122"/>
      <c r="M622" s="121"/>
    </row>
    <row r="623" spans="1:13" ht="12" hidden="1" customHeight="1" outlineLevel="1">
      <c r="A623" s="79" t="s">
        <v>1444</v>
      </c>
      <c r="B623" s="86">
        <f>INDEX(Data!2284:2284,1,$P$1-8)+INDEX(Data!2284:2284,1,$P$1-7)</f>
        <v>268068</v>
      </c>
      <c r="C623" s="87">
        <f>INDEX(Data!2284:2284,1,$P$1-6)+INDEX(Data!2284:2284,1,$P$1-5)</f>
        <v>255159</v>
      </c>
      <c r="D623" s="404">
        <f>INDEX(Data!2284:2284,1,$P$1-4)+INDEX(Data!2284:2284,1,$P$1-3)</f>
        <v>1108976</v>
      </c>
      <c r="E623" s="90">
        <f>INDEX(Data!2284:2284,1,$P$1-2)+INDEX(Data!2284:2284,1,$P$1-1)</f>
        <v>253272</v>
      </c>
      <c r="F623" s="88">
        <f>INDEX(Data!2284:2284,1,$P$1)+INDEX(Data!2284:2284,1,$P$1+1)</f>
        <v>252943</v>
      </c>
      <c r="G623" s="91">
        <f t="shared" si="185"/>
        <v>268068</v>
      </c>
      <c r="H623" s="87">
        <f t="shared" si="185"/>
        <v>255159</v>
      </c>
      <c r="I623" s="404">
        <f t="shared" si="185"/>
        <v>1108976</v>
      </c>
      <c r="J623" s="90">
        <f t="shared" si="185"/>
        <v>253272</v>
      </c>
      <c r="K623" s="88">
        <f t="shared" si="185"/>
        <v>252943</v>
      </c>
      <c r="L623" s="122"/>
      <c r="M623" s="121"/>
    </row>
    <row r="624" spans="1:13" hidden="1" outlineLevel="1">
      <c r="A624" s="79" t="s">
        <v>1445</v>
      </c>
      <c r="B624" s="86">
        <f>INDEX(Data!2285:2285,1,$P$1-8)+INDEX(Data!2285:2285,1,$P$1-7)</f>
        <v>1068881</v>
      </c>
      <c r="C624" s="87">
        <f>INDEX(Data!2285:2285,1,$P$1-6)+INDEX(Data!2285:2285,1,$P$1-5)</f>
        <v>1046041</v>
      </c>
      <c r="D624" s="404">
        <f>INDEX(Data!2285:2285,1,$P$1-4)+INDEX(Data!2285:2285,1,$P$1-3)</f>
        <v>2205203</v>
      </c>
      <c r="E624" s="90">
        <f>INDEX(Data!2285:2285,1,$P$1-2)+INDEX(Data!2285:2285,1,$P$1-1)</f>
        <v>1026697</v>
      </c>
      <c r="F624" s="88">
        <f>INDEX(Data!2285:2285,1,$P$1)+INDEX(Data!2285:2285,1,$P$1+1)</f>
        <v>1021797</v>
      </c>
      <c r="G624" s="91">
        <f t="shared" si="185"/>
        <v>1068881</v>
      </c>
      <c r="H624" s="87">
        <f t="shared" si="185"/>
        <v>1046041</v>
      </c>
      <c r="I624" s="404">
        <f t="shared" si="185"/>
        <v>2205203</v>
      </c>
      <c r="J624" s="90">
        <f t="shared" si="185"/>
        <v>1026697</v>
      </c>
      <c r="K624" s="88">
        <f t="shared" si="185"/>
        <v>1021797</v>
      </c>
      <c r="L624" s="122"/>
      <c r="M624" s="121"/>
    </row>
    <row r="625" spans="1:13" collapsed="1">
      <c r="A625" s="113" t="s">
        <v>788</v>
      </c>
      <c r="B625" s="105">
        <f>SUM(B620:B624)</f>
        <v>2192212</v>
      </c>
      <c r="C625" s="106">
        <f>SUM(C620:C624)</f>
        <v>2115278</v>
      </c>
      <c r="D625" s="465">
        <f>SUM(D620:D624)</f>
        <v>5346189</v>
      </c>
      <c r="E625" s="115">
        <f>SUM(E620:E624)</f>
        <v>4131302</v>
      </c>
      <c r="F625" s="107">
        <f>SUM(F620:F624)</f>
        <v>4133375</v>
      </c>
      <c r="G625" s="405">
        <f t="shared" ref="G625:J625" si="186">SUM(G620:G624)</f>
        <v>2192212</v>
      </c>
      <c r="H625" s="106">
        <f t="shared" si="186"/>
        <v>2115278</v>
      </c>
      <c r="I625" s="465">
        <f t="shared" si="186"/>
        <v>5346189</v>
      </c>
      <c r="J625" s="115">
        <f t="shared" si="186"/>
        <v>4131302</v>
      </c>
      <c r="K625" s="107">
        <f t="shared" ref="K625" si="187">SUM(K620:K624)</f>
        <v>4133375</v>
      </c>
      <c r="L625" s="122"/>
      <c r="M625" s="121"/>
    </row>
    <row r="626" spans="1:13" ht="16.5" hidden="1" customHeight="1" outlineLevel="1">
      <c r="A626" s="79" t="s">
        <v>1446</v>
      </c>
      <c r="B626" s="86">
        <f>INDEX(Data!2263:2263,1,$P$1-8)+INDEX(Data!2263:2263,1,$P$1-7)</f>
        <v>1059223</v>
      </c>
      <c r="C626" s="87">
        <f>INDEX(Data!2263:2263,1,$P$1-6)+INDEX(Data!2263:2263,1,$P$1-5)</f>
        <v>1046553</v>
      </c>
      <c r="D626" s="404">
        <f>INDEX(Data!2263:2263,1,$P$1-4)+INDEX(Data!2263:2263,1,$P$1-3)</f>
        <v>2016636</v>
      </c>
      <c r="E626" s="90">
        <f>INDEX(Data!2263:2263,1,$P$1-2)+INDEX(Data!2263:2263,1,$P$1-1)</f>
        <v>2808133</v>
      </c>
      <c r="F626" s="88">
        <f>INDEX(Data!2263:2263,1,$P$1)+INDEX(Data!2263:2263,1,$P$1+1)</f>
        <v>2652778</v>
      </c>
      <c r="G626" s="91">
        <f t="shared" ref="G626:K628" si="188">B626</f>
        <v>1059223</v>
      </c>
      <c r="H626" s="87">
        <f t="shared" si="188"/>
        <v>1046553</v>
      </c>
      <c r="I626" s="404">
        <f t="shared" si="188"/>
        <v>2016636</v>
      </c>
      <c r="J626" s="90">
        <f t="shared" si="188"/>
        <v>2808133</v>
      </c>
      <c r="K626" s="88">
        <f t="shared" si="188"/>
        <v>2652778</v>
      </c>
      <c r="L626" s="122"/>
      <c r="M626" s="121"/>
    </row>
    <row r="627" spans="1:13" hidden="1" outlineLevel="1">
      <c r="A627" s="79" t="s">
        <v>1447</v>
      </c>
      <c r="B627" s="86">
        <f>INDEX(Data!2264:2264,1,$P$1-8)+INDEX(Data!2264:2264,1,$P$1-7)</f>
        <v>859776</v>
      </c>
      <c r="C627" s="87">
        <f>INDEX(Data!2264:2264,1,$P$1-6)+INDEX(Data!2264:2264,1,$P$1-5)</f>
        <v>854374</v>
      </c>
      <c r="D627" s="404">
        <f>INDEX(Data!2264:2264,1,$P$1-4)+INDEX(Data!2264:2264,1,$P$1-3)</f>
        <v>1627293</v>
      </c>
      <c r="E627" s="90">
        <f>INDEX(Data!2264:2264,1,$P$1-2)+INDEX(Data!2264:2264,1,$P$1-1)</f>
        <v>2077962</v>
      </c>
      <c r="F627" s="88">
        <f>INDEX(Data!2264:2264,1,$P$1)+INDEX(Data!2264:2264,1,$P$1+1)</f>
        <v>1830652</v>
      </c>
      <c r="G627" s="91">
        <f t="shared" si="188"/>
        <v>859776</v>
      </c>
      <c r="H627" s="87">
        <f t="shared" si="188"/>
        <v>854374</v>
      </c>
      <c r="I627" s="404">
        <f t="shared" si="188"/>
        <v>1627293</v>
      </c>
      <c r="J627" s="90">
        <f t="shared" si="188"/>
        <v>2077962</v>
      </c>
      <c r="K627" s="88">
        <f t="shared" si="188"/>
        <v>1830652</v>
      </c>
      <c r="L627" s="122"/>
      <c r="M627" s="121"/>
    </row>
    <row r="628" spans="1:13" hidden="1" outlineLevel="1">
      <c r="A628" s="79" t="s">
        <v>1448</v>
      </c>
      <c r="B628" s="86">
        <f>INDEX(Data!2265:2265,1,$P$1-8)+INDEX(Data!2265:2265,1,$P$1-7)</f>
        <v>1737193</v>
      </c>
      <c r="C628" s="87">
        <f>INDEX(Data!2265:2265,1,$P$1-6)+INDEX(Data!2265:2265,1,$P$1-5)</f>
        <v>1716536</v>
      </c>
      <c r="D628" s="404">
        <f>INDEX(Data!2265:2265,1,$P$1-4)+INDEX(Data!2265:2265,1,$P$1-3)</f>
        <v>2348809</v>
      </c>
      <c r="E628" s="90">
        <f>INDEX(Data!2265:2265,1,$P$1-2)+INDEX(Data!2265:2265,1,$P$1-1)</f>
        <v>2734391</v>
      </c>
      <c r="F628" s="88">
        <f>INDEX(Data!2265:2265,1,$P$1)+INDEX(Data!2265:2265,1,$P$1+1)</f>
        <v>2525246</v>
      </c>
      <c r="G628" s="91">
        <f t="shared" si="188"/>
        <v>1737193</v>
      </c>
      <c r="H628" s="87">
        <f t="shared" si="188"/>
        <v>1716536</v>
      </c>
      <c r="I628" s="404">
        <f t="shared" si="188"/>
        <v>2348809</v>
      </c>
      <c r="J628" s="90">
        <f t="shared" si="188"/>
        <v>2734391</v>
      </c>
      <c r="K628" s="88">
        <f t="shared" si="188"/>
        <v>2525246</v>
      </c>
      <c r="L628" s="122"/>
      <c r="M628" s="121"/>
    </row>
    <row r="629" spans="1:13" collapsed="1">
      <c r="A629" s="113" t="s">
        <v>789</v>
      </c>
      <c r="B629" s="105">
        <f>SUM(B626:B628)</f>
        <v>3656192</v>
      </c>
      <c r="C629" s="106">
        <f t="shared" ref="C629:F629" si="189">SUM(C626:C628)</f>
        <v>3617463</v>
      </c>
      <c r="D629" s="465">
        <f t="shared" si="189"/>
        <v>5992738</v>
      </c>
      <c r="E629" s="115">
        <f t="shared" si="189"/>
        <v>7620486</v>
      </c>
      <c r="F629" s="107">
        <f t="shared" si="189"/>
        <v>7008676</v>
      </c>
      <c r="G629" s="405">
        <f t="shared" ref="G629:J629" si="190">SUM(G626:G628)</f>
        <v>3656192</v>
      </c>
      <c r="H629" s="106">
        <f t="shared" si="190"/>
        <v>3617463</v>
      </c>
      <c r="I629" s="465">
        <f t="shared" si="190"/>
        <v>5992738</v>
      </c>
      <c r="J629" s="115">
        <f t="shared" si="190"/>
        <v>7620486</v>
      </c>
      <c r="K629" s="107">
        <f t="shared" ref="K629" si="191">SUM(K626:K628)</f>
        <v>7008676</v>
      </c>
      <c r="L629" s="122"/>
    </row>
    <row r="630" spans="1:13" ht="13.5" thickBot="1">
      <c r="A630" s="95" t="s">
        <v>280</v>
      </c>
      <c r="B630" s="96">
        <f t="shared" ref="B630:K630" si="192">B600+B607+B619+B625+B629</f>
        <v>582062885</v>
      </c>
      <c r="C630" s="97">
        <f t="shared" si="192"/>
        <v>595499447</v>
      </c>
      <c r="D630" s="100">
        <f t="shared" si="192"/>
        <v>819551206</v>
      </c>
      <c r="E630" s="97">
        <f t="shared" si="192"/>
        <v>1018341214</v>
      </c>
      <c r="F630" s="98">
        <f t="shared" si="192"/>
        <v>1004733221</v>
      </c>
      <c r="G630" s="100">
        <f t="shared" si="192"/>
        <v>582062885</v>
      </c>
      <c r="H630" s="97">
        <f t="shared" si="192"/>
        <v>595499447</v>
      </c>
      <c r="I630" s="100">
        <f t="shared" si="192"/>
        <v>819551206</v>
      </c>
      <c r="J630" s="97">
        <f t="shared" si="192"/>
        <v>1018341214</v>
      </c>
      <c r="K630" s="98">
        <f t="shared" si="192"/>
        <v>1004733221</v>
      </c>
      <c r="L630" s="122"/>
    </row>
    <row r="631" spans="1:13">
      <c r="K631" s="1177"/>
    </row>
    <row r="632" spans="1:13">
      <c r="K632" s="463"/>
    </row>
    <row r="633" spans="1:13">
      <c r="K633" s="463"/>
    </row>
    <row r="634" spans="1:13">
      <c r="K634" s="463"/>
    </row>
    <row r="635" spans="1:13">
      <c r="K635" s="463"/>
    </row>
    <row r="636" spans="1:13">
      <c r="K636" s="463"/>
    </row>
    <row r="637" spans="1:13">
      <c r="K637" s="463"/>
    </row>
    <row r="638" spans="1:13">
      <c r="K638" s="463"/>
    </row>
    <row r="639" spans="1:13">
      <c r="K639" s="463"/>
    </row>
    <row r="640" spans="1:13">
      <c r="K640" s="463"/>
    </row>
    <row r="641" spans="1:22">
      <c r="K641" s="463"/>
    </row>
    <row r="642" spans="1:22">
      <c r="K642" s="463"/>
    </row>
    <row r="643" spans="1:22">
      <c r="K643" s="463"/>
    </row>
    <row r="644" spans="1:22">
      <c r="K644" s="463"/>
    </row>
    <row r="645" spans="1:22">
      <c r="K645" s="463"/>
    </row>
    <row r="646" spans="1:22">
      <c r="K646" s="463"/>
    </row>
    <row r="647" spans="1:22">
      <c r="K647" s="463"/>
    </row>
    <row r="648" spans="1:22">
      <c r="K648" s="463"/>
    </row>
    <row r="649" spans="1:22">
      <c r="K649" s="463"/>
    </row>
    <row r="650" spans="1:22" ht="13.5" thickBot="1">
      <c r="K650" s="464"/>
    </row>
    <row r="651" spans="1:22" ht="13.5" customHeight="1" thickBot="1">
      <c r="A651" s="536" t="s">
        <v>811</v>
      </c>
      <c r="B651" s="537"/>
      <c r="C651" s="537"/>
      <c r="D651" s="537"/>
      <c r="E651" s="537"/>
      <c r="F651" s="537"/>
      <c r="G651" s="537"/>
      <c r="H651" s="537"/>
      <c r="I651" s="537"/>
      <c r="J651" s="537"/>
      <c r="K651" s="537"/>
      <c r="L651" s="537"/>
      <c r="M651" s="537"/>
      <c r="N651" s="537"/>
      <c r="O651" s="537"/>
      <c r="P651" s="537"/>
      <c r="Q651" s="537"/>
      <c r="R651" s="537"/>
      <c r="S651" s="537"/>
      <c r="T651" s="538"/>
      <c r="U651" s="67"/>
      <c r="V651" s="67"/>
    </row>
    <row r="652" spans="1:22" ht="13.5" thickBot="1">
      <c r="A652" s="535" t="s">
        <v>1318</v>
      </c>
      <c r="B652" s="1292" t="s">
        <v>2</v>
      </c>
      <c r="C652" s="1293"/>
      <c r="D652" s="1293"/>
      <c r="E652" s="1293"/>
      <c r="F652" s="1293"/>
      <c r="G652" s="1295" t="s">
        <v>764</v>
      </c>
      <c r="H652" s="1295"/>
      <c r="I652" s="1295"/>
      <c r="J652" s="1295"/>
      <c r="K652" s="1295"/>
    </row>
    <row r="653" spans="1:22">
      <c r="A653" s="73" t="s">
        <v>772</v>
      </c>
      <c r="B653" s="466" t="str">
        <f>$O$1-8&amp;" - "&amp;$O$1-7</f>
        <v>2012 - 2013</v>
      </c>
      <c r="C653" s="75" t="str">
        <f>$O$1-6&amp;" - "&amp;$O$1-5</f>
        <v>2014 - 2015</v>
      </c>
      <c r="D653" s="75" t="str">
        <f>$O$1-4&amp;" - "&amp;$O$1-3</f>
        <v>2016 - 2017</v>
      </c>
      <c r="E653" s="75" t="str">
        <f>$O$1-2&amp;" - "&amp;$O$1-1</f>
        <v>2018 - 2019</v>
      </c>
      <c r="F653" s="78" t="str">
        <f>$O$1&amp;" - "&amp;$O$1+1</f>
        <v>2020 - 2021</v>
      </c>
      <c r="G653" s="509" t="str">
        <f>$O$1-8&amp;" - "&amp;$O$1-7</f>
        <v>2012 - 2013</v>
      </c>
      <c r="H653" s="75" t="str">
        <f>$O$1-6&amp;" - "&amp;$O$1-5</f>
        <v>2014 - 2015</v>
      </c>
      <c r="I653" s="75" t="str">
        <f>$O$1-4&amp;" - "&amp;$O$1-3</f>
        <v>2016 - 2017</v>
      </c>
      <c r="J653" s="75" t="str">
        <f>$O$1-2&amp;" - "&amp;$O$1-1</f>
        <v>2018 - 2019</v>
      </c>
      <c r="K653" s="78" t="str">
        <f>$O$1&amp;" - "&amp;$O$1+1</f>
        <v>2020 - 2021</v>
      </c>
    </row>
    <row r="654" spans="1:22" ht="25.5" hidden="1" outlineLevel="1">
      <c r="A654" s="79" t="s">
        <v>812</v>
      </c>
      <c r="B654" s="86">
        <f>(INDEX(Data!2297:2297,1,$P$1-8)+INDEX(Data!2310:2310,1,$P$1-8))+(INDEX(Data!2297:2297,1,$P$1-7)+INDEX(Data!2310:2310,1,$P$1-7))</f>
        <v>2216000</v>
      </c>
      <c r="C654" s="87">
        <f>(INDEX(Data!2297:2297,1,$P$1-6)+INDEX(Data!2310:2310,1,$P$1-6))+(INDEX(Data!2297:2297,1,$P$1-5)+INDEX(Data!2310:2310,1,$P$1-5))</f>
        <v>2350000</v>
      </c>
      <c r="D654" s="404">
        <f>(INDEX(Data!2297:2297,1,$P$1-4)+INDEX(Data!2310:2310,1,$P$1-4))+(INDEX(Data!2297:2297,1,$P$1-3)+INDEX(Data!2310:2310,1,$P$1-3))</f>
        <v>4825750</v>
      </c>
      <c r="E654" s="90">
        <f>(INDEX(Data!2297:2297,1,$P$1-2)+INDEX(Data!2310:2310,1,$P$1-2))+(INDEX(Data!2297:2297,1,$P$1-1)+INDEX(Data!2310:2310,1,$P$1-1))</f>
        <v>2448000</v>
      </c>
      <c r="F654" s="88">
        <f>(INDEX(Data!2297:2297,1,$P$1)+INDEX(Data!2310:2310,1,$P$1))+(INDEX(Data!2297:2297,1,$P$1+1)+INDEX(Data!2310:2310,1,$P$1+1))</f>
        <v>2512000</v>
      </c>
      <c r="G654" s="469"/>
      <c r="H654" s="469"/>
      <c r="I654" s="131"/>
      <c r="J654" s="131"/>
      <c r="K654" s="470"/>
    </row>
    <row r="655" spans="1:22" collapsed="1">
      <c r="A655" s="104" t="s">
        <v>784</v>
      </c>
      <c r="B655" s="105">
        <f>SUM(B654:B654)</f>
        <v>2216000</v>
      </c>
      <c r="C655" s="106">
        <f>SUM(C654:C654)</f>
        <v>2350000</v>
      </c>
      <c r="D655" s="405">
        <f>SUM(D654:D654)</f>
        <v>4825750</v>
      </c>
      <c r="E655" s="106">
        <f>SUM(E654:E654)</f>
        <v>2448000</v>
      </c>
      <c r="F655" s="107">
        <f>SUM(F654:F654)</f>
        <v>2512000</v>
      </c>
      <c r="G655" s="468"/>
      <c r="H655" s="468"/>
      <c r="I655" s="468"/>
      <c r="J655" s="468"/>
      <c r="K655" s="471"/>
    </row>
    <row r="656" spans="1:22" ht="25.5" hidden="1" outlineLevel="1">
      <c r="A656" s="79" t="s">
        <v>1433</v>
      </c>
      <c r="B656" s="86">
        <f>(INDEX(Data!2298:2298,1,$P$1-8)+INDEX(Data!2311:2311,1,$P$1-8))+(INDEX(Data!2298:2298,1,$P$1-7)+INDEX(Data!2311:2311,1,$P$1-7))</f>
        <v>10950720</v>
      </c>
      <c r="C656" s="87">
        <f>(INDEX(Data!2298:2298,1,$P$1-6)+INDEX(Data!2311:2311,1,$P$1-6))+(INDEX(Data!2298:2298,1,$P$1-5)+INDEX(Data!2311:2311,1,$P$1-5))</f>
        <v>11216000</v>
      </c>
      <c r="D656" s="404">
        <f>(INDEX(Data!2298:2298,1,$P$1-4)+INDEX(Data!2311:2311,1,$P$1-4))+(INDEX(Data!2298:2298,1,$P$1-3)+INDEX(Data!2311:2311,1,$P$1-3))</f>
        <v>11322838</v>
      </c>
      <c r="E656" s="90">
        <f>(INDEX(Data!2298:2298,1,$P$1-2)+INDEX(Data!2311:2311,1,$P$1-2))+(INDEX(Data!2298:2298,1,$P$1-1)+INDEX(Data!2311:2311,1,$P$1-1))</f>
        <v>11489944</v>
      </c>
      <c r="F656" s="88">
        <f>(INDEX(Data!2298:2298,1,$P$1)+INDEX(Data!2311:2311,1,$P$1))+(INDEX(Data!2298:2298,1,$P$1+1)+INDEX(Data!2311:2311,1,$P$1+1))</f>
        <v>12052728</v>
      </c>
      <c r="G656" s="469"/>
      <c r="H656" s="469"/>
      <c r="I656" s="131"/>
      <c r="J656" s="131"/>
      <c r="K656" s="470"/>
    </row>
    <row r="657" spans="1:11" ht="25.5" hidden="1" outlineLevel="1">
      <c r="A657" s="79" t="s">
        <v>1434</v>
      </c>
      <c r="B657" s="86">
        <f>(INDEX(Data!2299:2299,1,$P$1-8)+INDEX(Data!2312:2312,1,$P$1-8))+(INDEX(Data!2299:2299,1,$P$1-7)+INDEX(Data!2312:2312,1,$P$1-7))</f>
        <v>9575647</v>
      </c>
      <c r="C657" s="87">
        <f>(INDEX(Data!2299:2299,1,$P$1-6)+INDEX(Data!2312:2312,1,$P$1-6))+(INDEX(Data!2299:2299,1,$P$1-5)+INDEX(Data!2312:2312,1,$P$1-5))</f>
        <v>10229000</v>
      </c>
      <c r="D657" s="404">
        <f>(INDEX(Data!2299:2299,1,$P$1-4)+INDEX(Data!2312:2312,1,$P$1-4))+(INDEX(Data!2299:2299,1,$P$1-3)+INDEX(Data!2312:2312,1,$P$1-3))</f>
        <v>6781514</v>
      </c>
      <c r="E657" s="90">
        <f>(INDEX(Data!2299:2299,1,$P$1-2)+INDEX(Data!2312:2312,1,$P$1-2))+(INDEX(Data!2299:2299,1,$P$1-1)+INDEX(Data!2312:2312,1,$P$1-1))</f>
        <v>6962884</v>
      </c>
      <c r="F657" s="88">
        <f>(INDEX(Data!2299:2299,1,$P$1)+INDEX(Data!2312:2312,1,$P$1))+(INDEX(Data!2299:2299,1,$P$1+1)+INDEX(Data!2312:2312,1,$P$1+1))</f>
        <v>6962884</v>
      </c>
      <c r="G657" s="469"/>
      <c r="H657" s="469"/>
      <c r="I657" s="131"/>
      <c r="J657" s="131"/>
      <c r="K657" s="470"/>
    </row>
    <row r="658" spans="1:11" ht="25.5" hidden="1" outlineLevel="1">
      <c r="A658" s="79" t="s">
        <v>1435</v>
      </c>
      <c r="B658" s="86">
        <f>(INDEX(Data!2300:2300,1,$P$1-8)+INDEX(Data!2313:2313,1,$P$1-8))+(INDEX(Data!2300:2300,1,$P$1-7)+INDEX(Data!2313:2313,1,$P$1-7))</f>
        <v>7049820</v>
      </c>
      <c r="C658" s="87">
        <f>(INDEX(Data!2300:2300,1,$P$1-6)+INDEX(Data!2313:2313,1,$P$1-6))+(INDEX(Data!2300:2300,1,$P$1-5)+INDEX(Data!2313:2313,1,$P$1-5))</f>
        <v>7202000</v>
      </c>
      <c r="D658" s="404">
        <f>(INDEX(Data!2300:2300,1,$P$1-4)+INDEX(Data!2313:2313,1,$P$1-4))+(INDEX(Data!2300:2300,1,$P$1-3)+INDEX(Data!2313:2313,1,$P$1-3))</f>
        <v>6976128</v>
      </c>
      <c r="E658" s="90">
        <f>(INDEX(Data!2300:2300,1,$P$1-2)+INDEX(Data!2313:2313,1,$P$1-2))+(INDEX(Data!2300:2300,1,$P$1-1)+INDEX(Data!2313:2313,1,$P$1-1))</f>
        <v>7162496</v>
      </c>
      <c r="F658" s="88">
        <f>(INDEX(Data!2300:2300,1,$P$1)+INDEX(Data!2313:2313,1,$P$1))+(INDEX(Data!2300:2300,1,$P$1+1)+INDEX(Data!2313:2313,1,$P$1+1))</f>
        <v>7276028</v>
      </c>
      <c r="G658" s="469"/>
      <c r="H658" s="469"/>
      <c r="I658" s="131"/>
      <c r="J658" s="131"/>
      <c r="K658" s="470"/>
    </row>
    <row r="659" spans="1:11" ht="25.5" hidden="1" outlineLevel="1">
      <c r="A659" s="79" t="s">
        <v>1436</v>
      </c>
      <c r="B659" s="86">
        <f>(INDEX(Data!2301:2301,1,$P$1-8)+INDEX(Data!2314:2314,1,$P$1-8))+(INDEX(Data!2301:2301,1,$P$1-7)+INDEX(Data!2314:2314,1,$P$1-7))</f>
        <v>37259294</v>
      </c>
      <c r="C659" s="87">
        <f>(INDEX(Data!2301:2301,1,$P$1-6)+INDEX(Data!2314:2314,1,$P$1-6))+(INDEX(Data!2301:2301,1,$P$1-5)+INDEX(Data!2314:2314,1,$P$1-5))</f>
        <v>26658000</v>
      </c>
      <c r="D659" s="404">
        <f>(INDEX(Data!2301:2301,1,$P$1-4)+INDEX(Data!2314:2314,1,$P$1-4))+(INDEX(Data!2301:2301,1,$P$1-3)+INDEX(Data!2314:2314,1,$P$1-3))</f>
        <v>27321024</v>
      </c>
      <c r="E659" s="90">
        <f>(INDEX(Data!2301:2301,1,$P$1-2)+INDEX(Data!2314:2314,1,$P$1-2))+(INDEX(Data!2301:2301,1,$P$1-1)+INDEX(Data!2314:2314,1,$P$1-1))</f>
        <v>27872110</v>
      </c>
      <c r="F659" s="88">
        <f>(INDEX(Data!2301:2301,1,$P$1)+INDEX(Data!2314:2314,1,$P$1))+(INDEX(Data!2301:2301,1,$P$1+1)+INDEX(Data!2314:2314,1,$P$1+1))</f>
        <v>29010360</v>
      </c>
      <c r="G659" s="469"/>
      <c r="H659" s="469"/>
      <c r="I659" s="131"/>
      <c r="J659" s="131"/>
      <c r="K659" s="470"/>
    </row>
    <row r="660" spans="1:11" ht="25.5" hidden="1" outlineLevel="1">
      <c r="A660" s="79" t="s">
        <v>1668</v>
      </c>
      <c r="B660" s="86">
        <f>(INDEX(Data!2302:2302,1,$P$1-8)+INDEX(Data!2315:2315,1,$P$1-8))+(INDEX(Data!2302:2302,1,$P$1-7)+INDEX(Data!2315:2315,1,$P$1-7))</f>
        <v>0</v>
      </c>
      <c r="C660" s="87">
        <f>(INDEX(Data!2302:2302,1,$P$1-6)+INDEX(Data!2315:2315,1,$P$1-6))+(INDEX(Data!2302:2302,1,$P$1-5)+INDEX(Data!2315:2315,1,$P$1-5))</f>
        <v>0</v>
      </c>
      <c r="D660" s="404">
        <f>(INDEX(Data!2302:2302,1,$P$1-4)+INDEX(Data!2315:2315,1,$P$1-4))+(INDEX(Data!2302:2302,1,$P$1-3)+INDEX(Data!2315:2315,1,$P$1-3))</f>
        <v>0</v>
      </c>
      <c r="E660" s="90">
        <f>(INDEX(Data!2302:2302,1,$P$1-2)+INDEX(Data!2315:2315,1,$P$1-2))+(INDEX(Data!2302:2302,1,$P$1-1)+INDEX(Data!2315:2315,1,$P$1-1))</f>
        <v>2499000</v>
      </c>
      <c r="F660" s="88">
        <f>(INDEX(Data!2302:2302,1,$P$1)+INDEX(Data!2315:2315,1,$P$1))+(INDEX(Data!2302:2302,1,$P$1+1)+INDEX(Data!2315:2315,1,$P$1+1))</f>
        <v>2499000</v>
      </c>
      <c r="G660" s="469"/>
      <c r="H660" s="469"/>
      <c r="I660" s="131"/>
      <c r="J660" s="131"/>
      <c r="K660" s="470"/>
    </row>
    <row r="661" spans="1:11" ht="25.5" hidden="1" outlineLevel="1">
      <c r="A661" s="79" t="s">
        <v>1437</v>
      </c>
      <c r="B661" s="86">
        <f>(INDEX(Data!2303:2303,1,$P$1-8)+INDEX(Data!2316:2316,1,$P$1-8))+(INDEX(Data!2303:2303,1,$P$1-7)+INDEX(Data!2316:2316,1,$P$1-7))</f>
        <v>16694709</v>
      </c>
      <c r="C661" s="87">
        <f>(INDEX(Data!2303:2303,1,$P$1-6)+INDEX(Data!2316:2316,1,$P$1-6))+(INDEX(Data!2303:2303,1,$P$1-5)+INDEX(Data!2316:2316,1,$P$1-5))</f>
        <v>16692000</v>
      </c>
      <c r="D661" s="404">
        <f>(INDEX(Data!2303:2303,1,$P$1-4)+INDEX(Data!2316:2316,1,$P$1-4))+(INDEX(Data!2303:2303,1,$P$1-3)+INDEX(Data!2316:2316,1,$P$1-3))</f>
        <v>16727814</v>
      </c>
      <c r="E661" s="90">
        <f>(INDEX(Data!2303:2303,1,$P$1-2)+INDEX(Data!2316:2316,1,$P$1-2))+(INDEX(Data!2303:2303,1,$P$1-1)+INDEX(Data!2316:2316,1,$P$1-1))</f>
        <v>17279356</v>
      </c>
      <c r="F661" s="88">
        <f>(INDEX(Data!2303:2303,1,$P$1)+INDEX(Data!2316:2316,1,$P$1))+(INDEX(Data!2303:2303,1,$P$1+1)+INDEX(Data!2316:2316,1,$P$1+1))</f>
        <v>17810116</v>
      </c>
      <c r="G661" s="469"/>
      <c r="H661" s="469"/>
      <c r="I661" s="131"/>
      <c r="J661" s="131"/>
      <c r="K661" s="470"/>
    </row>
    <row r="662" spans="1:11" ht="25.5" hidden="1" outlineLevel="1">
      <c r="A662" s="79" t="s">
        <v>1438</v>
      </c>
      <c r="B662" s="86">
        <f>(INDEX(Data!2304:2304,1,$P$1-8)+INDEX(Data!2317:2317,1,$P$1-8))+(INDEX(Data!2304:2304,1,$P$1-7)+INDEX(Data!2317:2317,1,$P$1-7))</f>
        <v>5577748</v>
      </c>
      <c r="C662" s="87">
        <f>(INDEX(Data!2304:2304,1,$P$1-6)+INDEX(Data!2317:2317,1,$P$1-6))+(INDEX(Data!2304:2304,1,$P$1-5)+INDEX(Data!2317:2317,1,$P$1-5))</f>
        <v>5712000</v>
      </c>
      <c r="D662" s="404">
        <f>(INDEX(Data!2304:2304,1,$P$1-4)+INDEX(Data!2317:2317,1,$P$1-4))+(INDEX(Data!2304:2304,1,$P$1-3)+INDEX(Data!2317:2317,1,$P$1-3))</f>
        <v>5603084</v>
      </c>
      <c r="E662" s="90">
        <f>(INDEX(Data!2304:2304,1,$P$1-2)+INDEX(Data!2317:2317,1,$P$1-2))+(INDEX(Data!2304:2304,1,$P$1-1)+INDEX(Data!2317:2317,1,$P$1-1))</f>
        <v>5792112</v>
      </c>
      <c r="F662" s="88">
        <f>(INDEX(Data!2304:2304,1,$P$1)+INDEX(Data!2317:2317,1,$P$1))+(INDEX(Data!2304:2304,1,$P$1+1)+INDEX(Data!2317:2317,1,$P$1+1))</f>
        <v>5978410</v>
      </c>
      <c r="G662" s="469"/>
      <c r="H662" s="469"/>
      <c r="I662" s="131"/>
      <c r="J662" s="131"/>
      <c r="K662" s="470"/>
    </row>
    <row r="663" spans="1:11" ht="25.5" hidden="1" outlineLevel="1">
      <c r="A663" s="79" t="s">
        <v>1439</v>
      </c>
      <c r="B663" s="86">
        <f>(INDEX(Data!2305:2305,1,$P$1-8)+INDEX(Data!2318:2318,1,$P$1-8))+(INDEX(Data!2305:2305,1,$P$1-7)+INDEX(Data!2318:2318,1,$P$1-7))</f>
        <v>7782433</v>
      </c>
      <c r="C663" s="87">
        <f>(INDEX(Data!2305:2305,1,$P$1-6)+INDEX(Data!2318:2318,1,$P$1-6))+(INDEX(Data!2305:2305,1,$P$1-5)+INDEX(Data!2318:2318,1,$P$1-5))</f>
        <v>5050000</v>
      </c>
      <c r="D663" s="404">
        <f>(INDEX(Data!2305:2305,1,$P$1-4)+INDEX(Data!2318:2318,1,$P$1-4))+(INDEX(Data!2305:2305,1,$P$1-3)+INDEX(Data!2318:2318,1,$P$1-3))</f>
        <v>5378386</v>
      </c>
      <c r="E663" s="90">
        <f>(INDEX(Data!2305:2305,1,$P$1-2)+INDEX(Data!2318:2318,1,$P$1-2))+(INDEX(Data!2305:2305,1,$P$1-1)+INDEX(Data!2318:2318,1,$P$1-1))</f>
        <v>5378386</v>
      </c>
      <c r="F663" s="88">
        <f>(INDEX(Data!2305:2305,1,$P$1)+INDEX(Data!2318:2318,1,$P$1))+(INDEX(Data!2305:2305,1,$P$1+1)+INDEX(Data!2318:2318,1,$P$1+1))</f>
        <v>5378386</v>
      </c>
      <c r="G663" s="469"/>
      <c r="H663" s="469"/>
      <c r="I663" s="131"/>
      <c r="J663" s="131"/>
      <c r="K663" s="470"/>
    </row>
    <row r="664" spans="1:11" ht="25.5" hidden="1" outlineLevel="1">
      <c r="A664" s="79" t="s">
        <v>1440</v>
      </c>
      <c r="B664" s="86">
        <f>(INDEX(Data!2306:2306,1,$P$1-8)+INDEX(Data!2319:2319,1,$P$1-8))+(INDEX(Data!2306:2306,1,$P$1-7)+INDEX(Data!2319:2319,1,$P$1-7))</f>
        <v>9064262</v>
      </c>
      <c r="C664" s="87">
        <f>(INDEX(Data!2306:2306,1,$P$1-6)+INDEX(Data!2319:2319,1,$P$1-6))+(INDEX(Data!2306:2306,1,$P$1-5)+INDEX(Data!2319:2319,1,$P$1-5))</f>
        <v>4560000</v>
      </c>
      <c r="D664" s="404">
        <f>(INDEX(Data!2306:2306,1,$P$1-4)+INDEX(Data!2319:2319,1,$P$1-4))+(INDEX(Data!2306:2306,1,$P$1-3)+INDEX(Data!2319:2319,1,$P$1-3))</f>
        <v>4339226</v>
      </c>
      <c r="E664" s="90">
        <f>(INDEX(Data!2306:2306,1,$P$1-2)+INDEX(Data!2319:2319,1,$P$1-2))+(INDEX(Data!2306:2306,1,$P$1-1)+INDEX(Data!2319:2319,1,$P$1-1))</f>
        <v>4339226</v>
      </c>
      <c r="F664" s="88">
        <f>(INDEX(Data!2306:2306,1,$P$1)+INDEX(Data!2319:2319,1,$P$1))+(INDEX(Data!2306:2306,1,$P$1+1)+INDEX(Data!2319:2319,1,$P$1+1))</f>
        <v>4339226</v>
      </c>
      <c r="G664" s="469"/>
      <c r="H664" s="469"/>
      <c r="I664" s="131"/>
      <c r="J664" s="131"/>
      <c r="K664" s="470"/>
    </row>
    <row r="665" spans="1:11" ht="25.5" hidden="1" outlineLevel="1">
      <c r="A665" s="79" t="s">
        <v>942</v>
      </c>
      <c r="B665" s="86">
        <f>(INDEX(Data!2307:2307,1,$P$1-8)+INDEX(Data!2321:2321,1,$P$1-8))+(INDEX(Data!2307:2307,1,$P$1-7)+INDEX(Data!2321:2321,1,$P$1-7))</f>
        <v>2797200</v>
      </c>
      <c r="C665" s="87">
        <f>(INDEX(Data!2307:2307,1,$P$1-6)+INDEX(Data!2321:2321,1,$P$1-6))+(INDEX(Data!2307:2307,1,$P$1-5)+INDEX(Data!2321:2321,1,$P$1-5))</f>
        <v>6200000</v>
      </c>
      <c r="D665" s="404">
        <f>(INDEX(Data!2307:2307,1,$P$1-4)+INDEX(Data!2321:2321,1,$P$1-4))+(INDEX(Data!2307:2307,1,$P$1-3)+INDEX(Data!2321:2321,1,$P$1-3))</f>
        <v>5772938</v>
      </c>
      <c r="E665" s="90">
        <f>(INDEX(Data!2307:2307,1,$P$1-2)+INDEX(Data!2320:2320,1,$P$1-2))+(INDEX(Data!2307:2307,1,$P$1-1)+INDEX(Data!2320:2320,1,$P$1-1))</f>
        <v>6160000</v>
      </c>
      <c r="F665" s="88">
        <f>(INDEX(Data!2307:2307,1,$P$1)+INDEX(Data!2321:2321,1,$P$1))+(INDEX(Data!2307:2307,1,$P$1+1)+INDEX(Data!2321:2321,1,$P$1+1))</f>
        <v>5900000</v>
      </c>
      <c r="G665" s="469"/>
      <c r="H665" s="469"/>
      <c r="I665" s="131"/>
      <c r="J665" s="131"/>
      <c r="K665" s="470"/>
    </row>
    <row r="666" spans="1:11" ht="25.5" hidden="1" outlineLevel="1">
      <c r="A666" s="79" t="s">
        <v>1556</v>
      </c>
      <c r="B666" s="86">
        <f>(INDEX(Data!2308:2308,1,$P$1-8)+INDEX(Data!2322:2322,1,$P$1-8))+(INDEX(Data!2308:2308,1,$P$1-7)+INDEX(Data!2322:2322,1,$P$1-7))</f>
        <v>122847102</v>
      </c>
      <c r="C666" s="87">
        <f>(INDEX(Data!2308:2308,1,$P$1-6)+INDEX(Data!2322:2322,1,$P$1-6))+(INDEX(Data!2308:2308,1,$P$1-5)+INDEX(Data!2322:2322,1,$P$1-5))</f>
        <v>101535000</v>
      </c>
      <c r="D666" s="404">
        <f>(INDEX(Data!2308:2308,1,$P$1-4)+INDEX(Data!2322:2322,1,$P$1-4))+(INDEX(Data!2308:2308,1,$P$1-3)+INDEX(Data!2322:2322,1,$P$1-3))</f>
        <v>106325466</v>
      </c>
      <c r="E666" s="90">
        <f>(INDEX(Data!2308:2308,1,$P$1-2)+INDEX(Data!2321:2321,1,$P$1-2))+(INDEX(Data!2308:2308,1,$P$1-1)+INDEX(Data!2321:2321,1,$P$1-1))</f>
        <v>5981906</v>
      </c>
      <c r="F666" s="88">
        <f>(INDEX(Data!2308:2308,1,$P$1)+INDEX(Data!2322:2322,1,$P$1))+(INDEX(Data!2308:2308,1,$P$1+1)+INDEX(Data!2322:2322,1,$P$1+1))</f>
        <v>111624938</v>
      </c>
      <c r="G666" s="469"/>
      <c r="H666" s="469"/>
      <c r="I666" s="131"/>
      <c r="J666" s="131"/>
      <c r="K666" s="470"/>
    </row>
    <row r="667" spans="1:11" hidden="1" outlineLevel="1">
      <c r="A667" s="79" t="s">
        <v>221</v>
      </c>
      <c r="B667" s="86">
        <f>(INDEX(Data!1100:1100,1,$P$1-8)+INDEX(Data!1101:1101,1,$P$1-8)+INDEX(Data!1065:1065,1,$P$1-8)+INDEX(Data!1066:1066,1,$P$1-8)+(INDEX(Data!1100:1100,1,$P$1-7)+INDEX(Data!1101:1101,1,$P$1-7)+INDEX(Data!1065:1065,1,$P$1-7)+INDEX(Data!1066:1066,1,$P$1-7)))</f>
        <v>6181660</v>
      </c>
      <c r="C667" s="87">
        <f>(INDEX(Data!1100:1100,1,$P$1-6)+INDEX(Data!1101:1101,1,$P$1-6)+INDEX(Data!1065:1065,1,$P$1-6)+INDEX(Data!1066:1066,1,$P$1-6)+(INDEX(Data!1100:1100,1,$P$1-5)+INDEX(Data!1101:1101,1,$P$1-5)+INDEX(Data!1065:1065,1,$P$1-5)+INDEX(Data!1066:1066,1,$P$1-5)))</f>
        <v>6900000</v>
      </c>
      <c r="D667" s="404">
        <f>(INDEX(Data!1100:1100,1,$P$1-4)+INDEX(Data!1101:1101,1,$P$1-4)+INDEX(Data!1065:1065,1,$P$1-4)+INDEX(Data!1066:1066,1,$P$1-4)+(INDEX(Data!1100:1100,1,$P$1-3)+INDEX(Data!1101:1101,1,$P$1-3)+INDEX(Data!1065:1065,1,$P$1-3)+INDEX(Data!1066:1066,1,$P$1-3)))</f>
        <v>6678386</v>
      </c>
      <c r="E667" s="90">
        <f>(INDEX(Data!1100:1100,1,$P$1-2)+INDEX(Data!1101:1101,1,$P$1-2)+INDEX(Data!1065:1065,1,$P$1-2)+INDEX(Data!1066:1066,1,$P$1-2)+(INDEX(Data!1100:1100,1,$P$1-1)+INDEX(Data!1101:1101,1,$P$1-1)+INDEX(Data!1065:1065,1,$P$1-1)+INDEX(Data!1066:1066,1,$P$1-1)))</f>
        <v>6678386</v>
      </c>
      <c r="F667" s="88">
        <f>(INDEX(Data!1100:1100,1,$P$1)+INDEX(Data!1101:1101,1,$P$1)+INDEX(Data!1065:1065,1,$P$1)+INDEX(Data!1066:1066,1,$P$1)+(INDEX(Data!1100:1100,1,$P$1+1)+INDEX(Data!1101:1101,1,$P$1+1)+INDEX(Data!1065:1065,1,$P$1+1)+INDEX(Data!1066:1066,1,$P$1+1)))</f>
        <v>6678386</v>
      </c>
      <c r="G667" s="469"/>
      <c r="H667" s="469"/>
      <c r="I667" s="131"/>
      <c r="J667" s="131"/>
      <c r="K667" s="470"/>
    </row>
    <row r="668" spans="1:11" ht="25.5" collapsed="1">
      <c r="A668" s="104" t="s">
        <v>1292</v>
      </c>
      <c r="B668" s="105">
        <f>SUM(B656:B667)</f>
        <v>235780595</v>
      </c>
      <c r="C668" s="106">
        <f t="shared" ref="C668:E668" si="193">SUM(C656:C667)</f>
        <v>201954000</v>
      </c>
      <c r="D668" s="405">
        <f t="shared" si="193"/>
        <v>203226804</v>
      </c>
      <c r="E668" s="106">
        <f t="shared" si="193"/>
        <v>107595806</v>
      </c>
      <c r="F668" s="107">
        <f>SUM(F656:F667)</f>
        <v>215510462</v>
      </c>
      <c r="G668" s="468"/>
      <c r="H668" s="468"/>
      <c r="I668" s="468"/>
      <c r="J668" s="468"/>
      <c r="K668" s="471"/>
    </row>
    <row r="669" spans="1:11" ht="25.5" hidden="1" outlineLevel="1">
      <c r="A669" s="79" t="s">
        <v>813</v>
      </c>
      <c r="B669" s="86">
        <f>INDEX(Data!1098:1098,1,$P$1-8)+INDEX(Data!1098:1098,1,$P$1-7)</f>
        <v>4798035</v>
      </c>
      <c r="C669" s="87">
        <f>INDEX(Data!1098:1098,1,$P$1-6)+INDEX(Data!1098:1098,1,$P$1-5)</f>
        <v>2950000</v>
      </c>
      <c r="D669" s="404">
        <f>INDEX(Data!1098:1098,1,$P$1-4)+INDEX(Data!1098:1098,1,$P$1-3)</f>
        <v>5575054</v>
      </c>
      <c r="E669" s="90">
        <f>INDEX(Data!1098:1098,1,$P$1-2)+INDEX(Data!1098:1098,1,$P$1-1)</f>
        <v>7944680</v>
      </c>
      <c r="F669" s="88">
        <f>INDEX(Data!1098:1098,1,$P$1)+INDEX(Data!1098:1098,1,$P$1+1)</f>
        <v>2133102</v>
      </c>
      <c r="G669" s="469"/>
      <c r="H669" s="469"/>
      <c r="I669" s="131"/>
      <c r="J669" s="131"/>
      <c r="K669" s="470"/>
    </row>
    <row r="670" spans="1:11" ht="38.25" hidden="1" outlineLevel="1">
      <c r="A670" s="79" t="s">
        <v>814</v>
      </c>
      <c r="B670" s="86">
        <f>INDEX(Data!1099:1099,1,$P$1-8)+INDEX(Data!1099:1099,1,$P$1-7)</f>
        <v>7301577</v>
      </c>
      <c r="C670" s="87">
        <f>INDEX(Data!1099:1099,1,$P$1-6)+INDEX(Data!1099:1099,1,$P$1-5)</f>
        <v>5400000</v>
      </c>
      <c r="D670" s="404">
        <f>INDEX(Data!1099:1099,1,$P$1-4)+INDEX(Data!1099:1099,1,$P$1-3)</f>
        <v>9716224</v>
      </c>
      <c r="E670" s="90">
        <f>INDEX(Data!1099:1099,1,$P$1-2)+INDEX(Data!1099:1099,1,$P$1-1)</f>
        <v>10840648</v>
      </c>
      <c r="F670" s="88">
        <f>INDEX(Data!1099:1099,1,$P$1)+INDEX(Data!1099:1099,1,$P$1+1)</f>
        <v>3767620</v>
      </c>
      <c r="G670" s="469"/>
      <c r="H670" s="469"/>
      <c r="I670" s="131"/>
      <c r="J670" s="131"/>
      <c r="K670" s="470"/>
    </row>
    <row r="671" spans="1:11" ht="25.5" collapsed="1">
      <c r="A671" s="104" t="s">
        <v>815</v>
      </c>
      <c r="B671" s="105">
        <f>SUM(B669:B670)</f>
        <v>12099612</v>
      </c>
      <c r="C671" s="106">
        <f t="shared" ref="C671:E671" si="194">SUM(C669:C670)</f>
        <v>8350000</v>
      </c>
      <c r="D671" s="405">
        <f t="shared" si="194"/>
        <v>15291278</v>
      </c>
      <c r="E671" s="106">
        <f t="shared" si="194"/>
        <v>18785328</v>
      </c>
      <c r="F671" s="107">
        <f>SUM(F669:F670)</f>
        <v>5900722</v>
      </c>
      <c r="G671" s="468"/>
      <c r="H671" s="468"/>
      <c r="I671" s="468"/>
      <c r="J671" s="468"/>
      <c r="K671" s="471"/>
    </row>
    <row r="672" spans="1:11" ht="13.5" thickBot="1">
      <c r="A672" s="95" t="s">
        <v>280</v>
      </c>
      <c r="B672" s="96">
        <f>B655+B668+B671</f>
        <v>250096207</v>
      </c>
      <c r="C672" s="97">
        <f t="shared" ref="C672:F672" si="195">C655+C668+C671</f>
        <v>212654000</v>
      </c>
      <c r="D672" s="408">
        <f t="shared" si="195"/>
        <v>223343832</v>
      </c>
      <c r="E672" s="117">
        <f t="shared" si="195"/>
        <v>128829134</v>
      </c>
      <c r="F672" s="98">
        <f t="shared" si="195"/>
        <v>223923184</v>
      </c>
      <c r="G672" s="472"/>
      <c r="H672" s="472"/>
      <c r="I672" s="473"/>
      <c r="J672" s="473"/>
      <c r="K672" s="474"/>
    </row>
    <row r="673" spans="1:1">
      <c r="A673" s="125"/>
    </row>
    <row r="674" spans="1:1">
      <c r="A674" s="125"/>
    </row>
    <row r="675" spans="1:1">
      <c r="A675" s="125"/>
    </row>
    <row r="676" spans="1:1">
      <c r="A676" s="125"/>
    </row>
    <row r="677" spans="1:1">
      <c r="A677" s="125"/>
    </row>
    <row r="678" spans="1:1">
      <c r="A678" s="125"/>
    </row>
    <row r="679" spans="1:1">
      <c r="A679" s="125"/>
    </row>
  </sheetData>
  <mergeCells count="22">
    <mergeCell ref="B2:F2"/>
    <mergeCell ref="G2:K2"/>
    <mergeCell ref="B26:F26"/>
    <mergeCell ref="G26:K26"/>
    <mergeCell ref="B61:F61"/>
    <mergeCell ref="G61:K61"/>
    <mergeCell ref="B98:F98"/>
    <mergeCell ref="G98:K98"/>
    <mergeCell ref="B276:F276"/>
    <mergeCell ref="G276:K276"/>
    <mergeCell ref="B307:F307"/>
    <mergeCell ref="G307:K307"/>
    <mergeCell ref="B559:F559"/>
    <mergeCell ref="G559:K559"/>
    <mergeCell ref="B652:F652"/>
    <mergeCell ref="G652:K652"/>
    <mergeCell ref="B343:F343"/>
    <mergeCell ref="G343:K343"/>
    <mergeCell ref="B380:F380"/>
    <mergeCell ref="G380:K380"/>
    <mergeCell ref="B478:F478"/>
    <mergeCell ref="G478:K478"/>
  </mergeCells>
  <hyperlinks>
    <hyperlink ref="A26" location="Start!C44" display="Return" xr:uid="{00000000-0004-0000-0300-000000000000}"/>
    <hyperlink ref="A61" location="Start!C47" display="Return" xr:uid="{00000000-0004-0000-0300-000001000000}"/>
    <hyperlink ref="A98" location="Start!C50" display="Return" xr:uid="{00000000-0004-0000-0300-000002000000}"/>
    <hyperlink ref="A276" location="Start!C54" display="Return" xr:uid="{00000000-0004-0000-0300-000003000000}"/>
    <hyperlink ref="A307" location="Start!C58" display="Return" xr:uid="{00000000-0004-0000-0300-000004000000}"/>
    <hyperlink ref="A343" location="Start!C62" display="Return" xr:uid="{00000000-0004-0000-0300-000005000000}"/>
    <hyperlink ref="A380" location="Start!C65" display="Return" xr:uid="{00000000-0004-0000-0300-000006000000}"/>
    <hyperlink ref="A478" location="Start!C70" display="Return" xr:uid="{00000000-0004-0000-0300-000007000000}"/>
    <hyperlink ref="A559" location="Start!C75" display="Return" xr:uid="{00000000-0004-0000-0300-000008000000}"/>
    <hyperlink ref="A652" location="Start!C81" display="Return" xr:uid="{00000000-0004-0000-0300-000009000000}"/>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39997558519241921"/>
  </sheetPr>
  <dimension ref="A1:L12"/>
  <sheetViews>
    <sheetView topLeftCell="A3" workbookViewId="0">
      <pane xSplit="1" ySplit="2" topLeftCell="G5" activePane="bottomRight" state="frozen"/>
      <selection activeCell="E2409" sqref="E2409"/>
      <selection pane="topRight" activeCell="E2409" sqref="E2409"/>
      <selection pane="bottomLeft" activeCell="E2409" sqref="E2409"/>
      <selection pane="bottomRight" activeCell="L15" sqref="L15"/>
    </sheetView>
  </sheetViews>
  <sheetFormatPr defaultRowHeight="12.75"/>
  <cols>
    <col min="1" max="1" width="17" customWidth="1"/>
    <col min="2" max="6" width="32" customWidth="1"/>
    <col min="7" max="7" width="32.5703125" customWidth="1"/>
    <col min="8" max="8" width="32.140625" customWidth="1"/>
    <col min="9" max="9" width="33" customWidth="1"/>
    <col min="10" max="11" width="32" customWidth="1"/>
    <col min="12" max="12" width="32" style="1044" customWidth="1"/>
    <col min="13" max="17" width="32" customWidth="1"/>
  </cols>
  <sheetData>
    <row r="1" spans="1:12" s="335" customFormat="1" ht="15.75" hidden="1" customHeight="1">
      <c r="G1" s="335">
        <v>2010</v>
      </c>
      <c r="H1" s="335">
        <v>2012</v>
      </c>
      <c r="I1" s="335">
        <v>2014</v>
      </c>
      <c r="J1" s="335">
        <v>2016</v>
      </c>
      <c r="K1" s="335">
        <v>2018</v>
      </c>
      <c r="L1" s="335">
        <v>2018</v>
      </c>
    </row>
    <row r="2" spans="1:12" s="216" customFormat="1" ht="17.25" hidden="1" customHeight="1">
      <c r="G2" s="216" t="str">
        <f t="shared" ref="G2:L2" ca="1" si="0">MID(CELL("filename"),FIND("[",CELL("filename")),FIND("]",CELL("filename"))-FIND("[",CELL("filename"))+1)&amp;"footnotes!"&amp;CELL("address",G2)</f>
        <v>[GAA Overview_10102020.xlsx]footnotes!$G$2</v>
      </c>
      <c r="H2" s="216" t="str">
        <f t="shared" ca="1" si="0"/>
        <v>[GAA Overview_10102020.xlsx]footnotes!$H$2</v>
      </c>
      <c r="I2" s="216" t="str">
        <f t="shared" ca="1" si="0"/>
        <v>[GAA Overview_10102020.xlsx]footnotes!$I$2</v>
      </c>
      <c r="J2" s="834" t="str">
        <f t="shared" ca="1" si="0"/>
        <v>[GAA Overview_10102020.xlsx]footnotes!$J$2</v>
      </c>
      <c r="K2" s="834" t="str">
        <f t="shared" ca="1" si="0"/>
        <v>[GAA Overview_10102020.xlsx]footnotes!$K$2</v>
      </c>
      <c r="L2" s="834" t="str">
        <f t="shared" ca="1" si="0"/>
        <v>[GAA Overview_10102020.xlsx]footnotes!$L$2</v>
      </c>
    </row>
    <row r="3" spans="1:12">
      <c r="A3" s="426" t="s">
        <v>1232</v>
      </c>
      <c r="B3" s="1" t="s">
        <v>1242</v>
      </c>
      <c r="C3" s="1" t="s">
        <v>1241</v>
      </c>
      <c r="D3" s="1" t="s">
        <v>1240</v>
      </c>
      <c r="E3" s="1" t="s">
        <v>1239</v>
      </c>
      <c r="F3" s="1" t="s">
        <v>1238</v>
      </c>
      <c r="G3" s="1" t="s">
        <v>1234</v>
      </c>
      <c r="H3" s="1" t="s">
        <v>1243</v>
      </c>
      <c r="I3" s="2" t="s">
        <v>1244</v>
      </c>
      <c r="J3" s="2" t="s">
        <v>1827</v>
      </c>
      <c r="K3" s="2" t="s">
        <v>1990</v>
      </c>
      <c r="L3" s="2" t="s">
        <v>1991</v>
      </c>
    </row>
    <row r="4" spans="1:12">
      <c r="A4" s="415"/>
      <c r="B4" s="1"/>
      <c r="C4" s="1"/>
      <c r="D4" s="1"/>
      <c r="E4" s="1"/>
      <c r="F4" s="1"/>
      <c r="G4" s="1"/>
      <c r="H4" s="1"/>
      <c r="I4" s="2"/>
      <c r="J4" s="2"/>
      <c r="K4" s="2"/>
      <c r="L4" s="2"/>
    </row>
    <row r="5" spans="1:12" s="768" customFormat="1" ht="261" customHeight="1">
      <c r="A5" s="1297" t="s">
        <v>1233</v>
      </c>
      <c r="F5" s="769" t="s">
        <v>1662</v>
      </c>
      <c r="G5" s="1077" t="s">
        <v>1237</v>
      </c>
      <c r="H5" s="1077" t="s">
        <v>1246</v>
      </c>
      <c r="I5" s="1077" t="s">
        <v>1248</v>
      </c>
      <c r="J5" s="1077" t="s">
        <v>1832</v>
      </c>
      <c r="K5" s="1077" t="s">
        <v>1917</v>
      </c>
      <c r="L5" s="1077" t="s">
        <v>2053</v>
      </c>
    </row>
    <row r="6" spans="1:12" ht="172.5" customHeight="1">
      <c r="A6" s="1298"/>
      <c r="F6" s="419" t="s">
        <v>1663</v>
      </c>
      <c r="G6" s="419" t="s">
        <v>1235</v>
      </c>
      <c r="H6" s="419" t="s">
        <v>1245</v>
      </c>
      <c r="I6" s="419" t="s">
        <v>1249</v>
      </c>
      <c r="J6" s="416"/>
      <c r="K6" s="419" t="s">
        <v>1916</v>
      </c>
      <c r="L6" s="419" t="s">
        <v>2054</v>
      </c>
    </row>
    <row r="7" spans="1:12" ht="38.25">
      <c r="A7" s="1299"/>
      <c r="F7" s="417" t="s">
        <v>1247</v>
      </c>
      <c r="G7" s="417" t="s">
        <v>1236</v>
      </c>
      <c r="H7" s="417" t="s">
        <v>1247</v>
      </c>
      <c r="I7" s="417" t="s">
        <v>1236</v>
      </c>
      <c r="J7" s="417" t="s">
        <v>1247</v>
      </c>
      <c r="K7" s="417" t="s">
        <v>1236</v>
      </c>
      <c r="L7" s="417" t="s">
        <v>1247</v>
      </c>
    </row>
    <row r="9" spans="1:12" ht="51">
      <c r="A9" s="427" t="s">
        <v>1250</v>
      </c>
    </row>
    <row r="10" spans="1:12" ht="63.75">
      <c r="A10" s="427"/>
      <c r="G10" s="418" t="s">
        <v>1251</v>
      </c>
    </row>
    <row r="12" spans="1:12" ht="25.5">
      <c r="A12" s="202"/>
      <c r="F12" s="428" t="s">
        <v>1471</v>
      </c>
      <c r="G12" s="428" t="s">
        <v>1471</v>
      </c>
      <c r="H12" s="428" t="s">
        <v>1471</v>
      </c>
      <c r="I12" s="428" t="s">
        <v>1471</v>
      </c>
      <c r="J12" s="428" t="s">
        <v>1471</v>
      </c>
      <c r="K12" s="428" t="s">
        <v>1471</v>
      </c>
      <c r="L12" s="428" t="s">
        <v>2236</v>
      </c>
    </row>
  </sheetData>
  <mergeCells count="1">
    <mergeCell ref="A5:A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3" tint="0.39997558519241921"/>
    <outlinePr summaryBelow="0"/>
  </sheetPr>
  <dimension ref="A1:AS3173"/>
  <sheetViews>
    <sheetView showGridLines="0" zoomScale="98" zoomScaleNormal="98" workbookViewId="0">
      <pane xSplit="5" ySplit="1" topLeftCell="AK2" activePane="bottomRight" state="frozen"/>
      <selection activeCell="E2409" sqref="E2409"/>
      <selection pane="topRight" activeCell="E2409" sqref="E2409"/>
      <selection pane="bottomLeft" activeCell="E2409" sqref="E2409"/>
      <selection pane="bottomRight" activeCell="AP2" sqref="AP2"/>
    </sheetView>
  </sheetViews>
  <sheetFormatPr defaultRowHeight="12.75" outlineLevelRow="2" outlineLevelCol="1"/>
  <cols>
    <col min="1" max="1" width="5.5703125" customWidth="1"/>
    <col min="2" max="2" width="9.5703125" style="565" customWidth="1"/>
    <col min="3" max="3" width="11.5703125" style="4" customWidth="1"/>
    <col min="4" max="4" width="6.7109375" style="4" customWidth="1"/>
    <col min="5" max="5" width="50.42578125" style="63" customWidth="1"/>
    <col min="6" max="9" width="19.7109375" style="63" customWidth="1" outlineLevel="1"/>
    <col min="10" max="10" width="18.140625" style="63" customWidth="1" outlineLevel="1"/>
    <col min="11" max="26" width="17.7109375" style="63" customWidth="1" outlineLevel="1"/>
    <col min="27" max="27" width="20.7109375" style="63" customWidth="1" outlineLevel="1"/>
    <col min="28" max="33" width="19.7109375" style="4" customWidth="1"/>
    <col min="34" max="34" width="18.85546875" style="64" bestFit="1" customWidth="1"/>
    <col min="35" max="35" width="18.5703125" style="64" bestFit="1" customWidth="1"/>
    <col min="36" max="39" width="18.140625" style="65" customWidth="1"/>
    <col min="40" max="40" width="18.28515625" customWidth="1"/>
    <col min="41" max="41" width="18.5703125" customWidth="1"/>
    <col min="42" max="42" width="17.42578125" customWidth="1"/>
    <col min="43" max="43" width="17.7109375" customWidth="1"/>
    <col min="44" max="44" width="20" customWidth="1"/>
    <col min="45" max="45" width="19.7109375" customWidth="1"/>
  </cols>
  <sheetData>
    <row r="1" spans="1:45" ht="17.25" customHeight="1">
      <c r="A1" s="216" t="s">
        <v>1402</v>
      </c>
      <c r="B1" s="563" t="s">
        <v>1355</v>
      </c>
      <c r="C1" s="583"/>
      <c r="D1" s="583" t="s">
        <v>1199</v>
      </c>
      <c r="E1" s="584" t="s">
        <v>0</v>
      </c>
      <c r="F1" s="585">
        <v>1984</v>
      </c>
      <c r="G1" s="585">
        <v>1985</v>
      </c>
      <c r="H1" s="585">
        <v>1986</v>
      </c>
      <c r="I1" s="586">
        <v>1987</v>
      </c>
      <c r="J1" s="585">
        <v>1988</v>
      </c>
      <c r="K1" s="586">
        <v>1989</v>
      </c>
      <c r="L1" s="585">
        <v>1990</v>
      </c>
      <c r="M1" s="586">
        <v>1991</v>
      </c>
      <c r="N1" s="585">
        <v>1992</v>
      </c>
      <c r="O1" s="586">
        <v>1993</v>
      </c>
      <c r="P1" s="585">
        <v>1994</v>
      </c>
      <c r="Q1" s="586">
        <v>1995</v>
      </c>
      <c r="R1" s="585">
        <v>1996</v>
      </c>
      <c r="S1" s="586">
        <v>1997</v>
      </c>
      <c r="T1" s="585">
        <v>1998</v>
      </c>
      <c r="U1" s="586">
        <v>1999</v>
      </c>
      <c r="V1" s="585">
        <v>2000</v>
      </c>
      <c r="W1" s="586">
        <v>2001</v>
      </c>
      <c r="X1" s="585">
        <v>2002</v>
      </c>
      <c r="Y1" s="586">
        <v>2003</v>
      </c>
      <c r="Z1" s="585">
        <v>2004</v>
      </c>
      <c r="AA1" s="586">
        <v>2005</v>
      </c>
      <c r="AB1" s="585">
        <v>2006</v>
      </c>
      <c r="AC1" s="586">
        <v>2007</v>
      </c>
      <c r="AD1" s="585">
        <v>2008</v>
      </c>
      <c r="AE1" s="586">
        <v>2009</v>
      </c>
      <c r="AF1" s="585">
        <v>2010</v>
      </c>
      <c r="AG1" s="586">
        <v>2011</v>
      </c>
      <c r="AH1" s="587">
        <v>2012</v>
      </c>
      <c r="AI1" s="588">
        <v>2013</v>
      </c>
      <c r="AJ1" s="585">
        <v>2014</v>
      </c>
      <c r="AK1" s="586">
        <v>2015</v>
      </c>
      <c r="AL1" s="585">
        <v>2016</v>
      </c>
      <c r="AM1" s="586">
        <v>2017</v>
      </c>
      <c r="AN1" s="585">
        <v>2018</v>
      </c>
      <c r="AO1" s="586">
        <v>2019</v>
      </c>
      <c r="AP1" s="585">
        <v>2020</v>
      </c>
      <c r="AQ1" s="586">
        <v>2021</v>
      </c>
    </row>
    <row r="2" spans="1:45" s="232" customFormat="1">
      <c r="B2" s="564"/>
      <c r="C2" s="437" t="s">
        <v>1260</v>
      </c>
      <c r="D2" s="438"/>
      <c r="E2" s="439"/>
      <c r="F2" s="439"/>
      <c r="G2" s="439"/>
      <c r="H2" s="439"/>
      <c r="I2" s="439"/>
      <c r="J2" s="439"/>
      <c r="K2" s="439"/>
      <c r="L2" s="439"/>
      <c r="M2" s="439"/>
      <c r="N2" s="439"/>
      <c r="O2" s="439"/>
      <c r="P2" s="439"/>
      <c r="Q2" s="439"/>
      <c r="R2" s="439"/>
      <c r="S2" s="439"/>
      <c r="T2" s="439"/>
      <c r="U2" s="439"/>
      <c r="V2" s="439"/>
      <c r="W2" s="439"/>
      <c r="X2" s="439"/>
      <c r="Y2" s="439"/>
      <c r="Z2" s="439"/>
      <c r="AA2" s="439"/>
      <c r="AB2" s="438"/>
      <c r="AC2" s="438"/>
      <c r="AD2" s="438"/>
      <c r="AE2" s="438"/>
      <c r="AF2" s="438"/>
      <c r="AG2" s="438"/>
      <c r="AH2" s="440"/>
      <c r="AI2" s="440"/>
      <c r="AJ2" s="441"/>
      <c r="AK2" s="441"/>
      <c r="AL2" s="441"/>
      <c r="AM2" s="441"/>
    </row>
    <row r="3" spans="1:45" collapsed="1">
      <c r="C3" s="810" t="s">
        <v>1</v>
      </c>
      <c r="D3" s="5"/>
      <c r="E3" s="6"/>
      <c r="F3" s="6"/>
      <c r="G3" s="6"/>
      <c r="H3" s="6"/>
      <c r="I3" s="6"/>
      <c r="J3" s="6"/>
      <c r="K3" s="6"/>
      <c r="L3" s="6"/>
      <c r="M3" s="6"/>
      <c r="N3" s="6"/>
      <c r="O3" s="6"/>
      <c r="P3" s="6"/>
      <c r="Q3" s="6"/>
      <c r="R3" s="6"/>
      <c r="S3" s="6"/>
      <c r="T3" s="6"/>
      <c r="U3" s="6"/>
      <c r="V3" s="6"/>
      <c r="W3" s="6"/>
      <c r="X3" s="6"/>
      <c r="Y3" s="6"/>
      <c r="Z3" s="6"/>
      <c r="AA3" s="6"/>
      <c r="AB3" s="7"/>
      <c r="AC3" s="7"/>
      <c r="AD3" s="7"/>
      <c r="AE3" s="7"/>
      <c r="AF3" s="7"/>
      <c r="AG3" s="7"/>
      <c r="AH3" s="7"/>
      <c r="AI3" s="7"/>
      <c r="AJ3" s="369" t="s">
        <v>1207</v>
      </c>
      <c r="AK3" s="369" t="s">
        <v>1207</v>
      </c>
      <c r="AL3" s="369" t="s">
        <v>1799</v>
      </c>
      <c r="AM3" s="369" t="s">
        <v>1799</v>
      </c>
      <c r="AN3" s="369" t="s">
        <v>1799</v>
      </c>
      <c r="AO3" s="369" t="s">
        <v>1799</v>
      </c>
      <c r="AP3" s="696" t="s">
        <v>1799</v>
      </c>
      <c r="AQ3" s="696" t="s">
        <v>1799</v>
      </c>
      <c r="AR3" s="1044"/>
      <c r="AS3" s="1044"/>
    </row>
    <row r="4" spans="1:45" hidden="1" outlineLevel="1">
      <c r="C4" s="810" t="s">
        <v>2</v>
      </c>
      <c r="D4" s="9"/>
      <c r="E4" s="10" t="s">
        <v>991</v>
      </c>
      <c r="F4" s="10"/>
      <c r="G4" s="10"/>
      <c r="H4" s="10"/>
      <c r="I4" s="10"/>
      <c r="J4" s="10"/>
      <c r="K4" s="10"/>
      <c r="L4" s="10"/>
      <c r="M4" s="10"/>
      <c r="N4" s="10"/>
      <c r="O4" s="10"/>
      <c r="P4" s="10"/>
      <c r="Q4" s="10"/>
      <c r="R4" s="10"/>
      <c r="S4" s="10"/>
      <c r="T4" s="10"/>
      <c r="U4" s="10"/>
      <c r="V4" s="10"/>
      <c r="W4" s="10"/>
      <c r="X4" s="10"/>
      <c r="Y4" s="10"/>
      <c r="Z4" s="10"/>
      <c r="AA4" s="10"/>
      <c r="AB4" s="11"/>
      <c r="AC4" s="11"/>
      <c r="AD4" s="11">
        <v>2471848433</v>
      </c>
      <c r="AE4" s="11">
        <v>1549709441</v>
      </c>
      <c r="AF4" s="11">
        <f>2578156897+403727300</f>
        <v>2981884197</v>
      </c>
      <c r="AG4" s="11">
        <v>1888246557</v>
      </c>
      <c r="AH4" s="12">
        <v>2523840617</v>
      </c>
      <c r="AI4" s="12">
        <f>1945179070+23850628</f>
        <v>1969029698</v>
      </c>
      <c r="AJ4" s="13">
        <v>2635925417</v>
      </c>
      <c r="AK4" s="13">
        <v>2204364797</v>
      </c>
      <c r="AL4" s="13">
        <v>3743217334</v>
      </c>
      <c r="AM4" s="13">
        <v>2509339351</v>
      </c>
      <c r="AN4" s="13">
        <v>3354275449</v>
      </c>
      <c r="AO4" s="13">
        <v>2888815212</v>
      </c>
      <c r="AP4" s="13">
        <v>4348316826</v>
      </c>
      <c r="AQ4" s="13">
        <v>3104372598</v>
      </c>
      <c r="AR4" s="1044"/>
      <c r="AS4" s="1044"/>
    </row>
    <row r="5" spans="1:45" hidden="1" outlineLevel="1">
      <c r="C5" s="810" t="s">
        <v>2</v>
      </c>
      <c r="D5" s="9"/>
      <c r="E5" s="10" t="s">
        <v>992</v>
      </c>
      <c r="F5" s="10"/>
      <c r="G5" s="10"/>
      <c r="H5" s="10"/>
      <c r="I5" s="10"/>
      <c r="J5" s="10"/>
      <c r="K5" s="10"/>
      <c r="L5" s="10"/>
      <c r="M5" s="10"/>
      <c r="N5" s="10"/>
      <c r="O5" s="10"/>
      <c r="P5" s="10"/>
      <c r="Q5" s="10"/>
      <c r="R5" s="10"/>
      <c r="S5" s="10"/>
      <c r="T5" s="10"/>
      <c r="U5" s="10"/>
      <c r="V5" s="10"/>
      <c r="W5" s="10"/>
      <c r="X5" s="10"/>
      <c r="Y5" s="10"/>
      <c r="Z5" s="10"/>
      <c r="AA5" s="10"/>
      <c r="AB5" s="11"/>
      <c r="AC5" s="11"/>
      <c r="AD5" s="11">
        <v>27916316935</v>
      </c>
      <c r="AE5" s="11">
        <v>25049634705</v>
      </c>
      <c r="AF5" s="11">
        <f>29692649744+213763816</f>
        <v>29906413560</v>
      </c>
      <c r="AG5" s="11">
        <v>30053841573</v>
      </c>
      <c r="AH5" s="12">
        <f>32244698000</f>
        <v>32244698000</v>
      </c>
      <c r="AI5" s="12">
        <f>23181682431+640679330</f>
        <v>23822361761</v>
      </c>
      <c r="AJ5" s="13">
        <v>36302295918</v>
      </c>
      <c r="AK5" s="13">
        <v>37589629114</v>
      </c>
      <c r="AL5" s="13">
        <v>38437515861</v>
      </c>
      <c r="AM5" s="13">
        <v>38762257884</v>
      </c>
      <c r="AN5" s="13">
        <v>39650748870</v>
      </c>
      <c r="AO5" s="13">
        <v>39220908359</v>
      </c>
      <c r="AP5" s="13">
        <v>41794425151</v>
      </c>
      <c r="AQ5" s="13">
        <v>42509403920</v>
      </c>
      <c r="AR5" s="1044"/>
      <c r="AS5" s="1044"/>
    </row>
    <row r="6" spans="1:45" hidden="1" outlineLevel="1">
      <c r="C6" s="810" t="s">
        <v>2</v>
      </c>
      <c r="D6" s="9"/>
      <c r="E6" s="10" t="s">
        <v>993</v>
      </c>
      <c r="F6" s="10"/>
      <c r="G6" s="10"/>
      <c r="H6" s="10"/>
      <c r="I6" s="10"/>
      <c r="J6" s="10"/>
      <c r="K6" s="10"/>
      <c r="L6" s="10"/>
      <c r="M6" s="10"/>
      <c r="N6" s="10"/>
      <c r="O6" s="10"/>
      <c r="P6" s="10"/>
      <c r="Q6" s="10"/>
      <c r="R6" s="10"/>
      <c r="S6" s="10"/>
      <c r="T6" s="10"/>
      <c r="U6" s="10"/>
      <c r="V6" s="10"/>
      <c r="W6" s="10"/>
      <c r="X6" s="10"/>
      <c r="Y6" s="10"/>
      <c r="Z6" s="10"/>
      <c r="AA6" s="10"/>
      <c r="AB6" s="11"/>
      <c r="AC6" s="11"/>
      <c r="AD6" s="674">
        <f>36419718847</f>
        <v>36419718847</v>
      </c>
      <c r="AE6" s="674">
        <v>38116942371</v>
      </c>
      <c r="AF6" s="11">
        <f>36634782807+2363507500</f>
        <v>38998290307</v>
      </c>
      <c r="AG6" s="11">
        <f>38816957917+45000000+550000000</f>
        <v>39411957917</v>
      </c>
      <c r="AH6" s="14">
        <f>38365776495</f>
        <v>38365776495</v>
      </c>
      <c r="AI6" s="12">
        <f>34505571865+1990720315</f>
        <v>36496292180</v>
      </c>
      <c r="AJ6" s="13">
        <f>36595180124</f>
        <v>36595180124</v>
      </c>
      <c r="AK6" s="13">
        <f>37603864689</f>
        <v>37603864689</v>
      </c>
      <c r="AL6" s="13">
        <v>39587448809</v>
      </c>
      <c r="AM6" s="13">
        <v>38982674307</v>
      </c>
      <c r="AN6" s="13">
        <v>41168621188</v>
      </c>
      <c r="AO6" s="13">
        <v>39829404690</v>
      </c>
      <c r="AP6" s="13">
        <v>47927983109</v>
      </c>
      <c r="AQ6" s="13">
        <v>47973937749</v>
      </c>
      <c r="AR6" s="1044"/>
      <c r="AS6" s="1044"/>
    </row>
    <row r="7" spans="1:45" hidden="1" outlineLevel="1">
      <c r="C7" s="810" t="s">
        <v>2</v>
      </c>
      <c r="D7" s="9"/>
      <c r="E7" s="15" t="s">
        <v>994</v>
      </c>
      <c r="F7" s="15"/>
      <c r="G7" s="15"/>
      <c r="H7" s="15"/>
      <c r="I7" s="15"/>
      <c r="J7" s="15"/>
      <c r="K7" s="15"/>
      <c r="L7" s="15"/>
      <c r="M7" s="15"/>
      <c r="N7" s="15"/>
      <c r="O7" s="15"/>
      <c r="P7" s="15"/>
      <c r="Q7" s="15"/>
      <c r="R7" s="15"/>
      <c r="S7" s="15"/>
      <c r="T7" s="15"/>
      <c r="U7" s="15"/>
      <c r="V7" s="15"/>
      <c r="W7" s="15"/>
      <c r="X7" s="15"/>
      <c r="Y7" s="15"/>
      <c r="Z7" s="15"/>
      <c r="AA7" s="15"/>
      <c r="AB7" s="16"/>
      <c r="AC7" s="16"/>
      <c r="AD7" s="675">
        <v>299226100</v>
      </c>
      <c r="AE7" s="675">
        <v>299129162</v>
      </c>
      <c r="AF7" s="16">
        <v>335128621</v>
      </c>
      <c r="AG7" s="16">
        <v>336625507</v>
      </c>
      <c r="AH7" s="14">
        <v>321254842</v>
      </c>
      <c r="AI7" s="12">
        <v>321877770</v>
      </c>
      <c r="AJ7" s="17">
        <v>388375252</v>
      </c>
      <c r="AK7" s="17">
        <v>368629317</v>
      </c>
      <c r="AL7" s="17">
        <v>409792949</v>
      </c>
      <c r="AM7" s="17">
        <v>397957159</v>
      </c>
      <c r="AN7" s="17">
        <v>420857444</v>
      </c>
      <c r="AO7" s="17">
        <v>409736656</v>
      </c>
      <c r="AP7" s="17">
        <v>485536042</v>
      </c>
      <c r="AQ7" s="17">
        <v>448219056</v>
      </c>
      <c r="AR7" s="1044"/>
      <c r="AS7" s="1044"/>
    </row>
    <row r="8" spans="1:45" hidden="1" outlineLevel="1">
      <c r="C8" s="810" t="s">
        <v>2</v>
      </c>
      <c r="D8" s="9"/>
      <c r="E8" s="15" t="s">
        <v>995</v>
      </c>
      <c r="F8" s="15"/>
      <c r="G8" s="15"/>
      <c r="H8" s="15"/>
      <c r="I8" s="15"/>
      <c r="J8" s="15"/>
      <c r="K8" s="15"/>
      <c r="L8" s="15"/>
      <c r="M8" s="15"/>
      <c r="N8" s="15"/>
      <c r="O8" s="15"/>
      <c r="P8" s="15"/>
      <c r="Q8" s="15"/>
      <c r="R8" s="15"/>
      <c r="S8" s="15"/>
      <c r="T8" s="15"/>
      <c r="U8" s="15"/>
      <c r="V8" s="15"/>
      <c r="W8" s="15"/>
      <c r="X8" s="15"/>
      <c r="Y8" s="15"/>
      <c r="Z8" s="15"/>
      <c r="AA8" s="15"/>
      <c r="AB8" s="16"/>
      <c r="AC8" s="16"/>
      <c r="AD8" s="675">
        <v>5572118630</v>
      </c>
      <c r="AE8" s="675">
        <v>4863737958</v>
      </c>
      <c r="AF8" s="16">
        <v>5484735918</v>
      </c>
      <c r="AG8" s="16">
        <v>5283087049</v>
      </c>
      <c r="AH8" s="14">
        <v>5763120271</v>
      </c>
      <c r="AI8" s="12">
        <f>5744311531+137650000</f>
        <v>5881961531</v>
      </c>
      <c r="AJ8" s="17">
        <v>5909202344</v>
      </c>
      <c r="AK8" s="17">
        <v>5772845255</v>
      </c>
      <c r="AL8" s="17">
        <v>6233335453</v>
      </c>
      <c r="AM8" s="17">
        <v>6199287399</v>
      </c>
      <c r="AN8" s="17">
        <v>6233999000</v>
      </c>
      <c r="AO8" s="17">
        <v>6071655059</v>
      </c>
      <c r="AP8" s="17">
        <v>6321296888</v>
      </c>
      <c r="AQ8" s="17">
        <v>6227598550</v>
      </c>
      <c r="AR8" s="1044"/>
      <c r="AS8" s="1044"/>
    </row>
    <row r="9" spans="1:45" hidden="1" outlineLevel="1">
      <c r="C9" s="810" t="s">
        <v>2</v>
      </c>
      <c r="D9" s="9"/>
      <c r="E9" s="15" t="s">
        <v>996</v>
      </c>
      <c r="F9" s="15"/>
      <c r="G9" s="15"/>
      <c r="H9" s="15"/>
      <c r="I9" s="15"/>
      <c r="J9" s="15"/>
      <c r="K9" s="15"/>
      <c r="L9" s="15"/>
      <c r="M9" s="15"/>
      <c r="N9" s="15"/>
      <c r="O9" s="15"/>
      <c r="P9" s="15"/>
      <c r="Q9" s="15"/>
      <c r="R9" s="15"/>
      <c r="S9" s="15"/>
      <c r="T9" s="15"/>
      <c r="U9" s="15"/>
      <c r="V9" s="15"/>
      <c r="W9" s="15"/>
      <c r="X9" s="15"/>
      <c r="Y9" s="15"/>
      <c r="Z9" s="15"/>
      <c r="AA9" s="15"/>
      <c r="AB9" s="16"/>
      <c r="AC9" s="16"/>
      <c r="AD9" s="675">
        <v>1634162310</v>
      </c>
      <c r="AE9" s="675">
        <v>1588027782</v>
      </c>
      <c r="AF9" s="16">
        <f>1781055745+35309000</f>
        <v>1816364745</v>
      </c>
      <c r="AG9" s="16">
        <v>1682785852</v>
      </c>
      <c r="AH9" s="14">
        <v>2136382030</v>
      </c>
      <c r="AI9" s="12">
        <f>1751915801+2033458075</f>
        <v>3785373876</v>
      </c>
      <c r="AJ9" s="17">
        <v>4564165285</v>
      </c>
      <c r="AK9" s="17">
        <v>2199250239</v>
      </c>
      <c r="AL9" s="17">
        <v>2436029487</v>
      </c>
      <c r="AM9" s="17">
        <v>1931510598</v>
      </c>
      <c r="AN9" s="17">
        <v>2291973265</v>
      </c>
      <c r="AO9" s="17">
        <v>2162868555</v>
      </c>
      <c r="AP9" s="17">
        <v>4578975436</v>
      </c>
      <c r="AQ9" s="17">
        <v>4433399605</v>
      </c>
      <c r="AR9" s="1044"/>
      <c r="AS9" s="1044"/>
    </row>
    <row r="10" spans="1:45" hidden="1" outlineLevel="1">
      <c r="C10" s="810" t="s">
        <v>2</v>
      </c>
      <c r="D10" s="9"/>
      <c r="E10" s="15" t="s">
        <v>997</v>
      </c>
      <c r="F10" s="15"/>
      <c r="G10" s="15"/>
      <c r="H10" s="15"/>
      <c r="I10" s="15"/>
      <c r="J10" s="15"/>
      <c r="K10" s="15"/>
      <c r="L10" s="15"/>
      <c r="M10" s="15"/>
      <c r="N10" s="15"/>
      <c r="O10" s="15"/>
      <c r="P10" s="15"/>
      <c r="Q10" s="15"/>
      <c r="R10" s="15"/>
      <c r="S10" s="15"/>
      <c r="T10" s="15"/>
      <c r="U10" s="15"/>
      <c r="V10" s="15"/>
      <c r="W10" s="15"/>
      <c r="X10" s="15"/>
      <c r="Y10" s="15"/>
      <c r="Z10" s="15"/>
      <c r="AA10" s="15"/>
      <c r="AB10" s="16"/>
      <c r="AC10" s="16"/>
      <c r="AD10" s="675">
        <v>10488982127</v>
      </c>
      <c r="AE10" s="675">
        <v>10024823815</v>
      </c>
      <c r="AF10" s="16">
        <f>9894311987+2659187499</f>
        <v>12553499486</v>
      </c>
      <c r="AG10" s="16">
        <v>10820253337</v>
      </c>
      <c r="AH10" s="14">
        <v>12442252159</v>
      </c>
      <c r="AI10" s="12">
        <f>11218569473+795000000</f>
        <v>12013569473</v>
      </c>
      <c r="AJ10" s="17">
        <v>13195281284</v>
      </c>
      <c r="AK10" s="17">
        <v>13097109470</v>
      </c>
      <c r="AL10" s="17">
        <v>14191167307</v>
      </c>
      <c r="AM10" s="17">
        <v>13571007290</v>
      </c>
      <c r="AN10" s="17">
        <v>15068789158</v>
      </c>
      <c r="AO10" s="17">
        <v>16772841822</v>
      </c>
      <c r="AP10" s="17">
        <v>19098789850</v>
      </c>
      <c r="AQ10" s="17">
        <v>17962318337</v>
      </c>
      <c r="AR10" s="1044"/>
      <c r="AS10" s="1044"/>
    </row>
    <row r="11" spans="1:45" hidden="1" outlineLevel="1">
      <c r="C11" s="810" t="s">
        <v>2</v>
      </c>
      <c r="D11" s="9"/>
      <c r="E11" s="15" t="s">
        <v>998</v>
      </c>
      <c r="F11" s="15"/>
      <c r="G11" s="15"/>
      <c r="H11" s="15"/>
      <c r="I11" s="15"/>
      <c r="J11" s="15"/>
      <c r="K11" s="15"/>
      <c r="L11" s="15"/>
      <c r="M11" s="15"/>
      <c r="N11" s="15"/>
      <c r="O11" s="15"/>
      <c r="P11" s="15"/>
      <c r="Q11" s="15"/>
      <c r="R11" s="15"/>
      <c r="S11" s="15"/>
      <c r="T11" s="15"/>
      <c r="U11" s="15"/>
      <c r="V11" s="15"/>
      <c r="W11" s="15"/>
      <c r="X11" s="15"/>
      <c r="Y11" s="15"/>
      <c r="Z11" s="15"/>
      <c r="AA11" s="15"/>
      <c r="AB11" s="16"/>
      <c r="AC11" s="16"/>
      <c r="AD11" s="675">
        <v>378049853</v>
      </c>
      <c r="AE11" s="675">
        <v>384245949</v>
      </c>
      <c r="AF11" s="16">
        <v>422310781</v>
      </c>
      <c r="AG11" s="16">
        <v>424896382</v>
      </c>
      <c r="AH11" s="14">
        <v>339937885</v>
      </c>
      <c r="AI11" s="12">
        <v>337904568</v>
      </c>
      <c r="AJ11" s="17">
        <v>897324984</v>
      </c>
      <c r="AK11" s="17">
        <v>388726542</v>
      </c>
      <c r="AL11" s="17">
        <v>630659379</v>
      </c>
      <c r="AM11" s="17">
        <v>303570962</v>
      </c>
      <c r="AN11" s="17">
        <v>330239968</v>
      </c>
      <c r="AO11" s="17">
        <v>345012787</v>
      </c>
      <c r="AP11" s="17">
        <v>344480102</v>
      </c>
      <c r="AQ11" s="17">
        <v>362553596</v>
      </c>
      <c r="AR11" s="1044"/>
      <c r="AS11" s="1044"/>
    </row>
    <row r="12" spans="1:45" hidden="1" outlineLevel="1">
      <c r="C12" s="810" t="s">
        <v>2</v>
      </c>
      <c r="D12" s="9"/>
      <c r="E12" s="15" t="s">
        <v>1261</v>
      </c>
      <c r="F12" s="15"/>
      <c r="G12" s="15"/>
      <c r="H12" s="15"/>
      <c r="I12" s="15"/>
      <c r="J12" s="15"/>
      <c r="K12" s="15"/>
      <c r="L12" s="15"/>
      <c r="M12" s="15"/>
      <c r="N12" s="15"/>
      <c r="O12" s="15"/>
      <c r="P12" s="15"/>
      <c r="Q12" s="15"/>
      <c r="R12" s="15"/>
      <c r="S12" s="15"/>
      <c r="T12" s="15"/>
      <c r="U12" s="15"/>
      <c r="V12" s="15"/>
      <c r="W12" s="15"/>
      <c r="X12" s="15"/>
      <c r="Y12" s="15"/>
      <c r="Z12" s="15"/>
      <c r="AA12" s="15"/>
      <c r="AB12" s="16"/>
      <c r="AC12" s="16"/>
      <c r="AD12" s="675">
        <v>404554887</v>
      </c>
      <c r="AE12" s="675">
        <v>0</v>
      </c>
      <c r="AF12" s="16">
        <v>13884000</v>
      </c>
      <c r="AG12" s="16">
        <v>13884000</v>
      </c>
      <c r="AH12" s="14">
        <v>0</v>
      </c>
      <c r="AI12" s="12">
        <v>0</v>
      </c>
      <c r="AJ12" s="17">
        <v>105746590</v>
      </c>
      <c r="AK12" s="17">
        <v>243565976</v>
      </c>
      <c r="AL12" s="17">
        <v>195101743</v>
      </c>
      <c r="AM12" s="17">
        <v>195101743</v>
      </c>
      <c r="AN12" s="17">
        <v>0</v>
      </c>
      <c r="AO12" s="17">
        <v>0</v>
      </c>
      <c r="AP12" s="17">
        <v>0</v>
      </c>
      <c r="AQ12" s="17">
        <v>0</v>
      </c>
      <c r="AR12" s="1044"/>
      <c r="AS12" s="1044"/>
    </row>
    <row r="13" spans="1:45" hidden="1" outlineLevel="1">
      <c r="C13" s="810" t="s">
        <v>2</v>
      </c>
      <c r="D13" s="9"/>
      <c r="E13" s="10" t="s">
        <v>999</v>
      </c>
      <c r="F13" s="10"/>
      <c r="G13" s="10"/>
      <c r="H13" s="10"/>
      <c r="I13" s="10"/>
      <c r="J13" s="10"/>
      <c r="K13" s="10"/>
      <c r="L13" s="10"/>
      <c r="M13" s="10"/>
      <c r="N13" s="10"/>
      <c r="O13" s="10"/>
      <c r="P13" s="10"/>
      <c r="Q13" s="10"/>
      <c r="R13" s="10"/>
      <c r="S13" s="10"/>
      <c r="T13" s="10"/>
      <c r="U13" s="10"/>
      <c r="V13" s="10"/>
      <c r="W13" s="10"/>
      <c r="X13" s="10"/>
      <c r="Y13" s="10"/>
      <c r="Z13" s="10"/>
      <c r="AA13" s="10"/>
      <c r="AB13" s="11"/>
      <c r="AC13" s="11"/>
      <c r="AD13" s="674">
        <v>154196116</v>
      </c>
      <c r="AE13" s="674">
        <v>171776781</v>
      </c>
      <c r="AF13" s="11">
        <v>171915240</v>
      </c>
      <c r="AG13" s="11">
        <v>182961832</v>
      </c>
      <c r="AH13" s="14">
        <v>162168923</v>
      </c>
      <c r="AI13" s="12">
        <v>177756950</v>
      </c>
      <c r="AJ13" s="13">
        <v>173417003</v>
      </c>
      <c r="AK13" s="13">
        <v>186231213</v>
      </c>
      <c r="AL13" s="13">
        <v>188663085</v>
      </c>
      <c r="AM13" s="13">
        <v>197403224</v>
      </c>
      <c r="AN13" s="13">
        <v>189082075</v>
      </c>
      <c r="AO13" s="13">
        <v>198434928</v>
      </c>
      <c r="AP13" s="13">
        <v>193165103</v>
      </c>
      <c r="AQ13" s="13">
        <v>199062152</v>
      </c>
      <c r="AR13" s="1044"/>
      <c r="AS13" s="1044"/>
    </row>
    <row r="14" spans="1:45" hidden="1" outlineLevel="1">
      <c r="C14" s="810" t="s">
        <v>2</v>
      </c>
      <c r="D14" s="9"/>
      <c r="E14" s="10" t="s">
        <v>13</v>
      </c>
      <c r="F14" s="10"/>
      <c r="G14" s="10"/>
      <c r="H14" s="10"/>
      <c r="I14" s="10"/>
      <c r="J14" s="10"/>
      <c r="K14" s="10"/>
      <c r="L14" s="10"/>
      <c r="M14" s="10"/>
      <c r="N14" s="10"/>
      <c r="O14" s="10"/>
      <c r="P14" s="10"/>
      <c r="Q14" s="10"/>
      <c r="R14" s="10"/>
      <c r="S14" s="10"/>
      <c r="T14" s="10"/>
      <c r="U14" s="10"/>
      <c r="V14" s="10"/>
      <c r="W14" s="10"/>
      <c r="X14" s="10"/>
      <c r="Y14" s="10"/>
      <c r="Z14" s="10"/>
      <c r="AA14" s="10"/>
      <c r="AB14" s="11"/>
      <c r="AC14" s="11"/>
      <c r="AD14" s="674"/>
      <c r="AE14" s="674"/>
      <c r="AF14" s="11">
        <f>5675495115-5675495115</f>
        <v>0</v>
      </c>
      <c r="AG14" s="11"/>
      <c r="AH14" s="14">
        <v>0</v>
      </c>
      <c r="AI14" s="12">
        <v>0</v>
      </c>
      <c r="AJ14" s="18">
        <v>0</v>
      </c>
      <c r="AK14" s="18">
        <v>0</v>
      </c>
      <c r="AL14" s="18"/>
      <c r="AM14" s="18"/>
      <c r="AN14" s="18"/>
      <c r="AO14" s="18"/>
      <c r="AP14" s="18"/>
      <c r="AQ14" s="18"/>
      <c r="AR14" s="1044"/>
      <c r="AS14" s="1044"/>
    </row>
    <row r="15" spans="1:45" s="66" customFormat="1" hidden="1" outlineLevel="1">
      <c r="B15" s="295"/>
      <c r="C15" s="810" t="s">
        <v>2</v>
      </c>
      <c r="D15" s="28"/>
      <c r="E15" s="378" t="s">
        <v>14</v>
      </c>
      <c r="F15" s="378"/>
      <c r="G15" s="378"/>
      <c r="H15" s="378"/>
      <c r="I15" s="378"/>
      <c r="J15" s="378"/>
      <c r="K15" s="378"/>
      <c r="L15" s="378"/>
      <c r="M15" s="378"/>
      <c r="N15" s="378"/>
      <c r="O15" s="378"/>
      <c r="P15" s="378"/>
      <c r="Q15" s="378"/>
      <c r="R15" s="378"/>
      <c r="S15" s="378"/>
      <c r="T15" s="378"/>
      <c r="U15" s="378"/>
      <c r="V15" s="378"/>
      <c r="W15" s="378"/>
      <c r="X15" s="378"/>
      <c r="Y15" s="378"/>
      <c r="Z15" s="378"/>
      <c r="AA15" s="378"/>
      <c r="AB15" s="382"/>
      <c r="AC15" s="382"/>
      <c r="AD15" s="382">
        <f>85739174238</f>
        <v>85739174238</v>
      </c>
      <c r="AE15" s="382">
        <v>82048027964</v>
      </c>
      <c r="AF15" s="382">
        <f>92684426855</f>
        <v>92684426855</v>
      </c>
      <c r="AG15" s="382">
        <f>89503540006+45000000+550000000</f>
        <v>90098540006</v>
      </c>
      <c r="AH15" s="29">
        <f>94299431222</f>
        <v>94299431222</v>
      </c>
      <c r="AI15" s="34">
        <f>79184769459+5621358348</f>
        <v>84806127807</v>
      </c>
      <c r="AJ15" s="383">
        <f>100766914201</f>
        <v>100766914201</v>
      </c>
      <c r="AK15" s="383">
        <f>99654216612</f>
        <v>99654216612</v>
      </c>
      <c r="AL15" s="383">
        <f>SUM(AL4:AL14)</f>
        <v>106052931407</v>
      </c>
      <c r="AM15" s="383">
        <f>SUM(AM4:AM14)</f>
        <v>103050109917</v>
      </c>
      <c r="AN15" s="383">
        <f t="shared" ref="AN15:AQ15" si="0">SUM(AN4:AN14)</f>
        <v>108708586417</v>
      </c>
      <c r="AO15" s="383">
        <f t="shared" si="0"/>
        <v>107899678068</v>
      </c>
      <c r="AP15" s="383">
        <f t="shared" si="0"/>
        <v>125092968507</v>
      </c>
      <c r="AQ15" s="383">
        <f t="shared" si="0"/>
        <v>123220865563</v>
      </c>
      <c r="AR15" s="1044"/>
      <c r="AS15" s="1044"/>
    </row>
    <row r="16" spans="1:45" collapsed="1">
      <c r="C16" s="810" t="s">
        <v>15</v>
      </c>
      <c r="D16" s="5"/>
      <c r="E16" s="1053"/>
      <c r="F16" s="1058"/>
      <c r="G16" s="6"/>
      <c r="H16" s="6"/>
      <c r="I16" s="6"/>
      <c r="J16" s="6"/>
      <c r="K16" s="6"/>
      <c r="L16" s="6"/>
      <c r="M16" s="6"/>
      <c r="N16" s="6"/>
      <c r="O16" s="6"/>
      <c r="P16" s="6"/>
      <c r="Q16" s="6"/>
      <c r="R16" s="6"/>
      <c r="S16" s="6"/>
      <c r="T16" s="6"/>
      <c r="U16" s="6"/>
      <c r="V16" s="6"/>
      <c r="W16" s="6"/>
      <c r="X16" s="6"/>
      <c r="Y16" s="6"/>
      <c r="Z16" s="6"/>
      <c r="AA16" s="6"/>
      <c r="AB16" s="7"/>
      <c r="AC16" s="7"/>
      <c r="AD16" s="7"/>
      <c r="AE16" s="7"/>
      <c r="AF16" s="7"/>
      <c r="AG16" s="7"/>
      <c r="AH16" s="7"/>
      <c r="AI16" s="7"/>
      <c r="AJ16" s="369" t="s">
        <v>1206</v>
      </c>
      <c r="AK16" s="369" t="s">
        <v>1206</v>
      </c>
      <c r="AL16" s="369" t="s">
        <v>1800</v>
      </c>
      <c r="AM16" s="369" t="s">
        <v>1800</v>
      </c>
      <c r="AN16" s="369" t="s">
        <v>1800</v>
      </c>
      <c r="AO16" s="369" t="s">
        <v>1800</v>
      </c>
      <c r="AP16" s="696" t="s">
        <v>1800</v>
      </c>
      <c r="AQ16" s="696" t="s">
        <v>1800</v>
      </c>
      <c r="AR16" s="1044"/>
      <c r="AS16" s="1044"/>
    </row>
    <row r="17" spans="3:45" hidden="1" outlineLevel="1">
      <c r="C17" s="810" t="s">
        <v>16</v>
      </c>
      <c r="D17" s="9"/>
      <c r="E17" s="10" t="s">
        <v>991</v>
      </c>
      <c r="F17" s="10"/>
      <c r="G17" s="10"/>
      <c r="H17" s="10"/>
      <c r="I17" s="10"/>
      <c r="J17" s="10"/>
      <c r="K17" s="10"/>
      <c r="L17" s="10"/>
      <c r="M17" s="10"/>
      <c r="N17" s="10"/>
      <c r="O17" s="10"/>
      <c r="P17" s="10"/>
      <c r="Q17" s="10"/>
      <c r="R17" s="10"/>
      <c r="S17" s="10"/>
      <c r="T17" s="10"/>
      <c r="U17" s="10"/>
      <c r="V17" s="10"/>
      <c r="W17" s="10"/>
      <c r="X17" s="10"/>
      <c r="Y17" s="10"/>
      <c r="Z17" s="10"/>
      <c r="AA17" s="10"/>
      <c r="AB17" s="11"/>
      <c r="AC17" s="11"/>
      <c r="AD17" s="11">
        <v>1067947893</v>
      </c>
      <c r="AE17" s="11">
        <v>938001752</v>
      </c>
      <c r="AF17" s="11">
        <f>1376442907-27300000</f>
        <v>1349142907</v>
      </c>
      <c r="AG17" s="11">
        <v>1066481572</v>
      </c>
      <c r="AH17" s="12">
        <v>1074975284</v>
      </c>
      <c r="AI17" s="12">
        <f>993843714+23850628</f>
        <v>1017694342</v>
      </c>
      <c r="AJ17" s="13">
        <v>1338425556</v>
      </c>
      <c r="AK17" s="13">
        <v>1192376506</v>
      </c>
      <c r="AL17" s="13">
        <v>1506996802</v>
      </c>
      <c r="AM17" s="13">
        <v>1411844667</v>
      </c>
      <c r="AN17" s="13">
        <v>1633275753</v>
      </c>
      <c r="AO17" s="13">
        <v>1640481069</v>
      </c>
      <c r="AP17" s="13">
        <v>2265217895</v>
      </c>
      <c r="AQ17" s="13">
        <v>1763416850</v>
      </c>
      <c r="AR17" s="1044"/>
      <c r="AS17" s="1044"/>
    </row>
    <row r="18" spans="3:45" hidden="1" outlineLevel="1">
      <c r="C18" s="810" t="s">
        <v>16</v>
      </c>
      <c r="D18" s="9"/>
      <c r="E18" s="10" t="s">
        <v>992</v>
      </c>
      <c r="F18" s="10"/>
      <c r="G18" s="10"/>
      <c r="H18" s="10"/>
      <c r="I18" s="10"/>
      <c r="J18" s="10"/>
      <c r="K18" s="10"/>
      <c r="L18" s="10"/>
      <c r="M18" s="10"/>
      <c r="N18" s="10"/>
      <c r="O18" s="10"/>
      <c r="P18" s="10"/>
      <c r="Q18" s="10"/>
      <c r="R18" s="10"/>
      <c r="S18" s="10"/>
      <c r="T18" s="10"/>
      <c r="U18" s="10"/>
      <c r="V18" s="10"/>
      <c r="W18" s="10"/>
      <c r="X18" s="10"/>
      <c r="Y18" s="10"/>
      <c r="Z18" s="10"/>
      <c r="AA18" s="10"/>
      <c r="AB18" s="11"/>
      <c r="AC18" s="11"/>
      <c r="AD18" s="11">
        <v>10920063487</v>
      </c>
      <c r="AE18" s="11">
        <v>9638778171</v>
      </c>
      <c r="AF18" s="11">
        <f>12026723855-2517200000</f>
        <v>9509523855</v>
      </c>
      <c r="AG18" s="11">
        <v>12386884504</v>
      </c>
      <c r="AH18" s="12">
        <v>13288277041</v>
      </c>
      <c r="AI18" s="12">
        <f>9611871497+492467279</f>
        <v>10104338776</v>
      </c>
      <c r="AJ18" s="13">
        <v>14439412767</v>
      </c>
      <c r="AK18" s="13">
        <v>15213115527</v>
      </c>
      <c r="AL18" s="13">
        <v>15928986805</v>
      </c>
      <c r="AM18" s="13">
        <v>16272016581</v>
      </c>
      <c r="AN18" s="13">
        <v>16754256216</v>
      </c>
      <c r="AO18" s="13">
        <v>16134147188</v>
      </c>
      <c r="AP18" s="13">
        <v>16781828351</v>
      </c>
      <c r="AQ18" s="13">
        <v>16861428631</v>
      </c>
      <c r="AR18" s="1044"/>
      <c r="AS18" s="1044"/>
    </row>
    <row r="19" spans="3:45" hidden="1" outlineLevel="1">
      <c r="C19" s="810" t="s">
        <v>16</v>
      </c>
      <c r="D19" s="9"/>
      <c r="E19" s="10" t="s">
        <v>993</v>
      </c>
      <c r="F19" s="10"/>
      <c r="G19" s="10"/>
      <c r="H19" s="10"/>
      <c r="I19" s="10"/>
      <c r="J19" s="10"/>
      <c r="K19" s="10"/>
      <c r="L19" s="10"/>
      <c r="M19" s="10"/>
      <c r="N19" s="10"/>
      <c r="O19" s="10"/>
      <c r="P19" s="10"/>
      <c r="Q19" s="10"/>
      <c r="R19" s="10"/>
      <c r="S19" s="10"/>
      <c r="T19" s="10"/>
      <c r="U19" s="10"/>
      <c r="V19" s="10"/>
      <c r="W19" s="10"/>
      <c r="X19" s="10"/>
      <c r="Y19" s="10"/>
      <c r="Z19" s="10"/>
      <c r="AA19" s="10"/>
      <c r="AB19" s="11"/>
      <c r="AC19" s="11"/>
      <c r="AD19" s="11">
        <f>22550952115-41614290</f>
        <v>22509337825</v>
      </c>
      <c r="AE19" s="11">
        <f>24379094865-45614290</f>
        <v>24333480575</v>
      </c>
      <c r="AF19" s="11">
        <f>23514100694-3838792500</f>
        <v>19675308194</v>
      </c>
      <c r="AG19" s="11">
        <f>25428772092+45000000-40000000</f>
        <v>25433772092</v>
      </c>
      <c r="AH19" s="14">
        <f>24607201999</f>
        <v>24607201999</v>
      </c>
      <c r="AI19" s="12">
        <f>21309631627+1990720315</f>
        <v>23300351942</v>
      </c>
      <c r="AJ19" s="13">
        <f>25008765197</f>
        <v>25008765197</v>
      </c>
      <c r="AK19" s="13">
        <f>25751630362</f>
        <v>25751630362</v>
      </c>
      <c r="AL19" s="13">
        <v>28526089093</v>
      </c>
      <c r="AM19" s="13">
        <v>27475488687</v>
      </c>
      <c r="AN19" s="13">
        <v>29202145511</v>
      </c>
      <c r="AO19" s="13">
        <v>27257651438</v>
      </c>
      <c r="AP19" s="13">
        <v>33344230597</v>
      </c>
      <c r="AQ19" s="13">
        <v>32370595091</v>
      </c>
      <c r="AR19" s="1044"/>
      <c r="AS19" s="1044"/>
    </row>
    <row r="20" spans="3:45" hidden="1" outlineLevel="1">
      <c r="C20" s="810" t="s">
        <v>16</v>
      </c>
      <c r="D20" s="9"/>
      <c r="E20" s="15" t="s">
        <v>994</v>
      </c>
      <c r="F20" s="15"/>
      <c r="G20" s="15"/>
      <c r="H20" s="15"/>
      <c r="I20" s="15"/>
      <c r="J20" s="15"/>
      <c r="K20" s="15"/>
      <c r="L20" s="15"/>
      <c r="M20" s="15"/>
      <c r="N20" s="15"/>
      <c r="O20" s="15"/>
      <c r="P20" s="15"/>
      <c r="Q20" s="15"/>
      <c r="R20" s="15"/>
      <c r="S20" s="15"/>
      <c r="T20" s="15"/>
      <c r="U20" s="15"/>
      <c r="V20" s="15"/>
      <c r="W20" s="15"/>
      <c r="X20" s="15"/>
      <c r="Y20" s="15"/>
      <c r="Z20" s="15"/>
      <c r="AA20" s="15"/>
      <c r="AB20" s="16"/>
      <c r="AC20" s="16"/>
      <c r="AD20" s="16">
        <v>204243162</v>
      </c>
      <c r="AE20" s="16">
        <v>200962127</v>
      </c>
      <c r="AF20" s="16">
        <v>218458426</v>
      </c>
      <c r="AG20" s="16">
        <v>219306871</v>
      </c>
      <c r="AH20" s="14">
        <v>191055487</v>
      </c>
      <c r="AI20" s="12">
        <v>190207926</v>
      </c>
      <c r="AJ20" s="17">
        <v>220515241</v>
      </c>
      <c r="AK20" s="17">
        <v>218310957</v>
      </c>
      <c r="AL20" s="17">
        <v>241739731</v>
      </c>
      <c r="AM20" s="17">
        <v>239904432</v>
      </c>
      <c r="AN20" s="17">
        <v>245986939</v>
      </c>
      <c r="AO20" s="17">
        <v>245443419</v>
      </c>
      <c r="AP20" s="17">
        <v>279125324</v>
      </c>
      <c r="AQ20" s="17">
        <v>266573017</v>
      </c>
      <c r="AR20" s="1044"/>
      <c r="AS20" s="1044"/>
    </row>
    <row r="21" spans="3:45" hidden="1" outlineLevel="1">
      <c r="C21" s="810" t="s">
        <v>16</v>
      </c>
      <c r="D21" s="9"/>
      <c r="E21" s="15" t="s">
        <v>995</v>
      </c>
      <c r="F21" s="15"/>
      <c r="G21" s="15"/>
      <c r="H21" s="15"/>
      <c r="I21" s="15"/>
      <c r="J21" s="15"/>
      <c r="K21" s="15"/>
      <c r="L21" s="15"/>
      <c r="M21" s="15"/>
      <c r="N21" s="15"/>
      <c r="O21" s="15"/>
      <c r="P21" s="15"/>
      <c r="Q21" s="15"/>
      <c r="R21" s="15"/>
      <c r="S21" s="15"/>
      <c r="T21" s="15"/>
      <c r="U21" s="15"/>
      <c r="V21" s="15"/>
      <c r="W21" s="15"/>
      <c r="X21" s="15"/>
      <c r="Y21" s="15"/>
      <c r="Z21" s="15"/>
      <c r="AA21" s="15"/>
      <c r="AB21" s="16"/>
      <c r="AC21" s="16"/>
      <c r="AD21" s="16">
        <v>3960610933</v>
      </c>
      <c r="AE21" s="16">
        <v>3950146925</v>
      </c>
      <c r="AF21" s="16">
        <v>4260984481</v>
      </c>
      <c r="AG21" s="16">
        <v>4369208044</v>
      </c>
      <c r="AH21" s="14">
        <v>4102221877</v>
      </c>
      <c r="AI21" s="12">
        <f>4101082129+137650000</f>
        <v>4238732129</v>
      </c>
      <c r="AJ21" s="17">
        <v>4466692893</v>
      </c>
      <c r="AK21" s="17">
        <v>4644306885</v>
      </c>
      <c r="AL21" s="17">
        <v>5698760430</v>
      </c>
      <c r="AM21" s="17">
        <v>5710262366</v>
      </c>
      <c r="AN21" s="17">
        <v>5701516402</v>
      </c>
      <c r="AO21" s="17">
        <v>5709841698</v>
      </c>
      <c r="AP21" s="17">
        <v>6070165525</v>
      </c>
      <c r="AQ21" s="17">
        <v>6002089309</v>
      </c>
      <c r="AR21" s="1044"/>
      <c r="AS21" s="1044"/>
    </row>
    <row r="22" spans="3:45" hidden="1" outlineLevel="1">
      <c r="C22" s="810" t="s">
        <v>16</v>
      </c>
      <c r="D22" s="9"/>
      <c r="E22" s="15" t="s">
        <v>996</v>
      </c>
      <c r="F22" s="15"/>
      <c r="G22" s="15"/>
      <c r="H22" s="15"/>
      <c r="I22" s="15"/>
      <c r="J22" s="15"/>
      <c r="K22" s="15"/>
      <c r="L22" s="15"/>
      <c r="M22" s="15"/>
      <c r="N22" s="15"/>
      <c r="O22" s="15"/>
      <c r="P22" s="15"/>
      <c r="Q22" s="15"/>
      <c r="R22" s="15"/>
      <c r="S22" s="15"/>
      <c r="T22" s="15"/>
      <c r="U22" s="15"/>
      <c r="V22" s="15"/>
      <c r="W22" s="15"/>
      <c r="X22" s="15"/>
      <c r="Y22" s="15"/>
      <c r="Z22" s="15"/>
      <c r="AA22" s="15"/>
      <c r="AB22" s="16"/>
      <c r="AC22" s="16"/>
      <c r="AD22" s="16">
        <v>334759561</v>
      </c>
      <c r="AE22" s="16">
        <v>351634919</v>
      </c>
      <c r="AF22" s="16">
        <v>454680781</v>
      </c>
      <c r="AG22" s="16">
        <v>420384213</v>
      </c>
      <c r="AH22" s="14">
        <v>319626093</v>
      </c>
      <c r="AI22" s="12">
        <f>318779507+2013746086</f>
        <v>2332525593</v>
      </c>
      <c r="AJ22" s="17">
        <v>366080449</v>
      </c>
      <c r="AK22" s="17">
        <v>357975855</v>
      </c>
      <c r="AL22" s="17">
        <v>443121750</v>
      </c>
      <c r="AM22" s="17">
        <v>388947271</v>
      </c>
      <c r="AN22" s="17">
        <v>452124070</v>
      </c>
      <c r="AO22" s="17">
        <v>438216832</v>
      </c>
      <c r="AP22" s="17">
        <v>525323318</v>
      </c>
      <c r="AQ22" s="17">
        <v>486405634</v>
      </c>
      <c r="AR22" s="1044"/>
      <c r="AS22" s="1044"/>
    </row>
    <row r="23" spans="3:45" hidden="1" outlineLevel="1">
      <c r="C23" s="810" t="s">
        <v>16</v>
      </c>
      <c r="D23" s="9"/>
      <c r="E23" s="15" t="s">
        <v>997</v>
      </c>
      <c r="F23" s="15"/>
      <c r="G23" s="15"/>
      <c r="H23" s="15"/>
      <c r="I23" s="15"/>
      <c r="J23" s="15"/>
      <c r="K23" s="15"/>
      <c r="L23" s="15"/>
      <c r="M23" s="15"/>
      <c r="N23" s="15"/>
      <c r="O23" s="15"/>
      <c r="P23" s="15"/>
      <c r="Q23" s="15"/>
      <c r="R23" s="15"/>
      <c r="S23" s="15"/>
      <c r="T23" s="15"/>
      <c r="U23" s="15"/>
      <c r="V23" s="15"/>
      <c r="W23" s="15"/>
      <c r="X23" s="15"/>
      <c r="Y23" s="15"/>
      <c r="Z23" s="15"/>
      <c r="AA23" s="15"/>
      <c r="AB23" s="16"/>
      <c r="AC23" s="16"/>
      <c r="AD23" s="16">
        <v>462664719</v>
      </c>
      <c r="AE23" s="16">
        <v>160577451</v>
      </c>
      <c r="AF23" s="16">
        <v>256078661</v>
      </c>
      <c r="AG23" s="16">
        <v>330681873</v>
      </c>
      <c r="AH23" s="14">
        <v>287521211</v>
      </c>
      <c r="AI23" s="12">
        <f>290424268+795000000</f>
        <v>1085424268</v>
      </c>
      <c r="AJ23" s="17">
        <v>450395785</v>
      </c>
      <c r="AK23" s="17">
        <v>511613890</v>
      </c>
      <c r="AL23" s="17">
        <v>594258888</v>
      </c>
      <c r="AM23" s="17">
        <v>574140083</v>
      </c>
      <c r="AN23" s="17">
        <v>256800689</v>
      </c>
      <c r="AO23" s="17">
        <v>256805179</v>
      </c>
      <c r="AP23" s="17">
        <v>278414309</v>
      </c>
      <c r="AQ23" s="17">
        <v>247457256</v>
      </c>
      <c r="AR23" s="1044"/>
      <c r="AS23" s="1044"/>
    </row>
    <row r="24" spans="3:45" hidden="1" outlineLevel="1">
      <c r="C24" s="810" t="s">
        <v>16</v>
      </c>
      <c r="D24" s="9"/>
      <c r="E24" s="15" t="s">
        <v>998</v>
      </c>
      <c r="F24" s="15"/>
      <c r="G24" s="15"/>
      <c r="H24" s="15"/>
      <c r="I24" s="15"/>
      <c r="J24" s="15"/>
      <c r="K24" s="15"/>
      <c r="L24" s="15"/>
      <c r="M24" s="15"/>
      <c r="N24" s="15"/>
      <c r="O24" s="15"/>
      <c r="P24" s="15"/>
      <c r="Q24" s="15"/>
      <c r="R24" s="15"/>
      <c r="S24" s="15"/>
      <c r="T24" s="15"/>
      <c r="U24" s="15"/>
      <c r="V24" s="15"/>
      <c r="W24" s="15"/>
      <c r="X24" s="15"/>
      <c r="Y24" s="15"/>
      <c r="Z24" s="15"/>
      <c r="AA24" s="15"/>
      <c r="AB24" s="16"/>
      <c r="AC24" s="16"/>
      <c r="AD24" s="16">
        <v>175737050</v>
      </c>
      <c r="AE24" s="16">
        <v>172951861</v>
      </c>
      <c r="AF24" s="16">
        <v>161303691</v>
      </c>
      <c r="AG24" s="16">
        <v>150538591</v>
      </c>
      <c r="AH24" s="14">
        <v>131627241</v>
      </c>
      <c r="AI24" s="12">
        <v>132731871</v>
      </c>
      <c r="AJ24" s="17">
        <v>138298188</v>
      </c>
      <c r="AK24" s="17">
        <v>137968317</v>
      </c>
      <c r="AL24" s="17">
        <v>162890643</v>
      </c>
      <c r="AM24" s="17">
        <v>169980934</v>
      </c>
      <c r="AN24" s="17">
        <v>173926131</v>
      </c>
      <c r="AO24" s="17">
        <v>173303639</v>
      </c>
      <c r="AP24" s="17">
        <v>189230201</v>
      </c>
      <c r="AQ24" s="17">
        <v>189959981</v>
      </c>
      <c r="AR24" s="1044"/>
      <c r="AS24" s="1044"/>
    </row>
    <row r="25" spans="3:45" hidden="1" outlineLevel="1">
      <c r="C25" s="810" t="s">
        <v>16</v>
      </c>
      <c r="D25" s="9"/>
      <c r="E25" s="15" t="s">
        <v>1261</v>
      </c>
      <c r="F25" s="15"/>
      <c r="G25" s="15"/>
      <c r="H25" s="15"/>
      <c r="I25" s="15"/>
      <c r="J25" s="15"/>
      <c r="K25" s="15"/>
      <c r="L25" s="15"/>
      <c r="M25" s="15"/>
      <c r="N25" s="15"/>
      <c r="O25" s="15"/>
      <c r="P25" s="15"/>
      <c r="Q25" s="15"/>
      <c r="R25" s="15"/>
      <c r="S25" s="15"/>
      <c r="T25" s="15"/>
      <c r="U25" s="15"/>
      <c r="V25" s="15"/>
      <c r="W25" s="15"/>
      <c r="X25" s="15"/>
      <c r="Y25" s="15"/>
      <c r="Z25" s="15"/>
      <c r="AA25" s="15"/>
      <c r="AB25" s="16"/>
      <c r="AC25" s="16"/>
      <c r="AD25" s="16">
        <v>244086842</v>
      </c>
      <c r="AE25" s="16">
        <v>0</v>
      </c>
      <c r="AF25" s="16">
        <v>1057997</v>
      </c>
      <c r="AG25" s="16">
        <v>1057997</v>
      </c>
      <c r="AH25" s="14">
        <v>0</v>
      </c>
      <c r="AI25" s="12">
        <v>0</v>
      </c>
      <c r="AJ25" s="17">
        <v>47507156</v>
      </c>
      <c r="AK25" s="17">
        <v>114127378</v>
      </c>
      <c r="AL25" s="17">
        <v>138100078</v>
      </c>
      <c r="AM25" s="17">
        <v>138100078</v>
      </c>
      <c r="AN25" s="17">
        <v>0</v>
      </c>
      <c r="AO25" s="17">
        <v>0</v>
      </c>
      <c r="AP25" s="17">
        <v>0</v>
      </c>
      <c r="AQ25" s="17">
        <v>0</v>
      </c>
      <c r="AR25" s="1044"/>
      <c r="AS25" s="1044"/>
    </row>
    <row r="26" spans="3:45" hidden="1" outlineLevel="1">
      <c r="C26" s="810" t="s">
        <v>16</v>
      </c>
      <c r="D26" s="9"/>
      <c r="E26" s="10" t="s">
        <v>999</v>
      </c>
      <c r="F26" s="10"/>
      <c r="G26" s="10"/>
      <c r="H26" s="10"/>
      <c r="I26" s="10"/>
      <c r="J26" s="10"/>
      <c r="K26" s="10"/>
      <c r="L26" s="10"/>
      <c r="M26" s="10"/>
      <c r="N26" s="10"/>
      <c r="O26" s="10"/>
      <c r="P26" s="10"/>
      <c r="Q26" s="10"/>
      <c r="R26" s="10"/>
      <c r="S26" s="10"/>
      <c r="T26" s="10"/>
      <c r="U26" s="10"/>
      <c r="V26" s="10"/>
      <c r="W26" s="10"/>
      <c r="X26" s="10"/>
      <c r="Y26" s="10"/>
      <c r="Z26" s="10"/>
      <c r="AA26" s="10"/>
      <c r="AB26" s="11"/>
      <c r="AC26" s="11"/>
      <c r="AD26" s="11">
        <v>153986116</v>
      </c>
      <c r="AE26" s="11">
        <v>171566781</v>
      </c>
      <c r="AF26" s="11">
        <v>171633840</v>
      </c>
      <c r="AG26" s="11">
        <v>182680432</v>
      </c>
      <c r="AH26" s="14">
        <v>161887523</v>
      </c>
      <c r="AI26" s="12">
        <v>177475550</v>
      </c>
      <c r="AJ26" s="13">
        <v>173314503</v>
      </c>
      <c r="AK26" s="13">
        <v>186128713</v>
      </c>
      <c r="AL26" s="13">
        <v>188561660</v>
      </c>
      <c r="AM26" s="13">
        <v>197301799</v>
      </c>
      <c r="AN26" s="13">
        <v>188980650</v>
      </c>
      <c r="AO26" s="13">
        <v>198333503</v>
      </c>
      <c r="AP26" s="13">
        <v>193063678</v>
      </c>
      <c r="AQ26" s="13">
        <v>198960727</v>
      </c>
      <c r="AR26" s="1044"/>
      <c r="AS26" s="1044"/>
    </row>
    <row r="27" spans="3:45" hidden="1" outlineLevel="1">
      <c r="C27" s="810" t="s">
        <v>16</v>
      </c>
      <c r="D27" s="9"/>
      <c r="E27" s="10" t="s">
        <v>13</v>
      </c>
      <c r="F27" s="10"/>
      <c r="G27" s="10"/>
      <c r="H27" s="10"/>
      <c r="I27" s="10"/>
      <c r="J27" s="10"/>
      <c r="K27" s="10"/>
      <c r="L27" s="10"/>
      <c r="M27" s="10"/>
      <c r="N27" s="10"/>
      <c r="O27" s="10"/>
      <c r="P27" s="10"/>
      <c r="Q27" s="10"/>
      <c r="R27" s="10"/>
      <c r="S27" s="10"/>
      <c r="T27" s="10"/>
      <c r="U27" s="10"/>
      <c r="V27" s="10"/>
      <c r="W27" s="10"/>
      <c r="X27" s="10"/>
      <c r="Y27" s="10"/>
      <c r="Z27" s="10"/>
      <c r="AA27" s="10"/>
      <c r="AB27" s="11"/>
      <c r="AC27" s="11"/>
      <c r="AD27" s="11"/>
      <c r="AE27" s="11"/>
      <c r="AF27" s="11">
        <f>-6383292500+6383292500</f>
        <v>0</v>
      </c>
      <c r="AG27" s="11">
        <v>0</v>
      </c>
      <c r="AH27" s="14">
        <v>0</v>
      </c>
      <c r="AI27" s="12">
        <v>0</v>
      </c>
      <c r="AJ27" s="18">
        <v>0</v>
      </c>
      <c r="AK27" s="18">
        <v>0</v>
      </c>
      <c r="AL27" s="18"/>
      <c r="AM27" s="18"/>
      <c r="AN27" s="18"/>
      <c r="AO27" s="18"/>
      <c r="AP27" s="18"/>
      <c r="AQ27" s="18"/>
      <c r="AR27" s="1044"/>
      <c r="AS27" s="1044"/>
    </row>
    <row r="28" spans="3:45" hidden="1" outlineLevel="1">
      <c r="C28" s="810" t="s">
        <v>16</v>
      </c>
      <c r="D28" s="9"/>
      <c r="E28" s="378" t="s">
        <v>17</v>
      </c>
      <c r="F28" s="19"/>
      <c r="G28" s="19"/>
      <c r="H28" s="19"/>
      <c r="I28" s="19"/>
      <c r="J28" s="19"/>
      <c r="K28" s="19"/>
      <c r="L28" s="19"/>
      <c r="M28" s="19"/>
      <c r="N28" s="19"/>
      <c r="O28" s="19"/>
      <c r="P28" s="19"/>
      <c r="Q28" s="19"/>
      <c r="R28" s="19"/>
      <c r="S28" s="19"/>
      <c r="T28" s="19"/>
      <c r="U28" s="19"/>
      <c r="V28" s="19"/>
      <c r="W28" s="19"/>
      <c r="X28" s="19"/>
      <c r="Y28" s="19"/>
      <c r="Z28" s="19"/>
      <c r="AA28" s="19"/>
      <c r="AB28" s="382"/>
      <c r="AC28" s="382"/>
      <c r="AD28" s="382">
        <f>40075051878-41614290</f>
        <v>40033437588</v>
      </c>
      <c r="AE28" s="382">
        <f>39963714852-45614290</f>
        <v>39918100562</v>
      </c>
      <c r="AF28" s="382">
        <v>36058172833</v>
      </c>
      <c r="AG28" s="382">
        <f>44555996189+45000000-40000000</f>
        <v>44560996189</v>
      </c>
      <c r="AH28" s="29">
        <f>44164393756</f>
        <v>44164393756</v>
      </c>
      <c r="AI28" s="34">
        <f>37126048089+5453434308</f>
        <v>42579482397</v>
      </c>
      <c r="AJ28" s="383">
        <f>46649407735</f>
        <v>46649407735</v>
      </c>
      <c r="AK28" s="383">
        <f>48327554390</f>
        <v>48327554390</v>
      </c>
      <c r="AL28" s="383">
        <f>SUM(AL17:AL27)</f>
        <v>53429505880</v>
      </c>
      <c r="AM28" s="383">
        <f>SUM(AM17:AM27)</f>
        <v>52577986898</v>
      </c>
      <c r="AN28" s="383">
        <f t="shared" ref="AN28:AQ28" si="1">SUM(AN17:AN27)</f>
        <v>54609012361</v>
      </c>
      <c r="AO28" s="383">
        <f t="shared" si="1"/>
        <v>52054223965</v>
      </c>
      <c r="AP28" s="383">
        <f t="shared" si="1"/>
        <v>59926599198</v>
      </c>
      <c r="AQ28" s="383">
        <f t="shared" si="1"/>
        <v>58386886496</v>
      </c>
      <c r="AR28" s="1044"/>
      <c r="AS28" s="1044"/>
    </row>
    <row r="29" spans="3:45" collapsed="1">
      <c r="C29" s="810" t="s">
        <v>18</v>
      </c>
      <c r="D29" s="5"/>
      <c r="E29" s="6"/>
      <c r="F29" s="6"/>
      <c r="G29" s="6"/>
      <c r="H29" s="6"/>
      <c r="I29" s="6"/>
      <c r="J29" s="6"/>
      <c r="K29" s="6"/>
      <c r="L29" s="6"/>
      <c r="M29" s="6"/>
      <c r="N29" s="6"/>
      <c r="O29" s="6"/>
      <c r="P29" s="6"/>
      <c r="Q29" s="6"/>
      <c r="R29" s="6"/>
      <c r="S29" s="6"/>
      <c r="T29" s="6"/>
      <c r="U29" s="6"/>
      <c r="V29" s="6"/>
      <c r="W29" s="6"/>
      <c r="X29" s="6"/>
      <c r="Y29" s="6"/>
      <c r="Z29" s="6"/>
      <c r="AA29" s="6"/>
      <c r="AB29" s="7"/>
      <c r="AC29" s="7"/>
      <c r="AD29" s="594" t="s">
        <v>1473</v>
      </c>
      <c r="AE29" s="594" t="s">
        <v>1473</v>
      </c>
      <c r="AF29" s="7"/>
      <c r="AG29" s="7"/>
      <c r="AH29" s="7"/>
      <c r="AI29" s="7"/>
      <c r="AJ29" s="369" t="s">
        <v>1205</v>
      </c>
      <c r="AK29" s="369" t="s">
        <v>1205</v>
      </c>
      <c r="AL29" s="369" t="s">
        <v>1796</v>
      </c>
      <c r="AM29" s="369" t="s">
        <v>1796</v>
      </c>
      <c r="AN29" s="369" t="s">
        <v>1850</v>
      </c>
      <c r="AO29" s="369" t="s">
        <v>1850</v>
      </c>
      <c r="AP29" s="696" t="s">
        <v>2043</v>
      </c>
      <c r="AQ29" s="696" t="s">
        <v>2043</v>
      </c>
      <c r="AR29" s="1044"/>
      <c r="AS29" s="1044"/>
    </row>
    <row r="30" spans="3:45" hidden="1" outlineLevel="1">
      <c r="C30" s="810" t="s">
        <v>2</v>
      </c>
      <c r="D30" s="9"/>
      <c r="E30" s="20" t="s">
        <v>19</v>
      </c>
      <c r="F30" s="20"/>
      <c r="G30" s="20"/>
      <c r="H30" s="20"/>
      <c r="I30" s="20"/>
      <c r="J30" s="20"/>
      <c r="K30" s="20"/>
      <c r="L30" s="20"/>
      <c r="M30" s="20"/>
      <c r="N30" s="20"/>
      <c r="O30" s="20"/>
      <c r="P30" s="20"/>
      <c r="Q30" s="20"/>
      <c r="R30" s="20"/>
      <c r="S30" s="20"/>
      <c r="T30" s="20"/>
      <c r="U30" s="20"/>
      <c r="V30" s="20"/>
      <c r="W30" s="20"/>
      <c r="X30" s="20"/>
      <c r="Y30" s="20"/>
      <c r="Z30" s="20"/>
      <c r="AA30" s="20"/>
      <c r="AB30" s="12"/>
      <c r="AC30" s="12"/>
      <c r="AD30" s="12">
        <v>24320496574</v>
      </c>
      <c r="AE30" s="12">
        <v>25937448330</v>
      </c>
      <c r="AF30" s="12">
        <f>23519384618+2263600000</f>
        <v>25782984618</v>
      </c>
      <c r="AG30" s="12">
        <f>25570357455+550000000</f>
        <v>26120357455</v>
      </c>
      <c r="AH30" s="12">
        <v>25426596428</v>
      </c>
      <c r="AI30" s="12">
        <f>21912616960+1750517000</f>
        <v>23663133960</v>
      </c>
      <c r="AJ30" s="21">
        <v>25843734042</v>
      </c>
      <c r="AK30" s="21">
        <v>26892108655</v>
      </c>
      <c r="AL30" s="21">
        <v>27732858771</v>
      </c>
      <c r="AM30" s="21">
        <v>26770218901</v>
      </c>
      <c r="AN30" s="1058">
        <v>28182057587</v>
      </c>
      <c r="AO30" s="1058">
        <v>27176504317</v>
      </c>
      <c r="AP30" s="1058">
        <v>32530797778</v>
      </c>
      <c r="AQ30" s="1058">
        <v>32081980785</v>
      </c>
      <c r="AR30" s="1044"/>
      <c r="AS30" s="1044"/>
    </row>
    <row r="31" spans="3:45" hidden="1" outlineLevel="1">
      <c r="C31" s="810" t="s">
        <v>2</v>
      </c>
      <c r="D31" s="9"/>
      <c r="E31" s="20" t="s">
        <v>20</v>
      </c>
      <c r="F31" s="20"/>
      <c r="G31" s="20"/>
      <c r="H31" s="20"/>
      <c r="I31" s="20"/>
      <c r="J31" s="20"/>
      <c r="K31" s="20"/>
      <c r="L31" s="20"/>
      <c r="M31" s="20"/>
      <c r="N31" s="20"/>
      <c r="O31" s="20"/>
      <c r="P31" s="20"/>
      <c r="Q31" s="20"/>
      <c r="R31" s="20"/>
      <c r="S31" s="20"/>
      <c r="T31" s="20"/>
      <c r="U31" s="20"/>
      <c r="V31" s="20"/>
      <c r="W31" s="20"/>
      <c r="X31" s="20"/>
      <c r="Y31" s="20"/>
      <c r="Z31" s="20"/>
      <c r="AA31" s="20"/>
      <c r="AB31" s="12"/>
      <c r="AC31" s="12"/>
      <c r="AD31" s="12"/>
      <c r="AE31" s="12"/>
      <c r="AF31" s="12"/>
      <c r="AG31" s="12"/>
      <c r="AH31" s="12"/>
      <c r="AI31" s="12"/>
      <c r="AJ31" s="21"/>
      <c r="AK31" s="22"/>
      <c r="AL31" s="21"/>
      <c r="AM31" s="22"/>
      <c r="AN31" s="1059"/>
      <c r="AO31" s="1059"/>
      <c r="AP31" s="1059"/>
      <c r="AQ31" s="1059"/>
      <c r="AR31" s="1044"/>
      <c r="AS31" s="1044"/>
    </row>
    <row r="32" spans="3:45" hidden="1" outlineLevel="1">
      <c r="C32" s="810" t="s">
        <v>2</v>
      </c>
      <c r="D32" s="9"/>
      <c r="E32" s="20" t="s">
        <v>21</v>
      </c>
      <c r="F32" s="20"/>
      <c r="G32" s="20"/>
      <c r="H32" s="20"/>
      <c r="I32" s="20"/>
      <c r="J32" s="20"/>
      <c r="K32" s="20"/>
      <c r="L32" s="20"/>
      <c r="M32" s="20"/>
      <c r="N32" s="20"/>
      <c r="O32" s="20"/>
      <c r="P32" s="20"/>
      <c r="Q32" s="20"/>
      <c r="R32" s="20"/>
      <c r="S32" s="20"/>
      <c r="T32" s="20"/>
      <c r="U32" s="20"/>
      <c r="V32" s="20"/>
      <c r="W32" s="20"/>
      <c r="X32" s="20"/>
      <c r="Y32" s="20"/>
      <c r="Z32" s="20"/>
      <c r="AA32" s="20"/>
      <c r="AB32" s="12"/>
      <c r="AC32" s="12"/>
      <c r="AD32" s="12">
        <v>87226954</v>
      </c>
      <c r="AE32" s="12">
        <v>18631873</v>
      </c>
      <c r="AF32" s="12">
        <v>55649056</v>
      </c>
      <c r="AG32" s="12">
        <v>20453942</v>
      </c>
      <c r="AH32" s="12">
        <v>20747673</v>
      </c>
      <c r="AI32" s="12">
        <v>20497672</v>
      </c>
      <c r="AJ32" s="21">
        <v>22662439</v>
      </c>
      <c r="AK32" s="21">
        <v>21678568</v>
      </c>
      <c r="AL32" s="21">
        <v>23916845</v>
      </c>
      <c r="AM32" s="21">
        <v>23716845</v>
      </c>
      <c r="AN32" s="1058">
        <v>27744991</v>
      </c>
      <c r="AO32" s="1058">
        <v>25843749</v>
      </c>
      <c r="AP32" s="1058">
        <v>24229502</v>
      </c>
      <c r="AQ32" s="1058">
        <v>24054504</v>
      </c>
      <c r="AR32" s="1044"/>
      <c r="AS32" s="1044"/>
    </row>
    <row r="33" spans="2:45" hidden="1" outlineLevel="1">
      <c r="C33" s="810" t="s">
        <v>2</v>
      </c>
      <c r="D33" s="9"/>
      <c r="E33" s="20" t="s">
        <v>22</v>
      </c>
      <c r="F33" s="20"/>
      <c r="G33" s="20"/>
      <c r="H33" s="20"/>
      <c r="I33" s="20"/>
      <c r="J33" s="20"/>
      <c r="K33" s="20"/>
      <c r="L33" s="20"/>
      <c r="M33" s="20"/>
      <c r="N33" s="20"/>
      <c r="O33" s="20"/>
      <c r="P33" s="20"/>
      <c r="Q33" s="20"/>
      <c r="R33" s="20"/>
      <c r="S33" s="20"/>
      <c r="T33" s="20"/>
      <c r="U33" s="20"/>
      <c r="V33" s="20"/>
      <c r="W33" s="20"/>
      <c r="X33" s="20"/>
      <c r="Y33" s="20"/>
      <c r="Z33" s="20"/>
      <c r="AA33" s="20"/>
      <c r="AB33" s="12"/>
      <c r="AC33" s="12"/>
      <c r="AD33" s="12">
        <v>23777752</v>
      </c>
      <c r="AE33" s="12">
        <v>21585494</v>
      </c>
      <c r="AF33" s="12">
        <f>26049207+500000</f>
        <v>26549207</v>
      </c>
      <c r="AG33" s="12">
        <v>23810882</v>
      </c>
      <c r="AH33" s="12">
        <v>26960214</v>
      </c>
      <c r="AI33" s="12">
        <v>25735031</v>
      </c>
      <c r="AJ33" s="21">
        <v>26700245</v>
      </c>
      <c r="AK33" s="21">
        <v>26766913</v>
      </c>
      <c r="AL33" s="21">
        <v>27622043</v>
      </c>
      <c r="AM33" s="21">
        <v>27562043</v>
      </c>
      <c r="AN33" s="1058">
        <v>45307357</v>
      </c>
      <c r="AO33" s="1058">
        <v>30835565</v>
      </c>
      <c r="AP33" s="1058">
        <v>35108592</v>
      </c>
      <c r="AQ33" s="1058">
        <v>30115019</v>
      </c>
      <c r="AR33" s="1044"/>
      <c r="AS33" s="1044"/>
    </row>
    <row r="34" spans="2:45" hidden="1" outlineLevel="1">
      <c r="C34" s="810" t="s">
        <v>2</v>
      </c>
      <c r="D34" s="9"/>
      <c r="E34" s="20" t="s">
        <v>23</v>
      </c>
      <c r="F34" s="20"/>
      <c r="G34" s="20"/>
      <c r="H34" s="20"/>
      <c r="I34" s="20"/>
      <c r="J34" s="20"/>
      <c r="K34" s="20"/>
      <c r="L34" s="20"/>
      <c r="M34" s="20"/>
      <c r="N34" s="20"/>
      <c r="O34" s="20"/>
      <c r="P34" s="20"/>
      <c r="Q34" s="20"/>
      <c r="R34" s="20"/>
      <c r="S34" s="20"/>
      <c r="T34" s="20"/>
      <c r="U34" s="20"/>
      <c r="V34" s="20"/>
      <c r="W34" s="20"/>
      <c r="X34" s="20"/>
      <c r="Y34" s="20"/>
      <c r="Z34" s="20"/>
      <c r="AA34" s="20"/>
      <c r="AB34" s="12"/>
      <c r="AC34" s="12"/>
      <c r="AD34" s="12"/>
      <c r="AE34" s="12"/>
      <c r="AF34" s="12"/>
      <c r="AG34" s="12"/>
      <c r="AH34" s="12"/>
      <c r="AI34" s="12"/>
      <c r="AJ34" s="21"/>
      <c r="AK34" s="22"/>
      <c r="AL34" s="21"/>
      <c r="AM34" s="22"/>
      <c r="AN34" s="1059"/>
      <c r="AO34" s="1059"/>
      <c r="AP34" s="1059"/>
      <c r="AQ34" s="1059"/>
      <c r="AR34" s="1044"/>
      <c r="AS34" s="1044"/>
    </row>
    <row r="35" spans="2:45" hidden="1" outlineLevel="1">
      <c r="C35" s="810" t="s">
        <v>2</v>
      </c>
      <c r="D35" s="9"/>
      <c r="E35" s="20" t="s">
        <v>24</v>
      </c>
      <c r="F35" s="20"/>
      <c r="G35" s="20"/>
      <c r="H35" s="20"/>
      <c r="I35" s="20"/>
      <c r="J35" s="20"/>
      <c r="K35" s="20"/>
      <c r="L35" s="20"/>
      <c r="M35" s="20"/>
      <c r="N35" s="20"/>
      <c r="O35" s="20"/>
      <c r="P35" s="20"/>
      <c r="Q35" s="20"/>
      <c r="R35" s="20"/>
      <c r="S35" s="20"/>
      <c r="T35" s="20"/>
      <c r="U35" s="20"/>
      <c r="V35" s="20"/>
      <c r="W35" s="20"/>
      <c r="X35" s="20"/>
      <c r="Y35" s="20"/>
      <c r="Z35" s="20"/>
      <c r="AA35" s="20"/>
      <c r="AB35" s="12"/>
      <c r="AC35" s="12"/>
      <c r="AD35" s="12">
        <v>1749768605</v>
      </c>
      <c r="AE35" s="12">
        <v>1817465844</v>
      </c>
      <c r="AF35" s="12">
        <v>1963124792</v>
      </c>
      <c r="AG35" s="12">
        <v>2041925200</v>
      </c>
      <c r="AH35" s="12">
        <v>1923859371</v>
      </c>
      <c r="AI35" s="12">
        <v>1873533719</v>
      </c>
      <c r="AJ35" s="21">
        <v>1918065786</v>
      </c>
      <c r="AK35" s="21">
        <v>1986636562</v>
      </c>
      <c r="AL35" s="21">
        <v>2171679924</v>
      </c>
      <c r="AM35" s="21">
        <v>2175082565</v>
      </c>
      <c r="AN35" s="1058">
        <v>2868558798</v>
      </c>
      <c r="AO35" s="1058">
        <v>2529789492</v>
      </c>
      <c r="AP35" s="1058">
        <v>3080092561</v>
      </c>
      <c r="AQ35" s="1058">
        <v>2947654690</v>
      </c>
      <c r="AR35" s="1044"/>
      <c r="AS35" s="1044"/>
    </row>
    <row r="36" spans="2:45" hidden="1" outlineLevel="1">
      <c r="C36" s="810" t="s">
        <v>2</v>
      </c>
      <c r="D36" s="9"/>
      <c r="E36" s="20" t="s">
        <v>25</v>
      </c>
      <c r="F36" s="20"/>
      <c r="G36" s="20"/>
      <c r="H36" s="20"/>
      <c r="I36" s="20"/>
      <c r="J36" s="20"/>
      <c r="K36" s="20"/>
      <c r="L36" s="20"/>
      <c r="M36" s="20"/>
      <c r="N36" s="20"/>
      <c r="O36" s="20"/>
      <c r="P36" s="20"/>
      <c r="Q36" s="20"/>
      <c r="R36" s="20"/>
      <c r="S36" s="20"/>
      <c r="T36" s="20"/>
      <c r="U36" s="20"/>
      <c r="V36" s="20"/>
      <c r="W36" s="20"/>
      <c r="X36" s="20"/>
      <c r="Y36" s="20"/>
      <c r="Z36" s="20"/>
      <c r="AA36" s="20"/>
      <c r="AB36" s="12"/>
      <c r="AC36" s="12"/>
      <c r="AD36" s="12">
        <v>147443793</v>
      </c>
      <c r="AE36" s="12">
        <v>153341544</v>
      </c>
      <c r="AF36" s="12">
        <v>145149116</v>
      </c>
      <c r="AG36" s="12">
        <v>149503590</v>
      </c>
      <c r="AH36" s="12">
        <v>123952988</v>
      </c>
      <c r="AI36" s="12">
        <v>123952987</v>
      </c>
      <c r="AJ36" s="21">
        <v>130805486</v>
      </c>
      <c r="AK36" s="21">
        <v>132636635</v>
      </c>
      <c r="AL36" s="21">
        <v>163759847</v>
      </c>
      <c r="AM36" s="21">
        <v>162499596</v>
      </c>
      <c r="AN36" s="1058">
        <v>172191724</v>
      </c>
      <c r="AO36" s="1058">
        <v>172416910</v>
      </c>
      <c r="AP36" s="1058">
        <v>148494976</v>
      </c>
      <c r="AQ36" s="1058">
        <v>148310267</v>
      </c>
      <c r="AR36" s="1044"/>
      <c r="AS36" s="1044"/>
    </row>
    <row r="37" spans="2:45" s="66" customFormat="1" hidden="1" outlineLevel="1">
      <c r="B37" s="295"/>
      <c r="C37" s="810" t="s">
        <v>2</v>
      </c>
      <c r="D37" s="28"/>
      <c r="E37" s="226" t="s">
        <v>26</v>
      </c>
      <c r="F37" s="226"/>
      <c r="G37" s="226"/>
      <c r="H37" s="226"/>
      <c r="I37" s="226"/>
      <c r="J37" s="226"/>
      <c r="K37" s="226"/>
      <c r="L37" s="226"/>
      <c r="M37" s="226"/>
      <c r="N37" s="226"/>
      <c r="O37" s="226"/>
      <c r="P37" s="226"/>
      <c r="Q37" s="226"/>
      <c r="R37" s="226"/>
      <c r="S37" s="226"/>
      <c r="T37" s="226"/>
      <c r="U37" s="226"/>
      <c r="V37" s="226"/>
      <c r="W37" s="226"/>
      <c r="X37" s="226"/>
      <c r="Y37" s="226"/>
      <c r="Z37" s="226"/>
      <c r="AA37" s="226"/>
      <c r="AB37" s="34"/>
      <c r="AC37" s="34"/>
      <c r="AD37" s="34">
        <v>503468404</v>
      </c>
      <c r="AE37" s="34">
        <v>349495827</v>
      </c>
      <c r="AF37" s="34">
        <v>543728398</v>
      </c>
      <c r="AG37" s="34">
        <v>580660537</v>
      </c>
      <c r="AH37" s="34">
        <v>471701364</v>
      </c>
      <c r="AI37" s="34">
        <f>497260586-1400437</f>
        <v>495860149</v>
      </c>
      <c r="AJ37" s="230">
        <f>575342413</f>
        <v>575342413</v>
      </c>
      <c r="AK37" s="230">
        <f>617492231</f>
        <v>617492231</v>
      </c>
      <c r="AL37" s="230">
        <v>665110413</v>
      </c>
      <c r="AM37" s="230">
        <v>712776657</v>
      </c>
      <c r="AN37" s="920">
        <v>690375295</v>
      </c>
      <c r="AO37" s="920">
        <v>721852872</v>
      </c>
      <c r="AP37" s="920">
        <v>708935833</v>
      </c>
      <c r="AQ37" s="920">
        <v>708935830</v>
      </c>
      <c r="AR37" s="1044"/>
      <c r="AS37" s="1044"/>
    </row>
    <row r="38" spans="2:45" s="66" customFormat="1" hidden="1" outlineLevel="1">
      <c r="B38" s="295"/>
      <c r="C38" s="810" t="s">
        <v>2</v>
      </c>
      <c r="D38" s="28"/>
      <c r="E38" s="27" t="s">
        <v>27</v>
      </c>
      <c r="F38" s="27"/>
      <c r="G38" s="27"/>
      <c r="H38" s="27"/>
      <c r="I38" s="27"/>
      <c r="J38" s="27"/>
      <c r="K38" s="27"/>
      <c r="L38" s="27"/>
      <c r="M38" s="27"/>
      <c r="N38" s="27"/>
      <c r="O38" s="27"/>
      <c r="P38" s="27"/>
      <c r="Q38" s="27"/>
      <c r="R38" s="27"/>
      <c r="S38" s="27"/>
      <c r="T38" s="27"/>
      <c r="U38" s="27"/>
      <c r="V38" s="27"/>
      <c r="W38" s="27"/>
      <c r="X38" s="27"/>
      <c r="Y38" s="27"/>
      <c r="Z38" s="27"/>
      <c r="AA38" s="27"/>
      <c r="AB38" s="34"/>
      <c r="AC38" s="34"/>
      <c r="AD38" s="34">
        <v>607946917</v>
      </c>
      <c r="AE38" s="34">
        <v>670830875</v>
      </c>
      <c r="AF38" s="34">
        <v>907376126</v>
      </c>
      <c r="AG38" s="34">
        <v>827390912</v>
      </c>
      <c r="AH38" s="34">
        <f>753508249</f>
        <v>753508249</v>
      </c>
      <c r="AI38" s="34">
        <f>548179564+81400000</f>
        <v>629579564</v>
      </c>
      <c r="AJ38" s="45">
        <v>809623548</v>
      </c>
      <c r="AK38" s="45">
        <v>679127080</v>
      </c>
      <c r="AL38" s="45">
        <v>960568429</v>
      </c>
      <c r="AM38" s="45">
        <v>1046720209</v>
      </c>
      <c r="AN38" s="983">
        <v>806145970</v>
      </c>
      <c r="AO38" s="983">
        <v>769057315</v>
      </c>
      <c r="AP38" s="983">
        <v>898587780</v>
      </c>
      <c r="AQ38" s="983">
        <v>890536019</v>
      </c>
      <c r="AR38" s="1044"/>
      <c r="AS38" s="1044"/>
    </row>
    <row r="39" spans="2:45" hidden="1" outlineLevel="1">
      <c r="C39" s="810" t="s">
        <v>2</v>
      </c>
      <c r="D39" s="9"/>
      <c r="E39" s="20" t="s">
        <v>28</v>
      </c>
      <c r="F39" s="20"/>
      <c r="G39" s="20"/>
      <c r="H39" s="20"/>
      <c r="I39" s="20"/>
      <c r="J39" s="20"/>
      <c r="K39" s="20"/>
      <c r="L39" s="20"/>
      <c r="M39" s="20"/>
      <c r="N39" s="20"/>
      <c r="O39" s="20"/>
      <c r="P39" s="20"/>
      <c r="Q39" s="20"/>
      <c r="R39" s="20"/>
      <c r="S39" s="20"/>
      <c r="T39" s="20"/>
      <c r="U39" s="20"/>
      <c r="V39" s="20"/>
      <c r="W39" s="20"/>
      <c r="X39" s="20"/>
      <c r="Y39" s="20"/>
      <c r="Z39" s="20"/>
      <c r="AA39" s="20"/>
      <c r="AB39" s="12"/>
      <c r="AC39" s="12"/>
      <c r="AD39" s="12">
        <v>262500000</v>
      </c>
      <c r="AE39" s="12">
        <v>262500000</v>
      </c>
      <c r="AF39" s="12">
        <v>262500000</v>
      </c>
      <c r="AG39" s="12">
        <v>262500000</v>
      </c>
      <c r="AH39" s="12">
        <v>262500000</v>
      </c>
      <c r="AI39" s="12">
        <v>262500000</v>
      </c>
      <c r="AJ39" s="21">
        <v>262500000</v>
      </c>
      <c r="AK39" s="21">
        <v>262500000</v>
      </c>
      <c r="AL39" s="21">
        <v>262500000</v>
      </c>
      <c r="AM39" s="21">
        <v>393750000</v>
      </c>
      <c r="AN39" s="1058">
        <v>393750000</v>
      </c>
      <c r="AO39" s="1058">
        <v>393750000</v>
      </c>
      <c r="AP39" s="1058">
        <v>393750000</v>
      </c>
      <c r="AQ39" s="1058">
        <v>393750000</v>
      </c>
      <c r="AR39" s="1044"/>
      <c r="AS39" s="1044"/>
    </row>
    <row r="40" spans="2:45" hidden="1" outlineLevel="1">
      <c r="C40" s="810" t="s">
        <v>2</v>
      </c>
      <c r="D40" s="9"/>
      <c r="E40" s="592" t="s">
        <v>1428</v>
      </c>
      <c r="F40" s="20"/>
      <c r="G40" s="20"/>
      <c r="H40" s="20"/>
      <c r="I40" s="20"/>
      <c r="J40" s="20"/>
      <c r="K40" s="20"/>
      <c r="L40" s="20"/>
      <c r="M40" s="20"/>
      <c r="N40" s="20"/>
      <c r="O40" s="20"/>
      <c r="P40" s="20"/>
      <c r="Q40" s="20"/>
      <c r="R40" s="20"/>
      <c r="S40" s="20"/>
      <c r="T40" s="20"/>
      <c r="U40" s="20"/>
      <c r="V40" s="20"/>
      <c r="W40" s="20"/>
      <c r="X40" s="20"/>
      <c r="Y40" s="20"/>
      <c r="Z40" s="20"/>
      <c r="AA40" s="20"/>
      <c r="AB40" s="12"/>
      <c r="AC40" s="12"/>
      <c r="AD40" s="12">
        <v>8423994</v>
      </c>
      <c r="AE40" s="12">
        <v>8423994</v>
      </c>
      <c r="AF40" s="12">
        <v>9638650</v>
      </c>
      <c r="AG40" s="12">
        <v>9642600</v>
      </c>
      <c r="AH40" s="12">
        <v>9073600</v>
      </c>
      <c r="AI40" s="12">
        <v>9073600</v>
      </c>
      <c r="AJ40" s="21">
        <v>18271225</v>
      </c>
      <c r="AK40" s="21">
        <v>9040600</v>
      </c>
      <c r="AL40" s="21">
        <v>10232063</v>
      </c>
      <c r="AM40" s="21">
        <v>10231463</v>
      </c>
      <c r="AN40" s="1058">
        <v>10740706</v>
      </c>
      <c r="AO40" s="1058">
        <v>10094153</v>
      </c>
      <c r="AP40" s="1058">
        <v>10076703</v>
      </c>
      <c r="AQ40" s="1058">
        <v>9422643</v>
      </c>
      <c r="AR40" s="1044"/>
      <c r="AS40" s="1044"/>
    </row>
    <row r="41" spans="2:45" hidden="1" outlineLevel="1">
      <c r="C41" s="810" t="s">
        <v>2</v>
      </c>
      <c r="D41" s="9"/>
      <c r="E41" s="20" t="s">
        <v>29</v>
      </c>
      <c r="F41" s="20"/>
      <c r="G41" s="20"/>
      <c r="H41" s="20"/>
      <c r="I41" s="20"/>
      <c r="J41" s="20"/>
      <c r="K41" s="20"/>
      <c r="L41" s="20"/>
      <c r="M41" s="20"/>
      <c r="N41" s="20"/>
      <c r="O41" s="20"/>
      <c r="P41" s="20"/>
      <c r="Q41" s="20"/>
      <c r="R41" s="20"/>
      <c r="S41" s="20"/>
      <c r="T41" s="20"/>
      <c r="U41" s="20"/>
      <c r="V41" s="20"/>
      <c r="W41" s="20"/>
      <c r="X41" s="20"/>
      <c r="Y41" s="20"/>
      <c r="Z41" s="20"/>
      <c r="AA41" s="20"/>
      <c r="AB41" s="12"/>
      <c r="AC41" s="12"/>
      <c r="AD41" s="12">
        <v>462234092</v>
      </c>
      <c r="AE41" s="12">
        <v>502526413</v>
      </c>
      <c r="AF41" s="12">
        <v>540906439</v>
      </c>
      <c r="AG41" s="12">
        <v>529330302</v>
      </c>
      <c r="AH41" s="12">
        <v>507006715</v>
      </c>
      <c r="AI41" s="12">
        <v>554442953</v>
      </c>
      <c r="AJ41" s="21">
        <v>663152688</v>
      </c>
      <c r="AK41" s="21">
        <v>657354731</v>
      </c>
      <c r="AL41" s="21">
        <v>801099786</v>
      </c>
      <c r="AM41" s="21">
        <v>889399222</v>
      </c>
      <c r="AN41" s="1058">
        <v>889729453</v>
      </c>
      <c r="AO41" s="1058">
        <v>910818520</v>
      </c>
      <c r="AP41" s="1058">
        <v>1167638000</v>
      </c>
      <c r="AQ41" s="1058">
        <v>1217095000</v>
      </c>
      <c r="AR41" s="1044"/>
      <c r="AS41" s="1044"/>
    </row>
    <row r="42" spans="2:45" hidden="1" outlineLevel="1">
      <c r="C42" s="810" t="s">
        <v>2</v>
      </c>
      <c r="D42" s="9"/>
      <c r="E42" s="20" t="s">
        <v>30</v>
      </c>
      <c r="F42" s="20"/>
      <c r="G42" s="20"/>
      <c r="H42" s="20"/>
      <c r="I42" s="20"/>
      <c r="J42" s="20"/>
      <c r="K42" s="20"/>
      <c r="L42" s="20"/>
      <c r="M42" s="20"/>
      <c r="N42" s="20"/>
      <c r="O42" s="20"/>
      <c r="P42" s="20"/>
      <c r="Q42" s="20"/>
      <c r="R42" s="20"/>
      <c r="S42" s="20"/>
      <c r="T42" s="20"/>
      <c r="U42" s="20"/>
      <c r="V42" s="20"/>
      <c r="W42" s="20"/>
      <c r="X42" s="20"/>
      <c r="Y42" s="20"/>
      <c r="Z42" s="20"/>
      <c r="AA42" s="20"/>
      <c r="AB42" s="12"/>
      <c r="AC42" s="12"/>
      <c r="AD42" s="12">
        <v>0</v>
      </c>
      <c r="AE42" s="12">
        <v>0</v>
      </c>
      <c r="AF42" s="12">
        <v>0</v>
      </c>
      <c r="AG42" s="12">
        <v>0</v>
      </c>
      <c r="AH42" s="12">
        <v>6200000</v>
      </c>
      <c r="AI42" s="12">
        <v>6200000</v>
      </c>
      <c r="AJ42" s="21">
        <v>27613421</v>
      </c>
      <c r="AK42" s="21">
        <v>28283125</v>
      </c>
      <c r="AL42" s="21">
        <v>29819162</v>
      </c>
      <c r="AM42" s="21">
        <v>31248988</v>
      </c>
      <c r="AN42" s="1058">
        <v>23016948</v>
      </c>
      <c r="AO42" s="1058">
        <v>23309713</v>
      </c>
      <c r="AP42" s="1058">
        <v>24680472</v>
      </c>
      <c r="AQ42" s="1058">
        <v>25545062</v>
      </c>
      <c r="AR42" s="1044"/>
      <c r="AS42" s="1044"/>
    </row>
    <row r="43" spans="2:45" hidden="1" outlineLevel="1">
      <c r="C43" s="810" t="s">
        <v>2</v>
      </c>
      <c r="D43" s="9"/>
      <c r="E43" s="224" t="s">
        <v>1666</v>
      </c>
      <c r="F43" s="20"/>
      <c r="G43" s="20"/>
      <c r="H43" s="20"/>
      <c r="I43" s="20"/>
      <c r="J43" s="20"/>
      <c r="K43" s="20"/>
      <c r="L43" s="20"/>
      <c r="M43" s="20"/>
      <c r="N43" s="20"/>
      <c r="O43" s="20"/>
      <c r="P43" s="20"/>
      <c r="Q43" s="20"/>
      <c r="R43" s="20"/>
      <c r="S43" s="20"/>
      <c r="T43" s="20"/>
      <c r="U43" s="20"/>
      <c r="V43" s="20"/>
      <c r="W43" s="20"/>
      <c r="X43" s="20"/>
      <c r="Y43" s="20"/>
      <c r="Z43" s="20"/>
      <c r="AA43" s="20"/>
      <c r="AB43" s="12"/>
      <c r="AC43" s="12"/>
      <c r="AD43" s="12"/>
      <c r="AE43" s="12"/>
      <c r="AF43" s="12"/>
      <c r="AG43" s="12"/>
      <c r="AH43" s="12"/>
      <c r="AI43" s="12"/>
      <c r="AJ43" s="21"/>
      <c r="AK43" s="21"/>
      <c r="AL43" s="21">
        <v>11646519</v>
      </c>
      <c r="AM43" s="21">
        <v>11857694</v>
      </c>
      <c r="AN43" s="1058">
        <v>23620829</v>
      </c>
      <c r="AO43" s="1058">
        <v>23639677</v>
      </c>
      <c r="AP43" s="1058">
        <v>23832436</v>
      </c>
      <c r="AQ43" s="1058">
        <v>24004638</v>
      </c>
      <c r="AR43" s="1044"/>
      <c r="AS43" s="1044"/>
    </row>
    <row r="44" spans="2:45" hidden="1" outlineLevel="1">
      <c r="C44" s="810" t="s">
        <v>2</v>
      </c>
      <c r="D44" s="9"/>
      <c r="E44" s="20" t="s">
        <v>754</v>
      </c>
      <c r="F44" s="20"/>
      <c r="G44" s="20"/>
      <c r="H44" s="20"/>
      <c r="I44" s="20"/>
      <c r="J44" s="20"/>
      <c r="K44" s="20"/>
      <c r="L44" s="20"/>
      <c r="M44" s="20"/>
      <c r="N44" s="20"/>
      <c r="O44" s="20"/>
      <c r="P44" s="20"/>
      <c r="Q44" s="20"/>
      <c r="R44" s="20"/>
      <c r="S44" s="20"/>
      <c r="T44" s="20"/>
      <c r="U44" s="20"/>
      <c r="V44" s="20"/>
      <c r="W44" s="20"/>
      <c r="X44" s="20"/>
      <c r="Y44" s="20"/>
      <c r="Z44" s="20"/>
      <c r="AA44" s="20"/>
      <c r="AB44" s="12"/>
      <c r="AC44" s="12"/>
      <c r="AD44" s="12">
        <v>136260111</v>
      </c>
      <c r="AE44" s="12">
        <v>136305255</v>
      </c>
      <c r="AF44" s="12">
        <v>135766821</v>
      </c>
      <c r="AG44" s="12">
        <v>136004824</v>
      </c>
      <c r="AH44" s="12">
        <v>146631514</v>
      </c>
      <c r="AI44" s="12">
        <f>142022642-2000000</f>
        <v>140022642</v>
      </c>
      <c r="AJ44" s="21">
        <v>153354784</v>
      </c>
      <c r="AK44" s="21">
        <v>153878838</v>
      </c>
      <c r="AL44" s="21">
        <v>170347512</v>
      </c>
      <c r="AM44" s="21">
        <v>170956840</v>
      </c>
      <c r="AN44" s="1058">
        <v>183450075</v>
      </c>
      <c r="AO44" s="1058">
        <v>183905648</v>
      </c>
      <c r="AP44" s="1058">
        <v>196733387</v>
      </c>
      <c r="AQ44" s="1058">
        <v>196752540</v>
      </c>
      <c r="AR44" s="1044"/>
      <c r="AS44" s="1044"/>
    </row>
    <row r="45" spans="2:45" hidden="1" outlineLevel="1">
      <c r="C45" s="810" t="s">
        <v>2</v>
      </c>
      <c r="D45" s="9"/>
      <c r="E45" s="224" t="s">
        <v>749</v>
      </c>
      <c r="F45" s="20"/>
      <c r="G45" s="20"/>
      <c r="H45" s="20"/>
      <c r="I45" s="20"/>
      <c r="J45" s="20"/>
      <c r="K45" s="20"/>
      <c r="L45" s="20"/>
      <c r="M45" s="20"/>
      <c r="N45" s="20"/>
      <c r="O45" s="20"/>
      <c r="P45" s="20"/>
      <c r="Q45" s="20"/>
      <c r="R45" s="20"/>
      <c r="S45" s="20"/>
      <c r="T45" s="20"/>
      <c r="U45" s="20"/>
      <c r="V45" s="20"/>
      <c r="W45" s="20"/>
      <c r="X45" s="20"/>
      <c r="Y45" s="20"/>
      <c r="Z45" s="20"/>
      <c r="AA45" s="20"/>
      <c r="AB45" s="12"/>
      <c r="AC45" s="12"/>
      <c r="AD45" s="12">
        <v>374709022</v>
      </c>
      <c r="AE45" s="12">
        <v>372631468</v>
      </c>
      <c r="AF45" s="12">
        <f>388628861+420000</f>
        <v>389048861</v>
      </c>
      <c r="AG45" s="12">
        <v>389210743</v>
      </c>
      <c r="AH45" s="12">
        <v>351366506</v>
      </c>
      <c r="AI45" s="12">
        <v>351373159</v>
      </c>
      <c r="AJ45" s="21">
        <v>380001860</v>
      </c>
      <c r="AK45" s="21">
        <v>380973574</v>
      </c>
      <c r="AL45" s="21">
        <v>412702346</v>
      </c>
      <c r="AM45" s="21">
        <v>398015039</v>
      </c>
      <c r="AN45" s="1106">
        <f>420546781-6071343</f>
        <v>414475438</v>
      </c>
      <c r="AO45" s="1106">
        <f>414917575-6071343</f>
        <v>408846232</v>
      </c>
      <c r="AP45" s="1106">
        <f>438440493-12283896</f>
        <v>426156597</v>
      </c>
      <c r="AQ45" s="1106">
        <f>429258640-12283896</f>
        <v>416974744</v>
      </c>
      <c r="AR45" s="1044"/>
      <c r="AS45" s="1044"/>
    </row>
    <row r="46" spans="2:45" hidden="1" outlineLevel="1">
      <c r="C46" s="810" t="s">
        <v>2</v>
      </c>
      <c r="D46" s="9"/>
      <c r="E46" s="20" t="s">
        <v>755</v>
      </c>
      <c r="F46" s="20"/>
      <c r="G46" s="20"/>
      <c r="H46" s="20"/>
      <c r="I46" s="20"/>
      <c r="J46" s="20"/>
      <c r="K46" s="20"/>
      <c r="L46" s="20"/>
      <c r="M46" s="20"/>
      <c r="N46" s="20"/>
      <c r="O46" s="20"/>
      <c r="P46" s="20"/>
      <c r="Q46" s="20"/>
      <c r="R46" s="20"/>
      <c r="S46" s="20"/>
      <c r="T46" s="20"/>
      <c r="U46" s="20"/>
      <c r="V46" s="20"/>
      <c r="W46" s="20"/>
      <c r="X46" s="20"/>
      <c r="Y46" s="20"/>
      <c r="Z46" s="20"/>
      <c r="AA46" s="20"/>
      <c r="AB46" s="12"/>
      <c r="AC46" s="12"/>
      <c r="AD46" s="12">
        <v>99966617</v>
      </c>
      <c r="AE46" s="12">
        <v>98011154</v>
      </c>
      <c r="AF46" s="12">
        <f>109698351+11462500</f>
        <v>121160851</v>
      </c>
      <c r="AG46" s="12">
        <v>109900355</v>
      </c>
      <c r="AH46" s="12">
        <v>113099041</v>
      </c>
      <c r="AI46" s="12">
        <f>110414821-890662</f>
        <v>109524159</v>
      </c>
      <c r="AJ46" s="21">
        <v>131902090</v>
      </c>
      <c r="AK46" s="21">
        <v>132333257</v>
      </c>
      <c r="AL46" s="21">
        <v>147740639</v>
      </c>
      <c r="AM46" s="21">
        <v>148226420</v>
      </c>
      <c r="AN46" s="1058">
        <v>164192637</v>
      </c>
      <c r="AO46" s="1058">
        <v>164645673</v>
      </c>
      <c r="AP46" s="1058">
        <v>173454353</v>
      </c>
      <c r="AQ46" s="1058">
        <v>173479310</v>
      </c>
      <c r="AR46" s="1044"/>
      <c r="AS46" s="1044"/>
    </row>
    <row r="47" spans="2:45" hidden="1" outlineLevel="1">
      <c r="C47" s="810" t="s">
        <v>2</v>
      </c>
      <c r="D47" s="9"/>
      <c r="E47" s="20" t="s">
        <v>756</v>
      </c>
      <c r="F47" s="20"/>
      <c r="G47" s="20"/>
      <c r="H47" s="20"/>
      <c r="I47" s="20"/>
      <c r="J47" s="20"/>
      <c r="K47" s="20"/>
      <c r="L47" s="20"/>
      <c r="M47" s="20"/>
      <c r="N47" s="20"/>
      <c r="O47" s="20"/>
      <c r="P47" s="20"/>
      <c r="Q47" s="20"/>
      <c r="R47" s="20"/>
      <c r="S47" s="20"/>
      <c r="T47" s="20"/>
      <c r="U47" s="20"/>
      <c r="V47" s="20"/>
      <c r="W47" s="20"/>
      <c r="X47" s="20"/>
      <c r="Y47" s="20"/>
      <c r="Z47" s="20"/>
      <c r="AA47" s="20"/>
      <c r="AB47" s="12"/>
      <c r="AC47" s="12"/>
      <c r="AD47" s="12">
        <v>100879786</v>
      </c>
      <c r="AE47" s="12">
        <v>100931609</v>
      </c>
      <c r="AF47" s="12">
        <v>105289117</v>
      </c>
      <c r="AG47" s="12">
        <v>105462101</v>
      </c>
      <c r="AH47" s="12">
        <v>97651916</v>
      </c>
      <c r="AI47" s="12">
        <v>97859182</v>
      </c>
      <c r="AJ47" s="21">
        <v>103898844</v>
      </c>
      <c r="AK47" s="21">
        <v>104193051</v>
      </c>
      <c r="AL47" s="21">
        <v>111022865</v>
      </c>
      <c r="AM47" s="21">
        <v>111367207</v>
      </c>
      <c r="AN47" s="1058">
        <v>114462098</v>
      </c>
      <c r="AO47" s="1058">
        <v>114744807</v>
      </c>
      <c r="AP47" s="1058">
        <v>122986487</v>
      </c>
      <c r="AQ47" s="1058">
        <v>123003170</v>
      </c>
      <c r="AR47" s="1044"/>
      <c r="AS47" s="1044"/>
    </row>
    <row r="48" spans="2:45" hidden="1" outlineLevel="1">
      <c r="C48" s="810" t="s">
        <v>2</v>
      </c>
      <c r="D48" s="9"/>
      <c r="E48" s="20" t="s">
        <v>1667</v>
      </c>
      <c r="F48" s="20"/>
      <c r="G48" s="20"/>
      <c r="H48" s="20"/>
      <c r="I48" s="20"/>
      <c r="J48" s="20"/>
      <c r="K48" s="20"/>
      <c r="L48" s="20"/>
      <c r="M48" s="20"/>
      <c r="N48" s="20"/>
      <c r="O48" s="20"/>
      <c r="P48" s="20"/>
      <c r="Q48" s="20"/>
      <c r="R48" s="20"/>
      <c r="S48" s="20"/>
      <c r="T48" s="20"/>
      <c r="U48" s="20"/>
      <c r="V48" s="20"/>
      <c r="W48" s="20"/>
      <c r="X48" s="20"/>
      <c r="Y48" s="20"/>
      <c r="Z48" s="20"/>
      <c r="AA48" s="20"/>
      <c r="AB48" s="12"/>
      <c r="AC48" s="12"/>
      <c r="AD48" s="12"/>
      <c r="AE48" s="12"/>
      <c r="AF48" s="12"/>
      <c r="AG48" s="12"/>
      <c r="AH48" s="12"/>
      <c r="AI48" s="12"/>
      <c r="AJ48" s="21"/>
      <c r="AK48" s="21"/>
      <c r="AL48" s="21">
        <v>162946451</v>
      </c>
      <c r="AM48" s="21">
        <v>163362781</v>
      </c>
      <c r="AN48" s="1058">
        <f>156362166-28326681</f>
        <v>128035485</v>
      </c>
      <c r="AO48" s="1058">
        <f>156646453-28338062</f>
        <v>128308391</v>
      </c>
      <c r="AP48" s="1058">
        <v>133076512</v>
      </c>
      <c r="AQ48" s="1058">
        <v>133084294</v>
      </c>
      <c r="AR48" s="1044"/>
      <c r="AS48" s="1044"/>
    </row>
    <row r="49" spans="3:45" hidden="1" outlineLevel="1">
      <c r="C49" s="810" t="s">
        <v>2</v>
      </c>
      <c r="D49" s="9"/>
      <c r="E49" s="20" t="s">
        <v>1356</v>
      </c>
      <c r="F49" s="20"/>
      <c r="G49" s="20"/>
      <c r="H49" s="20"/>
      <c r="I49" s="20"/>
      <c r="J49" s="20"/>
      <c r="K49" s="20"/>
      <c r="L49" s="20"/>
      <c r="M49" s="20"/>
      <c r="N49" s="20"/>
      <c r="O49" s="20"/>
      <c r="P49" s="20"/>
      <c r="Q49" s="20"/>
      <c r="R49" s="20"/>
      <c r="S49" s="20"/>
      <c r="T49" s="20"/>
      <c r="U49" s="20"/>
      <c r="V49" s="20"/>
      <c r="W49" s="20"/>
      <c r="X49" s="20"/>
      <c r="Y49" s="20"/>
      <c r="Z49" s="20"/>
      <c r="AA49" s="20"/>
      <c r="AB49" s="12"/>
      <c r="AC49" s="12"/>
      <c r="AD49" s="12">
        <v>82970635</v>
      </c>
      <c r="AE49" s="12">
        <v>82988121</v>
      </c>
      <c r="AF49" s="12">
        <v>86584561</v>
      </c>
      <c r="AG49" s="12">
        <v>86729332</v>
      </c>
      <c r="AH49" s="12">
        <v>81293483</v>
      </c>
      <c r="AI49" s="12">
        <v>81536609</v>
      </c>
      <c r="AJ49" s="21">
        <v>85150586</v>
      </c>
      <c r="AK49" s="21">
        <v>85456423</v>
      </c>
      <c r="AL49" s="21"/>
      <c r="AM49" s="21"/>
      <c r="AN49" s="1058"/>
      <c r="AO49" s="1058"/>
      <c r="AP49" s="1058"/>
      <c r="AQ49" s="1058"/>
      <c r="AR49" s="1044"/>
      <c r="AS49" s="1044"/>
    </row>
    <row r="50" spans="3:45" hidden="1" outlineLevel="1">
      <c r="C50" s="810" t="s">
        <v>2</v>
      </c>
      <c r="D50" s="9"/>
      <c r="E50" s="20" t="s">
        <v>1357</v>
      </c>
      <c r="F50" s="20"/>
      <c r="G50" s="20"/>
      <c r="H50" s="20"/>
      <c r="I50" s="20"/>
      <c r="J50" s="20"/>
      <c r="K50" s="20"/>
      <c r="L50" s="20"/>
      <c r="M50" s="20"/>
      <c r="N50" s="20"/>
      <c r="O50" s="20"/>
      <c r="P50" s="20"/>
      <c r="Q50" s="20"/>
      <c r="R50" s="20"/>
      <c r="S50" s="20"/>
      <c r="T50" s="20"/>
      <c r="U50" s="20"/>
      <c r="V50" s="20"/>
      <c r="W50" s="20"/>
      <c r="X50" s="20"/>
      <c r="Y50" s="20"/>
      <c r="Z50" s="20"/>
      <c r="AA50" s="20"/>
      <c r="AB50" s="12"/>
      <c r="AC50" s="12"/>
      <c r="AD50" s="12">
        <v>29618239</v>
      </c>
      <c r="AE50" s="12">
        <v>29620482</v>
      </c>
      <c r="AF50" s="12">
        <v>31823522</v>
      </c>
      <c r="AG50" s="12">
        <v>31861837</v>
      </c>
      <c r="AH50" s="12">
        <v>28789377</v>
      </c>
      <c r="AI50" s="12">
        <v>28839341</v>
      </c>
      <c r="AJ50" s="21">
        <v>30577500</v>
      </c>
      <c r="AK50" s="21">
        <v>30662495</v>
      </c>
      <c r="AL50" s="21"/>
      <c r="AM50" s="21"/>
      <c r="AN50" s="1058"/>
      <c r="AO50" s="1058"/>
      <c r="AP50" s="1058"/>
      <c r="AQ50" s="1058"/>
      <c r="AR50" s="1044"/>
      <c r="AS50" s="1044"/>
    </row>
    <row r="51" spans="3:45" hidden="1" outlineLevel="1">
      <c r="C51" s="810" t="s">
        <v>2</v>
      </c>
      <c r="D51" s="9"/>
      <c r="E51" s="20" t="s">
        <v>1358</v>
      </c>
      <c r="F51" s="20"/>
      <c r="G51" s="20"/>
      <c r="H51" s="20"/>
      <c r="I51" s="20"/>
      <c r="J51" s="20"/>
      <c r="K51" s="20"/>
      <c r="L51" s="20"/>
      <c r="M51" s="20"/>
      <c r="N51" s="20"/>
      <c r="O51" s="20"/>
      <c r="P51" s="20"/>
      <c r="Q51" s="20"/>
      <c r="R51" s="20"/>
      <c r="S51" s="20"/>
      <c r="T51" s="20"/>
      <c r="U51" s="20"/>
      <c r="V51" s="20"/>
      <c r="W51" s="20"/>
      <c r="X51" s="20"/>
      <c r="Y51" s="20"/>
      <c r="Z51" s="20"/>
      <c r="AA51" s="20"/>
      <c r="AB51" s="12"/>
      <c r="AC51" s="12"/>
      <c r="AD51" s="12">
        <v>32706694</v>
      </c>
      <c r="AE51" s="12">
        <v>32822677</v>
      </c>
      <c r="AF51" s="12">
        <v>32256391</v>
      </c>
      <c r="AG51" s="12">
        <v>32276538</v>
      </c>
      <c r="AH51" s="12">
        <v>30408175</v>
      </c>
      <c r="AI51" s="12">
        <v>28737386</v>
      </c>
      <c r="AJ51" s="21">
        <v>31382813</v>
      </c>
      <c r="AK51" s="21">
        <v>31432377</v>
      </c>
      <c r="AL51" s="21">
        <v>36305069</v>
      </c>
      <c r="AM51" s="21">
        <v>36359672</v>
      </c>
      <c r="AN51" s="1058">
        <v>39932789</v>
      </c>
      <c r="AO51" s="1058">
        <v>39974404</v>
      </c>
      <c r="AP51" s="1058">
        <v>39995948</v>
      </c>
      <c r="AQ51" s="1058">
        <v>39997445</v>
      </c>
      <c r="AR51" s="1044"/>
      <c r="AS51" s="1044"/>
    </row>
    <row r="52" spans="3:45" hidden="1" outlineLevel="1">
      <c r="C52" s="810" t="s">
        <v>2</v>
      </c>
      <c r="D52" s="9"/>
      <c r="E52" s="20" t="s">
        <v>757</v>
      </c>
      <c r="F52" s="20"/>
      <c r="G52" s="20"/>
      <c r="H52" s="20"/>
      <c r="I52" s="20"/>
      <c r="J52" s="20"/>
      <c r="K52" s="20"/>
      <c r="L52" s="20"/>
      <c r="M52" s="20"/>
      <c r="N52" s="20"/>
      <c r="O52" s="20"/>
      <c r="P52" s="20"/>
      <c r="Q52" s="20"/>
      <c r="R52" s="20"/>
      <c r="S52" s="20"/>
      <c r="T52" s="20"/>
      <c r="U52" s="20"/>
      <c r="V52" s="20"/>
      <c r="W52" s="20"/>
      <c r="X52" s="20"/>
      <c r="Y52" s="20"/>
      <c r="Z52" s="20"/>
      <c r="AA52" s="20"/>
      <c r="AB52" s="12"/>
      <c r="AC52" s="12"/>
      <c r="AD52" s="12">
        <v>134112700</v>
      </c>
      <c r="AE52" s="12">
        <v>134176387</v>
      </c>
      <c r="AF52" s="12">
        <f>140356573+4500000</f>
        <v>144856573</v>
      </c>
      <c r="AG52" s="12">
        <v>140615860</v>
      </c>
      <c r="AH52" s="12">
        <v>130084887</v>
      </c>
      <c r="AI52" s="12">
        <v>130410885</v>
      </c>
      <c r="AJ52" s="21">
        <v>140518970</v>
      </c>
      <c r="AK52" s="21">
        <v>140985981</v>
      </c>
      <c r="AL52" s="21">
        <v>141904260</v>
      </c>
      <c r="AM52" s="21">
        <v>142428307</v>
      </c>
      <c r="AN52" s="1058">
        <v>142353846</v>
      </c>
      <c r="AO52" s="1058">
        <v>142700950</v>
      </c>
      <c r="AP52" s="1058">
        <v>157642006</v>
      </c>
      <c r="AQ52" s="1058">
        <v>157653418</v>
      </c>
      <c r="AR52" s="1044"/>
      <c r="AS52" s="1044"/>
    </row>
    <row r="53" spans="3:45" hidden="1" outlineLevel="1">
      <c r="C53" s="810" t="s">
        <v>2</v>
      </c>
      <c r="D53" s="9"/>
      <c r="E53" s="20" t="s">
        <v>1359</v>
      </c>
      <c r="F53" s="20"/>
      <c r="G53" s="20"/>
      <c r="H53" s="20"/>
      <c r="I53" s="20"/>
      <c r="J53" s="20"/>
      <c r="K53" s="20"/>
      <c r="L53" s="20"/>
      <c r="M53" s="20"/>
      <c r="N53" s="20"/>
      <c r="O53" s="20"/>
      <c r="P53" s="20"/>
      <c r="Q53" s="20"/>
      <c r="R53" s="20"/>
      <c r="S53" s="20"/>
      <c r="T53" s="20"/>
      <c r="U53" s="20"/>
      <c r="V53" s="20"/>
      <c r="W53" s="20"/>
      <c r="X53" s="20"/>
      <c r="Y53" s="20"/>
      <c r="Z53" s="20"/>
      <c r="AA53" s="20"/>
      <c r="AB53" s="12"/>
      <c r="AC53" s="12"/>
      <c r="AD53" s="12">
        <v>37443400</v>
      </c>
      <c r="AE53" s="12">
        <v>35929954</v>
      </c>
      <c r="AF53" s="12">
        <v>37458832</v>
      </c>
      <c r="AG53" s="12">
        <v>37513206</v>
      </c>
      <c r="AH53" s="12">
        <v>33046290</v>
      </c>
      <c r="AI53" s="12">
        <v>33101255</v>
      </c>
      <c r="AJ53" s="21">
        <v>37636383</v>
      </c>
      <c r="AK53" s="21">
        <v>37713858</v>
      </c>
      <c r="AL53" s="21">
        <v>41657725</v>
      </c>
      <c r="AM53" s="21">
        <v>41762135</v>
      </c>
      <c r="AN53" s="1058">
        <v>47243982</v>
      </c>
      <c r="AO53" s="1058">
        <v>47335629</v>
      </c>
      <c r="AP53" s="1058">
        <v>46980556</v>
      </c>
      <c r="AQ53" s="1058">
        <v>46984325</v>
      </c>
      <c r="AR53" s="1044"/>
      <c r="AS53" s="1044"/>
    </row>
    <row r="54" spans="3:45" hidden="1" outlineLevel="1">
      <c r="C54" s="810" t="s">
        <v>2</v>
      </c>
      <c r="D54" s="9"/>
      <c r="E54" s="592" t="s">
        <v>1429</v>
      </c>
      <c r="F54" s="20"/>
      <c r="G54" s="20"/>
      <c r="H54" s="20"/>
      <c r="I54" s="20"/>
      <c r="J54" s="20"/>
      <c r="K54" s="20"/>
      <c r="L54" s="20"/>
      <c r="M54" s="20"/>
      <c r="N54" s="20"/>
      <c r="O54" s="20"/>
      <c r="P54" s="20"/>
      <c r="Q54" s="20"/>
      <c r="R54" s="20"/>
      <c r="S54" s="20"/>
      <c r="T54" s="20"/>
      <c r="U54" s="20"/>
      <c r="V54" s="20"/>
      <c r="W54" s="20"/>
      <c r="X54" s="20"/>
      <c r="Y54" s="20"/>
      <c r="Z54" s="20"/>
      <c r="AA54" s="20"/>
      <c r="AB54" s="12"/>
      <c r="AC54" s="12"/>
      <c r="AD54" s="12">
        <v>11703355</v>
      </c>
      <c r="AE54" s="12">
        <v>10295358</v>
      </c>
      <c r="AF54" s="12">
        <v>9185569</v>
      </c>
      <c r="AG54" s="12">
        <v>12486440</v>
      </c>
      <c r="AH54" s="12">
        <v>2250934</v>
      </c>
      <c r="AI54" s="12">
        <v>2250934</v>
      </c>
      <c r="AJ54" s="21">
        <v>2236934</v>
      </c>
      <c r="AK54" s="21">
        <v>2236934</v>
      </c>
      <c r="AL54" s="21">
        <v>855586</v>
      </c>
      <c r="AM54" s="21">
        <v>855586</v>
      </c>
      <c r="AN54" s="1058">
        <v>770028</v>
      </c>
      <c r="AO54" s="1058">
        <v>770027</v>
      </c>
      <c r="AP54" s="1058">
        <v>770028</v>
      </c>
      <c r="AQ54" s="1058">
        <v>770027</v>
      </c>
      <c r="AR54" s="1044"/>
      <c r="AS54" s="1044"/>
    </row>
    <row r="55" spans="3:45" hidden="1" outlineLevel="1">
      <c r="C55" s="810" t="s">
        <v>2</v>
      </c>
      <c r="D55" s="9"/>
      <c r="E55" s="20" t="s">
        <v>751</v>
      </c>
      <c r="F55" s="20"/>
      <c r="G55" s="20"/>
      <c r="H55" s="20"/>
      <c r="I55" s="20"/>
      <c r="J55" s="20"/>
      <c r="K55" s="20"/>
      <c r="L55" s="20"/>
      <c r="M55" s="20"/>
      <c r="N55" s="20"/>
      <c r="O55" s="20"/>
      <c r="P55" s="20"/>
      <c r="Q55" s="20"/>
      <c r="R55" s="20"/>
      <c r="S55" s="20"/>
      <c r="T55" s="20"/>
      <c r="U55" s="20"/>
      <c r="V55" s="20"/>
      <c r="W55" s="20"/>
      <c r="X55" s="20"/>
      <c r="Y55" s="20"/>
      <c r="Z55" s="20"/>
      <c r="AA55" s="20"/>
      <c r="AB55" s="12"/>
      <c r="AC55" s="12"/>
      <c r="AD55" s="12">
        <v>330056777</v>
      </c>
      <c r="AE55" s="12">
        <v>327247983</v>
      </c>
      <c r="AF55" s="12">
        <v>361335719</v>
      </c>
      <c r="AG55" s="12">
        <v>362023595</v>
      </c>
      <c r="AH55" s="12">
        <v>325287544</v>
      </c>
      <c r="AI55" s="12">
        <v>326311675</v>
      </c>
      <c r="AJ55" s="21">
        <v>357459809</v>
      </c>
      <c r="AK55" s="21">
        <v>358657470</v>
      </c>
      <c r="AL55" s="21">
        <v>407862869</v>
      </c>
      <c r="AM55" s="21">
        <v>404669085</v>
      </c>
      <c r="AN55" s="1058">
        <v>420587596</v>
      </c>
      <c r="AO55" s="1058">
        <v>421465158</v>
      </c>
      <c r="AP55" s="1058">
        <v>473713670</v>
      </c>
      <c r="AQ55" s="1058">
        <v>473737718</v>
      </c>
      <c r="AR55" s="1044"/>
      <c r="AS55" s="1044"/>
    </row>
    <row r="56" spans="3:45" hidden="1" outlineLevel="1">
      <c r="C56" s="810" t="s">
        <v>2</v>
      </c>
      <c r="D56" s="9"/>
      <c r="E56" s="20" t="s">
        <v>876</v>
      </c>
      <c r="F56" s="20"/>
      <c r="G56" s="20"/>
      <c r="H56" s="20"/>
      <c r="I56" s="20"/>
      <c r="J56" s="20"/>
      <c r="K56" s="20"/>
      <c r="L56" s="20"/>
      <c r="M56" s="20"/>
      <c r="N56" s="20"/>
      <c r="O56" s="20"/>
      <c r="P56" s="20"/>
      <c r="Q56" s="20"/>
      <c r="R56" s="20"/>
      <c r="S56" s="20"/>
      <c r="T56" s="20"/>
      <c r="U56" s="20"/>
      <c r="V56" s="20"/>
      <c r="W56" s="20"/>
      <c r="X56" s="20"/>
      <c r="Y56" s="20"/>
      <c r="Z56" s="20"/>
      <c r="AA56" s="20"/>
      <c r="AB56" s="12"/>
      <c r="AC56" s="12"/>
      <c r="AD56" s="12">
        <v>19225935</v>
      </c>
      <c r="AE56" s="12">
        <v>19226425</v>
      </c>
      <c r="AF56" s="12">
        <v>20048423</v>
      </c>
      <c r="AG56" s="12">
        <v>20070427</v>
      </c>
      <c r="AH56" s="12">
        <v>18868811</v>
      </c>
      <c r="AI56" s="12">
        <v>18904811</v>
      </c>
      <c r="AJ56" s="21">
        <v>20234919</v>
      </c>
      <c r="AK56" s="21">
        <v>20263154</v>
      </c>
      <c r="AL56" s="21">
        <v>22505157</v>
      </c>
      <c r="AM56" s="21">
        <v>22544329</v>
      </c>
      <c r="AN56" s="1058">
        <v>26343051</v>
      </c>
      <c r="AO56" s="1058">
        <v>26384333</v>
      </c>
      <c r="AP56" s="1058">
        <v>25380439</v>
      </c>
      <c r="AQ56" s="1058">
        <v>25367727</v>
      </c>
      <c r="AR56" s="1044"/>
      <c r="AS56" s="1044"/>
    </row>
    <row r="57" spans="3:45" hidden="1" outlineLevel="1">
      <c r="C57" s="810" t="s">
        <v>2</v>
      </c>
      <c r="D57" s="9"/>
      <c r="E57" s="20" t="s">
        <v>750</v>
      </c>
      <c r="F57" s="20"/>
      <c r="G57" s="20"/>
      <c r="H57" s="20"/>
      <c r="I57" s="20"/>
      <c r="J57" s="20"/>
      <c r="K57" s="20"/>
      <c r="L57" s="20"/>
      <c r="M57" s="20"/>
      <c r="N57" s="20"/>
      <c r="O57" s="20"/>
      <c r="P57" s="20"/>
      <c r="Q57" s="20"/>
      <c r="R57" s="20"/>
      <c r="S57" s="20"/>
      <c r="T57" s="20"/>
      <c r="U57" s="20"/>
      <c r="V57" s="20"/>
      <c r="W57" s="20"/>
      <c r="X57" s="20"/>
      <c r="Y57" s="20"/>
      <c r="Z57" s="20"/>
      <c r="AA57" s="20"/>
      <c r="AB57" s="12"/>
      <c r="AC57" s="12"/>
      <c r="AD57" s="12">
        <v>70903567</v>
      </c>
      <c r="AE57" s="12">
        <v>66297248</v>
      </c>
      <c r="AF57" s="12">
        <v>71094510</v>
      </c>
      <c r="AG57" s="12">
        <v>71174056</v>
      </c>
      <c r="AH57" s="12">
        <v>61254078</v>
      </c>
      <c r="AI57" s="12">
        <v>61385301</v>
      </c>
      <c r="AJ57" s="21">
        <v>67431363</v>
      </c>
      <c r="AK57" s="21">
        <v>59847287</v>
      </c>
      <c r="AL57" s="21">
        <v>64149281</v>
      </c>
      <c r="AM57" s="21">
        <v>64302080</v>
      </c>
      <c r="AN57" s="1058">
        <v>65493559</v>
      </c>
      <c r="AO57" s="1058">
        <v>65598455</v>
      </c>
      <c r="AP57" s="1058">
        <v>67042253</v>
      </c>
      <c r="AQ57" s="1058">
        <v>67040181</v>
      </c>
      <c r="AR57" s="1044"/>
      <c r="AS57" s="1044"/>
    </row>
    <row r="58" spans="3:45" hidden="1" outlineLevel="1">
      <c r="C58" s="810" t="s">
        <v>2</v>
      </c>
      <c r="D58" s="9"/>
      <c r="E58" s="20" t="s">
        <v>1209</v>
      </c>
      <c r="F58" s="20"/>
      <c r="G58" s="20"/>
      <c r="H58" s="20"/>
      <c r="I58" s="20"/>
      <c r="J58" s="20"/>
      <c r="K58" s="20"/>
      <c r="L58" s="20"/>
      <c r="M58" s="20"/>
      <c r="N58" s="20"/>
      <c r="O58" s="20"/>
      <c r="P58" s="20"/>
      <c r="Q58" s="20"/>
      <c r="R58" s="20"/>
      <c r="S58" s="20"/>
      <c r="T58" s="20"/>
      <c r="U58" s="20"/>
      <c r="V58" s="20"/>
      <c r="W58" s="20"/>
      <c r="X58" s="20"/>
      <c r="Y58" s="20"/>
      <c r="Z58" s="20"/>
      <c r="AA58" s="20"/>
      <c r="AB58" s="12"/>
      <c r="AC58" s="12"/>
      <c r="AD58" s="12">
        <v>52772408</v>
      </c>
      <c r="AE58" s="12">
        <v>52784007</v>
      </c>
      <c r="AF58" s="12">
        <v>59754123</v>
      </c>
      <c r="AG58" s="12">
        <v>57298789</v>
      </c>
      <c r="AH58" s="12">
        <v>41925884</v>
      </c>
      <c r="AI58" s="12">
        <v>42024200</v>
      </c>
      <c r="AJ58" s="21">
        <v>48005251</v>
      </c>
      <c r="AK58" s="21">
        <v>48153655</v>
      </c>
      <c r="AL58" s="21">
        <v>53379453</v>
      </c>
      <c r="AM58" s="21">
        <v>53517369</v>
      </c>
      <c r="AN58" s="1058">
        <v>61233497</v>
      </c>
      <c r="AO58" s="1058">
        <v>61345922</v>
      </c>
      <c r="AP58" s="1058">
        <v>60726614</v>
      </c>
      <c r="AQ58" s="1058">
        <v>60723670</v>
      </c>
      <c r="AR58" s="1044"/>
      <c r="AS58" s="1044"/>
    </row>
    <row r="59" spans="3:45" hidden="1" outlineLevel="1">
      <c r="C59" s="810" t="s">
        <v>2</v>
      </c>
      <c r="D59" s="9"/>
      <c r="E59" s="224" t="s">
        <v>1210</v>
      </c>
      <c r="F59" s="20"/>
      <c r="G59" s="20"/>
      <c r="H59" s="20"/>
      <c r="I59" s="20"/>
      <c r="J59" s="20"/>
      <c r="K59" s="20"/>
      <c r="L59" s="20"/>
      <c r="M59" s="20"/>
      <c r="N59" s="20"/>
      <c r="O59" s="20"/>
      <c r="P59" s="20"/>
      <c r="Q59" s="20"/>
      <c r="R59" s="20"/>
      <c r="S59" s="20"/>
      <c r="T59" s="20"/>
      <c r="U59" s="20"/>
      <c r="V59" s="20"/>
      <c r="W59" s="20"/>
      <c r="X59" s="20"/>
      <c r="Y59" s="20"/>
      <c r="Z59" s="20"/>
      <c r="AA59" s="20"/>
      <c r="AB59" s="12"/>
      <c r="AC59" s="12"/>
      <c r="AD59" s="12">
        <v>0</v>
      </c>
      <c r="AE59" s="12">
        <v>0</v>
      </c>
      <c r="AF59" s="12">
        <v>0</v>
      </c>
      <c r="AG59" s="12">
        <v>0</v>
      </c>
      <c r="AH59" s="12">
        <v>15292151</v>
      </c>
      <c r="AI59" s="12">
        <v>15307552</v>
      </c>
      <c r="AJ59" s="21">
        <v>16436153</v>
      </c>
      <c r="AK59" s="21">
        <v>16458720</v>
      </c>
      <c r="AL59" s="21">
        <v>17507423</v>
      </c>
      <c r="AM59" s="21">
        <v>17529685</v>
      </c>
      <c r="AN59" s="1058">
        <v>18863648</v>
      </c>
      <c r="AO59" s="1058">
        <v>18875909</v>
      </c>
      <c r="AP59" s="1058">
        <v>19784985</v>
      </c>
      <c r="AQ59" s="1058">
        <v>19782426</v>
      </c>
      <c r="AR59" s="1044"/>
      <c r="AS59" s="1044"/>
    </row>
    <row r="60" spans="3:45" hidden="1" outlineLevel="1">
      <c r="C60" s="810" t="s">
        <v>2</v>
      </c>
      <c r="D60" s="9"/>
      <c r="E60" s="224" t="s">
        <v>1211</v>
      </c>
      <c r="F60" s="20"/>
      <c r="G60" s="20"/>
      <c r="H60" s="20"/>
      <c r="I60" s="20"/>
      <c r="J60" s="20"/>
      <c r="K60" s="20"/>
      <c r="L60" s="20"/>
      <c r="M60" s="20"/>
      <c r="N60" s="20"/>
      <c r="O60" s="20"/>
      <c r="P60" s="20"/>
      <c r="Q60" s="20"/>
      <c r="R60" s="20"/>
      <c r="S60" s="20"/>
      <c r="T60" s="20"/>
      <c r="U60" s="20"/>
      <c r="V60" s="20"/>
      <c r="W60" s="20"/>
      <c r="X60" s="20"/>
      <c r="Y60" s="20"/>
      <c r="Z60" s="20"/>
      <c r="AA60" s="20"/>
      <c r="AB60" s="12"/>
      <c r="AC60" s="12"/>
      <c r="AD60" s="12">
        <v>60022689</v>
      </c>
      <c r="AE60" s="12">
        <v>59433835</v>
      </c>
      <c r="AF60" s="12">
        <v>61696234</v>
      </c>
      <c r="AG60" s="12">
        <v>61729433</v>
      </c>
      <c r="AH60" s="12">
        <v>55340952</v>
      </c>
      <c r="AI60" s="12">
        <v>54942122</v>
      </c>
      <c r="AJ60" s="21">
        <v>58807338</v>
      </c>
      <c r="AK60" s="21">
        <v>58474197</v>
      </c>
      <c r="AL60" s="21">
        <v>62287235</v>
      </c>
      <c r="AM60" s="21">
        <v>61390049</v>
      </c>
      <c r="AN60" s="1058">
        <v>65439352</v>
      </c>
      <c r="AO60" s="1058">
        <v>65550045</v>
      </c>
      <c r="AP60" s="1058">
        <v>69685293</v>
      </c>
      <c r="AQ60" s="1058">
        <v>69661833</v>
      </c>
      <c r="AR60" s="1044"/>
      <c r="AS60" s="1044"/>
    </row>
    <row r="61" spans="3:45" hidden="1" outlineLevel="1">
      <c r="C61" s="810" t="s">
        <v>2</v>
      </c>
      <c r="D61" s="9"/>
      <c r="E61" s="224" t="s">
        <v>1212</v>
      </c>
      <c r="F61" s="20"/>
      <c r="G61" s="20"/>
      <c r="H61" s="20"/>
      <c r="I61" s="20"/>
      <c r="J61" s="20"/>
      <c r="K61" s="20"/>
      <c r="L61" s="20"/>
      <c r="M61" s="20"/>
      <c r="N61" s="20"/>
      <c r="O61" s="20"/>
      <c r="P61" s="20"/>
      <c r="Q61" s="20"/>
      <c r="R61" s="20"/>
      <c r="S61" s="20"/>
      <c r="T61" s="20"/>
      <c r="U61" s="20"/>
      <c r="V61" s="20"/>
      <c r="W61" s="20"/>
      <c r="X61" s="20"/>
      <c r="Y61" s="20"/>
      <c r="Z61" s="20"/>
      <c r="AA61" s="20"/>
      <c r="AB61" s="12"/>
      <c r="AC61" s="12"/>
      <c r="AD61" s="12">
        <v>49937396</v>
      </c>
      <c r="AE61" s="12">
        <v>49864792</v>
      </c>
      <c r="AF61" s="12">
        <v>55181567</v>
      </c>
      <c r="AG61" s="12">
        <v>55610192</v>
      </c>
      <c r="AH61" s="12">
        <v>37626511</v>
      </c>
      <c r="AI61" s="12">
        <v>37741742</v>
      </c>
      <c r="AJ61" s="21">
        <v>42617316</v>
      </c>
      <c r="AK61" s="21">
        <v>42707502</v>
      </c>
      <c r="AL61" s="21">
        <v>54227701</v>
      </c>
      <c r="AM61" s="21">
        <v>53856642</v>
      </c>
      <c r="AN61" s="1058">
        <v>62412902</v>
      </c>
      <c r="AO61" s="1058">
        <v>62598028</v>
      </c>
      <c r="AP61" s="1058">
        <v>54623737</v>
      </c>
      <c r="AQ61" s="1058">
        <v>54628441</v>
      </c>
      <c r="AR61" s="1044"/>
      <c r="AS61" s="1044"/>
    </row>
    <row r="62" spans="3:45" hidden="1" outlineLevel="1">
      <c r="C62" s="810" t="s">
        <v>2</v>
      </c>
      <c r="D62" s="9"/>
      <c r="E62" s="224" t="s">
        <v>1213</v>
      </c>
      <c r="F62" s="20"/>
      <c r="G62" s="20"/>
      <c r="H62" s="20"/>
      <c r="I62" s="20"/>
      <c r="J62" s="20"/>
      <c r="K62" s="20"/>
      <c r="L62" s="20"/>
      <c r="M62" s="20"/>
      <c r="N62" s="20"/>
      <c r="O62" s="20"/>
      <c r="P62" s="20"/>
      <c r="Q62" s="20"/>
      <c r="R62" s="20"/>
      <c r="S62" s="20"/>
      <c r="T62" s="20"/>
      <c r="U62" s="20"/>
      <c r="V62" s="20"/>
      <c r="W62" s="20"/>
      <c r="X62" s="20"/>
      <c r="Y62" s="20"/>
      <c r="Z62" s="20"/>
      <c r="AA62" s="20"/>
      <c r="AB62" s="12"/>
      <c r="AC62" s="12"/>
      <c r="AD62" s="12">
        <v>0</v>
      </c>
      <c r="AE62" s="12">
        <v>0</v>
      </c>
      <c r="AF62" s="12">
        <v>0</v>
      </c>
      <c r="AG62" s="12">
        <v>0</v>
      </c>
      <c r="AH62" s="12">
        <v>18555585</v>
      </c>
      <c r="AI62" s="12">
        <v>18569778</v>
      </c>
      <c r="AJ62" s="21">
        <v>22718511</v>
      </c>
      <c r="AK62" s="21">
        <v>22748641</v>
      </c>
      <c r="AL62" s="21">
        <v>29744840</v>
      </c>
      <c r="AM62" s="21">
        <v>29773787</v>
      </c>
      <c r="AN62" s="1058">
        <v>34316106</v>
      </c>
      <c r="AO62" s="1058">
        <v>34336299</v>
      </c>
      <c r="AP62" s="1058">
        <v>38843522</v>
      </c>
      <c r="AQ62" s="1058">
        <v>38847318</v>
      </c>
      <c r="AR62" s="1044"/>
      <c r="AS62" s="1044"/>
    </row>
    <row r="63" spans="3:45" hidden="1" outlineLevel="1">
      <c r="C63" s="810" t="s">
        <v>2</v>
      </c>
      <c r="D63" s="9"/>
      <c r="E63" s="20" t="s">
        <v>861</v>
      </c>
      <c r="F63" s="20"/>
      <c r="G63" s="20"/>
      <c r="H63" s="20"/>
      <c r="I63" s="20"/>
      <c r="J63" s="20"/>
      <c r="K63" s="20"/>
      <c r="L63" s="20"/>
      <c r="M63" s="20"/>
      <c r="N63" s="20"/>
      <c r="O63" s="20"/>
      <c r="P63" s="20"/>
      <c r="Q63" s="20"/>
      <c r="R63" s="20"/>
      <c r="S63" s="20"/>
      <c r="T63" s="20"/>
      <c r="U63" s="20"/>
      <c r="V63" s="20"/>
      <c r="W63" s="20"/>
      <c r="X63" s="20"/>
      <c r="Y63" s="20"/>
      <c r="Z63" s="20"/>
      <c r="AA63" s="20"/>
      <c r="AB63" s="12"/>
      <c r="AC63" s="12"/>
      <c r="AD63" s="12">
        <v>45595994</v>
      </c>
      <c r="AE63" s="12">
        <v>45603312</v>
      </c>
      <c r="AF63" s="12">
        <v>43669134</v>
      </c>
      <c r="AG63" s="12">
        <v>42049699</v>
      </c>
      <c r="AH63" s="12">
        <v>36874200</v>
      </c>
      <c r="AI63" s="12">
        <v>36942124</v>
      </c>
      <c r="AJ63" s="21">
        <v>38053628</v>
      </c>
      <c r="AK63" s="21">
        <v>37514369</v>
      </c>
      <c r="AL63" s="21">
        <v>39640894</v>
      </c>
      <c r="AM63" s="21">
        <v>39736693</v>
      </c>
      <c r="AN63" s="1058">
        <v>40606258</v>
      </c>
      <c r="AO63" s="1058">
        <v>40667248</v>
      </c>
      <c r="AP63" s="1058">
        <v>42115601</v>
      </c>
      <c r="AQ63" s="1058">
        <v>42102986</v>
      </c>
      <c r="AR63" s="1044"/>
      <c r="AS63" s="1044"/>
    </row>
    <row r="64" spans="3:45" hidden="1" outlineLevel="1">
      <c r="C64" s="810" t="s">
        <v>2</v>
      </c>
      <c r="D64" s="9"/>
      <c r="E64" s="20" t="s">
        <v>871</v>
      </c>
      <c r="F64" s="20"/>
      <c r="G64" s="20"/>
      <c r="H64" s="20"/>
      <c r="I64" s="20"/>
      <c r="J64" s="20"/>
      <c r="K64" s="20"/>
      <c r="L64" s="20"/>
      <c r="M64" s="20"/>
      <c r="N64" s="20"/>
      <c r="O64" s="20"/>
      <c r="P64" s="20"/>
      <c r="Q64" s="20"/>
      <c r="R64" s="20"/>
      <c r="S64" s="20"/>
      <c r="T64" s="20"/>
      <c r="U64" s="20"/>
      <c r="V64" s="20"/>
      <c r="W64" s="20"/>
      <c r="X64" s="20"/>
      <c r="Y64" s="20"/>
      <c r="Z64" s="20"/>
      <c r="AA64" s="20"/>
      <c r="AB64" s="12"/>
      <c r="AC64" s="12"/>
      <c r="AD64" s="12">
        <v>39919443</v>
      </c>
      <c r="AE64" s="12">
        <v>39925273</v>
      </c>
      <c r="AF64" s="12">
        <v>40462780</v>
      </c>
      <c r="AG64" s="12">
        <v>40531377</v>
      </c>
      <c r="AH64" s="12">
        <v>36363359</v>
      </c>
      <c r="AI64" s="12">
        <v>36483664</v>
      </c>
      <c r="AJ64" s="21">
        <v>39157501</v>
      </c>
      <c r="AK64" s="21">
        <v>39298064</v>
      </c>
      <c r="AL64" s="21">
        <v>44001473</v>
      </c>
      <c r="AM64" s="21">
        <v>43744763</v>
      </c>
      <c r="AN64" s="1058">
        <v>46084079</v>
      </c>
      <c r="AO64" s="1058">
        <v>46210345</v>
      </c>
      <c r="AP64" s="1058">
        <v>48749538</v>
      </c>
      <c r="AQ64" s="1058">
        <v>48750041</v>
      </c>
      <c r="AR64" s="1044"/>
      <c r="AS64" s="1044"/>
    </row>
    <row r="65" spans="3:45" hidden="1" outlineLevel="1">
      <c r="C65" s="810" t="s">
        <v>2</v>
      </c>
      <c r="D65" s="9"/>
      <c r="E65" s="224" t="s">
        <v>1361</v>
      </c>
      <c r="F65" s="20"/>
      <c r="G65" s="20"/>
      <c r="H65" s="20"/>
      <c r="I65" s="20"/>
      <c r="J65" s="20"/>
      <c r="K65" s="20"/>
      <c r="L65" s="20"/>
      <c r="M65" s="20"/>
      <c r="N65" s="20"/>
      <c r="O65" s="20"/>
      <c r="P65" s="20"/>
      <c r="Q65" s="20"/>
      <c r="R65" s="20"/>
      <c r="S65" s="20"/>
      <c r="T65" s="20"/>
      <c r="U65" s="20"/>
      <c r="V65" s="20"/>
      <c r="W65" s="20"/>
      <c r="X65" s="20"/>
      <c r="Y65" s="20"/>
      <c r="Z65" s="20"/>
      <c r="AA65" s="20"/>
      <c r="AB65" s="12"/>
      <c r="AC65" s="12"/>
      <c r="AD65" s="12">
        <v>44959969</v>
      </c>
      <c r="AE65" s="12">
        <v>44978118</v>
      </c>
      <c r="AF65" s="12">
        <f>46752175+1000000</f>
        <v>47752175</v>
      </c>
      <c r="AG65" s="12">
        <v>46866996</v>
      </c>
      <c r="AH65" s="12">
        <v>44875542</v>
      </c>
      <c r="AI65" s="12">
        <v>45045086</v>
      </c>
      <c r="AJ65" s="21">
        <v>52644813</v>
      </c>
      <c r="AK65" s="21">
        <v>52848358</v>
      </c>
      <c r="AL65" s="21">
        <v>54972163</v>
      </c>
      <c r="AM65" s="21">
        <v>55173354</v>
      </c>
      <c r="AN65" s="1058">
        <v>61029118</v>
      </c>
      <c r="AO65" s="1058">
        <v>61195556</v>
      </c>
      <c r="AP65" s="1058">
        <v>58046355</v>
      </c>
      <c r="AQ65" s="1058">
        <v>58035150</v>
      </c>
      <c r="AR65" s="1044"/>
      <c r="AS65" s="1044"/>
    </row>
    <row r="66" spans="3:45" hidden="1" outlineLevel="1">
      <c r="C66" s="810" t="s">
        <v>2</v>
      </c>
      <c r="D66" s="9"/>
      <c r="E66" s="20" t="s">
        <v>1425</v>
      </c>
      <c r="F66" s="20"/>
      <c r="G66" s="20"/>
      <c r="H66" s="20"/>
      <c r="I66" s="20"/>
      <c r="J66" s="20"/>
      <c r="K66" s="20"/>
      <c r="L66" s="20"/>
      <c r="M66" s="20"/>
      <c r="N66" s="20"/>
      <c r="O66" s="20"/>
      <c r="P66" s="20"/>
      <c r="Q66" s="20"/>
      <c r="R66" s="20"/>
      <c r="S66" s="20"/>
      <c r="T66" s="20"/>
      <c r="U66" s="20"/>
      <c r="V66" s="20"/>
      <c r="W66" s="20"/>
      <c r="X66" s="20"/>
      <c r="Y66" s="20"/>
      <c r="Z66" s="20"/>
      <c r="AA66" s="20"/>
      <c r="AB66" s="12"/>
      <c r="AC66" s="12"/>
      <c r="AD66" s="12">
        <v>18590427</v>
      </c>
      <c r="AE66" s="12">
        <v>18593642</v>
      </c>
      <c r="AF66" s="12">
        <f>18160519+6000000</f>
        <v>24160519</v>
      </c>
      <c r="AG66" s="12">
        <v>18179780</v>
      </c>
      <c r="AH66" s="12">
        <v>17360371</v>
      </c>
      <c r="AI66" s="12">
        <v>17394597</v>
      </c>
      <c r="AJ66" s="21">
        <v>18218568</v>
      </c>
      <c r="AK66" s="21">
        <v>18251718</v>
      </c>
      <c r="AL66" s="21">
        <v>20454360</v>
      </c>
      <c r="AM66" s="21">
        <v>20353296</v>
      </c>
      <c r="AN66" s="1058">
        <v>22515812</v>
      </c>
      <c r="AO66" s="1058">
        <v>22534534</v>
      </c>
      <c r="AP66" s="1058">
        <v>24892716</v>
      </c>
      <c r="AQ66" s="1058">
        <v>24894457</v>
      </c>
      <c r="AR66" s="1044"/>
      <c r="AS66" s="1044"/>
    </row>
    <row r="67" spans="3:45" hidden="1" outlineLevel="1">
      <c r="C67" s="810" t="s">
        <v>2</v>
      </c>
      <c r="D67" s="9"/>
      <c r="E67" s="592" t="s">
        <v>1430</v>
      </c>
      <c r="F67" s="20"/>
      <c r="G67" s="20"/>
      <c r="H67" s="20"/>
      <c r="I67" s="20"/>
      <c r="J67" s="20"/>
      <c r="K67" s="20"/>
      <c r="L67" s="20"/>
      <c r="M67" s="20"/>
      <c r="N67" s="20"/>
      <c r="O67" s="20"/>
      <c r="P67" s="20"/>
      <c r="Q67" s="20"/>
      <c r="R67" s="20"/>
      <c r="S67" s="20"/>
      <c r="T67" s="20"/>
      <c r="U67" s="20"/>
      <c r="V67" s="20"/>
      <c r="W67" s="20"/>
      <c r="X67" s="20"/>
      <c r="Y67" s="20"/>
      <c r="Z67" s="20"/>
      <c r="AA67" s="20"/>
      <c r="AB67" s="12"/>
      <c r="AC67" s="12"/>
      <c r="AD67" s="12">
        <v>2602180</v>
      </c>
      <c r="AE67" s="12">
        <v>2605268</v>
      </c>
      <c r="AF67" s="12">
        <v>2840617</v>
      </c>
      <c r="AG67" s="12">
        <v>2840617</v>
      </c>
      <c r="AH67" s="12">
        <v>25975144</v>
      </c>
      <c r="AI67" s="12">
        <v>25693318</v>
      </c>
      <c r="AJ67" s="376">
        <f>24604133-22467172</f>
        <v>2136961</v>
      </c>
      <c r="AK67" s="376">
        <f>24610656-22473695</f>
        <v>2136961</v>
      </c>
      <c r="AL67" s="376">
        <v>24503538</v>
      </c>
      <c r="AM67" s="376">
        <v>24519153</v>
      </c>
      <c r="AN67" s="807">
        <v>48000504</v>
      </c>
      <c r="AO67" s="807">
        <v>47266506</v>
      </c>
      <c r="AP67" s="807">
        <v>41532823</v>
      </c>
      <c r="AQ67" s="807">
        <v>41569127</v>
      </c>
      <c r="AR67" s="1044"/>
      <c r="AS67" s="1044"/>
    </row>
    <row r="68" spans="3:45" hidden="1" outlineLevel="1">
      <c r="C68" s="810" t="s">
        <v>2</v>
      </c>
      <c r="D68" s="9"/>
      <c r="E68" s="20" t="s">
        <v>726</v>
      </c>
      <c r="F68" s="20"/>
      <c r="G68" s="20"/>
      <c r="H68" s="20"/>
      <c r="I68" s="20"/>
      <c r="J68" s="20"/>
      <c r="K68" s="20"/>
      <c r="L68" s="20"/>
      <c r="M68" s="20"/>
      <c r="N68" s="20"/>
      <c r="O68" s="20"/>
      <c r="P68" s="20"/>
      <c r="Q68" s="20"/>
      <c r="R68" s="20"/>
      <c r="S68" s="20"/>
      <c r="T68" s="20"/>
      <c r="U68" s="20"/>
      <c r="V68" s="20"/>
      <c r="W68" s="20"/>
      <c r="X68" s="20"/>
      <c r="Y68" s="20"/>
      <c r="Z68" s="20"/>
      <c r="AA68" s="20"/>
      <c r="AB68" s="12"/>
      <c r="AC68" s="12"/>
      <c r="AD68" s="12">
        <v>218408084</v>
      </c>
      <c r="AE68" s="12">
        <v>213474098</v>
      </c>
      <c r="AF68" s="12">
        <f>229570667+3000000</f>
        <v>232570667</v>
      </c>
      <c r="AG68" s="12">
        <v>229967802</v>
      </c>
      <c r="AH68" s="12">
        <v>197161901</v>
      </c>
      <c r="AI68" s="12">
        <v>197653502</v>
      </c>
      <c r="AJ68" s="376">
        <f>218083109+9883955</f>
        <v>227967064</v>
      </c>
      <c r="AK68" s="376">
        <f>218758217+9888579</f>
        <v>228646796</v>
      </c>
      <c r="AL68" s="695">
        <v>233790960</v>
      </c>
      <c r="AM68" s="376">
        <v>234632094</v>
      </c>
      <c r="AN68" s="807">
        <v>243124858</v>
      </c>
      <c r="AO68" s="807">
        <v>243615081</v>
      </c>
      <c r="AP68" s="807">
        <v>304382788</v>
      </c>
      <c r="AQ68" s="807">
        <v>259405401</v>
      </c>
      <c r="AR68" s="1044"/>
      <c r="AS68" s="1044"/>
    </row>
    <row r="69" spans="3:45" hidden="1" outlineLevel="1">
      <c r="C69" s="810" t="s">
        <v>2</v>
      </c>
      <c r="D69" s="9"/>
      <c r="E69" s="20" t="s">
        <v>1363</v>
      </c>
      <c r="F69" s="20"/>
      <c r="G69" s="20"/>
      <c r="H69" s="20"/>
      <c r="I69" s="20"/>
      <c r="J69" s="20"/>
      <c r="K69" s="20"/>
      <c r="L69" s="20"/>
      <c r="M69" s="20"/>
      <c r="N69" s="20"/>
      <c r="O69" s="20"/>
      <c r="P69" s="20"/>
      <c r="Q69" s="20"/>
      <c r="R69" s="20"/>
      <c r="S69" s="20"/>
      <c r="T69" s="20"/>
      <c r="U69" s="20"/>
      <c r="V69" s="20"/>
      <c r="W69" s="20"/>
      <c r="X69" s="20"/>
      <c r="Y69" s="20"/>
      <c r="Z69" s="20"/>
      <c r="AA69" s="20"/>
      <c r="AB69" s="12"/>
      <c r="AC69" s="12"/>
      <c r="AD69" s="12">
        <v>40563991</v>
      </c>
      <c r="AE69" s="12">
        <v>40570242</v>
      </c>
      <c r="AF69" s="12">
        <v>42312758</v>
      </c>
      <c r="AG69" s="12">
        <v>42369725</v>
      </c>
      <c r="AH69" s="12">
        <v>35872114</v>
      </c>
      <c r="AI69" s="12">
        <f>35977519+200000</f>
        <v>36177519</v>
      </c>
      <c r="AJ69" s="376">
        <f>37252208+2780228</f>
        <v>40032436</v>
      </c>
      <c r="AK69" s="376">
        <f>37379245+2782413</f>
        <v>40161658</v>
      </c>
      <c r="AL69" s="376">
        <v>44986581</v>
      </c>
      <c r="AM69" s="376">
        <v>45143443</v>
      </c>
      <c r="AN69" s="807">
        <v>43417986</v>
      </c>
      <c r="AO69" s="807">
        <v>43549406</v>
      </c>
      <c r="AP69" s="807">
        <v>43075729</v>
      </c>
      <c r="AQ69" s="807">
        <v>43079218</v>
      </c>
      <c r="AR69" s="1044"/>
      <c r="AS69" s="1044"/>
    </row>
    <row r="70" spans="3:45" hidden="1" outlineLevel="1">
      <c r="C70" s="810" t="s">
        <v>2</v>
      </c>
      <c r="D70" s="9"/>
      <c r="E70" s="20" t="s">
        <v>1364</v>
      </c>
      <c r="F70" s="20"/>
      <c r="G70" s="20"/>
      <c r="H70" s="20"/>
      <c r="I70" s="20"/>
      <c r="J70" s="20"/>
      <c r="K70" s="20"/>
      <c r="L70" s="20"/>
      <c r="M70" s="20"/>
      <c r="N70" s="20"/>
      <c r="O70" s="20"/>
      <c r="P70" s="20"/>
      <c r="Q70" s="20"/>
      <c r="R70" s="20"/>
      <c r="S70" s="20"/>
      <c r="T70" s="20"/>
      <c r="U70" s="20"/>
      <c r="V70" s="20"/>
      <c r="W70" s="20"/>
      <c r="X70" s="20"/>
      <c r="Y70" s="20"/>
      <c r="Z70" s="20"/>
      <c r="AA70" s="20"/>
      <c r="AB70" s="12"/>
      <c r="AC70" s="12"/>
      <c r="AD70" s="12">
        <v>41829621</v>
      </c>
      <c r="AE70" s="12">
        <v>41840738</v>
      </c>
      <c r="AF70" s="12">
        <f>44456228+250000</f>
        <v>44706228</v>
      </c>
      <c r="AG70" s="12">
        <v>44533180</v>
      </c>
      <c r="AH70" s="12">
        <v>33907698</v>
      </c>
      <c r="AI70" s="12">
        <v>34019124</v>
      </c>
      <c r="AJ70" s="376">
        <f>38694372+6047852</f>
        <v>44742224</v>
      </c>
      <c r="AK70" s="376">
        <f>38821823+6048562</f>
        <v>44870385</v>
      </c>
      <c r="AL70" s="376">
        <v>41164178</v>
      </c>
      <c r="AM70" s="376">
        <v>41308339</v>
      </c>
      <c r="AN70" s="807">
        <v>42058695</v>
      </c>
      <c r="AO70" s="807">
        <v>42172515</v>
      </c>
      <c r="AP70" s="807">
        <v>42981066</v>
      </c>
      <c r="AQ70" s="807">
        <v>42984147</v>
      </c>
      <c r="AR70" s="1044"/>
      <c r="AS70" s="1044"/>
    </row>
    <row r="71" spans="3:45" hidden="1" outlineLevel="1">
      <c r="C71" s="810" t="s">
        <v>2</v>
      </c>
      <c r="D71" s="9"/>
      <c r="E71" s="20" t="s">
        <v>1365</v>
      </c>
      <c r="F71" s="20"/>
      <c r="G71" s="20"/>
      <c r="H71" s="20"/>
      <c r="I71" s="20"/>
      <c r="J71" s="20"/>
      <c r="K71" s="20"/>
      <c r="L71" s="20"/>
      <c r="M71" s="20"/>
      <c r="N71" s="20"/>
      <c r="O71" s="20"/>
      <c r="P71" s="20"/>
      <c r="Q71" s="20"/>
      <c r="R71" s="20"/>
      <c r="S71" s="20"/>
      <c r="T71" s="20"/>
      <c r="U71" s="20"/>
      <c r="V71" s="20"/>
      <c r="W71" s="20"/>
      <c r="X71" s="20"/>
      <c r="Y71" s="20"/>
      <c r="Z71" s="20"/>
      <c r="AA71" s="20"/>
      <c r="AB71" s="12"/>
      <c r="AC71" s="12"/>
      <c r="AD71" s="12">
        <v>19739218</v>
      </c>
      <c r="AE71" s="12">
        <v>18636199</v>
      </c>
      <c r="AF71" s="12">
        <v>21612267</v>
      </c>
      <c r="AG71" s="12">
        <v>21613475</v>
      </c>
      <c r="AH71" s="12">
        <v>19874556</v>
      </c>
      <c r="AI71" s="12">
        <v>19912403</v>
      </c>
      <c r="AJ71" s="376">
        <f>20864814+3755137</f>
        <v>24619951</v>
      </c>
      <c r="AK71" s="376">
        <f>20911960+3754141</f>
        <v>24666101</v>
      </c>
      <c r="AL71" s="376">
        <v>21390642</v>
      </c>
      <c r="AM71" s="376">
        <v>21441629</v>
      </c>
      <c r="AN71" s="807">
        <v>19010853</v>
      </c>
      <c r="AO71" s="807">
        <v>19042164</v>
      </c>
      <c r="AP71" s="807">
        <v>20005847</v>
      </c>
      <c r="AQ71" s="807">
        <v>20006628</v>
      </c>
      <c r="AR71" s="1044"/>
      <c r="AS71" s="1044"/>
    </row>
    <row r="72" spans="3:45" hidden="1" outlineLevel="1">
      <c r="C72" s="810" t="s">
        <v>2</v>
      </c>
      <c r="D72" s="9"/>
      <c r="E72" s="20" t="s">
        <v>730</v>
      </c>
      <c r="F72" s="20"/>
      <c r="G72" s="20"/>
      <c r="H72" s="20"/>
      <c r="I72" s="20"/>
      <c r="J72" s="20"/>
      <c r="K72" s="20"/>
      <c r="L72" s="20"/>
      <c r="M72" s="20"/>
      <c r="N72" s="20"/>
      <c r="O72" s="20"/>
      <c r="P72" s="20"/>
      <c r="Q72" s="20"/>
      <c r="R72" s="20"/>
      <c r="S72" s="20"/>
      <c r="T72" s="20"/>
      <c r="U72" s="20"/>
      <c r="V72" s="20"/>
      <c r="W72" s="20"/>
      <c r="X72" s="20"/>
      <c r="Y72" s="20"/>
      <c r="Z72" s="20"/>
      <c r="AA72" s="20"/>
      <c r="AB72" s="12"/>
      <c r="AC72" s="12"/>
      <c r="AD72" s="12">
        <v>26687110</v>
      </c>
      <c r="AE72" s="12">
        <v>27041800</v>
      </c>
      <c r="AF72" s="12">
        <f>26833811+220000</f>
        <v>27053811</v>
      </c>
      <c r="AG72" s="12">
        <f>26890333</f>
        <v>26890333</v>
      </c>
      <c r="AH72" s="12">
        <v>24366738</v>
      </c>
      <c r="AI72" s="12">
        <v>24461716</v>
      </c>
      <c r="AJ72" s="21">
        <v>23760457</v>
      </c>
      <c r="AK72" s="21">
        <v>23849658</v>
      </c>
      <c r="AL72" s="21">
        <v>25304171</v>
      </c>
      <c r="AM72" s="21">
        <v>25418941</v>
      </c>
      <c r="AN72" s="1058">
        <v>29046001</v>
      </c>
      <c r="AO72" s="1058">
        <v>29121865</v>
      </c>
      <c r="AP72" s="1058">
        <v>27501468</v>
      </c>
      <c r="AQ72" s="1058">
        <v>27416325</v>
      </c>
      <c r="AR72" s="1044"/>
      <c r="AS72" s="1044"/>
    </row>
    <row r="73" spans="3:45" hidden="1" outlineLevel="1">
      <c r="C73" s="810" t="s">
        <v>2</v>
      </c>
      <c r="D73" s="9"/>
      <c r="E73" s="592" t="s">
        <v>1431</v>
      </c>
      <c r="F73" s="20"/>
      <c r="G73" s="20"/>
      <c r="H73" s="20"/>
      <c r="I73" s="20"/>
      <c r="J73" s="20"/>
      <c r="K73" s="20"/>
      <c r="L73" s="20"/>
      <c r="M73" s="20"/>
      <c r="N73" s="20"/>
      <c r="O73" s="20"/>
      <c r="P73" s="20"/>
      <c r="Q73" s="20"/>
      <c r="R73" s="20"/>
      <c r="S73" s="20"/>
      <c r="T73" s="20"/>
      <c r="U73" s="20"/>
      <c r="V73" s="20"/>
      <c r="W73" s="20"/>
      <c r="X73" s="20"/>
      <c r="Y73" s="20"/>
      <c r="Z73" s="20"/>
      <c r="AA73" s="20"/>
      <c r="AB73" s="12"/>
      <c r="AC73" s="12"/>
      <c r="AD73" s="12">
        <v>7553109</v>
      </c>
      <c r="AE73" s="12">
        <v>9662719</v>
      </c>
      <c r="AF73" s="12">
        <f>14003007+5000000</f>
        <v>19003007</v>
      </c>
      <c r="AG73" s="12">
        <v>15505467</v>
      </c>
      <c r="AH73" s="12">
        <v>3366113</v>
      </c>
      <c r="AI73" s="12">
        <v>3366113</v>
      </c>
      <c r="AJ73" s="21">
        <v>3366113</v>
      </c>
      <c r="AK73" s="21">
        <v>3366113</v>
      </c>
      <c r="AL73" s="21">
        <v>6554243</v>
      </c>
      <c r="AM73" s="21">
        <v>7306722</v>
      </c>
      <c r="AN73" s="1058">
        <v>6159752</v>
      </c>
      <c r="AO73" s="1058">
        <v>6158252</v>
      </c>
      <c r="AP73" s="1058">
        <v>6149199</v>
      </c>
      <c r="AQ73" s="1058">
        <v>6153846</v>
      </c>
      <c r="AR73" s="1044"/>
      <c r="AS73" s="1044"/>
    </row>
    <row r="74" spans="3:45" hidden="1" outlineLevel="1">
      <c r="C74" s="810" t="s">
        <v>2</v>
      </c>
      <c r="D74" s="9"/>
      <c r="E74" s="20" t="s">
        <v>731</v>
      </c>
      <c r="F74" s="20"/>
      <c r="G74" s="20"/>
      <c r="H74" s="20"/>
      <c r="I74" s="20"/>
      <c r="J74" s="20"/>
      <c r="K74" s="20"/>
      <c r="L74" s="20"/>
      <c r="M74" s="20"/>
      <c r="N74" s="20"/>
      <c r="O74" s="20"/>
      <c r="P74" s="20"/>
      <c r="Q74" s="20"/>
      <c r="R74" s="20"/>
      <c r="S74" s="20"/>
      <c r="T74" s="20"/>
      <c r="U74" s="20"/>
      <c r="V74" s="20"/>
      <c r="W74" s="20"/>
      <c r="X74" s="20"/>
      <c r="Y74" s="20"/>
      <c r="Z74" s="20"/>
      <c r="AA74" s="20"/>
      <c r="AB74" s="12"/>
      <c r="AC74" s="12"/>
      <c r="AD74" s="12">
        <v>156519728</v>
      </c>
      <c r="AE74" s="12">
        <v>156605959</v>
      </c>
      <c r="AF74" s="12">
        <f>159989520+2150000</f>
        <v>162139520</v>
      </c>
      <c r="AG74" s="12">
        <f>161148204</f>
        <v>161148204</v>
      </c>
      <c r="AH74" s="12">
        <v>147939996</v>
      </c>
      <c r="AI74" s="12">
        <v>148415355</v>
      </c>
      <c r="AJ74" s="21">
        <v>153984807</v>
      </c>
      <c r="AK74" s="21">
        <v>154822633</v>
      </c>
      <c r="AL74" s="21">
        <v>159294666</v>
      </c>
      <c r="AM74" s="21">
        <v>159911662</v>
      </c>
      <c r="AN74" s="1058">
        <v>166215386</v>
      </c>
      <c r="AO74" s="1058">
        <v>166667920</v>
      </c>
      <c r="AP74" s="1058">
        <v>177853961</v>
      </c>
      <c r="AQ74" s="1058">
        <v>177875157</v>
      </c>
      <c r="AR74" s="1044"/>
      <c r="AS74" s="1044"/>
    </row>
    <row r="75" spans="3:45" hidden="1" outlineLevel="1">
      <c r="C75" s="810" t="s">
        <v>2</v>
      </c>
      <c r="D75" s="9"/>
      <c r="E75" s="224" t="s">
        <v>1453</v>
      </c>
      <c r="F75" s="20"/>
      <c r="G75" s="20"/>
      <c r="H75" s="20"/>
      <c r="I75" s="20"/>
      <c r="J75" s="20"/>
      <c r="K75" s="20"/>
      <c r="L75" s="20"/>
      <c r="M75" s="20"/>
      <c r="N75" s="20"/>
      <c r="O75" s="20"/>
      <c r="P75" s="20"/>
      <c r="Q75" s="20"/>
      <c r="R75" s="20"/>
      <c r="S75" s="20"/>
      <c r="T75" s="20"/>
      <c r="U75" s="20"/>
      <c r="V75" s="20"/>
      <c r="W75" s="20"/>
      <c r="X75" s="20"/>
      <c r="Y75" s="20"/>
      <c r="Z75" s="20"/>
      <c r="AA75" s="20"/>
      <c r="AB75" s="12"/>
      <c r="AC75" s="12"/>
      <c r="AD75" s="12">
        <v>0</v>
      </c>
      <c r="AE75" s="12">
        <v>0</v>
      </c>
      <c r="AF75" s="12">
        <v>0</v>
      </c>
      <c r="AG75" s="12">
        <v>0</v>
      </c>
      <c r="AH75" s="12">
        <v>15232838</v>
      </c>
      <c r="AI75" s="12">
        <v>15245550</v>
      </c>
      <c r="AJ75" s="21">
        <v>16104836</v>
      </c>
      <c r="AK75" s="21">
        <v>16111717</v>
      </c>
      <c r="AL75" s="21">
        <v>16800148</v>
      </c>
      <c r="AM75" s="21">
        <v>16810765</v>
      </c>
      <c r="AN75" s="1058">
        <v>28337709</v>
      </c>
      <c r="AO75" s="1058">
        <v>28347884</v>
      </c>
      <c r="AP75" s="1058">
        <v>31439729</v>
      </c>
      <c r="AQ75" s="1058">
        <v>31431228</v>
      </c>
      <c r="AR75" s="1044"/>
      <c r="AS75" s="1044"/>
    </row>
    <row r="76" spans="3:45" hidden="1" outlineLevel="1">
      <c r="C76" s="810" t="s">
        <v>2</v>
      </c>
      <c r="D76" s="9"/>
      <c r="E76" s="20" t="s">
        <v>1426</v>
      </c>
      <c r="F76" s="20"/>
      <c r="G76" s="20"/>
      <c r="H76" s="20"/>
      <c r="I76" s="20"/>
      <c r="J76" s="20"/>
      <c r="K76" s="20"/>
      <c r="L76" s="20"/>
      <c r="M76" s="20"/>
      <c r="N76" s="20"/>
      <c r="O76" s="20"/>
      <c r="P76" s="20"/>
      <c r="Q76" s="20"/>
      <c r="R76" s="20"/>
      <c r="S76" s="20"/>
      <c r="T76" s="20"/>
      <c r="U76" s="20"/>
      <c r="V76" s="20"/>
      <c r="W76" s="20"/>
      <c r="X76" s="20"/>
      <c r="Y76" s="20"/>
      <c r="Z76" s="20"/>
      <c r="AA76" s="20"/>
      <c r="AB76" s="12"/>
      <c r="AC76" s="12"/>
      <c r="AD76" s="12">
        <v>60343974</v>
      </c>
      <c r="AE76" s="12">
        <v>60365387</v>
      </c>
      <c r="AF76" s="12">
        <v>61990019</v>
      </c>
      <c r="AG76" s="12">
        <v>62130674</v>
      </c>
      <c r="AH76" s="12">
        <v>54282906</v>
      </c>
      <c r="AI76" s="12">
        <v>54445768</v>
      </c>
      <c r="AJ76" s="21">
        <v>56791818</v>
      </c>
      <c r="AK76" s="21">
        <v>57051942</v>
      </c>
      <c r="AL76" s="21">
        <v>56304022</v>
      </c>
      <c r="AM76" s="21">
        <v>56521061</v>
      </c>
      <c r="AN76" s="1058">
        <v>56678614</v>
      </c>
      <c r="AO76" s="1058">
        <v>56827571</v>
      </c>
      <c r="AP76" s="1058">
        <v>55283926</v>
      </c>
      <c r="AQ76" s="1058">
        <v>54235335</v>
      </c>
      <c r="AR76" s="1044"/>
      <c r="AS76" s="1044"/>
    </row>
    <row r="77" spans="3:45" hidden="1" outlineLevel="1">
      <c r="C77" s="810" t="s">
        <v>2</v>
      </c>
      <c r="D77" s="9"/>
      <c r="E77" s="20" t="s">
        <v>733</v>
      </c>
      <c r="F77" s="20"/>
      <c r="G77" s="20"/>
      <c r="H77" s="20"/>
      <c r="I77" s="20"/>
      <c r="J77" s="20"/>
      <c r="K77" s="20"/>
      <c r="L77" s="20"/>
      <c r="M77" s="20"/>
      <c r="N77" s="20"/>
      <c r="O77" s="20"/>
      <c r="P77" s="20"/>
      <c r="Q77" s="20"/>
      <c r="R77" s="20"/>
      <c r="S77" s="20"/>
      <c r="T77" s="20"/>
      <c r="U77" s="20"/>
      <c r="V77" s="20"/>
      <c r="W77" s="20"/>
      <c r="X77" s="20"/>
      <c r="Y77" s="20"/>
      <c r="Z77" s="20"/>
      <c r="AA77" s="20"/>
      <c r="AB77" s="12"/>
      <c r="AC77" s="12"/>
      <c r="AD77" s="12">
        <v>90193668</v>
      </c>
      <c r="AE77" s="12">
        <v>84480816</v>
      </c>
      <c r="AF77" s="12">
        <v>76380851</v>
      </c>
      <c r="AG77" s="12">
        <v>76479106</v>
      </c>
      <c r="AH77" s="12">
        <v>75363476</v>
      </c>
      <c r="AI77" s="12">
        <v>75540397</v>
      </c>
      <c r="AJ77" s="21">
        <v>76623411</v>
      </c>
      <c r="AK77" s="21">
        <v>76393071</v>
      </c>
      <c r="AL77" s="21">
        <v>75770396</v>
      </c>
      <c r="AM77" s="21">
        <v>75601547</v>
      </c>
      <c r="AN77" s="1058">
        <v>79186040</v>
      </c>
      <c r="AO77" s="1058">
        <v>79363245</v>
      </c>
      <c r="AP77" s="1058">
        <v>81183055</v>
      </c>
      <c r="AQ77" s="1058">
        <v>81194100</v>
      </c>
      <c r="AR77" s="1044"/>
      <c r="AS77" s="1044"/>
    </row>
    <row r="78" spans="3:45" hidden="1" outlineLevel="1">
      <c r="C78" s="810" t="s">
        <v>2</v>
      </c>
      <c r="D78" s="9"/>
      <c r="E78" s="592" t="s">
        <v>1432</v>
      </c>
      <c r="F78" s="20"/>
      <c r="G78" s="20"/>
      <c r="H78" s="20"/>
      <c r="I78" s="20"/>
      <c r="J78" s="20"/>
      <c r="K78" s="20"/>
      <c r="L78" s="20"/>
      <c r="M78" s="20"/>
      <c r="N78" s="20"/>
      <c r="O78" s="20"/>
      <c r="P78" s="20"/>
      <c r="Q78" s="20"/>
      <c r="R78" s="20"/>
      <c r="S78" s="20"/>
      <c r="T78" s="20"/>
      <c r="U78" s="20"/>
      <c r="V78" s="20"/>
      <c r="W78" s="20"/>
      <c r="X78" s="20"/>
      <c r="Y78" s="20"/>
      <c r="Z78" s="20"/>
      <c r="AA78" s="20"/>
      <c r="AB78" s="12"/>
      <c r="AC78" s="12"/>
      <c r="AD78" s="12">
        <v>415047</v>
      </c>
      <c r="AE78" s="12">
        <v>415047</v>
      </c>
      <c r="AF78" s="12">
        <v>2000000</v>
      </c>
      <c r="AG78" s="12">
        <v>2000000</v>
      </c>
      <c r="AH78" s="12">
        <v>1425000</v>
      </c>
      <c r="AI78" s="12">
        <v>1425000</v>
      </c>
      <c r="AJ78" s="21">
        <v>1425000</v>
      </c>
      <c r="AK78" s="21">
        <v>1425000</v>
      </c>
      <c r="AL78" s="21">
        <v>1425000</v>
      </c>
      <c r="AM78" s="21">
        <v>1425000</v>
      </c>
      <c r="AN78" s="1058">
        <v>1368000</v>
      </c>
      <c r="AO78" s="1058">
        <v>1368000</v>
      </c>
      <c r="AP78" s="1058">
        <v>1368000</v>
      </c>
      <c r="AQ78" s="1058">
        <v>1368000</v>
      </c>
      <c r="AR78" s="1044"/>
      <c r="AS78" s="1044"/>
    </row>
    <row r="79" spans="3:45" hidden="1" outlineLevel="1">
      <c r="C79" s="810" t="s">
        <v>2</v>
      </c>
      <c r="D79" s="9"/>
      <c r="E79" s="20" t="s">
        <v>735</v>
      </c>
      <c r="F79" s="20"/>
      <c r="G79" s="20"/>
      <c r="H79" s="20"/>
      <c r="I79" s="20"/>
      <c r="J79" s="20"/>
      <c r="K79" s="20"/>
      <c r="L79" s="20"/>
      <c r="M79" s="20"/>
      <c r="N79" s="20"/>
      <c r="O79" s="20"/>
      <c r="P79" s="20"/>
      <c r="Q79" s="20"/>
      <c r="R79" s="20"/>
      <c r="S79" s="20"/>
      <c r="T79" s="20"/>
      <c r="U79" s="20"/>
      <c r="V79" s="20"/>
      <c r="W79" s="20"/>
      <c r="X79" s="20"/>
      <c r="Y79" s="20"/>
      <c r="Z79" s="20"/>
      <c r="AA79" s="20"/>
      <c r="AB79" s="12"/>
      <c r="AC79" s="12"/>
      <c r="AD79" s="12">
        <v>187297536</v>
      </c>
      <c r="AE79" s="12">
        <v>182161362</v>
      </c>
      <c r="AF79" s="12">
        <f>188153297+4000000</f>
        <v>192153297</v>
      </c>
      <c r="AG79" s="12">
        <v>188480338</v>
      </c>
      <c r="AH79" s="12">
        <v>178276038</v>
      </c>
      <c r="AI79" s="12">
        <v>178780305</v>
      </c>
      <c r="AJ79" s="21">
        <v>200226140</v>
      </c>
      <c r="AK79" s="21">
        <v>200757083</v>
      </c>
      <c r="AL79" s="21">
        <v>210958531</v>
      </c>
      <c r="AM79" s="21">
        <v>211544442</v>
      </c>
      <c r="AN79" s="1058">
        <v>216044447</v>
      </c>
      <c r="AO79" s="1058">
        <v>219559534</v>
      </c>
      <c r="AP79" s="1058">
        <v>228055659</v>
      </c>
      <c r="AQ79" s="1058">
        <v>230420759</v>
      </c>
      <c r="AR79" s="1044"/>
      <c r="AS79" s="1044"/>
    </row>
    <row r="80" spans="3:45" hidden="1" outlineLevel="1">
      <c r="C80" s="810" t="s">
        <v>2</v>
      </c>
      <c r="D80" s="9"/>
      <c r="E80" s="20" t="s">
        <v>855</v>
      </c>
      <c r="F80" s="20"/>
      <c r="G80" s="20"/>
      <c r="H80" s="20"/>
      <c r="I80" s="20"/>
      <c r="J80" s="20"/>
      <c r="K80" s="20"/>
      <c r="L80" s="20"/>
      <c r="M80" s="20"/>
      <c r="N80" s="20"/>
      <c r="O80" s="20"/>
      <c r="P80" s="20"/>
      <c r="Q80" s="20"/>
      <c r="R80" s="20"/>
      <c r="S80" s="20"/>
      <c r="T80" s="20"/>
      <c r="U80" s="20"/>
      <c r="V80" s="20"/>
      <c r="W80" s="20"/>
      <c r="X80" s="20"/>
      <c r="Y80" s="20"/>
      <c r="Z80" s="20"/>
      <c r="AA80" s="20"/>
      <c r="AB80" s="12"/>
      <c r="AC80" s="12"/>
      <c r="AD80" s="12">
        <v>32997017</v>
      </c>
      <c r="AE80" s="12">
        <v>32951264</v>
      </c>
      <c r="AF80" s="12">
        <f>33920006+2000000</f>
        <v>35920006</v>
      </c>
      <c r="AG80" s="12">
        <v>34008533</v>
      </c>
      <c r="AH80" s="12">
        <v>32008480</v>
      </c>
      <c r="AI80" s="12">
        <v>32045386</v>
      </c>
      <c r="AJ80" s="21">
        <v>35991112</v>
      </c>
      <c r="AK80" s="21">
        <v>34863563</v>
      </c>
      <c r="AL80" s="21">
        <v>34550301</v>
      </c>
      <c r="AM80" s="21">
        <v>34669514</v>
      </c>
      <c r="AN80" s="1058">
        <v>40715046</v>
      </c>
      <c r="AO80" s="1058">
        <v>39312879</v>
      </c>
      <c r="AP80" s="1058">
        <v>41195601</v>
      </c>
      <c r="AQ80" s="1058">
        <v>41178718</v>
      </c>
      <c r="AR80" s="1044"/>
      <c r="AS80" s="1044"/>
    </row>
    <row r="81" spans="2:45" hidden="1" outlineLevel="1">
      <c r="C81" s="810" t="s">
        <v>2</v>
      </c>
      <c r="D81" s="9"/>
      <c r="E81" s="20" t="s">
        <v>737</v>
      </c>
      <c r="F81" s="20"/>
      <c r="G81" s="20"/>
      <c r="H81" s="20"/>
      <c r="I81" s="20"/>
      <c r="J81" s="20"/>
      <c r="K81" s="20"/>
      <c r="L81" s="20"/>
      <c r="M81" s="20"/>
      <c r="N81" s="20"/>
      <c r="O81" s="20"/>
      <c r="P81" s="20"/>
      <c r="Q81" s="20"/>
      <c r="R81" s="20"/>
      <c r="S81" s="20"/>
      <c r="T81" s="20"/>
      <c r="U81" s="20"/>
      <c r="V81" s="20"/>
      <c r="W81" s="20"/>
      <c r="X81" s="20"/>
      <c r="Y81" s="20"/>
      <c r="Z81" s="20"/>
      <c r="AA81" s="20"/>
      <c r="AB81" s="12"/>
      <c r="AC81" s="12"/>
      <c r="AD81" s="12">
        <v>75606036</v>
      </c>
      <c r="AE81" s="12">
        <v>75574490</v>
      </c>
      <c r="AF81" s="12">
        <v>75257054</v>
      </c>
      <c r="AG81" s="12">
        <v>75396801</v>
      </c>
      <c r="AH81" s="12">
        <v>67471535</v>
      </c>
      <c r="AI81" s="12">
        <v>67669388</v>
      </c>
      <c r="AJ81" s="21">
        <v>70614896</v>
      </c>
      <c r="AK81" s="21">
        <v>70827603</v>
      </c>
      <c r="AL81" s="21">
        <v>72410961</v>
      </c>
      <c r="AM81" s="21">
        <v>72645826</v>
      </c>
      <c r="AN81" s="1058">
        <v>77098328</v>
      </c>
      <c r="AO81" s="1058">
        <v>77261548</v>
      </c>
      <c r="AP81" s="1058">
        <v>81849901</v>
      </c>
      <c r="AQ81" s="1058">
        <v>81844703</v>
      </c>
      <c r="AR81" s="1044"/>
      <c r="AS81" s="1044"/>
    </row>
    <row r="82" spans="2:45" hidden="1" outlineLevel="1">
      <c r="C82" s="810" t="s">
        <v>2</v>
      </c>
      <c r="D82" s="9"/>
      <c r="E82" s="592" t="s">
        <v>60</v>
      </c>
      <c r="F82" s="20"/>
      <c r="G82" s="20"/>
      <c r="H82" s="20"/>
      <c r="I82" s="20"/>
      <c r="J82" s="20"/>
      <c r="K82" s="20"/>
      <c r="L82" s="20"/>
      <c r="M82" s="20"/>
      <c r="N82" s="20"/>
      <c r="O82" s="20"/>
      <c r="P82" s="20"/>
      <c r="Q82" s="20"/>
      <c r="R82" s="20"/>
      <c r="S82" s="20"/>
      <c r="T82" s="20"/>
      <c r="U82" s="20"/>
      <c r="V82" s="20"/>
      <c r="W82" s="20"/>
      <c r="X82" s="20"/>
      <c r="Y82" s="20"/>
      <c r="Z82" s="20"/>
      <c r="AA82" s="20"/>
      <c r="AB82" s="12"/>
      <c r="AC82" s="12"/>
      <c r="AD82" s="12">
        <v>1279248</v>
      </c>
      <c r="AE82" s="12">
        <v>1138248</v>
      </c>
      <c r="AF82" s="12">
        <v>1140248</v>
      </c>
      <c r="AG82" s="12">
        <v>1138248</v>
      </c>
      <c r="AH82" s="12">
        <v>3025000</v>
      </c>
      <c r="AI82" s="12">
        <v>1425000</v>
      </c>
      <c r="AJ82" s="21">
        <v>1425000</v>
      </c>
      <c r="AK82" s="21">
        <v>1425000</v>
      </c>
      <c r="AL82" s="21">
        <v>1425000</v>
      </c>
      <c r="AM82" s="21">
        <v>1425000</v>
      </c>
      <c r="AN82" s="1058">
        <v>1368000</v>
      </c>
      <c r="AO82" s="1058">
        <v>1368000</v>
      </c>
      <c r="AP82" s="1058">
        <v>1368000</v>
      </c>
      <c r="AQ82" s="1058">
        <v>1368000</v>
      </c>
      <c r="AR82" s="1044"/>
      <c r="AS82" s="1044"/>
    </row>
    <row r="83" spans="2:45" hidden="1" outlineLevel="1">
      <c r="C83" s="810" t="s">
        <v>2</v>
      </c>
      <c r="D83" s="9"/>
      <c r="E83" s="20" t="s">
        <v>738</v>
      </c>
      <c r="F83" s="20"/>
      <c r="G83" s="20"/>
      <c r="H83" s="20"/>
      <c r="I83" s="20"/>
      <c r="J83" s="20"/>
      <c r="K83" s="20"/>
      <c r="L83" s="20"/>
      <c r="M83" s="20"/>
      <c r="N83" s="20"/>
      <c r="O83" s="20"/>
      <c r="P83" s="20"/>
      <c r="Q83" s="20"/>
      <c r="R83" s="20"/>
      <c r="S83" s="20"/>
      <c r="T83" s="20"/>
      <c r="U83" s="20"/>
      <c r="V83" s="20"/>
      <c r="W83" s="20"/>
      <c r="X83" s="20"/>
      <c r="Y83" s="20"/>
      <c r="Z83" s="20"/>
      <c r="AA83" s="20"/>
      <c r="AB83" s="12"/>
      <c r="AC83" s="12"/>
      <c r="AD83" s="12">
        <v>46853575</v>
      </c>
      <c r="AE83" s="12">
        <v>46864344</v>
      </c>
      <c r="AF83" s="12">
        <f>59284320+2500000</f>
        <v>61784320</v>
      </c>
      <c r="AG83" s="12">
        <v>59269194</v>
      </c>
      <c r="AH83" s="12">
        <v>55908637</v>
      </c>
      <c r="AI83" s="12">
        <v>56018268</v>
      </c>
      <c r="AJ83" s="21">
        <v>56196198</v>
      </c>
      <c r="AK83" s="21">
        <v>56391181</v>
      </c>
      <c r="AL83" s="21">
        <v>66095210</v>
      </c>
      <c r="AM83" s="21">
        <v>66549343</v>
      </c>
      <c r="AN83" s="1058">
        <v>68404726</v>
      </c>
      <c r="AO83" s="1058">
        <v>68057073</v>
      </c>
      <c r="AP83" s="1058">
        <v>67643344</v>
      </c>
      <c r="AQ83" s="1058">
        <v>67594103</v>
      </c>
      <c r="AR83" s="1044"/>
      <c r="AS83" s="1044"/>
    </row>
    <row r="84" spans="2:45" hidden="1" outlineLevel="1">
      <c r="C84" s="810" t="s">
        <v>2</v>
      </c>
      <c r="D84" s="9"/>
      <c r="E84" s="20" t="s">
        <v>1446</v>
      </c>
      <c r="F84" s="20"/>
      <c r="G84" s="20"/>
      <c r="H84" s="20"/>
      <c r="I84" s="20"/>
      <c r="J84" s="20"/>
      <c r="K84" s="20"/>
      <c r="L84" s="20"/>
      <c r="M84" s="20"/>
      <c r="N84" s="20"/>
      <c r="O84" s="20"/>
      <c r="P84" s="20"/>
      <c r="Q84" s="20"/>
      <c r="R84" s="20"/>
      <c r="S84" s="20"/>
      <c r="T84" s="20"/>
      <c r="U84" s="20"/>
      <c r="V84" s="20"/>
      <c r="W84" s="20"/>
      <c r="X84" s="20"/>
      <c r="Y84" s="20"/>
      <c r="Z84" s="20"/>
      <c r="AA84" s="20"/>
      <c r="AB84" s="12"/>
      <c r="AC84" s="12"/>
      <c r="AD84" s="12">
        <v>11088411</v>
      </c>
      <c r="AE84" s="12">
        <v>11085587</v>
      </c>
      <c r="AF84" s="12">
        <v>12861571</v>
      </c>
      <c r="AG84" s="12">
        <v>12859260</v>
      </c>
      <c r="AH84" s="12">
        <v>16850485</v>
      </c>
      <c r="AI84" s="12">
        <v>11858505</v>
      </c>
      <c r="AJ84" s="21">
        <v>11433791</v>
      </c>
      <c r="AK84" s="21">
        <v>11454952</v>
      </c>
      <c r="AL84" s="21">
        <v>11877293</v>
      </c>
      <c r="AM84" s="21">
        <v>11898299</v>
      </c>
      <c r="AN84" s="1058">
        <v>12332844</v>
      </c>
      <c r="AO84" s="1058">
        <v>12194769</v>
      </c>
      <c r="AP84" s="1058">
        <v>16828086</v>
      </c>
      <c r="AQ84" s="1058">
        <v>16814503</v>
      </c>
      <c r="AR84" s="1044"/>
      <c r="AS84" s="1044"/>
    </row>
    <row r="85" spans="2:45" hidden="1" outlineLevel="1">
      <c r="C85" s="810" t="s">
        <v>2</v>
      </c>
      <c r="D85" s="9"/>
      <c r="E85" s="20" t="s">
        <v>1447</v>
      </c>
      <c r="F85" s="20"/>
      <c r="G85" s="20"/>
      <c r="H85" s="20"/>
      <c r="I85" s="20"/>
      <c r="J85" s="20"/>
      <c r="K85" s="20"/>
      <c r="L85" s="20"/>
      <c r="M85" s="20"/>
      <c r="N85" s="20"/>
      <c r="O85" s="20"/>
      <c r="P85" s="20"/>
      <c r="Q85" s="20"/>
      <c r="R85" s="20"/>
      <c r="S85" s="20"/>
      <c r="T85" s="20"/>
      <c r="U85" s="20"/>
      <c r="V85" s="20"/>
      <c r="W85" s="20"/>
      <c r="X85" s="20"/>
      <c r="Y85" s="20"/>
      <c r="Z85" s="20"/>
      <c r="AA85" s="20"/>
      <c r="AB85" s="12"/>
      <c r="AC85" s="12"/>
      <c r="AD85" s="12">
        <v>9033693</v>
      </c>
      <c r="AE85" s="12">
        <v>9043096</v>
      </c>
      <c r="AF85" s="12">
        <v>9243483</v>
      </c>
      <c r="AG85" s="12">
        <v>9247357</v>
      </c>
      <c r="AH85" s="12">
        <v>9528137</v>
      </c>
      <c r="AI85" s="12">
        <v>9636632</v>
      </c>
      <c r="AJ85" s="21">
        <v>9436971</v>
      </c>
      <c r="AK85" s="21">
        <v>9497041</v>
      </c>
      <c r="AL85" s="21">
        <v>9970144</v>
      </c>
      <c r="AM85" s="21">
        <v>9981421</v>
      </c>
      <c r="AN85" s="1058">
        <v>10437981</v>
      </c>
      <c r="AO85" s="1058">
        <v>10209008</v>
      </c>
      <c r="AP85" s="1058">
        <v>12479456</v>
      </c>
      <c r="AQ85" s="1058">
        <v>12475242</v>
      </c>
      <c r="AR85" s="1044"/>
      <c r="AS85" s="1044"/>
    </row>
    <row r="86" spans="2:45" hidden="1" outlineLevel="1">
      <c r="C86" s="810" t="s">
        <v>2</v>
      </c>
      <c r="D86" s="9"/>
      <c r="E86" s="20" t="s">
        <v>1448</v>
      </c>
      <c r="F86" s="20"/>
      <c r="G86" s="20"/>
      <c r="H86" s="20"/>
      <c r="I86" s="20"/>
      <c r="J86" s="20"/>
      <c r="K86" s="20"/>
      <c r="L86" s="20"/>
      <c r="M86" s="20"/>
      <c r="N86" s="20"/>
      <c r="O86" s="20"/>
      <c r="P86" s="20"/>
      <c r="Q86" s="20"/>
      <c r="R86" s="20"/>
      <c r="S86" s="20"/>
      <c r="T86" s="20"/>
      <c r="U86" s="20"/>
      <c r="V86" s="20"/>
      <c r="W86" s="20"/>
      <c r="X86" s="20"/>
      <c r="Y86" s="20"/>
      <c r="Z86" s="20"/>
      <c r="AA86" s="20"/>
      <c r="AB86" s="12"/>
      <c r="AC86" s="12"/>
      <c r="AD86" s="12">
        <v>10241921</v>
      </c>
      <c r="AE86" s="12">
        <v>10694103</v>
      </c>
      <c r="AF86" s="12">
        <f>11258018+500000</f>
        <v>11758018</v>
      </c>
      <c r="AG86" s="12">
        <v>11707842</v>
      </c>
      <c r="AH86" s="12">
        <v>11064644</v>
      </c>
      <c r="AI86" s="12">
        <v>11055065</v>
      </c>
      <c r="AJ86" s="21">
        <v>13528997</v>
      </c>
      <c r="AK86" s="21">
        <v>13543481</v>
      </c>
      <c r="AL86" s="21">
        <v>10848240</v>
      </c>
      <c r="AM86" s="21">
        <v>10851732</v>
      </c>
      <c r="AN86" s="1058">
        <v>11346909</v>
      </c>
      <c r="AO86" s="1058">
        <v>11153709</v>
      </c>
      <c r="AP86" s="1058">
        <v>15235409</v>
      </c>
      <c r="AQ86" s="1058">
        <v>15218444</v>
      </c>
      <c r="AR86" s="1044"/>
      <c r="AS86" s="1044"/>
    </row>
    <row r="87" spans="2:45" hidden="1" outlineLevel="1">
      <c r="C87" s="810" t="s">
        <v>2</v>
      </c>
      <c r="D87" s="9"/>
      <c r="E87" s="20" t="s">
        <v>1367</v>
      </c>
      <c r="F87" s="20"/>
      <c r="G87" s="20"/>
      <c r="H87" s="20"/>
      <c r="I87" s="20"/>
      <c r="J87" s="20"/>
      <c r="K87" s="20"/>
      <c r="L87" s="20"/>
      <c r="M87" s="20"/>
      <c r="N87" s="20"/>
      <c r="O87" s="20"/>
      <c r="P87" s="20"/>
      <c r="Q87" s="20"/>
      <c r="R87" s="20"/>
      <c r="S87" s="20"/>
      <c r="T87" s="20"/>
      <c r="U87" s="20"/>
      <c r="V87" s="20"/>
      <c r="W87" s="20"/>
      <c r="X87" s="20"/>
      <c r="Y87" s="20"/>
      <c r="Z87" s="20"/>
      <c r="AA87" s="20"/>
      <c r="AB87" s="12"/>
      <c r="AC87" s="12"/>
      <c r="AD87" s="12">
        <v>80394366</v>
      </c>
      <c r="AE87" s="12">
        <v>76062428</v>
      </c>
      <c r="AF87" s="12">
        <f>82482440+4000000</f>
        <v>86482440</v>
      </c>
      <c r="AG87" s="12">
        <v>80063467</v>
      </c>
      <c r="AH87" s="12">
        <v>72568313</v>
      </c>
      <c r="AI87" s="12">
        <v>72770560</v>
      </c>
      <c r="AJ87" s="21">
        <v>79351968</v>
      </c>
      <c r="AK87" s="21">
        <v>77466960</v>
      </c>
      <c r="AL87" s="21">
        <v>86614524</v>
      </c>
      <c r="AM87" s="21">
        <v>85493273</v>
      </c>
      <c r="AN87" s="1058">
        <v>87918586</v>
      </c>
      <c r="AO87" s="1058">
        <v>87708203</v>
      </c>
      <c r="AP87" s="1058">
        <v>92810948</v>
      </c>
      <c r="AQ87" s="1058">
        <v>90372263</v>
      </c>
      <c r="AR87" s="1044"/>
      <c r="AS87" s="1044"/>
    </row>
    <row r="88" spans="2:45" hidden="1" outlineLevel="1">
      <c r="C88" s="810" t="s">
        <v>2</v>
      </c>
      <c r="D88" s="9"/>
      <c r="E88" s="224" t="s">
        <v>1094</v>
      </c>
      <c r="F88" s="20"/>
      <c r="G88" s="20"/>
      <c r="H88" s="20"/>
      <c r="I88" s="20"/>
      <c r="J88" s="20"/>
      <c r="K88" s="20"/>
      <c r="L88" s="20"/>
      <c r="M88" s="20"/>
      <c r="N88" s="20"/>
      <c r="O88" s="20"/>
      <c r="P88" s="20"/>
      <c r="Q88" s="20"/>
      <c r="R88" s="20"/>
      <c r="S88" s="20"/>
      <c r="T88" s="20"/>
      <c r="U88" s="20"/>
      <c r="V88" s="20"/>
      <c r="W88" s="20"/>
      <c r="X88" s="20"/>
      <c r="Y88" s="20"/>
      <c r="Z88" s="20"/>
      <c r="AA88" s="20"/>
      <c r="AB88" s="12"/>
      <c r="AC88" s="12"/>
      <c r="AD88" s="12">
        <v>127405955</v>
      </c>
      <c r="AE88" s="12">
        <v>124287133</v>
      </c>
      <c r="AF88" s="12">
        <f>131943881+1000000</f>
        <v>132943881</v>
      </c>
      <c r="AG88" s="12">
        <v>132217629</v>
      </c>
      <c r="AH88" s="12">
        <v>127081274</v>
      </c>
      <c r="AI88" s="12">
        <v>127411370</v>
      </c>
      <c r="AJ88" s="21">
        <v>138283446</v>
      </c>
      <c r="AK88" s="21">
        <v>138228209</v>
      </c>
      <c r="AL88" s="21">
        <v>149774970</v>
      </c>
      <c r="AM88" s="21">
        <v>150343981</v>
      </c>
      <c r="AN88" s="1058">
        <v>161545759</v>
      </c>
      <c r="AO88" s="1058">
        <v>160524573</v>
      </c>
      <c r="AP88" s="1058">
        <v>170343864</v>
      </c>
      <c r="AQ88" s="1058">
        <v>169757858</v>
      </c>
      <c r="AR88" s="1044"/>
      <c r="AS88" s="1044"/>
    </row>
    <row r="89" spans="2:45" hidden="1" outlineLevel="1">
      <c r="C89" s="810" t="s">
        <v>2</v>
      </c>
      <c r="D89" s="9"/>
      <c r="E89" s="20" t="s">
        <v>859</v>
      </c>
      <c r="F89" s="20"/>
      <c r="G89" s="20"/>
      <c r="H89" s="20"/>
      <c r="I89" s="20"/>
      <c r="J89" s="20"/>
      <c r="K89" s="20"/>
      <c r="L89" s="20"/>
      <c r="M89" s="20"/>
      <c r="N89" s="20"/>
      <c r="O89" s="20"/>
      <c r="P89" s="20"/>
      <c r="Q89" s="20"/>
      <c r="R89" s="20"/>
      <c r="S89" s="20"/>
      <c r="T89" s="20"/>
      <c r="U89" s="20"/>
      <c r="V89" s="20"/>
      <c r="W89" s="20"/>
      <c r="X89" s="20"/>
      <c r="Y89" s="20"/>
      <c r="Z89" s="20"/>
      <c r="AA89" s="20"/>
      <c r="AB89" s="12"/>
      <c r="AC89" s="12"/>
      <c r="AD89" s="12">
        <v>17668105</v>
      </c>
      <c r="AE89" s="12">
        <v>17637415</v>
      </c>
      <c r="AF89" s="12">
        <v>17613202</v>
      </c>
      <c r="AG89" s="12">
        <v>17640758</v>
      </c>
      <c r="AH89" s="12">
        <v>22415279</v>
      </c>
      <c r="AI89" s="12">
        <v>15388741</v>
      </c>
      <c r="AJ89" s="21">
        <v>15001193</v>
      </c>
      <c r="AK89" s="21">
        <v>14809257</v>
      </c>
      <c r="AL89" s="21">
        <v>14891340</v>
      </c>
      <c r="AM89" s="21">
        <v>14921093</v>
      </c>
      <c r="AN89" s="1058">
        <v>14565977</v>
      </c>
      <c r="AO89" s="1058">
        <v>13393702</v>
      </c>
      <c r="AP89" s="1058">
        <v>13344803</v>
      </c>
      <c r="AQ89" s="1058">
        <v>13307858</v>
      </c>
      <c r="AR89" s="1044"/>
      <c r="AS89" s="1044"/>
    </row>
    <row r="90" spans="2:45" hidden="1" outlineLevel="1">
      <c r="C90" s="810" t="s">
        <v>2</v>
      </c>
      <c r="D90" s="9"/>
      <c r="E90" s="20" t="s">
        <v>1427</v>
      </c>
      <c r="F90" s="20"/>
      <c r="G90" s="20"/>
      <c r="H90" s="20"/>
      <c r="I90" s="20"/>
      <c r="J90" s="20"/>
      <c r="K90" s="20"/>
      <c r="L90" s="20"/>
      <c r="M90" s="20"/>
      <c r="N90" s="20"/>
      <c r="O90" s="20"/>
      <c r="P90" s="20"/>
      <c r="Q90" s="20"/>
      <c r="R90" s="20"/>
      <c r="S90" s="20"/>
      <c r="T90" s="20"/>
      <c r="U90" s="20"/>
      <c r="V90" s="20"/>
      <c r="W90" s="20"/>
      <c r="X90" s="20"/>
      <c r="Y90" s="20"/>
      <c r="Z90" s="20"/>
      <c r="AA90" s="20"/>
      <c r="AB90" s="12"/>
      <c r="AC90" s="12"/>
      <c r="AD90" s="12">
        <v>6347999</v>
      </c>
      <c r="AE90" s="12">
        <v>6348602</v>
      </c>
      <c r="AF90" s="12">
        <v>6721151</v>
      </c>
      <c r="AG90" s="12">
        <v>6723775</v>
      </c>
      <c r="AH90" s="12">
        <v>6061669</v>
      </c>
      <c r="AI90" s="12">
        <v>6065714</v>
      </c>
      <c r="AJ90" s="21">
        <v>6045468</v>
      </c>
      <c r="AK90" s="21">
        <v>6049387</v>
      </c>
      <c r="AL90" s="21">
        <v>5952006</v>
      </c>
      <c r="AM90" s="21">
        <v>5955794</v>
      </c>
      <c r="AN90" s="1058">
        <v>5634260</v>
      </c>
      <c r="AO90" s="1058">
        <v>5638268</v>
      </c>
      <c r="AP90" s="1058">
        <v>5843876</v>
      </c>
      <c r="AQ90" s="1058">
        <v>5843915</v>
      </c>
      <c r="AR90" s="1044"/>
      <c r="AS90" s="1044"/>
    </row>
    <row r="91" spans="2:45" hidden="1" outlineLevel="1">
      <c r="C91" s="810" t="s">
        <v>2</v>
      </c>
      <c r="D91" s="9"/>
      <c r="E91" s="616" t="s">
        <v>1844</v>
      </c>
      <c r="F91" s="20"/>
      <c r="G91" s="20"/>
      <c r="H91" s="20"/>
      <c r="I91" s="20"/>
      <c r="J91" s="20"/>
      <c r="K91" s="20"/>
      <c r="L91" s="20"/>
      <c r="M91" s="20"/>
      <c r="N91" s="20"/>
      <c r="O91" s="20"/>
      <c r="P91" s="20"/>
      <c r="Q91" s="20"/>
      <c r="R91" s="20"/>
      <c r="S91" s="20"/>
      <c r="T91" s="20"/>
      <c r="U91" s="20"/>
      <c r="V91" s="20"/>
      <c r="W91" s="20"/>
      <c r="X91" s="20"/>
      <c r="Y91" s="20"/>
      <c r="Z91" s="20"/>
      <c r="AA91" s="20"/>
      <c r="AB91" s="12"/>
      <c r="AC91" s="12"/>
      <c r="AD91" s="12">
        <v>171798762</v>
      </c>
      <c r="AE91" s="12">
        <v>153920914</v>
      </c>
      <c r="AF91" s="12">
        <f>166972908+8000000</f>
        <v>174972908</v>
      </c>
      <c r="AG91" s="12">
        <f>167427048+8000000</f>
        <v>175427048</v>
      </c>
      <c r="AH91" s="12">
        <v>145410150</v>
      </c>
      <c r="AI91" s="12">
        <v>132874361</v>
      </c>
      <c r="AJ91" s="21">
        <v>151456550</v>
      </c>
      <c r="AK91" s="21">
        <v>151510917</v>
      </c>
      <c r="AL91" s="21">
        <v>166199212</v>
      </c>
      <c r="AM91" s="21">
        <v>166254188</v>
      </c>
      <c r="AN91" s="1058">
        <v>172272822</v>
      </c>
      <c r="AO91" s="1058">
        <v>172304908</v>
      </c>
      <c r="AP91" s="1058">
        <v>183347116</v>
      </c>
      <c r="AQ91" s="1058">
        <v>183347816</v>
      </c>
      <c r="AR91" s="1044"/>
      <c r="AS91" s="1044"/>
    </row>
    <row r="92" spans="2:45" hidden="1" outlineLevel="1">
      <c r="C92" s="810" t="s">
        <v>2</v>
      </c>
      <c r="D92" s="9"/>
      <c r="E92" s="593" t="s">
        <v>1434</v>
      </c>
      <c r="F92" s="20"/>
      <c r="G92" s="20"/>
      <c r="H92" s="20"/>
      <c r="I92" s="20"/>
      <c r="J92" s="20"/>
      <c r="K92" s="20"/>
      <c r="L92" s="20"/>
      <c r="M92" s="20"/>
      <c r="N92" s="20"/>
      <c r="O92" s="20"/>
      <c r="P92" s="20"/>
      <c r="Q92" s="20"/>
      <c r="R92" s="20"/>
      <c r="S92" s="20"/>
      <c r="T92" s="20"/>
      <c r="U92" s="20"/>
      <c r="V92" s="20"/>
      <c r="W92" s="20"/>
      <c r="X92" s="20"/>
      <c r="Y92" s="20"/>
      <c r="Z92" s="20"/>
      <c r="AA92" s="20"/>
      <c r="AB92" s="12"/>
      <c r="AC92" s="12"/>
      <c r="AD92" s="12">
        <v>572938646</v>
      </c>
      <c r="AE92" s="12">
        <v>574077872</v>
      </c>
      <c r="AF92" s="12">
        <v>573995255</v>
      </c>
      <c r="AG92" s="12">
        <v>489360243</v>
      </c>
      <c r="AH92" s="12">
        <v>609792774</v>
      </c>
      <c r="AI92" s="12">
        <v>604753265</v>
      </c>
      <c r="AJ92" s="21">
        <v>274833134</v>
      </c>
      <c r="AK92" s="21">
        <v>270771744</v>
      </c>
      <c r="AL92" s="21">
        <v>279578994</v>
      </c>
      <c r="AM92" s="21">
        <v>279721956</v>
      </c>
      <c r="AN92" s="1058">
        <v>280177673</v>
      </c>
      <c r="AO92" s="1058">
        <v>280312482</v>
      </c>
      <c r="AP92" s="1058">
        <v>285006028</v>
      </c>
      <c r="AQ92" s="1058">
        <v>285005528</v>
      </c>
      <c r="AR92" s="1044"/>
      <c r="AS92" s="1044"/>
    </row>
    <row r="93" spans="2:45" hidden="1" outlineLevel="1">
      <c r="C93" s="810" t="s">
        <v>2</v>
      </c>
      <c r="D93" s="9"/>
      <c r="E93" s="593" t="s">
        <v>1435</v>
      </c>
      <c r="F93" s="20"/>
      <c r="G93" s="20"/>
      <c r="H93" s="20"/>
      <c r="I93" s="20"/>
      <c r="J93" s="20"/>
      <c r="K93" s="20"/>
      <c r="L93" s="20"/>
      <c r="M93" s="20"/>
      <c r="N93" s="20"/>
      <c r="O93" s="20"/>
      <c r="P93" s="20"/>
      <c r="Q93" s="20"/>
      <c r="R93" s="20"/>
      <c r="S93" s="20"/>
      <c r="T93" s="20"/>
      <c r="U93" s="20"/>
      <c r="V93" s="20"/>
      <c r="W93" s="20"/>
      <c r="X93" s="20"/>
      <c r="Y93" s="20"/>
      <c r="Z93" s="20"/>
      <c r="AA93" s="20"/>
      <c r="AB93" s="12"/>
      <c r="AC93" s="12"/>
      <c r="AD93" s="12">
        <v>169531125</v>
      </c>
      <c r="AE93" s="12">
        <v>164712616</v>
      </c>
      <c r="AF93" s="12">
        <f>178739219+14500000</f>
        <v>193239219</v>
      </c>
      <c r="AG93" s="12">
        <v>178969569</v>
      </c>
      <c r="AH93" s="12">
        <v>185872565</v>
      </c>
      <c r="AI93" s="12">
        <v>162007968</v>
      </c>
      <c r="AJ93" s="21">
        <v>187222153</v>
      </c>
      <c r="AK93" s="21">
        <v>187524577</v>
      </c>
      <c r="AL93" s="21">
        <v>192071918</v>
      </c>
      <c r="AM93" s="21">
        <v>192320093</v>
      </c>
      <c r="AN93" s="1058">
        <v>201721368</v>
      </c>
      <c r="AO93" s="1058">
        <v>201902586</v>
      </c>
      <c r="AP93" s="1058">
        <v>217529504</v>
      </c>
      <c r="AQ93" s="1058">
        <v>217529204</v>
      </c>
      <c r="AR93" s="1044"/>
      <c r="AS93" s="1044"/>
    </row>
    <row r="94" spans="2:45" hidden="1" outlineLevel="1">
      <c r="C94" s="810" t="s">
        <v>2</v>
      </c>
      <c r="D94" s="9"/>
      <c r="E94" s="593" t="s">
        <v>1436</v>
      </c>
      <c r="F94" s="20"/>
      <c r="G94" s="20"/>
      <c r="H94" s="20"/>
      <c r="I94" s="20"/>
      <c r="J94" s="20"/>
      <c r="K94" s="20"/>
      <c r="L94" s="20"/>
      <c r="M94" s="20"/>
      <c r="N94" s="20"/>
      <c r="O94" s="20"/>
      <c r="P94" s="20"/>
      <c r="Q94" s="20"/>
      <c r="R94" s="20"/>
      <c r="S94" s="20"/>
      <c r="T94" s="20"/>
      <c r="U94" s="20"/>
      <c r="V94" s="20"/>
      <c r="W94" s="20"/>
      <c r="X94" s="20"/>
      <c r="Y94" s="20"/>
      <c r="Z94" s="20"/>
      <c r="AA94" s="20"/>
      <c r="AB94" s="12"/>
      <c r="AC94" s="12"/>
      <c r="AD94" s="12">
        <v>161571140</v>
      </c>
      <c r="AE94" s="12">
        <v>161572806</v>
      </c>
      <c r="AF94" s="12">
        <f>174856974+10500000</f>
        <v>185356974</v>
      </c>
      <c r="AG94" s="12">
        <f>174909229+8000000</f>
        <v>182909229</v>
      </c>
      <c r="AH94" s="12">
        <v>173553271</v>
      </c>
      <c r="AI94" s="12">
        <v>145600289</v>
      </c>
      <c r="AJ94" s="21">
        <v>164187527</v>
      </c>
      <c r="AK94" s="21">
        <v>164294732</v>
      </c>
      <c r="AL94" s="21">
        <v>154177201</v>
      </c>
      <c r="AM94" s="21">
        <v>154265148</v>
      </c>
      <c r="AN94" s="1058">
        <v>160724105</v>
      </c>
      <c r="AO94" s="1058">
        <v>160806641</v>
      </c>
      <c r="AP94" s="1058">
        <v>173313575</v>
      </c>
      <c r="AQ94" s="1058">
        <v>173313812</v>
      </c>
      <c r="AR94" s="1044"/>
      <c r="AS94" s="1044"/>
    </row>
    <row r="95" spans="2:45" s="1044" customFormat="1" hidden="1" outlineLevel="1">
      <c r="B95" s="1045"/>
      <c r="C95" s="1053" t="s">
        <v>2</v>
      </c>
      <c r="D95" s="1051"/>
      <c r="E95" s="616" t="s">
        <v>1685</v>
      </c>
      <c r="F95" s="1047"/>
      <c r="G95" s="1047"/>
      <c r="H95" s="1047"/>
      <c r="I95" s="1047"/>
      <c r="J95" s="1047"/>
      <c r="K95" s="1047"/>
      <c r="L95" s="1047"/>
      <c r="M95" s="1047"/>
      <c r="N95" s="1047"/>
      <c r="O95" s="1047"/>
      <c r="P95" s="1047"/>
      <c r="Q95" s="1047"/>
      <c r="R95" s="1047"/>
      <c r="S95" s="1047"/>
      <c r="T95" s="1047"/>
      <c r="U95" s="1047"/>
      <c r="V95" s="1047"/>
      <c r="W95" s="1047"/>
      <c r="X95" s="1047"/>
      <c r="Y95" s="1047"/>
      <c r="Z95" s="1047"/>
      <c r="AA95" s="1047"/>
      <c r="AB95" s="1070"/>
      <c r="AC95" s="1070"/>
      <c r="AD95" s="1070"/>
      <c r="AE95" s="1070"/>
      <c r="AF95" s="1070"/>
      <c r="AG95" s="1070"/>
      <c r="AH95" s="1070"/>
      <c r="AI95" s="1070"/>
      <c r="AJ95" s="1058"/>
      <c r="AK95" s="1058"/>
      <c r="AL95" s="1058"/>
      <c r="AM95" s="1058"/>
      <c r="AN95" s="1058">
        <v>28326681</v>
      </c>
      <c r="AO95" s="1058">
        <v>28338062</v>
      </c>
      <c r="AP95" s="1058">
        <v>34463107</v>
      </c>
      <c r="AQ95" s="1058">
        <v>34463107</v>
      </c>
    </row>
    <row r="96" spans="2:45" hidden="1" outlineLevel="1">
      <c r="C96" s="810" t="s">
        <v>2</v>
      </c>
      <c r="D96" s="9"/>
      <c r="E96" s="593" t="s">
        <v>1437</v>
      </c>
      <c r="F96" s="20"/>
      <c r="G96" s="20"/>
      <c r="H96" s="20"/>
      <c r="I96" s="20"/>
      <c r="J96" s="20"/>
      <c r="K96" s="20"/>
      <c r="L96" s="20"/>
      <c r="M96" s="20"/>
      <c r="N96" s="20"/>
      <c r="O96" s="20"/>
      <c r="P96" s="20"/>
      <c r="Q96" s="20"/>
      <c r="R96" s="20"/>
      <c r="S96" s="20"/>
      <c r="T96" s="20"/>
      <c r="U96" s="20"/>
      <c r="V96" s="20"/>
      <c r="W96" s="20"/>
      <c r="X96" s="20"/>
      <c r="Y96" s="20"/>
      <c r="Z96" s="20"/>
      <c r="AA96" s="20"/>
      <c r="AB96" s="12"/>
      <c r="AC96" s="12"/>
      <c r="AD96" s="12">
        <v>2135910028</v>
      </c>
      <c r="AE96" s="12">
        <v>2351388512</v>
      </c>
      <c r="AF96" s="12">
        <v>2241410508</v>
      </c>
      <c r="AG96" s="12">
        <f>2459247720+8000000</f>
        <v>2467247720</v>
      </c>
      <c r="AH96" s="12">
        <v>2481783678</v>
      </c>
      <c r="AI96" s="12">
        <v>2561656182</v>
      </c>
      <c r="AJ96" s="21">
        <v>180847800</v>
      </c>
      <c r="AK96" s="21">
        <v>180839146</v>
      </c>
      <c r="AL96" s="21">
        <v>194359338</v>
      </c>
      <c r="AM96" s="21">
        <v>194365000</v>
      </c>
      <c r="AN96" s="1058">
        <v>202452610</v>
      </c>
      <c r="AO96" s="1058">
        <v>202454671</v>
      </c>
      <c r="AP96" s="1058">
        <v>211772878</v>
      </c>
      <c r="AQ96" s="1058">
        <v>211773229</v>
      </c>
      <c r="AR96" s="1044"/>
      <c r="AS96" s="1044"/>
    </row>
    <row r="97" spans="2:45" hidden="1" outlineLevel="1">
      <c r="C97" s="810" t="s">
        <v>2</v>
      </c>
      <c r="D97" s="9"/>
      <c r="E97" s="593" t="s">
        <v>1438</v>
      </c>
      <c r="F97" s="20"/>
      <c r="G97" s="20"/>
      <c r="H97" s="20"/>
      <c r="I97" s="20"/>
      <c r="J97" s="20"/>
      <c r="K97" s="20"/>
      <c r="L97" s="20"/>
      <c r="M97" s="20"/>
      <c r="N97" s="20"/>
      <c r="O97" s="20"/>
      <c r="P97" s="20"/>
      <c r="Q97" s="20"/>
      <c r="R97" s="20"/>
      <c r="S97" s="20"/>
      <c r="T97" s="20"/>
      <c r="U97" s="20"/>
      <c r="V97" s="20"/>
      <c r="W97" s="20"/>
      <c r="X97" s="20"/>
      <c r="Y97" s="20"/>
      <c r="Z97" s="20"/>
      <c r="AA97" s="20"/>
      <c r="AB97" s="12"/>
      <c r="AC97" s="12"/>
      <c r="AD97" s="12">
        <v>79332780</v>
      </c>
      <c r="AE97" s="12">
        <v>81058856</v>
      </c>
      <c r="AF97" s="12">
        <v>87178969</v>
      </c>
      <c r="AG97" s="12">
        <v>87595998</v>
      </c>
      <c r="AH97" s="12">
        <v>90162635</v>
      </c>
      <c r="AI97" s="12">
        <v>85840234</v>
      </c>
      <c r="AJ97" s="21">
        <v>39842362</v>
      </c>
      <c r="AK97" s="21">
        <v>39846937</v>
      </c>
      <c r="AL97" s="21">
        <v>49055298</v>
      </c>
      <c r="AM97" s="21">
        <v>49057176</v>
      </c>
      <c r="AN97" s="1058">
        <v>46453707</v>
      </c>
      <c r="AO97" s="1058">
        <v>46456119</v>
      </c>
      <c r="AP97" s="1058">
        <v>52076864</v>
      </c>
      <c r="AQ97" s="1058">
        <v>52076664</v>
      </c>
      <c r="AR97" s="1044"/>
      <c r="AS97" s="1044"/>
    </row>
    <row r="98" spans="2:45" hidden="1" outlineLevel="1">
      <c r="C98" s="810" t="s">
        <v>2</v>
      </c>
      <c r="D98" s="9"/>
      <c r="E98" s="593" t="s">
        <v>1439</v>
      </c>
      <c r="F98" s="20"/>
      <c r="G98" s="20"/>
      <c r="H98" s="20"/>
      <c r="I98" s="20"/>
      <c r="J98" s="20"/>
      <c r="K98" s="20"/>
      <c r="L98" s="20"/>
      <c r="M98" s="20"/>
      <c r="N98" s="20"/>
      <c r="O98" s="20"/>
      <c r="P98" s="20"/>
      <c r="Q98" s="20"/>
      <c r="R98" s="20"/>
      <c r="S98" s="20"/>
      <c r="T98" s="20"/>
      <c r="U98" s="20"/>
      <c r="V98" s="20"/>
      <c r="W98" s="20"/>
      <c r="X98" s="20"/>
      <c r="Y98" s="20"/>
      <c r="Z98" s="20"/>
      <c r="AA98" s="20"/>
      <c r="AB98" s="12"/>
      <c r="AC98" s="12"/>
      <c r="AD98" s="12">
        <v>113813930</v>
      </c>
      <c r="AE98" s="12">
        <v>100064931</v>
      </c>
      <c r="AF98" s="12">
        <f>126885074+9000000</f>
        <v>135885074</v>
      </c>
      <c r="AG98" s="12">
        <f>121896839+8000000</f>
        <v>129896839</v>
      </c>
      <c r="AH98" s="12">
        <v>125611407</v>
      </c>
      <c r="AI98" s="12">
        <v>115822768</v>
      </c>
      <c r="AJ98" s="21">
        <v>134272626</v>
      </c>
      <c r="AK98" s="21">
        <v>134372341</v>
      </c>
      <c r="AL98" s="21">
        <v>149626157</v>
      </c>
      <c r="AM98" s="21">
        <v>149418672</v>
      </c>
      <c r="AN98" s="1058">
        <v>163039001</v>
      </c>
      <c r="AO98" s="1058">
        <v>163091189</v>
      </c>
      <c r="AP98" s="1058">
        <v>164999300</v>
      </c>
      <c r="AQ98" s="1058">
        <v>165003692</v>
      </c>
      <c r="AR98" s="1044"/>
      <c r="AS98" s="1044"/>
    </row>
    <row r="99" spans="2:45" hidden="1" outlineLevel="1">
      <c r="C99" s="810" t="s">
        <v>2</v>
      </c>
      <c r="D99" s="9"/>
      <c r="E99" s="593" t="s">
        <v>1440</v>
      </c>
      <c r="F99" s="20"/>
      <c r="G99" s="20"/>
      <c r="H99" s="20"/>
      <c r="I99" s="20"/>
      <c r="J99" s="20"/>
      <c r="K99" s="20"/>
      <c r="L99" s="20"/>
      <c r="M99" s="20"/>
      <c r="N99" s="20"/>
      <c r="O99" s="20"/>
      <c r="P99" s="20"/>
      <c r="Q99" s="20"/>
      <c r="R99" s="20"/>
      <c r="S99" s="20"/>
      <c r="T99" s="20"/>
      <c r="U99" s="20"/>
      <c r="V99" s="20"/>
      <c r="W99" s="20"/>
      <c r="X99" s="20"/>
      <c r="Y99" s="20"/>
      <c r="Z99" s="20"/>
      <c r="AA99" s="20"/>
      <c r="AB99" s="12"/>
      <c r="AC99" s="12"/>
      <c r="AD99" s="12">
        <v>63110988</v>
      </c>
      <c r="AE99" s="12">
        <v>63113644</v>
      </c>
      <c r="AF99" s="12">
        <v>69717650</v>
      </c>
      <c r="AG99" s="12">
        <f>69744447+5000000</f>
        <v>74744447</v>
      </c>
      <c r="AH99" s="12">
        <v>74950802</v>
      </c>
      <c r="AI99" s="12">
        <v>65181154</v>
      </c>
      <c r="AJ99" s="21">
        <v>80472834</v>
      </c>
      <c r="AK99" s="21">
        <v>80569184</v>
      </c>
      <c r="AL99" s="21">
        <v>95770527</v>
      </c>
      <c r="AM99" s="21">
        <v>95540108</v>
      </c>
      <c r="AN99" s="1058">
        <v>102142587</v>
      </c>
      <c r="AO99" s="1058">
        <v>101894845</v>
      </c>
      <c r="AP99" s="1058">
        <v>106867257</v>
      </c>
      <c r="AQ99" s="1058">
        <v>106582629</v>
      </c>
      <c r="AR99" s="1044"/>
      <c r="AS99" s="1044"/>
    </row>
    <row r="100" spans="2:45" hidden="1" outlineLevel="1">
      <c r="C100" s="810" t="s">
        <v>2</v>
      </c>
      <c r="D100" s="9"/>
      <c r="E100" s="593" t="s">
        <v>942</v>
      </c>
      <c r="F100" s="20"/>
      <c r="G100" s="20"/>
      <c r="H100" s="20"/>
      <c r="I100" s="20"/>
      <c r="J100" s="20"/>
      <c r="K100" s="20"/>
      <c r="L100" s="20"/>
      <c r="M100" s="20"/>
      <c r="N100" s="20"/>
      <c r="O100" s="20"/>
      <c r="P100" s="20"/>
      <c r="Q100" s="20"/>
      <c r="R100" s="20"/>
      <c r="S100" s="20"/>
      <c r="T100" s="20"/>
      <c r="U100" s="20"/>
      <c r="V100" s="20"/>
      <c r="W100" s="20"/>
      <c r="X100" s="20"/>
      <c r="Y100" s="20"/>
      <c r="Z100" s="20"/>
      <c r="AA100" s="20"/>
      <c r="AB100" s="12"/>
      <c r="AC100" s="12"/>
      <c r="AD100" s="12">
        <v>166693261</v>
      </c>
      <c r="AE100" s="12">
        <v>146312253</v>
      </c>
      <c r="AF100" s="12">
        <f>175320829+4000000</f>
        <v>179320829</v>
      </c>
      <c r="AG100" s="12">
        <f>179757867+8000000</f>
        <v>187757867</v>
      </c>
      <c r="AH100" s="12">
        <v>176576635</v>
      </c>
      <c r="AI100" s="12">
        <v>156738174</v>
      </c>
      <c r="AJ100" s="21">
        <v>187757268</v>
      </c>
      <c r="AK100" s="21">
        <v>187711342</v>
      </c>
      <c r="AL100" s="21">
        <v>137347258</v>
      </c>
      <c r="AM100" s="21">
        <v>137441668</v>
      </c>
      <c r="AN100" s="1058">
        <v>146326415</v>
      </c>
      <c r="AO100" s="1058">
        <v>146368543</v>
      </c>
      <c r="AP100" s="1058">
        <v>167079032</v>
      </c>
      <c r="AQ100" s="1058">
        <v>167062353</v>
      </c>
      <c r="AR100" s="1044"/>
      <c r="AS100" s="1044"/>
    </row>
    <row r="101" spans="2:45" hidden="1" outlineLevel="1">
      <c r="C101" s="810" t="s">
        <v>2</v>
      </c>
      <c r="D101" s="9"/>
      <c r="E101" s="616" t="s">
        <v>1556</v>
      </c>
      <c r="F101" s="20"/>
      <c r="G101" s="20"/>
      <c r="H101" s="20"/>
      <c r="I101" s="20"/>
      <c r="J101" s="20"/>
      <c r="K101" s="20"/>
      <c r="L101" s="20"/>
      <c r="M101" s="20"/>
      <c r="N101" s="20"/>
      <c r="O101" s="20"/>
      <c r="P101" s="20"/>
      <c r="Q101" s="20"/>
      <c r="R101" s="20"/>
      <c r="S101" s="20"/>
      <c r="T101" s="20"/>
      <c r="U101" s="20"/>
      <c r="V101" s="20"/>
      <c r="W101" s="20"/>
      <c r="X101" s="20"/>
      <c r="Y101" s="20"/>
      <c r="Z101" s="20"/>
      <c r="AA101" s="20"/>
      <c r="AB101" s="12"/>
      <c r="AC101" s="12"/>
      <c r="AD101" s="12"/>
      <c r="AE101" s="12"/>
      <c r="AF101" s="12"/>
      <c r="AG101" s="12"/>
      <c r="AH101" s="12"/>
      <c r="AI101" s="12"/>
      <c r="AJ101" s="21"/>
      <c r="AK101" s="21"/>
      <c r="AL101" s="21">
        <v>67898736</v>
      </c>
      <c r="AM101" s="21">
        <v>67910015</v>
      </c>
      <c r="AN101" s="1058">
        <v>71047010</v>
      </c>
      <c r="AO101" s="1058">
        <v>70983171</v>
      </c>
      <c r="AP101" s="1058">
        <v>76046519</v>
      </c>
      <c r="AQ101" s="1058">
        <v>76030911</v>
      </c>
      <c r="AR101" s="1044"/>
      <c r="AS101" s="1044"/>
    </row>
    <row r="102" spans="2:45" s="1044" customFormat="1" hidden="1" outlineLevel="1">
      <c r="B102" s="1045"/>
      <c r="C102" s="1053" t="s">
        <v>2</v>
      </c>
      <c r="D102" s="1051"/>
      <c r="E102" s="616" t="s">
        <v>1843</v>
      </c>
      <c r="F102" s="1047"/>
      <c r="G102" s="1047"/>
      <c r="H102" s="1047"/>
      <c r="I102" s="1047"/>
      <c r="J102" s="1047"/>
      <c r="K102" s="1047"/>
      <c r="L102" s="1047"/>
      <c r="M102" s="1047"/>
      <c r="N102" s="1047"/>
      <c r="O102" s="1047"/>
      <c r="P102" s="1047"/>
      <c r="Q102" s="1047"/>
      <c r="R102" s="1047"/>
      <c r="S102" s="1047"/>
      <c r="T102" s="1047"/>
      <c r="U102" s="1047"/>
      <c r="V102" s="1047"/>
      <c r="W102" s="1047"/>
      <c r="X102" s="1047"/>
      <c r="Y102" s="1047"/>
      <c r="Z102" s="1047"/>
      <c r="AA102" s="1047"/>
      <c r="AB102" s="1070"/>
      <c r="AC102" s="1070"/>
      <c r="AD102" s="1070"/>
      <c r="AE102" s="1070"/>
      <c r="AF102" s="1070"/>
      <c r="AG102" s="1070"/>
      <c r="AH102" s="1070"/>
      <c r="AI102" s="1070"/>
      <c r="AJ102" s="1058"/>
      <c r="AK102" s="1058"/>
      <c r="AL102" s="1058"/>
      <c r="AM102" s="1058"/>
      <c r="AN102" s="1058">
        <v>6071343</v>
      </c>
      <c r="AO102" s="1058">
        <v>6071343</v>
      </c>
      <c r="AP102" s="1058">
        <v>12283896</v>
      </c>
      <c r="AQ102" s="1058">
        <v>12283896</v>
      </c>
    </row>
    <row r="103" spans="2:45" hidden="1" outlineLevel="1">
      <c r="C103" s="810" t="s">
        <v>2</v>
      </c>
      <c r="D103" s="9"/>
      <c r="E103" s="226" t="s">
        <v>77</v>
      </c>
      <c r="F103" s="20"/>
      <c r="G103" s="23"/>
      <c r="H103" s="23"/>
      <c r="I103" s="23"/>
      <c r="J103" s="23"/>
      <c r="K103" s="23"/>
      <c r="L103" s="23"/>
      <c r="M103" s="23"/>
      <c r="N103" s="23"/>
      <c r="O103" s="23"/>
      <c r="P103" s="23"/>
      <c r="Q103" s="23"/>
      <c r="R103" s="23"/>
      <c r="S103" s="23"/>
      <c r="T103" s="23"/>
      <c r="U103" s="23"/>
      <c r="V103" s="23"/>
      <c r="W103" s="23"/>
      <c r="X103" s="23"/>
      <c r="Y103" s="23"/>
      <c r="Z103" s="23"/>
      <c r="AA103" s="23"/>
      <c r="AB103" s="34"/>
      <c r="AC103" s="34"/>
      <c r="AD103" s="34">
        <v>860412423</v>
      </c>
      <c r="AE103" s="34">
        <v>858812422</v>
      </c>
      <c r="AF103" s="34">
        <f>929621578+1905000</f>
        <v>931526578</v>
      </c>
      <c r="AG103" s="34">
        <v>929621580</v>
      </c>
      <c r="AH103" s="34">
        <v>874690361</v>
      </c>
      <c r="AI103" s="34">
        <v>874690362</v>
      </c>
      <c r="AJ103" s="230">
        <v>895759508</v>
      </c>
      <c r="AK103" s="230">
        <v>890759510</v>
      </c>
      <c r="AL103" s="230">
        <v>892785312</v>
      </c>
      <c r="AM103" s="230">
        <v>885793094</v>
      </c>
      <c r="AN103" s="920">
        <v>899540045</v>
      </c>
      <c r="AO103" s="920">
        <v>894979998</v>
      </c>
      <c r="AP103" s="920">
        <v>936193916</v>
      </c>
      <c r="AQ103" s="920">
        <v>931497068</v>
      </c>
      <c r="AR103" s="1044"/>
      <c r="AS103" s="1044"/>
    </row>
    <row r="104" spans="2:45" hidden="1" outlineLevel="1">
      <c r="C104" s="810" t="s">
        <v>2</v>
      </c>
      <c r="D104" s="9"/>
      <c r="E104" s="20" t="s">
        <v>1441</v>
      </c>
      <c r="F104" s="20"/>
      <c r="G104" s="20"/>
      <c r="H104" s="20"/>
      <c r="I104" s="20"/>
      <c r="J104" s="20"/>
      <c r="K104" s="20"/>
      <c r="L104" s="20"/>
      <c r="M104" s="20"/>
      <c r="N104" s="20"/>
      <c r="O104" s="20"/>
      <c r="P104" s="20"/>
      <c r="Q104" s="20"/>
      <c r="R104" s="20"/>
      <c r="S104" s="20"/>
      <c r="T104" s="20"/>
      <c r="U104" s="20"/>
      <c r="V104" s="20"/>
      <c r="W104" s="20"/>
      <c r="X104" s="20"/>
      <c r="Y104" s="20"/>
      <c r="Z104" s="20"/>
      <c r="AA104" s="20"/>
      <c r="AB104" s="12"/>
      <c r="AC104" s="12"/>
      <c r="AD104" s="12">
        <v>3869467</v>
      </c>
      <c r="AE104" s="12">
        <v>3869466</v>
      </c>
      <c r="AF104" s="12">
        <v>13978418</v>
      </c>
      <c r="AG104" s="12">
        <v>3978418</v>
      </c>
      <c r="AH104" s="12">
        <v>2675374</v>
      </c>
      <c r="AI104" s="12">
        <v>2676087</v>
      </c>
      <c r="AJ104" s="21">
        <v>9242527</v>
      </c>
      <c r="AK104" s="21">
        <v>2343255</v>
      </c>
      <c r="AL104" s="21">
        <v>11347035</v>
      </c>
      <c r="AM104" s="21">
        <v>11347784</v>
      </c>
      <c r="AN104" s="1058">
        <v>3837112</v>
      </c>
      <c r="AO104" s="1058">
        <v>3844437</v>
      </c>
      <c r="AP104" s="1058">
        <v>3415629</v>
      </c>
      <c r="AQ104" s="1058">
        <v>3418528</v>
      </c>
      <c r="AR104" s="1044"/>
      <c r="AS104" s="1044"/>
    </row>
    <row r="105" spans="2:45" hidden="1" outlineLevel="1">
      <c r="C105" s="810" t="s">
        <v>2</v>
      </c>
      <c r="D105" s="9"/>
      <c r="E105" s="20" t="s">
        <v>1442</v>
      </c>
      <c r="F105" s="20"/>
      <c r="G105" s="20"/>
      <c r="H105" s="20"/>
      <c r="I105" s="20"/>
      <c r="J105" s="20"/>
      <c r="K105" s="20"/>
      <c r="L105" s="20"/>
      <c r="M105" s="20"/>
      <c r="N105" s="20"/>
      <c r="O105" s="20"/>
      <c r="P105" s="20"/>
      <c r="Q105" s="20"/>
      <c r="R105" s="20"/>
      <c r="S105" s="20"/>
      <c r="T105" s="20"/>
      <c r="U105" s="20"/>
      <c r="V105" s="20"/>
      <c r="W105" s="20"/>
      <c r="X105" s="20"/>
      <c r="Y105" s="20"/>
      <c r="Z105" s="20"/>
      <c r="AA105" s="20"/>
      <c r="AB105" s="12"/>
      <c r="AC105" s="12"/>
      <c r="AD105" s="12">
        <v>24322720</v>
      </c>
      <c r="AE105" s="12">
        <v>24353531</v>
      </c>
      <c r="AF105" s="12">
        <v>25791743</v>
      </c>
      <c r="AG105" s="12">
        <v>25857435</v>
      </c>
      <c r="AH105" s="12">
        <v>24695239</v>
      </c>
      <c r="AI105" s="12">
        <v>24398271</v>
      </c>
      <c r="AJ105" s="21">
        <v>25252317</v>
      </c>
      <c r="AK105" s="21">
        <v>25450439</v>
      </c>
      <c r="AL105" s="21">
        <v>26058067</v>
      </c>
      <c r="AM105" s="21">
        <v>26298539</v>
      </c>
      <c r="AN105" s="1058">
        <v>26066715</v>
      </c>
      <c r="AO105" s="1058">
        <v>26526170</v>
      </c>
      <c r="AP105" s="1058">
        <v>29262859</v>
      </c>
      <c r="AQ105" s="1058">
        <v>29573207</v>
      </c>
      <c r="AR105" s="1044"/>
      <c r="AS105" s="1044"/>
    </row>
    <row r="106" spans="2:45" hidden="1" outlineLevel="1">
      <c r="C106" s="810" t="s">
        <v>2</v>
      </c>
      <c r="D106" s="9"/>
      <c r="E106" s="20" t="s">
        <v>1443</v>
      </c>
      <c r="F106" s="20"/>
      <c r="G106" s="20"/>
      <c r="H106" s="20"/>
      <c r="I106" s="20"/>
      <c r="J106" s="20"/>
      <c r="K106" s="20"/>
      <c r="L106" s="20"/>
      <c r="M106" s="20"/>
      <c r="N106" s="20"/>
      <c r="O106" s="20"/>
      <c r="P106" s="20"/>
      <c r="Q106" s="20"/>
      <c r="R106" s="20"/>
      <c r="S106" s="20"/>
      <c r="T106" s="20"/>
      <c r="U106" s="20"/>
      <c r="V106" s="20"/>
      <c r="W106" s="20"/>
      <c r="X106" s="20"/>
      <c r="Y106" s="20"/>
      <c r="Z106" s="20"/>
      <c r="AA106" s="20"/>
      <c r="AB106" s="12"/>
      <c r="AC106" s="12"/>
      <c r="AD106" s="12">
        <v>14923411</v>
      </c>
      <c r="AE106" s="12">
        <v>14972756</v>
      </c>
      <c r="AF106" s="12">
        <v>14990059</v>
      </c>
      <c r="AG106" s="12">
        <v>15016888</v>
      </c>
      <c r="AH106" s="12">
        <v>12472965</v>
      </c>
      <c r="AI106" s="12">
        <v>12497326</v>
      </c>
      <c r="AJ106" s="21">
        <v>11323233</v>
      </c>
      <c r="AK106" s="21">
        <v>11341139</v>
      </c>
      <c r="AL106" s="21">
        <v>13791132</v>
      </c>
      <c r="AM106" s="21">
        <v>13818392</v>
      </c>
      <c r="AN106" s="1058">
        <v>13727941</v>
      </c>
      <c r="AO106" s="1058">
        <v>13868902</v>
      </c>
      <c r="AP106" s="1058">
        <v>12332903</v>
      </c>
      <c r="AQ106" s="1058">
        <v>12364484</v>
      </c>
      <c r="AR106" s="1044"/>
      <c r="AS106" s="1044"/>
    </row>
    <row r="107" spans="2:45" hidden="1" outlineLevel="1">
      <c r="C107" s="810" t="s">
        <v>2</v>
      </c>
      <c r="D107" s="9"/>
      <c r="E107" s="20" t="s">
        <v>1444</v>
      </c>
      <c r="F107" s="20"/>
      <c r="G107" s="20"/>
      <c r="H107" s="20"/>
      <c r="I107" s="20"/>
      <c r="J107" s="20"/>
      <c r="K107" s="20"/>
      <c r="L107" s="20"/>
      <c r="M107" s="20"/>
      <c r="N107" s="20"/>
      <c r="O107" s="20"/>
      <c r="P107" s="20"/>
      <c r="Q107" s="20"/>
      <c r="R107" s="20"/>
      <c r="S107" s="20"/>
      <c r="T107" s="20"/>
      <c r="U107" s="20"/>
      <c r="V107" s="20"/>
      <c r="W107" s="20"/>
      <c r="X107" s="20"/>
      <c r="Y107" s="20"/>
      <c r="Z107" s="20"/>
      <c r="AA107" s="20"/>
      <c r="AB107" s="12"/>
      <c r="AC107" s="12"/>
      <c r="AD107" s="12">
        <v>4920479</v>
      </c>
      <c r="AE107" s="12">
        <v>4923584</v>
      </c>
      <c r="AF107" s="12">
        <v>5707776</v>
      </c>
      <c r="AG107" s="12">
        <v>5722574</v>
      </c>
      <c r="AH107" s="12">
        <v>5487985</v>
      </c>
      <c r="AI107" s="12">
        <v>5507483</v>
      </c>
      <c r="AJ107" s="21">
        <v>6174126</v>
      </c>
      <c r="AK107" s="21">
        <v>6188331</v>
      </c>
      <c r="AL107" s="21">
        <v>6606662</v>
      </c>
      <c r="AM107" s="21">
        <v>6634464</v>
      </c>
      <c r="AN107" s="1058">
        <v>7706676</v>
      </c>
      <c r="AO107" s="1058">
        <v>7791288</v>
      </c>
      <c r="AP107" s="1058">
        <v>6752648</v>
      </c>
      <c r="AQ107" s="1058">
        <v>6772645</v>
      </c>
      <c r="AR107" s="1044"/>
      <c r="AS107" s="1044"/>
    </row>
    <row r="108" spans="2:45" hidden="1" outlineLevel="1">
      <c r="C108" s="810" t="s">
        <v>2</v>
      </c>
      <c r="D108" s="9"/>
      <c r="E108" s="20" t="s">
        <v>1445</v>
      </c>
      <c r="F108" s="20"/>
      <c r="G108" s="20"/>
      <c r="H108" s="20"/>
      <c r="I108" s="20"/>
      <c r="J108" s="20"/>
      <c r="K108" s="20"/>
      <c r="L108" s="20"/>
      <c r="M108" s="20"/>
      <c r="N108" s="20"/>
      <c r="O108" s="20"/>
      <c r="P108" s="20"/>
      <c r="Q108" s="20"/>
      <c r="R108" s="20"/>
      <c r="S108" s="20"/>
      <c r="T108" s="20"/>
      <c r="U108" s="20"/>
      <c r="V108" s="20"/>
      <c r="W108" s="20"/>
      <c r="X108" s="20"/>
      <c r="Y108" s="20"/>
      <c r="Z108" s="20"/>
      <c r="AA108" s="20"/>
      <c r="AB108" s="12"/>
      <c r="AC108" s="12"/>
      <c r="AD108" s="12">
        <v>32888630</v>
      </c>
      <c r="AE108" s="12">
        <v>32748608</v>
      </c>
      <c r="AF108" s="12">
        <v>33611392</v>
      </c>
      <c r="AG108" s="12">
        <v>33684746</v>
      </c>
      <c r="AH108" s="12">
        <v>37792070</v>
      </c>
      <c r="AI108" s="12">
        <v>35804716</v>
      </c>
      <c r="AJ108" s="21">
        <v>36420977</v>
      </c>
      <c r="AK108" s="21">
        <v>36651963</v>
      </c>
      <c r="AL108" s="21">
        <v>35514615</v>
      </c>
      <c r="AM108" s="21">
        <v>36085169</v>
      </c>
      <c r="AN108" s="1058">
        <v>34839804</v>
      </c>
      <c r="AO108" s="1058">
        <v>35347338</v>
      </c>
      <c r="AP108" s="1058">
        <v>37538232</v>
      </c>
      <c r="AQ108" s="1058">
        <v>37657799</v>
      </c>
      <c r="AR108" s="1044"/>
      <c r="AS108" s="1044"/>
    </row>
    <row r="109" spans="2:45" hidden="1" outlineLevel="1">
      <c r="C109" s="810" t="s">
        <v>2</v>
      </c>
      <c r="D109" s="790"/>
      <c r="E109" s="791" t="s">
        <v>1848</v>
      </c>
      <c r="F109" s="20"/>
      <c r="G109" s="20"/>
      <c r="H109" s="20"/>
      <c r="I109" s="20"/>
      <c r="J109" s="20"/>
      <c r="K109" s="20"/>
      <c r="L109" s="20"/>
      <c r="M109" s="20"/>
      <c r="N109" s="20"/>
      <c r="O109" s="20"/>
      <c r="P109" s="20"/>
      <c r="Q109" s="20"/>
      <c r="R109" s="20"/>
      <c r="S109" s="20"/>
      <c r="T109" s="20"/>
      <c r="U109" s="20"/>
      <c r="V109" s="20"/>
      <c r="W109" s="20"/>
      <c r="X109" s="20"/>
      <c r="Y109" s="20"/>
      <c r="Z109" s="20"/>
      <c r="AA109" s="20"/>
      <c r="AB109" s="12"/>
      <c r="AC109" s="12"/>
      <c r="AD109" s="12"/>
      <c r="AE109" s="12"/>
      <c r="AF109" s="12"/>
      <c r="AG109" s="12"/>
      <c r="AH109" s="12"/>
      <c r="AI109" s="12"/>
      <c r="AJ109" s="21"/>
      <c r="AK109" s="21"/>
      <c r="AL109" s="21"/>
      <c r="AM109" s="21"/>
      <c r="AN109" s="1058">
        <v>5738123</v>
      </c>
      <c r="AO109" s="1058">
        <v>5801956</v>
      </c>
      <c r="AP109" s="1058">
        <v>6258129</v>
      </c>
      <c r="AQ109" s="1058">
        <v>6271471</v>
      </c>
      <c r="AR109" s="1044"/>
      <c r="AS109" s="1044"/>
    </row>
    <row r="110" spans="2:45" hidden="1" outlineLevel="1">
      <c r="C110" s="810" t="s">
        <v>2</v>
      </c>
      <c r="D110" s="790"/>
      <c r="E110" s="791" t="s">
        <v>1849</v>
      </c>
      <c r="F110" s="20"/>
      <c r="G110" s="20"/>
      <c r="H110" s="20"/>
      <c r="I110" s="20"/>
      <c r="J110" s="20"/>
      <c r="K110" s="20"/>
      <c r="L110" s="20"/>
      <c r="M110" s="20"/>
      <c r="N110" s="20"/>
      <c r="O110" s="20"/>
      <c r="P110" s="20"/>
      <c r="Q110" s="20"/>
      <c r="R110" s="20"/>
      <c r="S110" s="20"/>
      <c r="T110" s="20"/>
      <c r="U110" s="20"/>
      <c r="V110" s="20"/>
      <c r="W110" s="20"/>
      <c r="X110" s="20"/>
      <c r="Y110" s="20"/>
      <c r="Z110" s="20"/>
      <c r="AA110" s="20"/>
      <c r="AB110" s="12"/>
      <c r="AC110" s="12"/>
      <c r="AD110" s="12"/>
      <c r="AE110" s="12"/>
      <c r="AF110" s="12"/>
      <c r="AG110" s="12"/>
      <c r="AH110" s="12"/>
      <c r="AI110" s="12"/>
      <c r="AJ110" s="21"/>
      <c r="AK110" s="21"/>
      <c r="AL110" s="21"/>
      <c r="AM110" s="21"/>
      <c r="AN110" s="1058">
        <v>3788456</v>
      </c>
      <c r="AO110" s="1058">
        <v>3874982</v>
      </c>
      <c r="AP110" s="1058">
        <v>3905919</v>
      </c>
      <c r="AQ110" s="1058">
        <v>3916108</v>
      </c>
      <c r="AR110" s="1044"/>
      <c r="AS110" s="1044"/>
    </row>
    <row r="111" spans="2:45" hidden="1" outlineLevel="1">
      <c r="C111" s="810" t="s">
        <v>2</v>
      </c>
      <c r="D111" s="9"/>
      <c r="E111" s="20" t="s">
        <v>83</v>
      </c>
      <c r="F111" s="20"/>
      <c r="G111" s="20"/>
      <c r="H111" s="20"/>
      <c r="I111" s="20"/>
      <c r="J111" s="20"/>
      <c r="K111" s="20"/>
      <c r="L111" s="20"/>
      <c r="M111" s="20"/>
      <c r="N111" s="20"/>
      <c r="O111" s="20"/>
      <c r="P111" s="20"/>
      <c r="Q111" s="20"/>
      <c r="R111" s="20"/>
      <c r="S111" s="20"/>
      <c r="T111" s="20"/>
      <c r="U111" s="20"/>
      <c r="V111" s="20"/>
      <c r="W111" s="20"/>
      <c r="X111" s="20"/>
      <c r="Y111" s="20"/>
      <c r="Z111" s="20"/>
      <c r="AA111" s="20"/>
      <c r="AB111" s="12"/>
      <c r="AC111" s="12"/>
      <c r="AD111" s="12">
        <v>71155286</v>
      </c>
      <c r="AE111" s="12">
        <v>66305286</v>
      </c>
      <c r="AF111" s="12">
        <v>73316075</v>
      </c>
      <c r="AG111" s="12">
        <v>73316075</v>
      </c>
      <c r="AH111" s="12">
        <v>65208273</v>
      </c>
      <c r="AI111" s="12">
        <f>65118875+150000</f>
        <v>65268875</v>
      </c>
      <c r="AJ111" s="21">
        <v>68649191</v>
      </c>
      <c r="AK111" s="21">
        <v>68649191</v>
      </c>
      <c r="AL111" s="21">
        <v>73268702</v>
      </c>
      <c r="AM111" s="21">
        <v>73268702</v>
      </c>
      <c r="AN111" s="1058">
        <v>71533993</v>
      </c>
      <c r="AO111" s="1058">
        <v>71533993</v>
      </c>
      <c r="AP111" s="1058">
        <v>71716633</v>
      </c>
      <c r="AQ111" s="1058">
        <v>71716632</v>
      </c>
      <c r="AR111" s="1044"/>
      <c r="AS111" s="1044"/>
    </row>
    <row r="112" spans="2:45" hidden="1" outlineLevel="1">
      <c r="C112" s="810" t="s">
        <v>2</v>
      </c>
      <c r="D112" s="9"/>
      <c r="E112" s="20" t="s">
        <v>84</v>
      </c>
      <c r="F112" s="20"/>
      <c r="G112" s="20"/>
      <c r="H112" s="20"/>
      <c r="I112" s="20"/>
      <c r="J112" s="20"/>
      <c r="K112" s="20"/>
      <c r="L112" s="20"/>
      <c r="M112" s="20"/>
      <c r="N112" s="20"/>
      <c r="O112" s="20"/>
      <c r="P112" s="20"/>
      <c r="Q112" s="20"/>
      <c r="R112" s="20"/>
      <c r="S112" s="20"/>
      <c r="T112" s="20"/>
      <c r="U112" s="20"/>
      <c r="V112" s="20"/>
      <c r="W112" s="20"/>
      <c r="X112" s="20"/>
      <c r="Y112" s="20"/>
      <c r="Z112" s="20"/>
      <c r="AA112" s="20"/>
      <c r="AB112" s="12"/>
      <c r="AC112" s="12"/>
      <c r="AD112" s="12">
        <v>66756178</v>
      </c>
      <c r="AE112" s="12">
        <v>66756178</v>
      </c>
      <c r="AF112" s="12">
        <v>70116547</v>
      </c>
      <c r="AG112" s="12">
        <v>70079545</v>
      </c>
      <c r="AH112" s="12">
        <v>64126948</v>
      </c>
      <c r="AI112" s="12">
        <v>64126949</v>
      </c>
      <c r="AJ112" s="21">
        <v>64516728</v>
      </c>
      <c r="AK112" s="21">
        <v>64516728</v>
      </c>
      <c r="AL112" s="21">
        <v>67818342</v>
      </c>
      <c r="AM112" s="21">
        <v>67818345</v>
      </c>
      <c r="AN112" s="1058">
        <v>69705929</v>
      </c>
      <c r="AO112" s="1058">
        <v>69705929</v>
      </c>
      <c r="AP112" s="1058">
        <v>75206976</v>
      </c>
      <c r="AQ112" s="1058">
        <v>75206976</v>
      </c>
      <c r="AR112" s="1044"/>
      <c r="AS112" s="1044"/>
    </row>
    <row r="113" spans="2:45" hidden="1" outlineLevel="1">
      <c r="C113" s="810" t="s">
        <v>2</v>
      </c>
      <c r="D113" s="9"/>
      <c r="E113" s="20" t="s">
        <v>85</v>
      </c>
      <c r="F113" s="20"/>
      <c r="G113" s="20"/>
      <c r="H113" s="20"/>
      <c r="I113" s="20"/>
      <c r="J113" s="20"/>
      <c r="K113" s="20"/>
      <c r="L113" s="20"/>
      <c r="M113" s="20"/>
      <c r="N113" s="20"/>
      <c r="O113" s="20"/>
      <c r="P113" s="20"/>
      <c r="Q113" s="20"/>
      <c r="R113" s="20"/>
      <c r="S113" s="20"/>
      <c r="T113" s="20"/>
      <c r="U113" s="20"/>
      <c r="V113" s="20"/>
      <c r="W113" s="20"/>
      <c r="X113" s="20"/>
      <c r="Y113" s="20"/>
      <c r="Z113" s="20"/>
      <c r="AA113" s="20"/>
      <c r="AB113" s="12"/>
      <c r="AC113" s="12"/>
      <c r="AD113" s="12">
        <v>94431571</v>
      </c>
      <c r="AE113" s="12">
        <v>94424971</v>
      </c>
      <c r="AF113" s="12">
        <f>98007743+4000000</f>
        <v>102007743</v>
      </c>
      <c r="AG113" s="12">
        <v>98007744</v>
      </c>
      <c r="AH113" s="12">
        <v>135099661</v>
      </c>
      <c r="AI113" s="12">
        <v>133054659</v>
      </c>
      <c r="AJ113" s="21">
        <v>119561174</v>
      </c>
      <c r="AK113" s="21">
        <v>119561174</v>
      </c>
      <c r="AL113" s="21">
        <v>118695158</v>
      </c>
      <c r="AM113" s="21">
        <v>123695159</v>
      </c>
      <c r="AN113" s="1058">
        <v>123999393</v>
      </c>
      <c r="AO113" s="1058">
        <v>123997686</v>
      </c>
      <c r="AP113" s="1058">
        <v>125300621</v>
      </c>
      <c r="AQ113" s="1058">
        <v>125301620</v>
      </c>
      <c r="AR113" s="1044"/>
      <c r="AS113" s="1044"/>
    </row>
    <row r="114" spans="2:45" hidden="1" outlineLevel="1">
      <c r="C114" s="810" t="s">
        <v>2</v>
      </c>
      <c r="D114" s="9"/>
      <c r="E114" s="20" t="s">
        <v>86</v>
      </c>
      <c r="F114" s="20"/>
      <c r="G114" s="20"/>
      <c r="H114" s="20"/>
      <c r="I114" s="20"/>
      <c r="J114" s="20"/>
      <c r="K114" s="20"/>
      <c r="L114" s="20"/>
      <c r="M114" s="20"/>
      <c r="N114" s="20"/>
      <c r="O114" s="20"/>
      <c r="P114" s="20"/>
      <c r="Q114" s="20"/>
      <c r="R114" s="20"/>
      <c r="S114" s="20"/>
      <c r="T114" s="20"/>
      <c r="U114" s="20"/>
      <c r="V114" s="20"/>
      <c r="W114" s="20"/>
      <c r="X114" s="20"/>
      <c r="Y114" s="20"/>
      <c r="Z114" s="20"/>
      <c r="AA114" s="20"/>
      <c r="AB114" s="12"/>
      <c r="AC114" s="12"/>
      <c r="AD114" s="12">
        <v>41119885</v>
      </c>
      <c r="AE114" s="12">
        <v>41119885</v>
      </c>
      <c r="AF114" s="12">
        <v>47357955</v>
      </c>
      <c r="AG114" s="12">
        <v>46957954</v>
      </c>
      <c r="AH114" s="12">
        <v>49152186</v>
      </c>
      <c r="AI114" s="12">
        <v>50135827</v>
      </c>
      <c r="AJ114" s="21">
        <v>53018153</v>
      </c>
      <c r="AK114" s="21">
        <v>53754598</v>
      </c>
      <c r="AL114" s="21">
        <v>60047016</v>
      </c>
      <c r="AM114" s="21">
        <v>61554747</v>
      </c>
      <c r="AN114" s="1058">
        <v>70479840</v>
      </c>
      <c r="AO114" s="1058">
        <v>72355799</v>
      </c>
      <c r="AP114" s="1058">
        <v>72893612</v>
      </c>
      <c r="AQ114" s="1058">
        <v>73851211</v>
      </c>
      <c r="AR114" s="1044"/>
      <c r="AS114" s="1044"/>
    </row>
    <row r="115" spans="2:45" hidden="1" outlineLevel="1">
      <c r="C115" s="810" t="s">
        <v>2</v>
      </c>
      <c r="D115" s="9"/>
      <c r="E115" s="20" t="s">
        <v>87</v>
      </c>
      <c r="F115" s="20"/>
      <c r="G115" s="20"/>
      <c r="H115" s="20"/>
      <c r="I115" s="20"/>
      <c r="J115" s="20"/>
      <c r="K115" s="20"/>
      <c r="L115" s="20"/>
      <c r="M115" s="20"/>
      <c r="N115" s="20"/>
      <c r="O115" s="20"/>
      <c r="P115" s="20"/>
      <c r="Q115" s="20"/>
      <c r="R115" s="20"/>
      <c r="S115" s="20"/>
      <c r="T115" s="20"/>
      <c r="U115" s="20"/>
      <c r="V115" s="20"/>
      <c r="W115" s="20"/>
      <c r="X115" s="20"/>
      <c r="Y115" s="20"/>
      <c r="Z115" s="20"/>
      <c r="AA115" s="20"/>
      <c r="AB115" s="12"/>
      <c r="AC115" s="12"/>
      <c r="AD115" s="12">
        <v>77418852</v>
      </c>
      <c r="AE115" s="12">
        <v>77418852</v>
      </c>
      <c r="AF115" s="12">
        <v>79286236</v>
      </c>
      <c r="AG115" s="12">
        <v>79286237</v>
      </c>
      <c r="AH115" s="12">
        <v>80927830</v>
      </c>
      <c r="AI115" s="12">
        <f>80820883+1678703</f>
        <v>82499586</v>
      </c>
      <c r="AJ115" s="21">
        <v>75383586</v>
      </c>
      <c r="AK115" s="21">
        <v>75383586</v>
      </c>
      <c r="AL115" s="21">
        <v>75957895</v>
      </c>
      <c r="AM115" s="21">
        <v>75957897</v>
      </c>
      <c r="AN115" s="1058">
        <v>84295962</v>
      </c>
      <c r="AO115" s="1058">
        <v>84295965</v>
      </c>
      <c r="AP115" s="1058">
        <v>89840462</v>
      </c>
      <c r="AQ115" s="1058">
        <v>89840462</v>
      </c>
      <c r="AR115" s="1044"/>
      <c r="AS115" s="1044"/>
    </row>
    <row r="116" spans="2:45" hidden="1" outlineLevel="1">
      <c r="C116" s="810" t="s">
        <v>2</v>
      </c>
      <c r="D116" s="9"/>
      <c r="E116" s="20" t="s">
        <v>88</v>
      </c>
      <c r="F116" s="20"/>
      <c r="G116" s="20"/>
      <c r="H116" s="20"/>
      <c r="I116" s="20"/>
      <c r="J116" s="20"/>
      <c r="K116" s="20"/>
      <c r="L116" s="20"/>
      <c r="M116" s="20"/>
      <c r="N116" s="20"/>
      <c r="O116" s="20"/>
      <c r="P116" s="20"/>
      <c r="Q116" s="20"/>
      <c r="R116" s="20"/>
      <c r="S116" s="20"/>
      <c r="T116" s="20"/>
      <c r="U116" s="20"/>
      <c r="V116" s="20"/>
      <c r="W116" s="20"/>
      <c r="X116" s="20"/>
      <c r="Y116" s="20"/>
      <c r="Z116" s="20"/>
      <c r="AA116" s="20"/>
      <c r="AB116" s="12"/>
      <c r="AC116" s="12"/>
      <c r="AD116" s="12">
        <v>37618689</v>
      </c>
      <c r="AE116" s="12">
        <v>37610689</v>
      </c>
      <c r="AF116" s="12">
        <v>54586646</v>
      </c>
      <c r="AG116" s="12">
        <v>54573645</v>
      </c>
      <c r="AH116" s="12">
        <v>158780808</v>
      </c>
      <c r="AI116" s="12">
        <f>37574712+161065711</f>
        <v>198640423</v>
      </c>
      <c r="AJ116" s="21">
        <v>57259180</v>
      </c>
      <c r="AK116" s="21">
        <v>57292180</v>
      </c>
      <c r="AL116" s="21">
        <v>68682430</v>
      </c>
      <c r="AM116" s="21">
        <v>68682428</v>
      </c>
      <c r="AN116" s="1058">
        <v>61505362</v>
      </c>
      <c r="AO116" s="1058">
        <v>61505364</v>
      </c>
      <c r="AP116" s="1058">
        <v>61823157</v>
      </c>
      <c r="AQ116" s="1058">
        <v>61823157</v>
      </c>
      <c r="AR116" s="1044"/>
      <c r="AS116" s="1044"/>
    </row>
    <row r="117" spans="2:45" hidden="1" outlineLevel="1">
      <c r="C117" s="810" t="s">
        <v>2</v>
      </c>
      <c r="D117" s="9"/>
      <c r="E117" s="20" t="s">
        <v>89</v>
      </c>
      <c r="F117" s="20"/>
      <c r="G117" s="20"/>
      <c r="H117" s="20"/>
      <c r="I117" s="20"/>
      <c r="J117" s="20"/>
      <c r="K117" s="20"/>
      <c r="L117" s="20"/>
      <c r="M117" s="20"/>
      <c r="N117" s="20"/>
      <c r="O117" s="20"/>
      <c r="P117" s="20"/>
      <c r="Q117" s="20"/>
      <c r="R117" s="20"/>
      <c r="S117" s="20"/>
      <c r="T117" s="20"/>
      <c r="U117" s="20"/>
      <c r="V117" s="20"/>
      <c r="W117" s="20"/>
      <c r="X117" s="20"/>
      <c r="Y117" s="20"/>
      <c r="Z117" s="20"/>
      <c r="AA117" s="20"/>
      <c r="AB117" s="12"/>
      <c r="AC117" s="12"/>
      <c r="AD117" s="12">
        <v>16184668</v>
      </c>
      <c r="AE117" s="12">
        <v>14184668</v>
      </c>
      <c r="AF117" s="12">
        <v>15959353</v>
      </c>
      <c r="AG117" s="12">
        <v>15959354</v>
      </c>
      <c r="AH117" s="12">
        <v>14912958</v>
      </c>
      <c r="AI117" s="12">
        <v>14688145</v>
      </c>
      <c r="AJ117" s="21">
        <v>18156731</v>
      </c>
      <c r="AK117" s="21">
        <v>18156731</v>
      </c>
      <c r="AL117" s="21">
        <v>18792841</v>
      </c>
      <c r="AM117" s="21">
        <v>18792843</v>
      </c>
      <c r="AN117" s="1058">
        <v>19034489</v>
      </c>
      <c r="AO117" s="1058">
        <v>19034739</v>
      </c>
      <c r="AP117" s="1058">
        <v>20875244</v>
      </c>
      <c r="AQ117" s="1058">
        <v>20873242</v>
      </c>
      <c r="AR117" s="1044"/>
      <c r="AS117" s="1044"/>
    </row>
    <row r="118" spans="2:45" s="1044" customFormat="1" ht="12" hidden="1" customHeight="1" outlineLevel="1">
      <c r="B118" s="1045"/>
      <c r="C118" s="1053" t="s">
        <v>2</v>
      </c>
      <c r="D118" s="1030"/>
      <c r="E118" s="1054" t="s">
        <v>2039</v>
      </c>
      <c r="F118" s="1047"/>
      <c r="G118" s="1047"/>
      <c r="H118" s="1047"/>
      <c r="I118" s="1047"/>
      <c r="J118" s="1047"/>
      <c r="K118" s="1047"/>
      <c r="L118" s="1047"/>
      <c r="M118" s="1047"/>
      <c r="N118" s="1047"/>
      <c r="O118" s="1047"/>
      <c r="P118" s="1047"/>
      <c r="Q118" s="1047"/>
      <c r="R118" s="1047"/>
      <c r="S118" s="1047"/>
      <c r="T118" s="1047"/>
      <c r="U118" s="1047"/>
      <c r="V118" s="1047"/>
      <c r="W118" s="1047"/>
      <c r="X118" s="1047"/>
      <c r="Y118" s="1047"/>
      <c r="Z118" s="1047"/>
      <c r="AA118" s="1047"/>
      <c r="AB118" s="1070"/>
      <c r="AC118" s="1070"/>
      <c r="AD118" s="1070"/>
      <c r="AE118" s="1070"/>
      <c r="AF118" s="1070"/>
      <c r="AG118" s="1070"/>
      <c r="AH118" s="1070"/>
      <c r="AI118" s="1070"/>
      <c r="AJ118" s="1058"/>
      <c r="AK118" s="1058"/>
      <c r="AL118" s="1058"/>
      <c r="AM118" s="1058"/>
      <c r="AN118" s="1058"/>
      <c r="AO118" s="1058"/>
      <c r="AP118" s="1058">
        <v>1440889292</v>
      </c>
      <c r="AQ118" s="1058">
        <v>2083052987</v>
      </c>
    </row>
    <row r="119" spans="2:45" hidden="1" outlineLevel="1">
      <c r="C119" s="810" t="s">
        <v>2</v>
      </c>
      <c r="D119" s="9"/>
      <c r="E119" s="224" t="s">
        <v>1693</v>
      </c>
      <c r="F119" s="20"/>
      <c r="G119" s="20"/>
      <c r="H119" s="20"/>
      <c r="I119" s="20"/>
      <c r="J119" s="20"/>
      <c r="K119" s="20"/>
      <c r="L119" s="20"/>
      <c r="M119" s="20"/>
      <c r="N119" s="20"/>
      <c r="O119" s="20"/>
      <c r="P119" s="20"/>
      <c r="Q119" s="20"/>
      <c r="R119" s="20"/>
      <c r="S119" s="20"/>
      <c r="T119" s="20"/>
      <c r="U119" s="20"/>
      <c r="V119" s="20"/>
      <c r="W119" s="20"/>
      <c r="X119" s="20"/>
      <c r="Y119" s="20"/>
      <c r="Z119" s="20"/>
      <c r="AA119" s="20"/>
      <c r="AB119" s="12"/>
      <c r="AC119" s="12"/>
      <c r="AD119" s="12"/>
      <c r="AE119" s="12"/>
      <c r="AF119" s="12"/>
      <c r="AG119" s="12"/>
      <c r="AH119" s="12"/>
      <c r="AI119" s="12"/>
      <c r="AJ119" s="21"/>
      <c r="AK119" s="21"/>
      <c r="AL119" s="21"/>
      <c r="AM119" s="21"/>
      <c r="AN119" s="1058"/>
      <c r="AO119" s="1058"/>
      <c r="AP119" s="1058"/>
      <c r="AQ119" s="1058"/>
      <c r="AR119" s="1044"/>
      <c r="AS119" s="1044"/>
    </row>
    <row r="120" spans="2:45" hidden="1" outlineLevel="1">
      <c r="C120" s="810" t="s">
        <v>2</v>
      </c>
      <c r="D120" s="9"/>
      <c r="E120" s="27" t="s">
        <v>90</v>
      </c>
      <c r="F120" s="20"/>
      <c r="G120" s="20"/>
      <c r="H120" s="20"/>
      <c r="I120" s="20"/>
      <c r="J120" s="20"/>
      <c r="K120" s="20"/>
      <c r="L120" s="20"/>
      <c r="M120" s="20"/>
      <c r="N120" s="20"/>
      <c r="O120" s="20"/>
      <c r="P120" s="20"/>
      <c r="Q120" s="20"/>
      <c r="R120" s="20"/>
      <c r="S120" s="20"/>
      <c r="T120" s="20"/>
      <c r="U120" s="20"/>
      <c r="V120" s="20"/>
      <c r="W120" s="20"/>
      <c r="X120" s="20"/>
      <c r="Y120" s="20"/>
      <c r="Z120" s="20"/>
      <c r="AA120" s="20"/>
      <c r="AB120" s="34"/>
      <c r="AC120" s="34"/>
      <c r="AD120" s="34">
        <v>36197434760</v>
      </c>
      <c r="AE120" s="34">
        <v>37883186939</v>
      </c>
      <c r="AF120" s="34">
        <f>36398487507+2363507500</f>
        <v>38761995007</v>
      </c>
      <c r="AG120" s="34">
        <f>38568373940+45000000+550000000</f>
        <v>39163373940</v>
      </c>
      <c r="AH120" s="34">
        <f>38083118259</f>
        <v>38083118259</v>
      </c>
      <c r="AI120" s="34">
        <f>34209441327+1990720315</f>
        <v>36200161642</v>
      </c>
      <c r="AJ120" s="45">
        <f>36327617170</f>
        <v>36327617170</v>
      </c>
      <c r="AK120" s="45">
        <f>37325020520</f>
        <v>37325020520</v>
      </c>
      <c r="AL120" s="45">
        <f t="shared" ref="AL120:AQ120" si="2">SUM(AL30:AL119)</f>
        <v>39295136015</v>
      </c>
      <c r="AM120" s="45">
        <f t="shared" si="2"/>
        <v>38677350963</v>
      </c>
      <c r="AN120" s="983">
        <f t="shared" si="2"/>
        <v>40839653437</v>
      </c>
      <c r="AO120" s="983">
        <f t="shared" si="2"/>
        <v>39491236657</v>
      </c>
      <c r="AP120" s="983">
        <f t="shared" si="2"/>
        <v>47586373076</v>
      </c>
      <c r="AQ120" s="983">
        <f t="shared" si="2"/>
        <v>47624200994</v>
      </c>
      <c r="AR120" s="1044"/>
      <c r="AS120" s="1044"/>
    </row>
    <row r="121" spans="2:45" hidden="1" outlineLevel="1">
      <c r="C121" s="810" t="s">
        <v>2</v>
      </c>
      <c r="D121" s="9"/>
      <c r="E121" s="20" t="s">
        <v>91</v>
      </c>
      <c r="F121" s="20"/>
      <c r="G121" s="20"/>
      <c r="H121" s="20"/>
      <c r="I121" s="20"/>
      <c r="J121" s="20"/>
      <c r="K121" s="20"/>
      <c r="L121" s="20"/>
      <c r="M121" s="20"/>
      <c r="N121" s="20"/>
      <c r="O121" s="20"/>
      <c r="P121" s="20"/>
      <c r="Q121" s="20"/>
      <c r="R121" s="20"/>
      <c r="S121" s="20"/>
      <c r="T121" s="20"/>
      <c r="U121" s="20"/>
      <c r="V121" s="20"/>
      <c r="W121" s="20"/>
      <c r="X121" s="20"/>
      <c r="Y121" s="20"/>
      <c r="Z121" s="20"/>
      <c r="AA121" s="20"/>
      <c r="AB121" s="12"/>
      <c r="AC121" s="12"/>
      <c r="AD121" s="12">
        <v>25191555</v>
      </c>
      <c r="AE121" s="12">
        <v>26027166</v>
      </c>
      <c r="AF121" s="12">
        <v>28168155</v>
      </c>
      <c r="AG121" s="12">
        <v>30231503</v>
      </c>
      <c r="AH121" s="12">
        <v>30368020</v>
      </c>
      <c r="AI121" s="12">
        <v>33277673</v>
      </c>
      <c r="AJ121" s="21">
        <v>34210690</v>
      </c>
      <c r="AK121" s="21">
        <v>37824313</v>
      </c>
      <c r="AL121" s="21">
        <v>41632932</v>
      </c>
      <c r="AM121" s="21">
        <v>44875153</v>
      </c>
      <c r="AN121" s="1076">
        <v>46384726</v>
      </c>
      <c r="AO121" s="1076">
        <v>47560625</v>
      </c>
      <c r="AP121" s="1076">
        <v>48017885</v>
      </c>
      <c r="AQ121" s="1076">
        <v>49026324</v>
      </c>
      <c r="AR121" s="1044"/>
      <c r="AS121" s="1044"/>
    </row>
    <row r="122" spans="2:45" hidden="1" outlineLevel="1">
      <c r="C122" s="810" t="s">
        <v>2</v>
      </c>
      <c r="D122" s="9"/>
      <c r="E122" s="20" t="s">
        <v>92</v>
      </c>
      <c r="F122" s="20"/>
      <c r="G122" s="20"/>
      <c r="H122" s="20"/>
      <c r="I122" s="20"/>
      <c r="J122" s="20"/>
      <c r="K122" s="20"/>
      <c r="L122" s="20"/>
      <c r="M122" s="20"/>
      <c r="N122" s="20"/>
      <c r="O122" s="20"/>
      <c r="P122" s="20"/>
      <c r="Q122" s="20"/>
      <c r="R122" s="20"/>
      <c r="S122" s="20"/>
      <c r="T122" s="20"/>
      <c r="U122" s="20"/>
      <c r="V122" s="20"/>
      <c r="W122" s="20"/>
      <c r="X122" s="20"/>
      <c r="Y122" s="20"/>
      <c r="Z122" s="20"/>
      <c r="AA122" s="20"/>
      <c r="AB122" s="12"/>
      <c r="AC122" s="12"/>
      <c r="AD122" s="12">
        <v>253266715</v>
      </c>
      <c r="AE122" s="12">
        <v>261877026</v>
      </c>
      <c r="AF122" s="12">
        <v>272787389</v>
      </c>
      <c r="AG122" s="12">
        <v>282093324</v>
      </c>
      <c r="AH122" s="12">
        <v>284154532</v>
      </c>
      <c r="AI122" s="12">
        <v>293754239</v>
      </c>
      <c r="AJ122" s="21">
        <v>265630090</v>
      </c>
      <c r="AK122" s="21">
        <v>270716849</v>
      </c>
      <c r="AL122" s="21">
        <v>286440623</v>
      </c>
      <c r="AM122" s="21">
        <v>297487376</v>
      </c>
      <c r="AN122" s="1076">
        <v>325480564</v>
      </c>
      <c r="AO122" s="1076">
        <v>334880578</v>
      </c>
      <c r="AP122" s="1076">
        <v>344739324</v>
      </c>
      <c r="AQ122" s="1076">
        <v>351449535</v>
      </c>
      <c r="AR122" s="1044"/>
      <c r="AS122" s="1044"/>
    </row>
    <row r="123" spans="2:45" hidden="1" outlineLevel="1">
      <c r="C123" s="810" t="s">
        <v>2</v>
      </c>
      <c r="D123" s="9"/>
      <c r="E123" s="27" t="s">
        <v>93</v>
      </c>
      <c r="F123" s="20"/>
      <c r="G123" s="20"/>
      <c r="H123" s="20"/>
      <c r="I123" s="20"/>
      <c r="J123" s="20"/>
      <c r="K123" s="20"/>
      <c r="L123" s="20"/>
      <c r="M123" s="20"/>
      <c r="N123" s="20"/>
      <c r="O123" s="20"/>
      <c r="P123" s="20"/>
      <c r="Q123" s="20"/>
      <c r="R123" s="20"/>
      <c r="S123" s="20"/>
      <c r="T123" s="20"/>
      <c r="U123" s="20"/>
      <c r="V123" s="20"/>
      <c r="W123" s="20"/>
      <c r="X123" s="20"/>
      <c r="Y123" s="20"/>
      <c r="Z123" s="20"/>
      <c r="AA123" s="20"/>
      <c r="AB123" s="34"/>
      <c r="AC123" s="34"/>
      <c r="AD123" s="34">
        <v>278458270</v>
      </c>
      <c r="AE123" s="34">
        <v>287904192</v>
      </c>
      <c r="AF123" s="34">
        <v>300955544</v>
      </c>
      <c r="AG123" s="34">
        <v>312324827</v>
      </c>
      <c r="AH123" s="34">
        <v>314522552</v>
      </c>
      <c r="AI123" s="34">
        <v>327031912</v>
      </c>
      <c r="AJ123" s="45">
        <v>299840780</v>
      </c>
      <c r="AK123" s="45">
        <v>308541162</v>
      </c>
      <c r="AL123" s="45">
        <f>SUM(AL121:AL122)</f>
        <v>328073555</v>
      </c>
      <c r="AM123" s="45">
        <f>SUM(AM121:AM122)</f>
        <v>342362529</v>
      </c>
      <c r="AN123" s="983">
        <f t="shared" ref="AN123:AQ123" si="3">SUM(AN121:AN122)</f>
        <v>371865290</v>
      </c>
      <c r="AO123" s="983">
        <f t="shared" si="3"/>
        <v>382441203</v>
      </c>
      <c r="AP123" s="983">
        <f t="shared" si="3"/>
        <v>392757209</v>
      </c>
      <c r="AQ123" s="983">
        <f t="shared" si="3"/>
        <v>400475859</v>
      </c>
      <c r="AR123" s="1044"/>
      <c r="AS123" s="1044"/>
    </row>
    <row r="124" spans="2:45" hidden="1" outlineLevel="1">
      <c r="C124" s="810" t="s">
        <v>2</v>
      </c>
      <c r="D124" s="9"/>
      <c r="E124" s="23" t="s">
        <v>94</v>
      </c>
      <c r="F124" s="20"/>
      <c r="G124" s="23"/>
      <c r="H124" s="23"/>
      <c r="I124" s="23"/>
      <c r="J124" s="23"/>
      <c r="K124" s="23"/>
      <c r="L124" s="23"/>
      <c r="M124" s="23"/>
      <c r="N124" s="23"/>
      <c r="O124" s="23"/>
      <c r="P124" s="23"/>
      <c r="Q124" s="23"/>
      <c r="R124" s="23"/>
      <c r="S124" s="23"/>
      <c r="T124" s="23"/>
      <c r="U124" s="23"/>
      <c r="V124" s="23"/>
      <c r="W124" s="23"/>
      <c r="X124" s="23"/>
      <c r="Y124" s="23"/>
      <c r="Z124" s="23"/>
      <c r="AA124" s="23"/>
      <c r="AB124" s="12"/>
      <c r="AC124" s="12"/>
      <c r="AD124" s="12">
        <v>2424425</v>
      </c>
      <c r="AE124" s="12">
        <v>4497044</v>
      </c>
      <c r="AF124" s="12">
        <v>5926610</v>
      </c>
      <c r="AG124" s="12">
        <v>7704490</v>
      </c>
      <c r="AH124" s="12">
        <v>6461840</v>
      </c>
      <c r="AI124" s="12">
        <v>8105474</v>
      </c>
      <c r="AJ124" s="24">
        <v>10459445</v>
      </c>
      <c r="AK124" s="24">
        <v>12247942</v>
      </c>
      <c r="AL124" s="24">
        <v>11797845</v>
      </c>
      <c r="AM124" s="24">
        <v>11273712</v>
      </c>
      <c r="AN124" s="372">
        <v>10521314</v>
      </c>
      <c r="AO124" s="372">
        <v>10247534</v>
      </c>
      <c r="AP124" s="372">
        <v>7228252</v>
      </c>
      <c r="AQ124" s="372">
        <v>7933400</v>
      </c>
      <c r="AR124" s="1044"/>
      <c r="AS124" s="1044"/>
    </row>
    <row r="125" spans="2:45" hidden="1" outlineLevel="1">
      <c r="C125" s="810" t="s">
        <v>2</v>
      </c>
      <c r="D125" s="9"/>
      <c r="E125" s="23" t="s">
        <v>95</v>
      </c>
      <c r="F125" s="20"/>
      <c r="G125" s="23"/>
      <c r="H125" s="23"/>
      <c r="I125" s="23"/>
      <c r="J125" s="23"/>
      <c r="K125" s="23"/>
      <c r="L125" s="23"/>
      <c r="M125" s="23"/>
      <c r="N125" s="23"/>
      <c r="O125" s="23"/>
      <c r="P125" s="23"/>
      <c r="Q125" s="23"/>
      <c r="R125" s="23"/>
      <c r="S125" s="23"/>
      <c r="T125" s="23"/>
      <c r="U125" s="23"/>
      <c r="V125" s="23"/>
      <c r="W125" s="23"/>
      <c r="X125" s="23"/>
      <c r="Y125" s="23"/>
      <c r="Z125" s="23"/>
      <c r="AA125" s="23"/>
      <c r="AB125" s="12"/>
      <c r="AC125" s="12"/>
      <c r="AD125" s="12">
        <v>6351521</v>
      </c>
      <c r="AE125" s="12">
        <v>6304925</v>
      </c>
      <c r="AF125" s="12">
        <v>3381260</v>
      </c>
      <c r="AG125" s="12">
        <v>2522774</v>
      </c>
      <c r="AH125" s="12">
        <v>2882705</v>
      </c>
      <c r="AI125" s="12">
        <v>2412625</v>
      </c>
      <c r="AJ125" s="24">
        <v>2463527</v>
      </c>
      <c r="AK125" s="24">
        <v>2595069</v>
      </c>
      <c r="AL125" s="24">
        <v>2271245</v>
      </c>
      <c r="AM125" s="24">
        <v>2271028</v>
      </c>
      <c r="AN125" s="372">
        <v>402420</v>
      </c>
      <c r="AO125" s="372">
        <v>0</v>
      </c>
      <c r="AP125" s="372"/>
      <c r="AQ125" s="372"/>
      <c r="AR125" s="1044"/>
      <c r="AS125" s="1044"/>
    </row>
    <row r="126" spans="2:45" hidden="1" outlineLevel="1">
      <c r="C126" s="810" t="s">
        <v>2</v>
      </c>
      <c r="D126" s="9"/>
      <c r="E126" s="27" t="s">
        <v>96</v>
      </c>
      <c r="F126" s="20"/>
      <c r="G126" s="20"/>
      <c r="H126" s="20"/>
      <c r="I126" s="20"/>
      <c r="J126" s="20"/>
      <c r="K126" s="20"/>
      <c r="L126" s="20"/>
      <c r="M126" s="20"/>
      <c r="N126" s="20"/>
      <c r="O126" s="20"/>
      <c r="P126" s="20"/>
      <c r="Q126" s="20"/>
      <c r="R126" s="20"/>
      <c r="S126" s="20"/>
      <c r="T126" s="20"/>
      <c r="U126" s="20"/>
      <c r="V126" s="20"/>
      <c r="W126" s="20"/>
      <c r="X126" s="20"/>
      <c r="Y126" s="20"/>
      <c r="Z126" s="20"/>
      <c r="AA126" s="20"/>
      <c r="AB126" s="12"/>
      <c r="AC126" s="12"/>
      <c r="AD126" s="12">
        <v>8775946</v>
      </c>
      <c r="AE126" s="12">
        <v>10801969</v>
      </c>
      <c r="AF126" s="12">
        <v>9307870</v>
      </c>
      <c r="AG126" s="12">
        <v>10227264</v>
      </c>
      <c r="AH126" s="12">
        <v>9344545</v>
      </c>
      <c r="AI126" s="12">
        <v>10518099</v>
      </c>
      <c r="AJ126" s="45">
        <v>12922972</v>
      </c>
      <c r="AK126" s="45">
        <v>14843011</v>
      </c>
      <c r="AL126" s="45">
        <f>SUM(AL124:AL125)</f>
        <v>14069090</v>
      </c>
      <c r="AM126" s="45">
        <f>SUM(AM124:AM125)</f>
        <v>13544740</v>
      </c>
      <c r="AN126" s="983">
        <f t="shared" ref="AN126:AQ126" si="4">SUM(AN124:AN125)</f>
        <v>10923734</v>
      </c>
      <c r="AO126" s="983">
        <f t="shared" si="4"/>
        <v>10247534</v>
      </c>
      <c r="AP126" s="983">
        <f t="shared" si="4"/>
        <v>7228252</v>
      </c>
      <c r="AQ126" s="983">
        <f t="shared" si="4"/>
        <v>7933400</v>
      </c>
      <c r="AR126" s="1044"/>
      <c r="AS126" s="1044"/>
    </row>
    <row r="127" spans="2:45" hidden="1" outlineLevel="1">
      <c r="C127" s="810" t="s">
        <v>2</v>
      </c>
      <c r="D127" s="9"/>
      <c r="E127" s="224" t="s">
        <v>1693</v>
      </c>
      <c r="F127" s="20"/>
      <c r="G127" s="20"/>
      <c r="H127" s="20"/>
      <c r="I127" s="20"/>
      <c r="J127" s="20"/>
      <c r="K127" s="20"/>
      <c r="L127" s="20"/>
      <c r="M127" s="20"/>
      <c r="N127" s="20"/>
      <c r="O127" s="20"/>
      <c r="P127" s="20"/>
      <c r="Q127" s="20"/>
      <c r="R127" s="20"/>
      <c r="S127" s="20"/>
      <c r="T127" s="20"/>
      <c r="U127" s="20"/>
      <c r="V127" s="20"/>
      <c r="W127" s="20"/>
      <c r="X127" s="20"/>
      <c r="Y127" s="20"/>
      <c r="Z127" s="20"/>
      <c r="AA127" s="20"/>
      <c r="AB127" s="12"/>
      <c r="AC127" s="12"/>
      <c r="AD127" s="12"/>
      <c r="AE127" s="12"/>
      <c r="AF127" s="12"/>
      <c r="AG127" s="12"/>
      <c r="AH127" s="12"/>
      <c r="AI127" s="12"/>
      <c r="AJ127" s="45"/>
      <c r="AK127" s="45"/>
      <c r="AL127" s="263">
        <v>0</v>
      </c>
      <c r="AM127" s="263">
        <v>0</v>
      </c>
      <c r="AN127" s="776"/>
      <c r="AO127" s="776"/>
      <c r="AP127" s="776"/>
      <c r="AQ127" s="776"/>
      <c r="AR127" s="1044"/>
      <c r="AS127" s="1044"/>
    </row>
    <row r="128" spans="2:45" hidden="1" outlineLevel="1">
      <c r="C128" s="810" t="s">
        <v>2</v>
      </c>
      <c r="D128" s="9"/>
      <c r="E128" s="224" t="s">
        <v>97</v>
      </c>
      <c r="F128" s="20"/>
      <c r="G128" s="20"/>
      <c r="H128" s="20"/>
      <c r="I128" s="20"/>
      <c r="J128" s="20"/>
      <c r="K128" s="20"/>
      <c r="L128" s="20"/>
      <c r="M128" s="20"/>
      <c r="N128" s="20"/>
      <c r="O128" s="20"/>
      <c r="P128" s="20"/>
      <c r="Q128" s="20"/>
      <c r="R128" s="20"/>
      <c r="S128" s="20"/>
      <c r="T128" s="20"/>
      <c r="U128" s="20"/>
      <c r="V128" s="20"/>
      <c r="W128" s="20"/>
      <c r="X128" s="20"/>
      <c r="Y128" s="20"/>
      <c r="Z128" s="20"/>
      <c r="AA128" s="20"/>
      <c r="AB128" s="12"/>
      <c r="AC128" s="12"/>
      <c r="AD128" s="12">
        <v>64950129</v>
      </c>
      <c r="AE128" s="12">
        <v>64950729</v>
      </c>
      <c r="AF128" s="12">
        <v>73968114</v>
      </c>
      <c r="AG128" s="12">
        <v>73968114</v>
      </c>
      <c r="AH128" s="12">
        <v>41208861</v>
      </c>
      <c r="AI128" s="12">
        <v>41419473</v>
      </c>
      <c r="AJ128" s="21">
        <v>45200798</v>
      </c>
      <c r="AK128" s="21">
        <v>44540004</v>
      </c>
      <c r="AL128" s="21">
        <v>49829851</v>
      </c>
      <c r="AM128" s="21">
        <v>50583925</v>
      </c>
      <c r="AN128" s="1076">
        <v>53821273</v>
      </c>
      <c r="AO128" s="1076">
        <v>54520704</v>
      </c>
      <c r="AP128" s="1076">
        <v>58375428</v>
      </c>
      <c r="AQ128" s="1076">
        <v>58672504</v>
      </c>
      <c r="AR128" s="1044"/>
      <c r="AS128" s="1044"/>
    </row>
    <row r="129" spans="2:45" hidden="1" outlineLevel="1">
      <c r="C129" s="810" t="s">
        <v>2</v>
      </c>
      <c r="D129" s="9"/>
      <c r="E129" s="27" t="s">
        <v>1462</v>
      </c>
      <c r="F129" s="20"/>
      <c r="G129" s="20"/>
      <c r="H129" s="20"/>
      <c r="I129" s="20"/>
      <c r="J129" s="20"/>
      <c r="K129" s="20"/>
      <c r="L129" s="20"/>
      <c r="M129" s="20"/>
      <c r="N129" s="20"/>
      <c r="O129" s="20"/>
      <c r="P129" s="20"/>
      <c r="Q129" s="20"/>
      <c r="R129" s="20"/>
      <c r="S129" s="20"/>
      <c r="T129" s="20"/>
      <c r="U129" s="20"/>
      <c r="V129" s="20"/>
      <c r="W129" s="20"/>
      <c r="X129" s="20"/>
      <c r="Y129" s="20"/>
      <c r="Z129" s="20"/>
      <c r="AA129" s="20"/>
      <c r="AB129" s="34"/>
      <c r="AC129" s="34"/>
      <c r="AD129" s="34">
        <v>36419718847</v>
      </c>
      <c r="AE129" s="34">
        <v>38116942371</v>
      </c>
      <c r="AF129" s="34">
        <f>36634782807+2363507500</f>
        <v>38998290307</v>
      </c>
      <c r="AG129" s="34">
        <f>38816957917+45000000+550000000</f>
        <v>39411957917</v>
      </c>
      <c r="AH129" s="34">
        <f>38365776495</f>
        <v>38365776495</v>
      </c>
      <c r="AI129" s="34">
        <f>34505571865+1990720315</f>
        <v>36496292180</v>
      </c>
      <c r="AJ129" s="45">
        <f>36595180124</f>
        <v>36595180124</v>
      </c>
      <c r="AK129" s="45">
        <f>37603864689</f>
        <v>37603864689</v>
      </c>
      <c r="AL129" s="45">
        <f>AL120+AL123+AL126+AL127-AL128</f>
        <v>39587448809</v>
      </c>
      <c r="AM129" s="45">
        <f>AM120+AM123+AM126+AM127-AM128</f>
        <v>38982674307</v>
      </c>
      <c r="AN129" s="983">
        <f>AN120+AN123+AN126+AN127-AN128</f>
        <v>41168621188</v>
      </c>
      <c r="AO129" s="983">
        <f>AO120+AO123+AO126+AO127-AO128</f>
        <v>39829404690</v>
      </c>
      <c r="AP129" s="983">
        <f t="shared" ref="AP129:AQ129" si="5">AP120+AP123+AP126+AP127-AP128</f>
        <v>47927983109</v>
      </c>
      <c r="AQ129" s="983">
        <f t="shared" si="5"/>
        <v>47973937749</v>
      </c>
      <c r="AR129" s="1044"/>
      <c r="AS129" s="1044"/>
    </row>
    <row r="130" spans="2:45" collapsed="1">
      <c r="C130" s="810" t="s">
        <v>99</v>
      </c>
      <c r="D130" s="25"/>
      <c r="E130" s="6"/>
      <c r="F130" s="6"/>
      <c r="G130" s="6"/>
      <c r="H130" s="6"/>
      <c r="I130" s="6"/>
      <c r="J130" s="6"/>
      <c r="K130" s="6"/>
      <c r="L130" s="6"/>
      <c r="M130" s="6"/>
      <c r="N130" s="6"/>
      <c r="O130" s="6"/>
      <c r="P130" s="6"/>
      <c r="Q130" s="6"/>
      <c r="R130" s="6"/>
      <c r="S130" s="6"/>
      <c r="T130" s="6"/>
      <c r="U130" s="6"/>
      <c r="V130" s="6"/>
      <c r="W130" s="6"/>
      <c r="X130" s="6"/>
      <c r="Y130" s="6"/>
      <c r="Z130" s="6"/>
      <c r="AA130" s="6"/>
      <c r="AB130" s="7"/>
      <c r="AC130" s="7"/>
      <c r="AD130" s="7"/>
      <c r="AE130" s="7"/>
      <c r="AF130" s="7"/>
      <c r="AG130" s="7"/>
      <c r="AH130" s="7"/>
      <c r="AI130" s="7"/>
      <c r="AJ130" s="369" t="s">
        <v>1204</v>
      </c>
      <c r="AK130" s="369" t="s">
        <v>1204</v>
      </c>
      <c r="AL130" s="369" t="s">
        <v>1797</v>
      </c>
      <c r="AM130" s="369" t="s">
        <v>1797</v>
      </c>
      <c r="AN130" s="369" t="s">
        <v>1796</v>
      </c>
      <c r="AO130" s="369" t="s">
        <v>1796</v>
      </c>
      <c r="AP130" s="696" t="s">
        <v>2042</v>
      </c>
      <c r="AQ130" s="696" t="s">
        <v>2042</v>
      </c>
      <c r="AR130" s="1044"/>
      <c r="AS130" s="1044"/>
    </row>
    <row r="131" spans="2:45" hidden="1" outlineLevel="1">
      <c r="C131" s="9" t="s">
        <v>16</v>
      </c>
      <c r="D131" s="9"/>
      <c r="E131" s="20" t="s">
        <v>19</v>
      </c>
      <c r="F131" s="20"/>
      <c r="G131" s="20"/>
      <c r="H131" s="20"/>
      <c r="I131" s="20"/>
      <c r="J131" s="20"/>
      <c r="K131" s="20"/>
      <c r="L131" s="20"/>
      <c r="M131" s="20"/>
      <c r="N131" s="20"/>
      <c r="O131" s="20"/>
      <c r="P131" s="20"/>
      <c r="Q131" s="20"/>
      <c r="R131" s="20"/>
      <c r="S131" s="20"/>
      <c r="T131" s="20"/>
      <c r="U131" s="20"/>
      <c r="V131" s="20"/>
      <c r="W131" s="20"/>
      <c r="X131" s="20"/>
      <c r="Y131" s="20"/>
      <c r="Z131" s="20"/>
      <c r="AA131" s="20"/>
      <c r="AB131" s="12"/>
      <c r="AC131" s="12"/>
      <c r="AD131" s="12">
        <v>14772003551</v>
      </c>
      <c r="AE131" s="12">
        <v>16707048074</v>
      </c>
      <c r="AF131" s="12">
        <f>14903702117-3611792500</f>
        <v>11291909617</v>
      </c>
      <c r="AG131" s="12">
        <v>16848620602</v>
      </c>
      <c r="AH131" s="12">
        <v>16682984583</v>
      </c>
      <c r="AI131" s="12">
        <f>13793722943+1750517000</f>
        <v>15544239943</v>
      </c>
      <c r="AJ131" s="21">
        <v>16788773868</v>
      </c>
      <c r="AK131" s="21">
        <v>17519177926</v>
      </c>
      <c r="AL131" s="21">
        <v>19458585012</v>
      </c>
      <c r="AM131" s="21">
        <v>18020962862</v>
      </c>
      <c r="AN131" s="1058">
        <v>19121701027</v>
      </c>
      <c r="AO131" s="1058">
        <v>17493445466</v>
      </c>
      <c r="AP131" s="1058">
        <v>22742391008</v>
      </c>
      <c r="AQ131" s="1058">
        <v>21979471649</v>
      </c>
      <c r="AR131" s="1044"/>
      <c r="AS131" s="1044"/>
    </row>
    <row r="132" spans="2:45" hidden="1" outlineLevel="1">
      <c r="C132" s="9" t="s">
        <v>16</v>
      </c>
      <c r="D132" s="9"/>
      <c r="E132" s="20" t="s">
        <v>20</v>
      </c>
      <c r="F132" s="20"/>
      <c r="G132" s="20"/>
      <c r="H132" s="20"/>
      <c r="I132" s="20"/>
      <c r="J132" s="20"/>
      <c r="K132" s="20"/>
      <c r="L132" s="20"/>
      <c r="M132" s="20"/>
      <c r="N132" s="20"/>
      <c r="O132" s="20"/>
      <c r="P132" s="20"/>
      <c r="Q132" s="20"/>
      <c r="R132" s="20"/>
      <c r="S132" s="20"/>
      <c r="T132" s="20"/>
      <c r="U132" s="20"/>
      <c r="V132" s="20"/>
      <c r="W132" s="20"/>
      <c r="X132" s="20"/>
      <c r="Y132" s="20"/>
      <c r="Z132" s="20"/>
      <c r="AA132" s="20"/>
      <c r="AB132" s="12"/>
      <c r="AC132" s="12"/>
      <c r="AD132" s="12">
        <v>0</v>
      </c>
      <c r="AE132" s="12">
        <v>0</v>
      </c>
      <c r="AF132" s="12"/>
      <c r="AG132" s="12"/>
      <c r="AH132" s="12"/>
      <c r="AI132" s="12"/>
      <c r="AJ132" s="22"/>
      <c r="AK132" s="22"/>
      <c r="AL132" s="22"/>
      <c r="AM132" s="22"/>
      <c r="AN132" s="1059"/>
      <c r="AO132" s="1059"/>
      <c r="AP132" s="1059"/>
      <c r="AQ132" s="1059"/>
      <c r="AR132" s="1044"/>
      <c r="AS132" s="1044"/>
    </row>
    <row r="133" spans="2:45" hidden="1" outlineLevel="1">
      <c r="C133" s="9" t="s">
        <v>16</v>
      </c>
      <c r="D133" s="9"/>
      <c r="E133" s="20" t="s">
        <v>21</v>
      </c>
      <c r="F133" s="20"/>
      <c r="G133" s="20"/>
      <c r="H133" s="20"/>
      <c r="I133" s="20"/>
      <c r="J133" s="20"/>
      <c r="K133" s="20"/>
      <c r="L133" s="20"/>
      <c r="M133" s="20"/>
      <c r="N133" s="20"/>
      <c r="O133" s="20"/>
      <c r="P133" s="20"/>
      <c r="Q133" s="20"/>
      <c r="R133" s="20"/>
      <c r="S133" s="20"/>
      <c r="T133" s="20"/>
      <c r="U133" s="20"/>
      <c r="V133" s="20"/>
      <c r="W133" s="20"/>
      <c r="X133" s="20"/>
      <c r="Y133" s="20"/>
      <c r="Z133" s="20"/>
      <c r="AA133" s="20"/>
      <c r="AB133" s="12"/>
      <c r="AC133" s="12"/>
      <c r="AD133" s="12">
        <v>13761974</v>
      </c>
      <c r="AE133" s="12">
        <v>13453501</v>
      </c>
      <c r="AF133" s="12">
        <v>15342714</v>
      </c>
      <c r="AG133" s="12">
        <v>15339936</v>
      </c>
      <c r="AH133" s="12">
        <v>14701474</v>
      </c>
      <c r="AI133" s="12">
        <v>14451473</v>
      </c>
      <c r="AJ133" s="21">
        <v>15141177</v>
      </c>
      <c r="AK133" s="21">
        <v>14240074</v>
      </c>
      <c r="AL133" s="21">
        <v>14613971</v>
      </c>
      <c r="AM133" s="21">
        <v>14413971</v>
      </c>
      <c r="AN133" s="1058">
        <v>15593250</v>
      </c>
      <c r="AO133" s="1058">
        <v>15692008</v>
      </c>
      <c r="AP133" s="1058">
        <v>16597224</v>
      </c>
      <c r="AQ133" s="1058">
        <v>16422226</v>
      </c>
      <c r="AR133" s="1044"/>
      <c r="AS133" s="1044"/>
    </row>
    <row r="134" spans="2:45" hidden="1" outlineLevel="1">
      <c r="C134" s="9" t="s">
        <v>16</v>
      </c>
      <c r="D134" s="9"/>
      <c r="E134" s="20" t="s">
        <v>22</v>
      </c>
      <c r="F134" s="20"/>
      <c r="G134" s="20"/>
      <c r="H134" s="20"/>
      <c r="I134" s="20"/>
      <c r="J134" s="20"/>
      <c r="K134" s="20"/>
      <c r="L134" s="20"/>
      <c r="M134" s="20"/>
      <c r="N134" s="20"/>
      <c r="O134" s="20"/>
      <c r="P134" s="20"/>
      <c r="Q134" s="20"/>
      <c r="R134" s="20"/>
      <c r="S134" s="20"/>
      <c r="T134" s="20"/>
      <c r="U134" s="20"/>
      <c r="V134" s="20"/>
      <c r="W134" s="20"/>
      <c r="X134" s="20"/>
      <c r="Y134" s="20"/>
      <c r="Z134" s="20"/>
      <c r="AA134" s="20"/>
      <c r="AB134" s="12"/>
      <c r="AC134" s="12"/>
      <c r="AD134" s="12">
        <v>18402354</v>
      </c>
      <c r="AE134" s="12">
        <v>16316296</v>
      </c>
      <c r="AF134" s="12">
        <v>20750368</v>
      </c>
      <c r="AG134" s="12">
        <v>17902189</v>
      </c>
      <c r="AH134" s="12">
        <v>18814664</v>
      </c>
      <c r="AI134" s="12">
        <v>17401814</v>
      </c>
      <c r="AJ134" s="21">
        <v>17612504</v>
      </c>
      <c r="AK134" s="21">
        <v>17612505</v>
      </c>
      <c r="AL134" s="21">
        <v>17550537</v>
      </c>
      <c r="AM134" s="21">
        <v>17490537</v>
      </c>
      <c r="AN134" s="1058">
        <v>18569327</v>
      </c>
      <c r="AO134" s="1058">
        <v>18710036</v>
      </c>
      <c r="AP134" s="1058">
        <v>24347311</v>
      </c>
      <c r="AQ134" s="1058">
        <v>19353738</v>
      </c>
      <c r="AR134" s="1044"/>
      <c r="AS134" s="1044"/>
    </row>
    <row r="135" spans="2:45" hidden="1" outlineLevel="1">
      <c r="C135" s="9" t="s">
        <v>16</v>
      </c>
      <c r="D135" s="9"/>
      <c r="E135" s="20" t="s">
        <v>23</v>
      </c>
      <c r="F135" s="20"/>
      <c r="G135" s="20"/>
      <c r="H135" s="20"/>
      <c r="I135" s="20"/>
      <c r="J135" s="20"/>
      <c r="K135" s="20"/>
      <c r="L135" s="20"/>
      <c r="M135" s="20"/>
      <c r="N135" s="20"/>
      <c r="O135" s="20"/>
      <c r="P135" s="20"/>
      <c r="Q135" s="20"/>
      <c r="R135" s="20"/>
      <c r="S135" s="20"/>
      <c r="T135" s="20"/>
      <c r="U135" s="20"/>
      <c r="V135" s="20"/>
      <c r="W135" s="20"/>
      <c r="X135" s="20"/>
      <c r="Y135" s="20"/>
      <c r="Z135" s="20"/>
      <c r="AA135" s="20"/>
      <c r="AB135" s="12"/>
      <c r="AC135" s="12"/>
      <c r="AD135" s="12">
        <v>0</v>
      </c>
      <c r="AE135" s="12">
        <v>0</v>
      </c>
      <c r="AF135" s="12"/>
      <c r="AG135" s="12"/>
      <c r="AH135" s="12"/>
      <c r="AI135" s="12"/>
      <c r="AJ135" s="21"/>
      <c r="AK135" s="21"/>
      <c r="AL135" s="21"/>
      <c r="AM135" s="21"/>
      <c r="AN135" s="1058"/>
      <c r="AO135" s="1058"/>
      <c r="AP135" s="1058"/>
      <c r="AQ135" s="1058"/>
      <c r="AR135" s="1044"/>
      <c r="AS135" s="1044"/>
    </row>
    <row r="136" spans="2:45" hidden="1" outlineLevel="1">
      <c r="C136" s="9" t="s">
        <v>16</v>
      </c>
      <c r="D136" s="9"/>
      <c r="E136" s="20" t="s">
        <v>24</v>
      </c>
      <c r="F136" s="20"/>
      <c r="G136" s="20"/>
      <c r="H136" s="20"/>
      <c r="I136" s="20"/>
      <c r="J136" s="20"/>
      <c r="K136" s="20"/>
      <c r="L136" s="20"/>
      <c r="M136" s="20"/>
      <c r="N136" s="20"/>
      <c r="O136" s="20"/>
      <c r="P136" s="20"/>
      <c r="Q136" s="20"/>
      <c r="R136" s="20"/>
      <c r="S136" s="20"/>
      <c r="T136" s="20"/>
      <c r="U136" s="20"/>
      <c r="V136" s="20"/>
      <c r="W136" s="20"/>
      <c r="X136" s="20"/>
      <c r="Y136" s="20"/>
      <c r="Z136" s="20"/>
      <c r="AA136" s="20"/>
      <c r="AB136" s="12"/>
      <c r="AC136" s="12"/>
      <c r="AD136" s="12">
        <v>1615051416</v>
      </c>
      <c r="AE136" s="12">
        <v>1679207796</v>
      </c>
      <c r="AF136" s="12">
        <v>1806672541</v>
      </c>
      <c r="AG136" s="12">
        <v>1881335168</v>
      </c>
      <c r="AH136" s="12">
        <v>1731613220</v>
      </c>
      <c r="AI136" s="12">
        <v>1699526259</v>
      </c>
      <c r="AJ136" s="21">
        <v>1700627858</v>
      </c>
      <c r="AK136" s="21">
        <v>1806039959</v>
      </c>
      <c r="AL136" s="21">
        <v>2002929038</v>
      </c>
      <c r="AM136" s="21">
        <v>2046454786</v>
      </c>
      <c r="AN136" s="1058">
        <v>2698626937</v>
      </c>
      <c r="AO136" s="1058">
        <v>2379334790</v>
      </c>
      <c r="AP136" s="1058">
        <v>2653019677</v>
      </c>
      <c r="AQ136" s="1058">
        <v>2520392507</v>
      </c>
      <c r="AR136" s="1044"/>
      <c r="AS136" s="1044"/>
    </row>
    <row r="137" spans="2:45" hidden="1" outlineLevel="1">
      <c r="C137" s="9" t="s">
        <v>16</v>
      </c>
      <c r="D137" s="9"/>
      <c r="E137" s="20" t="s">
        <v>25</v>
      </c>
      <c r="F137" s="20"/>
      <c r="G137" s="20"/>
      <c r="H137" s="20"/>
      <c r="I137" s="20"/>
      <c r="J137" s="20"/>
      <c r="K137" s="20"/>
      <c r="L137" s="20"/>
      <c r="M137" s="20"/>
      <c r="N137" s="20"/>
      <c r="O137" s="20"/>
      <c r="P137" s="20"/>
      <c r="Q137" s="20"/>
      <c r="R137" s="20"/>
      <c r="S137" s="20"/>
      <c r="T137" s="20"/>
      <c r="U137" s="20"/>
      <c r="V137" s="20"/>
      <c r="W137" s="20"/>
      <c r="X137" s="20"/>
      <c r="Y137" s="20"/>
      <c r="Z137" s="20"/>
      <c r="AA137" s="20"/>
      <c r="AB137" s="12"/>
      <c r="AC137" s="12"/>
      <c r="AD137" s="12">
        <v>121564539</v>
      </c>
      <c r="AE137" s="12">
        <v>126427120</v>
      </c>
      <c r="AF137" s="12">
        <v>123831106</v>
      </c>
      <c r="AG137" s="12">
        <v>127546040</v>
      </c>
      <c r="AH137" s="12">
        <v>102670649</v>
      </c>
      <c r="AI137" s="12">
        <v>102670648</v>
      </c>
      <c r="AJ137" s="21">
        <v>103788047</v>
      </c>
      <c r="AK137" s="21">
        <v>105078846</v>
      </c>
      <c r="AL137" s="21">
        <v>130670819</v>
      </c>
      <c r="AM137" s="21">
        <v>128087008</v>
      </c>
      <c r="AN137" s="1058">
        <v>123514132</v>
      </c>
      <c r="AO137" s="1058">
        <v>122278990</v>
      </c>
      <c r="AP137" s="1058">
        <v>122024371</v>
      </c>
      <c r="AQ137" s="1058">
        <v>121204367</v>
      </c>
      <c r="AR137" s="1044"/>
      <c r="AS137" s="1044"/>
    </row>
    <row r="138" spans="2:45" hidden="1" outlineLevel="1">
      <c r="C138" s="9" t="s">
        <v>16</v>
      </c>
      <c r="D138" s="9"/>
      <c r="E138" s="226" t="s">
        <v>26</v>
      </c>
      <c r="F138" s="23"/>
      <c r="G138" s="23"/>
      <c r="H138" s="23"/>
      <c r="I138" s="23"/>
      <c r="J138" s="23"/>
      <c r="K138" s="23"/>
      <c r="L138" s="23"/>
      <c r="M138" s="23"/>
      <c r="N138" s="23"/>
      <c r="O138" s="23"/>
      <c r="P138" s="23"/>
      <c r="Q138" s="23"/>
      <c r="R138" s="23"/>
      <c r="S138" s="23"/>
      <c r="T138" s="23"/>
      <c r="U138" s="23"/>
      <c r="V138" s="23"/>
      <c r="W138" s="23"/>
      <c r="X138" s="23"/>
      <c r="Y138" s="23"/>
      <c r="Z138" s="23"/>
      <c r="AA138" s="23"/>
      <c r="AB138" s="34"/>
      <c r="AC138" s="34"/>
      <c r="AD138" s="34">
        <v>502899303</v>
      </c>
      <c r="AE138" s="34">
        <v>348926726</v>
      </c>
      <c r="AF138" s="34">
        <v>543088839</v>
      </c>
      <c r="AG138" s="34">
        <v>579977488</v>
      </c>
      <c r="AH138" s="34">
        <v>471017382</v>
      </c>
      <c r="AI138" s="34">
        <f>496539542-1400437</f>
        <v>495139105</v>
      </c>
      <c r="AJ138" s="230">
        <f>574559571</f>
        <v>574559571</v>
      </c>
      <c r="AK138" s="230">
        <f>616652126</f>
        <v>616652126</v>
      </c>
      <c r="AL138" s="230">
        <v>665110413</v>
      </c>
      <c r="AM138" s="230">
        <v>712776657</v>
      </c>
      <c r="AN138" s="920">
        <v>690375295</v>
      </c>
      <c r="AO138" s="920">
        <v>721852872</v>
      </c>
      <c r="AP138" s="920">
        <v>708935833</v>
      </c>
      <c r="AQ138" s="920">
        <v>708935830</v>
      </c>
      <c r="AR138" s="1044"/>
      <c r="AS138" s="1044"/>
    </row>
    <row r="139" spans="2:45" hidden="1" outlineLevel="1">
      <c r="C139" s="9" t="s">
        <v>16</v>
      </c>
      <c r="D139" s="9"/>
      <c r="E139" s="27" t="s">
        <v>27</v>
      </c>
      <c r="F139" s="20"/>
      <c r="G139" s="20"/>
      <c r="H139" s="20"/>
      <c r="I139" s="20"/>
      <c r="J139" s="20"/>
      <c r="K139" s="20"/>
      <c r="L139" s="20"/>
      <c r="M139" s="20"/>
      <c r="N139" s="20"/>
      <c r="O139" s="20"/>
      <c r="P139" s="20"/>
      <c r="Q139" s="20"/>
      <c r="R139" s="20"/>
      <c r="S139" s="20"/>
      <c r="T139" s="20"/>
      <c r="U139" s="20"/>
      <c r="V139" s="20"/>
      <c r="W139" s="20"/>
      <c r="X139" s="20"/>
      <c r="Y139" s="20"/>
      <c r="Z139" s="20"/>
      <c r="AA139" s="20"/>
      <c r="AB139" s="34"/>
      <c r="AC139" s="34"/>
      <c r="AD139" s="34">
        <v>482985847</v>
      </c>
      <c r="AE139" s="34">
        <v>550723283</v>
      </c>
      <c r="AF139" s="34">
        <f>736678922-80000000</f>
        <v>656678922</v>
      </c>
      <c r="AG139" s="34">
        <v>647268795</v>
      </c>
      <c r="AH139" s="34">
        <f>584623588</f>
        <v>584623588</v>
      </c>
      <c r="AI139" s="34">
        <f>468898447+81400000</f>
        <v>550298447</v>
      </c>
      <c r="AJ139" s="45">
        <v>680798071</v>
      </c>
      <c r="AK139" s="45">
        <v>561954505</v>
      </c>
      <c r="AL139" s="45">
        <v>764001834</v>
      </c>
      <c r="AM139" s="45">
        <v>932360501</v>
      </c>
      <c r="AN139" s="983">
        <v>708341805</v>
      </c>
      <c r="AO139" s="983">
        <v>688540827</v>
      </c>
      <c r="AP139" s="983">
        <v>822604121</v>
      </c>
      <c r="AQ139" s="983">
        <v>815918716</v>
      </c>
      <c r="AR139" s="1044"/>
      <c r="AS139" s="1044"/>
    </row>
    <row r="140" spans="2:45" hidden="1" outlineLevel="1">
      <c r="C140" s="9" t="s">
        <v>16</v>
      </c>
      <c r="D140" s="9"/>
      <c r="E140" s="20" t="s">
        <v>28</v>
      </c>
      <c r="F140" s="20"/>
      <c r="G140" s="20"/>
      <c r="H140" s="20"/>
      <c r="I140" s="20"/>
      <c r="J140" s="20"/>
      <c r="K140" s="20"/>
      <c r="L140" s="20"/>
      <c r="M140" s="20"/>
      <c r="N140" s="20"/>
      <c r="O140" s="20"/>
      <c r="P140" s="20"/>
      <c r="Q140" s="20"/>
      <c r="R140" s="20"/>
      <c r="S140" s="20"/>
      <c r="T140" s="20"/>
      <c r="U140" s="20"/>
      <c r="V140" s="20"/>
      <c r="W140" s="20"/>
      <c r="X140" s="20"/>
      <c r="Y140" s="20"/>
      <c r="Z140" s="20"/>
      <c r="AA140" s="20"/>
      <c r="AB140" s="12"/>
      <c r="AC140" s="12"/>
      <c r="AD140" s="12">
        <v>262500000</v>
      </c>
      <c r="AE140" s="12">
        <v>262500000</v>
      </c>
      <c r="AF140" s="12">
        <v>262500000</v>
      </c>
      <c r="AG140" s="12">
        <v>262500000</v>
      </c>
      <c r="AH140" s="12">
        <v>262500000</v>
      </c>
      <c r="AI140" s="12">
        <v>262500000</v>
      </c>
      <c r="AJ140" s="21">
        <v>262500000</v>
      </c>
      <c r="AK140" s="21">
        <v>262500000</v>
      </c>
      <c r="AL140" s="21">
        <v>262500000</v>
      </c>
      <c r="AM140" s="21">
        <v>393750000</v>
      </c>
      <c r="AN140" s="1058">
        <v>393750000</v>
      </c>
      <c r="AO140" s="1058">
        <v>393750000</v>
      </c>
      <c r="AP140" s="1058">
        <v>393750000</v>
      </c>
      <c r="AQ140" s="1058">
        <v>393750000</v>
      </c>
      <c r="AR140" s="1044"/>
      <c r="AS140" s="1044"/>
    </row>
    <row r="141" spans="2:45" hidden="1" outlineLevel="1">
      <c r="C141" s="9" t="s">
        <v>16</v>
      </c>
      <c r="D141" s="806" t="s">
        <v>958</v>
      </c>
      <c r="E141" s="592" t="s">
        <v>1428</v>
      </c>
      <c r="F141" s="20"/>
      <c r="G141" s="20"/>
      <c r="H141" s="20"/>
      <c r="I141" s="20"/>
      <c r="J141" s="20"/>
      <c r="K141" s="20"/>
      <c r="L141" s="20"/>
      <c r="M141" s="20"/>
      <c r="N141" s="20"/>
      <c r="O141" s="20"/>
      <c r="P141" s="20"/>
      <c r="Q141" s="20"/>
      <c r="R141" s="20"/>
      <c r="S141" s="20"/>
      <c r="T141" s="20"/>
      <c r="U141" s="20"/>
      <c r="V141" s="20"/>
      <c r="W141" s="20"/>
      <c r="X141" s="20"/>
      <c r="Y141" s="20"/>
      <c r="Z141" s="20"/>
      <c r="AA141" s="20"/>
      <c r="AB141" s="12"/>
      <c r="AC141" s="12"/>
      <c r="AD141" s="12">
        <v>7321994</v>
      </c>
      <c r="AE141" s="12">
        <v>7321994</v>
      </c>
      <c r="AF141" s="12">
        <v>8536650</v>
      </c>
      <c r="AG141" s="12">
        <v>8540600</v>
      </c>
      <c r="AH141" s="12">
        <v>7965600</v>
      </c>
      <c r="AI141" s="12">
        <v>7965600</v>
      </c>
      <c r="AJ141" s="21">
        <v>17096225</v>
      </c>
      <c r="AK141" s="21">
        <v>7865600</v>
      </c>
      <c r="AL141" s="21">
        <v>9038063</v>
      </c>
      <c r="AM141" s="21">
        <v>9037463</v>
      </c>
      <c r="AN141" s="1058">
        <v>9516706</v>
      </c>
      <c r="AO141" s="1058">
        <v>8870153</v>
      </c>
      <c r="AP141" s="1058">
        <v>8820703</v>
      </c>
      <c r="AQ141" s="1058">
        <v>8166643</v>
      </c>
      <c r="AR141" s="1044"/>
      <c r="AS141" s="1044"/>
    </row>
    <row r="142" spans="2:45" s="797" customFormat="1" hidden="1" outlineLevel="1">
      <c r="B142" s="798"/>
      <c r="C142" s="803" t="s">
        <v>16</v>
      </c>
      <c r="D142" s="799"/>
      <c r="E142" s="804" t="s">
        <v>1851</v>
      </c>
      <c r="F142" s="801"/>
      <c r="G142" s="801"/>
      <c r="H142" s="801"/>
      <c r="I142" s="801"/>
      <c r="J142" s="801"/>
      <c r="K142" s="801"/>
      <c r="L142" s="801"/>
      <c r="M142" s="801"/>
      <c r="N142" s="801"/>
      <c r="O142" s="801"/>
      <c r="P142" s="801"/>
      <c r="Q142" s="801"/>
      <c r="R142" s="801"/>
      <c r="S142" s="801"/>
      <c r="T142" s="801"/>
      <c r="U142" s="801"/>
      <c r="V142" s="801"/>
      <c r="W142" s="801"/>
      <c r="X142" s="801"/>
      <c r="Y142" s="801"/>
      <c r="Z142" s="801"/>
      <c r="AA142" s="801"/>
      <c r="AB142" s="800"/>
      <c r="AC142" s="800"/>
      <c r="AD142" s="800"/>
      <c r="AE142" s="800"/>
      <c r="AF142" s="800"/>
      <c r="AG142" s="800"/>
      <c r="AH142" s="800"/>
      <c r="AI142" s="800"/>
      <c r="AJ142" s="802"/>
      <c r="AK142" s="802"/>
      <c r="AL142" s="802"/>
      <c r="AM142" s="802"/>
      <c r="AN142" s="1058">
        <v>15000000</v>
      </c>
      <c r="AO142" s="1058">
        <v>15000000</v>
      </c>
      <c r="AP142" s="1058">
        <v>15000000</v>
      </c>
      <c r="AQ142" s="1058">
        <v>15000000</v>
      </c>
      <c r="AR142" s="1044"/>
      <c r="AS142" s="1044"/>
    </row>
    <row r="143" spans="2:45" hidden="1" outlineLevel="1">
      <c r="C143" s="9" t="s">
        <v>16</v>
      </c>
      <c r="D143" s="806" t="s">
        <v>836</v>
      </c>
      <c r="E143" s="20" t="s">
        <v>754</v>
      </c>
      <c r="F143" s="20"/>
      <c r="G143" s="20"/>
      <c r="H143" s="20"/>
      <c r="I143" s="20"/>
      <c r="J143" s="20"/>
      <c r="K143" s="20"/>
      <c r="L143" s="20"/>
      <c r="M143" s="20"/>
      <c r="N143" s="20"/>
      <c r="O143" s="20"/>
      <c r="P143" s="20"/>
      <c r="Q143" s="20"/>
      <c r="R143" s="20"/>
      <c r="S143" s="20"/>
      <c r="T143" s="20"/>
      <c r="U143" s="20"/>
      <c r="V143" s="20"/>
      <c r="W143" s="20"/>
      <c r="X143" s="20"/>
      <c r="Y143" s="20"/>
      <c r="Z143" s="20"/>
      <c r="AA143" s="20"/>
      <c r="AB143" s="12"/>
      <c r="AC143" s="12"/>
      <c r="AD143" s="12">
        <v>91800295</v>
      </c>
      <c r="AE143" s="12">
        <v>91778750</v>
      </c>
      <c r="AF143" s="12">
        <f>94838190-3839588-3</f>
        <v>90998599</v>
      </c>
      <c r="AG143" s="12">
        <v>95021912</v>
      </c>
      <c r="AH143" s="12">
        <v>94448405</v>
      </c>
      <c r="AI143" s="12">
        <f>89419389-2000000</f>
        <v>87419389</v>
      </c>
      <c r="AJ143" s="21">
        <v>93846448</v>
      </c>
      <c r="AK143" s="21">
        <v>93855983</v>
      </c>
      <c r="AL143" s="21">
        <v>105032456</v>
      </c>
      <c r="AM143" s="21">
        <v>105438634</v>
      </c>
      <c r="AN143" s="1058">
        <v>106793419</v>
      </c>
      <c r="AO143" s="1058">
        <v>107170649</v>
      </c>
      <c r="AP143" s="1058">
        <v>125093925</v>
      </c>
      <c r="AQ143" s="1058">
        <v>124996206</v>
      </c>
      <c r="AR143" s="1044"/>
      <c r="AS143" s="1044"/>
    </row>
    <row r="144" spans="2:45" hidden="1" outlineLevel="1">
      <c r="C144" s="9" t="s">
        <v>16</v>
      </c>
      <c r="D144" s="806" t="s">
        <v>836</v>
      </c>
      <c r="E144" s="224" t="s">
        <v>749</v>
      </c>
      <c r="F144" s="20"/>
      <c r="G144" s="20"/>
      <c r="H144" s="20"/>
      <c r="I144" s="20"/>
      <c r="J144" s="20"/>
      <c r="K144" s="20"/>
      <c r="L144" s="20"/>
      <c r="M144" s="20"/>
      <c r="N144" s="20"/>
      <c r="O144" s="20"/>
      <c r="P144" s="20"/>
      <c r="Q144" s="20"/>
      <c r="R144" s="20"/>
      <c r="S144" s="20"/>
      <c r="T144" s="20"/>
      <c r="U144" s="20"/>
      <c r="V144" s="20"/>
      <c r="W144" s="20"/>
      <c r="X144" s="20"/>
      <c r="Y144" s="20"/>
      <c r="Z144" s="20"/>
      <c r="AA144" s="20"/>
      <c r="AB144" s="12"/>
      <c r="AC144" s="12"/>
      <c r="AD144" s="12">
        <v>270599384</v>
      </c>
      <c r="AE144" s="12">
        <v>268165109</v>
      </c>
      <c r="AF144" s="12">
        <f>285736523-9889405</f>
        <v>275847118</v>
      </c>
      <c r="AG144" s="12">
        <v>285924494</v>
      </c>
      <c r="AH144" s="12">
        <v>247397392</v>
      </c>
      <c r="AI144" s="12">
        <v>245147339</v>
      </c>
      <c r="AJ144" s="21">
        <v>263282134</v>
      </c>
      <c r="AK144" s="21">
        <v>262213754</v>
      </c>
      <c r="AL144" s="21">
        <v>295412040</v>
      </c>
      <c r="AM144" s="21">
        <v>283010519</v>
      </c>
      <c r="AN144" s="1210">
        <f>301705311-5691443</f>
        <v>296013868</v>
      </c>
      <c r="AO144" s="1210">
        <f>294766246-5691443</f>
        <v>289074803</v>
      </c>
      <c r="AP144" s="1210">
        <f>315444013-10985358.7687378</f>
        <v>304458654.23126221</v>
      </c>
      <c r="AQ144" s="1210">
        <f>305899032-10985359</f>
        <v>294913673</v>
      </c>
      <c r="AR144" s="1044"/>
      <c r="AS144" s="1044"/>
    </row>
    <row r="145" spans="3:45" hidden="1" outlineLevel="1">
      <c r="C145" s="9" t="s">
        <v>16</v>
      </c>
      <c r="D145" s="806" t="s">
        <v>836</v>
      </c>
      <c r="E145" s="20" t="s">
        <v>755</v>
      </c>
      <c r="F145" s="20"/>
      <c r="G145" s="20"/>
      <c r="H145" s="20"/>
      <c r="I145" s="20"/>
      <c r="J145" s="20"/>
      <c r="K145" s="20"/>
      <c r="L145" s="20"/>
      <c r="M145" s="20"/>
      <c r="N145" s="20"/>
      <c r="O145" s="20"/>
      <c r="P145" s="20"/>
      <c r="Q145" s="20"/>
      <c r="R145" s="20"/>
      <c r="S145" s="20"/>
      <c r="T145" s="20"/>
      <c r="U145" s="20"/>
      <c r="V145" s="20"/>
      <c r="W145" s="20"/>
      <c r="X145" s="20"/>
      <c r="Y145" s="20"/>
      <c r="Z145" s="20"/>
      <c r="AA145" s="20"/>
      <c r="AB145" s="12"/>
      <c r="AC145" s="12"/>
      <c r="AD145" s="12">
        <v>70025671</v>
      </c>
      <c r="AE145" s="12">
        <v>67931941</v>
      </c>
      <c r="AF145" s="12">
        <f>77523583-3062438</f>
        <v>74461145</v>
      </c>
      <c r="AG145" s="12">
        <v>77622572</v>
      </c>
      <c r="AH145" s="12">
        <v>76170725</v>
      </c>
      <c r="AI145" s="12">
        <f>72607656-890662</f>
        <v>71716994</v>
      </c>
      <c r="AJ145" s="21">
        <v>84676973</v>
      </c>
      <c r="AK145" s="21">
        <v>84349130</v>
      </c>
      <c r="AL145" s="21">
        <v>86393413</v>
      </c>
      <c r="AM145" s="21">
        <v>85886928</v>
      </c>
      <c r="AN145" s="1058">
        <v>89546708</v>
      </c>
      <c r="AO145" s="1058">
        <v>88858840</v>
      </c>
      <c r="AP145" s="1058">
        <v>99582898</v>
      </c>
      <c r="AQ145" s="1058">
        <v>99321497</v>
      </c>
      <c r="AR145" s="1044"/>
      <c r="AS145" s="1044"/>
    </row>
    <row r="146" spans="3:45" hidden="1" outlineLevel="1">
      <c r="C146" s="9" t="s">
        <v>16</v>
      </c>
      <c r="D146" s="806" t="s">
        <v>836</v>
      </c>
      <c r="E146" s="20" t="s">
        <v>756</v>
      </c>
      <c r="F146" s="20"/>
      <c r="G146" s="20"/>
      <c r="H146" s="20"/>
      <c r="I146" s="20"/>
      <c r="J146" s="20"/>
      <c r="K146" s="20"/>
      <c r="L146" s="20"/>
      <c r="M146" s="20"/>
      <c r="N146" s="20"/>
      <c r="O146" s="20"/>
      <c r="P146" s="20"/>
      <c r="Q146" s="20"/>
      <c r="R146" s="20"/>
      <c r="S146" s="20"/>
      <c r="T146" s="20"/>
      <c r="U146" s="20"/>
      <c r="V146" s="20"/>
      <c r="W146" s="20"/>
      <c r="X146" s="20"/>
      <c r="Y146" s="20"/>
      <c r="Z146" s="20"/>
      <c r="AA146" s="20"/>
      <c r="AB146" s="12"/>
      <c r="AC146" s="12"/>
      <c r="AD146" s="12">
        <v>74282853</v>
      </c>
      <c r="AE146" s="12">
        <v>74155110</v>
      </c>
      <c r="AF146" s="12">
        <f>79590041-2681876</f>
        <v>76908165</v>
      </c>
      <c r="AG146" s="12">
        <v>79654203</v>
      </c>
      <c r="AH146" s="12">
        <v>68822630</v>
      </c>
      <c r="AI146" s="12">
        <v>68959082</v>
      </c>
      <c r="AJ146" s="21">
        <v>73082883</v>
      </c>
      <c r="AK146" s="21">
        <v>72887435</v>
      </c>
      <c r="AL146" s="21">
        <v>80551320</v>
      </c>
      <c r="AM146" s="21">
        <v>80715707</v>
      </c>
      <c r="AN146" s="1058">
        <v>82960548</v>
      </c>
      <c r="AO146" s="1058">
        <v>83055003</v>
      </c>
      <c r="AP146" s="1058">
        <v>87763535</v>
      </c>
      <c r="AQ146" s="1058">
        <v>87709125</v>
      </c>
      <c r="AR146" s="1044"/>
      <c r="AS146" s="1044"/>
    </row>
    <row r="147" spans="3:45" hidden="1" outlineLevel="1">
      <c r="C147" s="9" t="s">
        <v>16</v>
      </c>
      <c r="D147" s="806" t="s">
        <v>836</v>
      </c>
      <c r="E147" s="224" t="s">
        <v>1669</v>
      </c>
      <c r="F147" s="20"/>
      <c r="G147" s="20"/>
      <c r="H147" s="20"/>
      <c r="I147" s="20"/>
      <c r="J147" s="20"/>
      <c r="K147" s="20"/>
      <c r="L147" s="20"/>
      <c r="M147" s="20"/>
      <c r="N147" s="20"/>
      <c r="O147" s="20"/>
      <c r="P147" s="20"/>
      <c r="Q147" s="20"/>
      <c r="R147" s="20"/>
      <c r="S147" s="20"/>
      <c r="T147" s="20"/>
      <c r="U147" s="20"/>
      <c r="V147" s="20"/>
      <c r="W147" s="20"/>
      <c r="X147" s="20"/>
      <c r="Y147" s="20"/>
      <c r="Z147" s="20"/>
      <c r="AA147" s="20"/>
      <c r="AB147" s="12"/>
      <c r="AC147" s="12"/>
      <c r="AD147" s="12"/>
      <c r="AE147" s="12"/>
      <c r="AF147" s="12"/>
      <c r="AG147" s="12"/>
      <c r="AH147" s="12"/>
      <c r="AI147" s="12"/>
      <c r="AJ147" s="21"/>
      <c r="AK147" s="21"/>
      <c r="AL147" s="21">
        <v>125938293</v>
      </c>
      <c r="AM147" s="21">
        <v>126268985</v>
      </c>
      <c r="AN147" s="1058">
        <f>118915596-26743331</f>
        <v>92172265</v>
      </c>
      <c r="AO147" s="1058">
        <f>119121526-26754712</f>
        <v>92366814</v>
      </c>
      <c r="AP147" s="1058">
        <v>97104134</v>
      </c>
      <c r="AQ147" s="1058">
        <v>97095892</v>
      </c>
      <c r="AR147" s="1044"/>
      <c r="AS147" s="1044"/>
    </row>
    <row r="148" spans="3:45" hidden="1" outlineLevel="1">
      <c r="C148" s="9" t="s">
        <v>16</v>
      </c>
      <c r="D148" s="806" t="s">
        <v>836</v>
      </c>
      <c r="E148" s="20" t="s">
        <v>1356</v>
      </c>
      <c r="F148" s="20"/>
      <c r="G148" s="20"/>
      <c r="H148" s="20"/>
      <c r="I148" s="20"/>
      <c r="J148" s="20"/>
      <c r="K148" s="20"/>
      <c r="L148" s="20"/>
      <c r="M148" s="20"/>
      <c r="N148" s="20"/>
      <c r="O148" s="20"/>
      <c r="P148" s="20"/>
      <c r="Q148" s="20"/>
      <c r="R148" s="20"/>
      <c r="S148" s="20"/>
      <c r="T148" s="20"/>
      <c r="U148" s="20"/>
      <c r="V148" s="20"/>
      <c r="W148" s="20"/>
      <c r="X148" s="20"/>
      <c r="Y148" s="20"/>
      <c r="Z148" s="20"/>
      <c r="AA148" s="20"/>
      <c r="AB148" s="12"/>
      <c r="AC148" s="12"/>
      <c r="AD148" s="12">
        <v>61259191</v>
      </c>
      <c r="AE148" s="12">
        <v>61265464</v>
      </c>
      <c r="AF148" s="12">
        <f>64432057-2241274</f>
        <v>62190783</v>
      </c>
      <c r="AG148" s="12">
        <v>64574841</v>
      </c>
      <c r="AH148" s="12">
        <v>55480654</v>
      </c>
      <c r="AI148" s="12">
        <v>55408868</v>
      </c>
      <c r="AJ148" s="21">
        <v>58587141</v>
      </c>
      <c r="AK148" s="21">
        <v>58704945</v>
      </c>
      <c r="AL148" s="21"/>
      <c r="AM148" s="21"/>
      <c r="AN148" s="1058"/>
      <c r="AO148" s="1058"/>
      <c r="AP148" s="1058"/>
      <c r="AQ148" s="1058"/>
      <c r="AR148" s="1044"/>
      <c r="AS148" s="1044"/>
    </row>
    <row r="149" spans="3:45" hidden="1" outlineLevel="1">
      <c r="C149" s="9" t="s">
        <v>16</v>
      </c>
      <c r="D149" s="806" t="s">
        <v>836</v>
      </c>
      <c r="E149" s="20" t="s">
        <v>1357</v>
      </c>
      <c r="F149" s="20"/>
      <c r="G149" s="20"/>
      <c r="H149" s="20"/>
      <c r="I149" s="20"/>
      <c r="J149" s="20"/>
      <c r="K149" s="20"/>
      <c r="L149" s="20"/>
      <c r="M149" s="20"/>
      <c r="N149" s="20"/>
      <c r="O149" s="20"/>
      <c r="P149" s="20"/>
      <c r="Q149" s="20"/>
      <c r="R149" s="20"/>
      <c r="S149" s="20"/>
      <c r="T149" s="20"/>
      <c r="U149" s="20"/>
      <c r="V149" s="20"/>
      <c r="W149" s="20"/>
      <c r="X149" s="20"/>
      <c r="Y149" s="20"/>
      <c r="Z149" s="20"/>
      <c r="AA149" s="20"/>
      <c r="AB149" s="12"/>
      <c r="AC149" s="12"/>
      <c r="AD149" s="12">
        <v>25719392</v>
      </c>
      <c r="AE149" s="12">
        <v>25716477</v>
      </c>
      <c r="AF149" s="12">
        <f>27444907-540108</f>
        <v>26904799</v>
      </c>
      <c r="AG149" s="12">
        <v>27477950</v>
      </c>
      <c r="AH149" s="12">
        <v>23706578</v>
      </c>
      <c r="AI149" s="12">
        <v>23718203</v>
      </c>
      <c r="AJ149" s="21">
        <v>22443789</v>
      </c>
      <c r="AK149" s="21">
        <v>22454176</v>
      </c>
      <c r="AL149" s="21"/>
      <c r="AM149" s="21"/>
      <c r="AN149" s="1058"/>
      <c r="AO149" s="1058"/>
      <c r="AP149" s="1058"/>
      <c r="AQ149" s="1058"/>
      <c r="AR149" s="1044"/>
      <c r="AS149" s="1044"/>
    </row>
    <row r="150" spans="3:45" hidden="1" outlineLevel="1">
      <c r="C150" s="9" t="s">
        <v>16</v>
      </c>
      <c r="D150" s="806" t="s">
        <v>836</v>
      </c>
      <c r="E150" s="20" t="s">
        <v>1358</v>
      </c>
      <c r="F150" s="20"/>
      <c r="G150" s="20"/>
      <c r="H150" s="20"/>
      <c r="I150" s="20"/>
      <c r="J150" s="20"/>
      <c r="K150" s="20"/>
      <c r="L150" s="20"/>
      <c r="M150" s="20"/>
      <c r="N150" s="20"/>
      <c r="O150" s="20"/>
      <c r="P150" s="20"/>
      <c r="Q150" s="20"/>
      <c r="R150" s="20"/>
      <c r="S150" s="20"/>
      <c r="T150" s="20"/>
      <c r="U150" s="20"/>
      <c r="V150" s="20"/>
      <c r="W150" s="20"/>
      <c r="X150" s="20"/>
      <c r="Y150" s="20"/>
      <c r="Z150" s="20"/>
      <c r="AA150" s="20"/>
      <c r="AB150" s="12"/>
      <c r="AC150" s="12"/>
      <c r="AD150" s="12">
        <v>28420041</v>
      </c>
      <c r="AE150" s="12">
        <v>28530464</v>
      </c>
      <c r="AF150" s="12">
        <f>28188927-400587</f>
        <v>27788340</v>
      </c>
      <c r="AG150" s="12">
        <v>28205266</v>
      </c>
      <c r="AH150" s="12">
        <v>25259695</v>
      </c>
      <c r="AI150" s="12">
        <v>23556545</v>
      </c>
      <c r="AJ150" s="21">
        <v>25679383</v>
      </c>
      <c r="AK150" s="21">
        <v>25689247</v>
      </c>
      <c r="AL150" s="21">
        <v>30034131</v>
      </c>
      <c r="AM150" s="21">
        <v>30035102</v>
      </c>
      <c r="AN150" s="1058">
        <v>31560326</v>
      </c>
      <c r="AO150" s="1058">
        <v>31557322</v>
      </c>
      <c r="AP150" s="1058">
        <v>31866072</v>
      </c>
      <c r="AQ150" s="1058">
        <v>31856430</v>
      </c>
      <c r="AR150" s="1044"/>
      <c r="AS150" s="1044"/>
    </row>
    <row r="151" spans="3:45" hidden="1" outlineLevel="1">
      <c r="C151" s="9" t="s">
        <v>16</v>
      </c>
      <c r="D151" s="806" t="s">
        <v>836</v>
      </c>
      <c r="E151" s="20" t="s">
        <v>757</v>
      </c>
      <c r="F151" s="20"/>
      <c r="G151" s="20"/>
      <c r="H151" s="20"/>
      <c r="I151" s="20"/>
      <c r="J151" s="20"/>
      <c r="K151" s="20"/>
      <c r="L151" s="20"/>
      <c r="M151" s="20"/>
      <c r="N151" s="20"/>
      <c r="O151" s="20"/>
      <c r="P151" s="20"/>
      <c r="Q151" s="20"/>
      <c r="R151" s="20"/>
      <c r="S151" s="20"/>
      <c r="T151" s="20"/>
      <c r="U151" s="20"/>
      <c r="V151" s="20"/>
      <c r="W151" s="20"/>
      <c r="X151" s="20"/>
      <c r="Y151" s="20"/>
      <c r="Z151" s="20"/>
      <c r="AA151" s="20"/>
      <c r="AB151" s="12"/>
      <c r="AC151" s="12"/>
      <c r="AD151" s="12">
        <v>95475461</v>
      </c>
      <c r="AE151" s="12">
        <v>95483782</v>
      </c>
      <c r="AF151" s="12">
        <f>101797243-3525733</f>
        <v>98271510</v>
      </c>
      <c r="AG151" s="12">
        <v>102019824</v>
      </c>
      <c r="AH151" s="12">
        <v>89254368</v>
      </c>
      <c r="AI151" s="12">
        <v>89292896</v>
      </c>
      <c r="AJ151" s="21">
        <v>95996945</v>
      </c>
      <c r="AK151" s="21">
        <v>96259105</v>
      </c>
      <c r="AL151" s="21">
        <v>94416333</v>
      </c>
      <c r="AM151" s="21">
        <v>94507580</v>
      </c>
      <c r="AN151" s="1058">
        <v>100068772</v>
      </c>
      <c r="AO151" s="1058">
        <v>100141845</v>
      </c>
      <c r="AP151" s="1058">
        <v>114621965</v>
      </c>
      <c r="AQ151" s="1058">
        <v>114586252</v>
      </c>
      <c r="AR151" s="1044"/>
      <c r="AS151" s="1044"/>
    </row>
    <row r="152" spans="3:45" hidden="1" outlineLevel="1">
      <c r="C152" s="9" t="s">
        <v>16</v>
      </c>
      <c r="D152" s="806" t="s">
        <v>836</v>
      </c>
      <c r="E152" s="20" t="s">
        <v>1359</v>
      </c>
      <c r="F152" s="20"/>
      <c r="G152" s="20"/>
      <c r="H152" s="20"/>
      <c r="I152" s="20"/>
      <c r="J152" s="20"/>
      <c r="K152" s="20"/>
      <c r="L152" s="20"/>
      <c r="M152" s="20"/>
      <c r="N152" s="20"/>
      <c r="O152" s="20"/>
      <c r="P152" s="20"/>
      <c r="Q152" s="20"/>
      <c r="R152" s="20"/>
      <c r="S152" s="20"/>
      <c r="T152" s="20"/>
      <c r="U152" s="20"/>
      <c r="V152" s="20"/>
      <c r="W152" s="20"/>
      <c r="X152" s="20"/>
      <c r="Y152" s="20"/>
      <c r="Z152" s="20"/>
      <c r="AA152" s="20"/>
      <c r="AB152" s="12"/>
      <c r="AC152" s="12"/>
      <c r="AD152" s="12">
        <v>30840988</v>
      </c>
      <c r="AE152" s="12">
        <v>29322190</v>
      </c>
      <c r="AF152" s="12">
        <f>30652405-777002</f>
        <v>29875403</v>
      </c>
      <c r="AG152" s="12">
        <v>30701606</v>
      </c>
      <c r="AH152" s="12">
        <v>25896880</v>
      </c>
      <c r="AI152" s="12">
        <v>25907848</v>
      </c>
      <c r="AJ152" s="21">
        <v>29097063</v>
      </c>
      <c r="AK152" s="21">
        <v>29134605</v>
      </c>
      <c r="AL152" s="21">
        <v>32329219</v>
      </c>
      <c r="AM152" s="21">
        <v>32360483</v>
      </c>
      <c r="AN152" s="1058">
        <v>35662360</v>
      </c>
      <c r="AO152" s="1058">
        <v>35671551</v>
      </c>
      <c r="AP152" s="1058">
        <v>36070813</v>
      </c>
      <c r="AQ152" s="1058">
        <v>36056229</v>
      </c>
      <c r="AR152" s="1044"/>
      <c r="AS152" s="1044"/>
    </row>
    <row r="153" spans="3:45" hidden="1" outlineLevel="1">
      <c r="C153" s="9" t="s">
        <v>16</v>
      </c>
      <c r="D153" s="806" t="s">
        <v>958</v>
      </c>
      <c r="E153" s="592" t="s">
        <v>1429</v>
      </c>
      <c r="F153" s="20"/>
      <c r="G153" s="20"/>
      <c r="H153" s="20"/>
      <c r="I153" s="20"/>
      <c r="J153" s="20"/>
      <c r="K153" s="20"/>
      <c r="L153" s="20"/>
      <c r="M153" s="20"/>
      <c r="N153" s="20"/>
      <c r="O153" s="20"/>
      <c r="P153" s="20"/>
      <c r="Q153" s="20"/>
      <c r="R153" s="20"/>
      <c r="S153" s="20"/>
      <c r="T153" s="20"/>
      <c r="U153" s="20"/>
      <c r="V153" s="20"/>
      <c r="W153" s="20"/>
      <c r="X153" s="20"/>
      <c r="Y153" s="20"/>
      <c r="Z153" s="20"/>
      <c r="AA153" s="20"/>
      <c r="AB153" s="12"/>
      <c r="AC153" s="12"/>
      <c r="AD153" s="12">
        <v>7603355</v>
      </c>
      <c r="AE153" s="12">
        <v>6195358</v>
      </c>
      <c r="AF153" s="12">
        <v>4328125</v>
      </c>
      <c r="AG153" s="12">
        <v>7666996</v>
      </c>
      <c r="AH153" s="12">
        <v>2236934</v>
      </c>
      <c r="AI153" s="12">
        <v>2236934</v>
      </c>
      <c r="AJ153" s="21">
        <v>2236934</v>
      </c>
      <c r="AK153" s="21">
        <v>2236934</v>
      </c>
      <c r="AL153" s="21">
        <v>855586</v>
      </c>
      <c r="AM153" s="21">
        <v>855586</v>
      </c>
      <c r="AN153" s="1058">
        <v>770028</v>
      </c>
      <c r="AO153" s="1058">
        <v>770027</v>
      </c>
      <c r="AP153" s="1058">
        <v>770028</v>
      </c>
      <c r="AQ153" s="1058">
        <v>770027</v>
      </c>
      <c r="AR153" s="1044"/>
      <c r="AS153" s="1044"/>
    </row>
    <row r="154" spans="3:45" hidden="1" outlineLevel="1">
      <c r="C154" s="9" t="s">
        <v>16</v>
      </c>
      <c r="D154" s="806" t="s">
        <v>836</v>
      </c>
      <c r="E154" s="20" t="s">
        <v>751</v>
      </c>
      <c r="F154" s="20"/>
      <c r="G154" s="20"/>
      <c r="H154" s="20"/>
      <c r="I154" s="20"/>
      <c r="J154" s="20"/>
      <c r="K154" s="20"/>
      <c r="L154" s="20"/>
      <c r="M154" s="20"/>
      <c r="N154" s="20"/>
      <c r="O154" s="20"/>
      <c r="P154" s="20"/>
      <c r="Q154" s="20"/>
      <c r="R154" s="20"/>
      <c r="S154" s="20"/>
      <c r="T154" s="20"/>
      <c r="U154" s="20"/>
      <c r="V154" s="20"/>
      <c r="W154" s="20"/>
      <c r="X154" s="20"/>
      <c r="Y154" s="20"/>
      <c r="Z154" s="20"/>
      <c r="AA154" s="20"/>
      <c r="AB154" s="12"/>
      <c r="AC154" s="12"/>
      <c r="AD154" s="12">
        <v>245757297</v>
      </c>
      <c r="AE154" s="12">
        <v>242459023</v>
      </c>
      <c r="AF154" s="12">
        <f>264875965-10292033</f>
        <v>254583932</v>
      </c>
      <c r="AG154" s="12">
        <v>265178712</v>
      </c>
      <c r="AH154" s="12">
        <v>229328294</v>
      </c>
      <c r="AI154" s="12">
        <v>228682766</v>
      </c>
      <c r="AJ154" s="21">
        <v>252631564</v>
      </c>
      <c r="AK154" s="21">
        <v>252061763</v>
      </c>
      <c r="AL154" s="21">
        <v>283577112</v>
      </c>
      <c r="AM154" s="21">
        <v>283610307</v>
      </c>
      <c r="AN154" s="1058">
        <v>296154502</v>
      </c>
      <c r="AO154" s="1058">
        <v>295990725</v>
      </c>
      <c r="AP154" s="1058">
        <v>342078776</v>
      </c>
      <c r="AQ154" s="1058">
        <v>341803641</v>
      </c>
      <c r="AR154" s="1044"/>
      <c r="AS154" s="1044"/>
    </row>
    <row r="155" spans="3:45" hidden="1" outlineLevel="1">
      <c r="C155" s="9" t="s">
        <v>16</v>
      </c>
      <c r="D155" s="806" t="s">
        <v>836</v>
      </c>
      <c r="E155" s="20" t="s">
        <v>876</v>
      </c>
      <c r="F155" s="20"/>
      <c r="G155" s="20"/>
      <c r="H155" s="20"/>
      <c r="I155" s="20"/>
      <c r="J155" s="20"/>
      <c r="K155" s="20"/>
      <c r="L155" s="20"/>
      <c r="M155" s="20"/>
      <c r="N155" s="20"/>
      <c r="O155" s="20"/>
      <c r="P155" s="20"/>
      <c r="Q155" s="20"/>
      <c r="R155" s="20"/>
      <c r="S155" s="20"/>
      <c r="T155" s="20"/>
      <c r="U155" s="20"/>
      <c r="V155" s="20"/>
      <c r="W155" s="20"/>
      <c r="X155" s="20"/>
      <c r="Y155" s="20"/>
      <c r="Z155" s="20"/>
      <c r="AA155" s="20"/>
      <c r="AB155" s="12"/>
      <c r="AC155" s="12"/>
      <c r="AD155" s="12">
        <v>16135736</v>
      </c>
      <c r="AE155" s="12">
        <v>16123176</v>
      </c>
      <c r="AF155" s="12">
        <f>16773167-349135</f>
        <v>16424032</v>
      </c>
      <c r="AG155" s="12">
        <v>16787710</v>
      </c>
      <c r="AH155" s="12">
        <v>15498067</v>
      </c>
      <c r="AI155" s="12">
        <v>15466607</v>
      </c>
      <c r="AJ155" s="21">
        <v>16439327</v>
      </c>
      <c r="AK155" s="21">
        <v>16432295</v>
      </c>
      <c r="AL155" s="21">
        <v>18226547</v>
      </c>
      <c r="AM155" s="21">
        <v>18232517</v>
      </c>
      <c r="AN155" s="1058">
        <v>21898030</v>
      </c>
      <c r="AO155" s="1058">
        <v>21906357</v>
      </c>
      <c r="AP155" s="1058">
        <v>22161422</v>
      </c>
      <c r="AQ155" s="1058">
        <v>22143056</v>
      </c>
      <c r="AR155" s="1044"/>
      <c r="AS155" s="1044"/>
    </row>
    <row r="156" spans="3:45" hidden="1" outlineLevel="1">
      <c r="C156" s="9" t="s">
        <v>16</v>
      </c>
      <c r="D156" s="806" t="s">
        <v>836</v>
      </c>
      <c r="E156" s="20" t="s">
        <v>750</v>
      </c>
      <c r="F156" s="20"/>
      <c r="G156" s="20"/>
      <c r="H156" s="20"/>
      <c r="I156" s="20"/>
      <c r="J156" s="20"/>
      <c r="K156" s="20"/>
      <c r="L156" s="20"/>
      <c r="M156" s="20"/>
      <c r="N156" s="20"/>
      <c r="O156" s="20"/>
      <c r="P156" s="20"/>
      <c r="Q156" s="20"/>
      <c r="R156" s="20"/>
      <c r="S156" s="20"/>
      <c r="T156" s="20"/>
      <c r="U156" s="20"/>
      <c r="V156" s="20"/>
      <c r="W156" s="20"/>
      <c r="X156" s="20"/>
      <c r="Y156" s="20"/>
      <c r="Z156" s="20"/>
      <c r="AA156" s="20"/>
      <c r="AB156" s="12"/>
      <c r="AC156" s="12"/>
      <c r="AD156" s="12">
        <v>56390293</v>
      </c>
      <c r="AE156" s="12">
        <v>51754071</v>
      </c>
      <c r="AF156" s="12">
        <f>54769814-1144808</f>
        <v>53625006</v>
      </c>
      <c r="AG156" s="12">
        <v>54811695</v>
      </c>
      <c r="AH156" s="12">
        <v>45549924</v>
      </c>
      <c r="AI156" s="12">
        <v>45373944</v>
      </c>
      <c r="AJ156" s="21">
        <v>42407753</v>
      </c>
      <c r="AK156" s="21">
        <v>42354737</v>
      </c>
      <c r="AL156" s="21">
        <v>47199035</v>
      </c>
      <c r="AM156" s="21">
        <v>47212929</v>
      </c>
      <c r="AN156" s="1058">
        <v>48386805</v>
      </c>
      <c r="AO156" s="1058">
        <v>48364594</v>
      </c>
      <c r="AP156" s="1058">
        <v>48230831</v>
      </c>
      <c r="AQ156" s="1058">
        <v>48191613</v>
      </c>
      <c r="AR156" s="1044"/>
      <c r="AS156" s="1044"/>
    </row>
    <row r="157" spans="3:45" hidden="1" outlineLevel="1">
      <c r="C157" s="9" t="s">
        <v>16</v>
      </c>
      <c r="D157" s="806" t="s">
        <v>836</v>
      </c>
      <c r="E157" s="20" t="s">
        <v>1209</v>
      </c>
      <c r="F157" s="20"/>
      <c r="G157" s="20"/>
      <c r="H157" s="20"/>
      <c r="I157" s="20"/>
      <c r="J157" s="20"/>
      <c r="K157" s="20"/>
      <c r="L157" s="20"/>
      <c r="M157" s="20"/>
      <c r="N157" s="20"/>
      <c r="O157" s="20"/>
      <c r="P157" s="20"/>
      <c r="Q157" s="20"/>
      <c r="R157" s="20"/>
      <c r="S157" s="20"/>
      <c r="T157" s="20"/>
      <c r="U157" s="20"/>
      <c r="V157" s="20"/>
      <c r="W157" s="20"/>
      <c r="X157" s="20"/>
      <c r="Y157" s="20"/>
      <c r="Z157" s="20"/>
      <c r="AA157" s="20"/>
      <c r="AB157" s="12"/>
      <c r="AC157" s="12"/>
      <c r="AD157" s="12">
        <v>40645351</v>
      </c>
      <c r="AE157" s="12">
        <v>40641796</v>
      </c>
      <c r="AF157" s="12">
        <f>47894299-1274872</f>
        <v>46619427</v>
      </c>
      <c r="AG157" s="12">
        <v>45413033</v>
      </c>
      <c r="AH157" s="12">
        <v>29760680</v>
      </c>
      <c r="AI157" s="12">
        <v>29703793</v>
      </c>
      <c r="AJ157" s="21">
        <v>34372889</v>
      </c>
      <c r="AK157" s="21">
        <v>34428007</v>
      </c>
      <c r="AL157" s="21">
        <v>38059655</v>
      </c>
      <c r="AM157" s="21">
        <v>38150293</v>
      </c>
      <c r="AN157" s="1058">
        <v>45955374</v>
      </c>
      <c r="AO157" s="1058">
        <v>46030599</v>
      </c>
      <c r="AP157" s="1058">
        <v>45738384</v>
      </c>
      <c r="AQ157" s="1058">
        <v>45724236</v>
      </c>
      <c r="AR157" s="1044"/>
      <c r="AS157" s="1044"/>
    </row>
    <row r="158" spans="3:45" hidden="1" outlineLevel="1">
      <c r="C158" s="9" t="s">
        <v>16</v>
      </c>
      <c r="D158" s="806" t="s">
        <v>836</v>
      </c>
      <c r="E158" s="224" t="s">
        <v>1210</v>
      </c>
      <c r="F158" s="20"/>
      <c r="G158" s="20"/>
      <c r="H158" s="20"/>
      <c r="I158" s="20"/>
      <c r="J158" s="20"/>
      <c r="K158" s="20"/>
      <c r="L158" s="20"/>
      <c r="M158" s="20"/>
      <c r="N158" s="20"/>
      <c r="O158" s="20"/>
      <c r="P158" s="20"/>
      <c r="Q158" s="20"/>
      <c r="R158" s="20"/>
      <c r="S158" s="20"/>
      <c r="T158" s="20"/>
      <c r="U158" s="20"/>
      <c r="V158" s="20"/>
      <c r="W158" s="20"/>
      <c r="X158" s="20"/>
      <c r="Y158" s="20"/>
      <c r="Z158" s="20"/>
      <c r="AA158" s="20"/>
      <c r="AB158" s="12"/>
      <c r="AC158" s="12"/>
      <c r="AD158" s="12">
        <v>0</v>
      </c>
      <c r="AE158" s="12">
        <v>0</v>
      </c>
      <c r="AF158" s="12">
        <v>0</v>
      </c>
      <c r="AG158" s="12">
        <v>0</v>
      </c>
      <c r="AH158" s="12">
        <v>12707887</v>
      </c>
      <c r="AI158" s="12">
        <v>12645041</v>
      </c>
      <c r="AJ158" s="21">
        <v>13709655</v>
      </c>
      <c r="AK158" s="21">
        <v>13687425</v>
      </c>
      <c r="AL158" s="21">
        <v>14869946</v>
      </c>
      <c r="AM158" s="21">
        <v>14874224</v>
      </c>
      <c r="AN158" s="1058">
        <v>16439746</v>
      </c>
      <c r="AO158" s="1058">
        <v>16441596</v>
      </c>
      <c r="AP158" s="1058">
        <v>17299692</v>
      </c>
      <c r="AQ158" s="1058">
        <v>17293373</v>
      </c>
      <c r="AR158" s="1044"/>
      <c r="AS158" s="1044"/>
    </row>
    <row r="159" spans="3:45" hidden="1" outlineLevel="1">
      <c r="C159" s="9" t="s">
        <v>16</v>
      </c>
      <c r="D159" s="806" t="s">
        <v>836</v>
      </c>
      <c r="E159" s="224" t="s">
        <v>1211</v>
      </c>
      <c r="F159" s="20"/>
      <c r="G159" s="20"/>
      <c r="H159" s="20"/>
      <c r="I159" s="20"/>
      <c r="J159" s="20"/>
      <c r="K159" s="20"/>
      <c r="L159" s="20"/>
      <c r="M159" s="20"/>
      <c r="N159" s="20"/>
      <c r="O159" s="20"/>
      <c r="P159" s="20"/>
      <c r="Q159" s="20"/>
      <c r="R159" s="20"/>
      <c r="S159" s="20"/>
      <c r="T159" s="20"/>
      <c r="U159" s="20"/>
      <c r="V159" s="20"/>
      <c r="W159" s="20"/>
      <c r="X159" s="20"/>
      <c r="Y159" s="20"/>
      <c r="Z159" s="20"/>
      <c r="AA159" s="20"/>
      <c r="AB159" s="12"/>
      <c r="AC159" s="12"/>
      <c r="AD159" s="12">
        <v>48227724</v>
      </c>
      <c r="AE159" s="12">
        <v>47618965</v>
      </c>
      <c r="AF159" s="12">
        <f>50170221-1259502</f>
        <v>48910719</v>
      </c>
      <c r="AG159" s="12">
        <v>50193293</v>
      </c>
      <c r="AH159" s="12">
        <v>41077915</v>
      </c>
      <c r="AI159" s="12">
        <v>40546501</v>
      </c>
      <c r="AJ159" s="21">
        <v>43888091</v>
      </c>
      <c r="AK159" s="21">
        <v>43338581</v>
      </c>
      <c r="AL159" s="21">
        <v>47091960</v>
      </c>
      <c r="AM159" s="21">
        <v>46079130</v>
      </c>
      <c r="AN159" s="1058">
        <v>47984409</v>
      </c>
      <c r="AO159" s="1058">
        <v>48065037</v>
      </c>
      <c r="AP159" s="1058">
        <v>51905781</v>
      </c>
      <c r="AQ159" s="1058">
        <v>51873543</v>
      </c>
      <c r="AR159" s="1044"/>
      <c r="AS159" s="1044"/>
    </row>
    <row r="160" spans="3:45" hidden="1" outlineLevel="1">
      <c r="C160" s="9" t="s">
        <v>16</v>
      </c>
      <c r="D160" s="806" t="s">
        <v>836</v>
      </c>
      <c r="E160" s="224" t="s">
        <v>1212</v>
      </c>
      <c r="F160" s="20"/>
      <c r="G160" s="20"/>
      <c r="H160" s="20"/>
      <c r="I160" s="20"/>
      <c r="J160" s="20"/>
      <c r="K160" s="20"/>
      <c r="L160" s="20"/>
      <c r="M160" s="20"/>
      <c r="N160" s="20"/>
      <c r="O160" s="20"/>
      <c r="P160" s="20"/>
      <c r="Q160" s="20"/>
      <c r="R160" s="20"/>
      <c r="S160" s="20"/>
      <c r="T160" s="20"/>
      <c r="U160" s="20"/>
      <c r="V160" s="20"/>
      <c r="W160" s="20"/>
      <c r="X160" s="20"/>
      <c r="Y160" s="20"/>
      <c r="Z160" s="20"/>
      <c r="AA160" s="20"/>
      <c r="AB160" s="12"/>
      <c r="AC160" s="12"/>
      <c r="AD160" s="12">
        <v>39989739</v>
      </c>
      <c r="AE160" s="12">
        <v>39871362</v>
      </c>
      <c r="AF160" s="12">
        <f>43918435-1112003</f>
        <v>42806432</v>
      </c>
      <c r="AG160" s="12">
        <v>44327278</v>
      </c>
      <c r="AH160" s="12">
        <v>27103318</v>
      </c>
      <c r="AI160" s="12">
        <v>26926884</v>
      </c>
      <c r="AJ160" s="21">
        <v>32131377</v>
      </c>
      <c r="AK160" s="21">
        <v>32111555</v>
      </c>
      <c r="AL160" s="21">
        <v>38046193</v>
      </c>
      <c r="AM160" s="21">
        <v>37422943</v>
      </c>
      <c r="AN160" s="1058">
        <v>38756260</v>
      </c>
      <c r="AO160" s="1058">
        <v>38509310</v>
      </c>
      <c r="AP160" s="1058">
        <v>38836780</v>
      </c>
      <c r="AQ160" s="1058">
        <v>38784047</v>
      </c>
      <c r="AR160" s="1044"/>
      <c r="AS160" s="1044"/>
    </row>
    <row r="161" spans="3:45" hidden="1" outlineLevel="1">
      <c r="C161" s="9" t="s">
        <v>16</v>
      </c>
      <c r="D161" s="806" t="s">
        <v>836</v>
      </c>
      <c r="E161" s="224" t="s">
        <v>1213</v>
      </c>
      <c r="F161" s="20"/>
      <c r="G161" s="20"/>
      <c r="H161" s="20"/>
      <c r="I161" s="20"/>
      <c r="J161" s="20"/>
      <c r="K161" s="20"/>
      <c r="L161" s="20"/>
      <c r="M161" s="20"/>
      <c r="N161" s="20"/>
      <c r="O161" s="20"/>
      <c r="P161" s="20"/>
      <c r="Q161" s="20"/>
      <c r="R161" s="20"/>
      <c r="S161" s="20"/>
      <c r="T161" s="20"/>
      <c r="U161" s="20"/>
      <c r="V161" s="20"/>
      <c r="W161" s="20"/>
      <c r="X161" s="20"/>
      <c r="Y161" s="20"/>
      <c r="Z161" s="20"/>
      <c r="AA161" s="20"/>
      <c r="AB161" s="12"/>
      <c r="AC161" s="12"/>
      <c r="AD161" s="12">
        <v>0</v>
      </c>
      <c r="AE161" s="12">
        <v>0</v>
      </c>
      <c r="AF161" s="12">
        <v>0</v>
      </c>
      <c r="AG161" s="12">
        <v>0</v>
      </c>
      <c r="AH161" s="12">
        <v>14640060</v>
      </c>
      <c r="AI161" s="12">
        <v>14647537</v>
      </c>
      <c r="AJ161" s="21">
        <v>17893994</v>
      </c>
      <c r="AK161" s="21">
        <v>17917378</v>
      </c>
      <c r="AL161" s="21">
        <v>25134820</v>
      </c>
      <c r="AM161" s="21">
        <v>25158008</v>
      </c>
      <c r="AN161" s="1058">
        <v>27955866</v>
      </c>
      <c r="AO161" s="1058">
        <v>27964402</v>
      </c>
      <c r="AP161" s="1058">
        <v>31565412</v>
      </c>
      <c r="AQ161" s="1058">
        <v>31566021</v>
      </c>
      <c r="AR161" s="1044"/>
      <c r="AS161" s="1044"/>
    </row>
    <row r="162" spans="3:45" hidden="1" outlineLevel="1">
      <c r="C162" s="9" t="s">
        <v>16</v>
      </c>
      <c r="D162" s="806" t="s">
        <v>836</v>
      </c>
      <c r="E162" s="20" t="s">
        <v>861</v>
      </c>
      <c r="F162" s="20"/>
      <c r="G162" s="20"/>
      <c r="H162" s="20"/>
      <c r="I162" s="20"/>
      <c r="J162" s="20"/>
      <c r="K162" s="20"/>
      <c r="L162" s="20"/>
      <c r="M162" s="20"/>
      <c r="N162" s="20"/>
      <c r="O162" s="20"/>
      <c r="P162" s="20"/>
      <c r="Q162" s="20"/>
      <c r="R162" s="20"/>
      <c r="S162" s="20"/>
      <c r="T162" s="20"/>
      <c r="U162" s="20"/>
      <c r="V162" s="20"/>
      <c r="W162" s="20"/>
      <c r="X162" s="20"/>
      <c r="Y162" s="20"/>
      <c r="Z162" s="20"/>
      <c r="AA162" s="20"/>
      <c r="AB162" s="12"/>
      <c r="AC162" s="12"/>
      <c r="AD162" s="12">
        <v>39455436</v>
      </c>
      <c r="AE162" s="12">
        <v>39438866</v>
      </c>
      <c r="AF162" s="12">
        <f>36572872-658885</f>
        <v>35913987</v>
      </c>
      <c r="AG162" s="12">
        <v>34932557</v>
      </c>
      <c r="AH162" s="12">
        <v>29047148</v>
      </c>
      <c r="AI162" s="12">
        <v>28962373</v>
      </c>
      <c r="AJ162" s="21">
        <v>29729302</v>
      </c>
      <c r="AK162" s="21">
        <v>29117525</v>
      </c>
      <c r="AL162" s="21">
        <v>31330800</v>
      </c>
      <c r="AM162" s="21">
        <v>31404554</v>
      </c>
      <c r="AN162" s="1058">
        <v>31334601</v>
      </c>
      <c r="AO162" s="1058">
        <v>31362470</v>
      </c>
      <c r="AP162" s="1058">
        <v>32088813</v>
      </c>
      <c r="AQ162" s="1058">
        <v>32070239</v>
      </c>
      <c r="AR162" s="1044"/>
      <c r="AS162" s="1044"/>
    </row>
    <row r="163" spans="3:45" hidden="1" outlineLevel="1">
      <c r="C163" s="9" t="s">
        <v>16</v>
      </c>
      <c r="D163" s="806" t="s">
        <v>836</v>
      </c>
      <c r="E163" s="20" t="s">
        <v>871</v>
      </c>
      <c r="F163" s="20"/>
      <c r="G163" s="20"/>
      <c r="H163" s="20"/>
      <c r="I163" s="20"/>
      <c r="J163" s="20"/>
      <c r="K163" s="20"/>
      <c r="L163" s="20"/>
      <c r="M163" s="20"/>
      <c r="N163" s="20"/>
      <c r="O163" s="20"/>
      <c r="P163" s="20"/>
      <c r="Q163" s="20"/>
      <c r="R163" s="20"/>
      <c r="S163" s="20"/>
      <c r="T163" s="20"/>
      <c r="U163" s="20"/>
      <c r="V163" s="20"/>
      <c r="W163" s="20"/>
      <c r="X163" s="20"/>
      <c r="Y163" s="20"/>
      <c r="Z163" s="20"/>
      <c r="AA163" s="20"/>
      <c r="AB163" s="12"/>
      <c r="AC163" s="12"/>
      <c r="AD163" s="12">
        <v>30146778</v>
      </c>
      <c r="AE163" s="12">
        <v>30126436</v>
      </c>
      <c r="AF163" s="12">
        <f>30918287-930966</f>
        <v>29987321</v>
      </c>
      <c r="AG163" s="12">
        <v>30945544</v>
      </c>
      <c r="AH163" s="12">
        <v>26753272</v>
      </c>
      <c r="AI163" s="12">
        <v>26528888</v>
      </c>
      <c r="AJ163" s="21">
        <v>26870459</v>
      </c>
      <c r="AK163" s="21">
        <v>26792032</v>
      </c>
      <c r="AL163" s="21">
        <v>31314973</v>
      </c>
      <c r="AM163" s="21">
        <v>30981453</v>
      </c>
      <c r="AN163" s="1058">
        <v>33102887</v>
      </c>
      <c r="AO163" s="1058">
        <v>33133215</v>
      </c>
      <c r="AP163" s="1058">
        <v>35174681</v>
      </c>
      <c r="AQ163" s="1058">
        <v>35145294</v>
      </c>
      <c r="AR163" s="1044"/>
      <c r="AS163" s="1044"/>
    </row>
    <row r="164" spans="3:45" hidden="1" outlineLevel="1">
      <c r="C164" s="9" t="s">
        <v>16</v>
      </c>
      <c r="D164" s="806" t="s">
        <v>836</v>
      </c>
      <c r="E164" s="224" t="s">
        <v>1361</v>
      </c>
      <c r="F164" s="20"/>
      <c r="G164" s="20"/>
      <c r="H164" s="20"/>
      <c r="I164" s="20"/>
      <c r="J164" s="20"/>
      <c r="K164" s="20"/>
      <c r="L164" s="20"/>
      <c r="M164" s="20"/>
      <c r="N164" s="20"/>
      <c r="O164" s="20"/>
      <c r="P164" s="20"/>
      <c r="Q164" s="20"/>
      <c r="R164" s="20"/>
      <c r="S164" s="20"/>
      <c r="T164" s="20"/>
      <c r="U164" s="20"/>
      <c r="V164" s="20"/>
      <c r="W164" s="20"/>
      <c r="X164" s="20"/>
      <c r="Y164" s="20"/>
      <c r="Z164" s="20"/>
      <c r="AA164" s="20"/>
      <c r="AB164" s="12"/>
      <c r="AC164" s="12"/>
      <c r="AD164" s="12">
        <v>33313076</v>
      </c>
      <c r="AE164" s="12">
        <v>33309947</v>
      </c>
      <c r="AF164" s="12">
        <f>36617532-1325217</f>
        <v>35292315</v>
      </c>
      <c r="AG164" s="12">
        <v>36716863</v>
      </c>
      <c r="AH164" s="12">
        <v>33305541</v>
      </c>
      <c r="AI164" s="12">
        <v>33275685</v>
      </c>
      <c r="AJ164" s="21">
        <v>35569422</v>
      </c>
      <c r="AK164" s="21">
        <v>35673644</v>
      </c>
      <c r="AL164" s="21">
        <v>37990228</v>
      </c>
      <c r="AM164" s="21">
        <v>38095122</v>
      </c>
      <c r="AN164" s="1058">
        <v>41548778</v>
      </c>
      <c r="AO164" s="1058">
        <v>41556331</v>
      </c>
      <c r="AP164" s="1058">
        <v>42111692</v>
      </c>
      <c r="AQ164" s="1058">
        <v>42075234</v>
      </c>
      <c r="AR164" s="1044"/>
      <c r="AS164" s="1044"/>
    </row>
    <row r="165" spans="3:45" hidden="1" outlineLevel="1">
      <c r="C165" s="9" t="s">
        <v>16</v>
      </c>
      <c r="D165" s="806" t="s">
        <v>836</v>
      </c>
      <c r="E165" s="20" t="s">
        <v>1425</v>
      </c>
      <c r="F165" s="20"/>
      <c r="G165" s="20"/>
      <c r="H165" s="20"/>
      <c r="I165" s="20"/>
      <c r="J165" s="20"/>
      <c r="K165" s="20"/>
      <c r="L165" s="20"/>
      <c r="M165" s="20"/>
      <c r="N165" s="20"/>
      <c r="O165" s="20"/>
      <c r="P165" s="20"/>
      <c r="Q165" s="20"/>
      <c r="R165" s="20"/>
      <c r="S165" s="20"/>
      <c r="T165" s="20"/>
      <c r="U165" s="20"/>
      <c r="V165" s="20"/>
      <c r="W165" s="20"/>
      <c r="X165" s="20"/>
      <c r="Y165" s="20"/>
      <c r="Z165" s="20"/>
      <c r="AA165" s="20"/>
      <c r="AB165" s="12"/>
      <c r="AC165" s="12"/>
      <c r="AD165" s="12">
        <v>16443531</v>
      </c>
      <c r="AE165" s="12">
        <v>16440546</v>
      </c>
      <c r="AF165" s="12">
        <f>16193428-210721</f>
        <v>15982707</v>
      </c>
      <c r="AG165" s="12">
        <v>16209526</v>
      </c>
      <c r="AH165" s="12">
        <v>15245865</v>
      </c>
      <c r="AI165" s="12">
        <v>15124790</v>
      </c>
      <c r="AJ165" s="21">
        <v>16183477</v>
      </c>
      <c r="AK165" s="21">
        <v>16161929</v>
      </c>
      <c r="AL165" s="21">
        <v>18118195</v>
      </c>
      <c r="AM165" s="21">
        <v>17970330</v>
      </c>
      <c r="AN165" s="1058">
        <v>19935318</v>
      </c>
      <c r="AO165" s="1058">
        <v>19930568</v>
      </c>
      <c r="AP165" s="1058">
        <v>22530738</v>
      </c>
      <c r="AQ165" s="1058">
        <v>22527497</v>
      </c>
      <c r="AR165" s="1044"/>
      <c r="AS165" s="1044"/>
    </row>
    <row r="166" spans="3:45" hidden="1" outlineLevel="1">
      <c r="C166" s="9" t="s">
        <v>16</v>
      </c>
      <c r="D166" s="806" t="s">
        <v>958</v>
      </c>
      <c r="E166" s="592" t="s">
        <v>1430</v>
      </c>
      <c r="F166" s="20"/>
      <c r="G166" s="20"/>
      <c r="H166" s="20"/>
      <c r="I166" s="20"/>
      <c r="J166" s="20"/>
      <c r="K166" s="20"/>
      <c r="L166" s="20"/>
      <c r="M166" s="20"/>
      <c r="N166" s="20"/>
      <c r="O166" s="20"/>
      <c r="P166" s="20"/>
      <c r="Q166" s="20"/>
      <c r="R166" s="20"/>
      <c r="S166" s="20"/>
      <c r="T166" s="20"/>
      <c r="U166" s="20"/>
      <c r="V166" s="20"/>
      <c r="W166" s="20"/>
      <c r="X166" s="20"/>
      <c r="Y166" s="20"/>
      <c r="Z166" s="20"/>
      <c r="AA166" s="20"/>
      <c r="AB166" s="12"/>
      <c r="AC166" s="12"/>
      <c r="AD166" s="12">
        <v>2602180</v>
      </c>
      <c r="AE166" s="12">
        <v>2605268</v>
      </c>
      <c r="AF166" s="12">
        <v>2840617</v>
      </c>
      <c r="AG166" s="12">
        <v>2840617</v>
      </c>
      <c r="AH166" s="12">
        <v>25975144</v>
      </c>
      <c r="AI166" s="12">
        <v>25693318</v>
      </c>
      <c r="AJ166" s="376">
        <f>24604133-22467172</f>
        <v>2136961</v>
      </c>
      <c r="AK166" s="376">
        <f>24610656-22473695</f>
        <v>2136961</v>
      </c>
      <c r="AL166" s="376">
        <v>24492300</v>
      </c>
      <c r="AM166" s="376">
        <v>24507915</v>
      </c>
      <c r="AN166" s="807">
        <v>47989266</v>
      </c>
      <c r="AO166" s="807">
        <v>47255268</v>
      </c>
      <c r="AP166" s="807">
        <v>41521585</v>
      </c>
      <c r="AQ166" s="807">
        <v>41557889</v>
      </c>
      <c r="AR166" s="1044"/>
      <c r="AS166" s="1044"/>
    </row>
    <row r="167" spans="3:45" hidden="1" outlineLevel="1">
      <c r="C167" s="9" t="s">
        <v>16</v>
      </c>
      <c r="D167" s="806" t="s">
        <v>836</v>
      </c>
      <c r="E167" s="20" t="s">
        <v>726</v>
      </c>
      <c r="F167" s="20"/>
      <c r="G167" s="20"/>
      <c r="H167" s="20"/>
      <c r="I167" s="20"/>
      <c r="J167" s="20"/>
      <c r="K167" s="20"/>
      <c r="L167" s="20"/>
      <c r="M167" s="20"/>
      <c r="N167" s="20"/>
      <c r="O167" s="20"/>
      <c r="P167" s="20"/>
      <c r="Q167" s="20"/>
      <c r="R167" s="20"/>
      <c r="S167" s="20"/>
      <c r="T167" s="20"/>
      <c r="U167" s="20"/>
      <c r="V167" s="20"/>
      <c r="W167" s="20"/>
      <c r="X167" s="20"/>
      <c r="Y167" s="20"/>
      <c r="Z167" s="20"/>
      <c r="AA167" s="20"/>
      <c r="AB167" s="12"/>
      <c r="AC167" s="12"/>
      <c r="AD167" s="12">
        <v>159275465</v>
      </c>
      <c r="AE167" s="12">
        <v>154134306</v>
      </c>
      <c r="AF167" s="12">
        <f>167082499-5707005</f>
        <v>161375494</v>
      </c>
      <c r="AG167" s="12">
        <v>167341715</v>
      </c>
      <c r="AH167" s="12">
        <v>129132679</v>
      </c>
      <c r="AI167" s="12">
        <v>128198995</v>
      </c>
      <c r="AJ167" s="376">
        <f>143517290+9883955</f>
        <v>153401245</v>
      </c>
      <c r="AK167" s="376">
        <f>143274187+9888579</f>
        <v>153162766</v>
      </c>
      <c r="AL167" s="376">
        <v>155572273</v>
      </c>
      <c r="AM167" s="376">
        <v>155655428</v>
      </c>
      <c r="AN167" s="807">
        <v>160246694</v>
      </c>
      <c r="AO167" s="807">
        <v>160050973</v>
      </c>
      <c r="AP167" s="807">
        <v>221750099</v>
      </c>
      <c r="AQ167" s="807">
        <v>176618417</v>
      </c>
      <c r="AR167" s="1044"/>
      <c r="AS167" s="1044"/>
    </row>
    <row r="168" spans="3:45" hidden="1" outlineLevel="1">
      <c r="C168" s="9" t="s">
        <v>16</v>
      </c>
      <c r="D168" s="806" t="s">
        <v>836</v>
      </c>
      <c r="E168" s="20" t="s">
        <v>1363</v>
      </c>
      <c r="F168" s="20"/>
      <c r="G168" s="20"/>
      <c r="H168" s="20"/>
      <c r="I168" s="20"/>
      <c r="J168" s="20"/>
      <c r="K168" s="20"/>
      <c r="L168" s="20"/>
      <c r="M168" s="20"/>
      <c r="N168" s="20"/>
      <c r="O168" s="20"/>
      <c r="P168" s="20"/>
      <c r="Q168" s="20"/>
      <c r="R168" s="20"/>
      <c r="S168" s="20"/>
      <c r="T168" s="20"/>
      <c r="U168" s="20"/>
      <c r="V168" s="20"/>
      <c r="W168" s="20"/>
      <c r="X168" s="20"/>
      <c r="Y168" s="20"/>
      <c r="Z168" s="20"/>
      <c r="AA168" s="20"/>
      <c r="AB168" s="12"/>
      <c r="AC168" s="12"/>
      <c r="AD168" s="12">
        <v>29633030</v>
      </c>
      <c r="AE168" s="12">
        <v>29603007</v>
      </c>
      <c r="AF168" s="12">
        <f>31913168-1169439</f>
        <v>30743729</v>
      </c>
      <c r="AG168" s="12">
        <v>31949128</v>
      </c>
      <c r="AH168" s="12">
        <v>23313520</v>
      </c>
      <c r="AI168" s="12">
        <f>23140530+200000</f>
        <v>23340530</v>
      </c>
      <c r="AJ168" s="376">
        <f>24451405+2780228</f>
        <v>27231633</v>
      </c>
      <c r="AK168" s="376">
        <f>24403504+2782413</f>
        <v>27185917</v>
      </c>
      <c r="AL168" s="376">
        <v>29037109</v>
      </c>
      <c r="AM168" s="376">
        <v>28977616</v>
      </c>
      <c r="AN168" s="807">
        <v>26165241</v>
      </c>
      <c r="AO168" s="807">
        <v>26042477</v>
      </c>
      <c r="AP168" s="807">
        <v>29180801</v>
      </c>
      <c r="AQ168" s="807">
        <v>29150624</v>
      </c>
      <c r="AR168" s="1044"/>
      <c r="AS168" s="1044"/>
    </row>
    <row r="169" spans="3:45" hidden="1" outlineLevel="1">
      <c r="C169" s="9" t="s">
        <v>16</v>
      </c>
      <c r="D169" s="806" t="s">
        <v>836</v>
      </c>
      <c r="E169" s="20" t="s">
        <v>1364</v>
      </c>
      <c r="F169" s="20"/>
      <c r="G169" s="20"/>
      <c r="H169" s="20"/>
      <c r="I169" s="20"/>
      <c r="J169" s="20"/>
      <c r="K169" s="20"/>
      <c r="L169" s="20"/>
      <c r="M169" s="20"/>
      <c r="N169" s="20"/>
      <c r="O169" s="20"/>
      <c r="P169" s="20"/>
      <c r="Q169" s="20"/>
      <c r="R169" s="20"/>
      <c r="S169" s="20"/>
      <c r="T169" s="20"/>
      <c r="U169" s="20"/>
      <c r="V169" s="20"/>
      <c r="W169" s="20"/>
      <c r="X169" s="20"/>
      <c r="Y169" s="20"/>
      <c r="Z169" s="20"/>
      <c r="AA169" s="20"/>
      <c r="AB169" s="12"/>
      <c r="AC169" s="12"/>
      <c r="AD169" s="12">
        <v>28668957</v>
      </c>
      <c r="AE169" s="12">
        <v>28642161</v>
      </c>
      <c r="AF169" s="12">
        <f>30287365-1148296</f>
        <v>29139069</v>
      </c>
      <c r="AG169" s="12">
        <v>30340156</v>
      </c>
      <c r="AH169" s="12">
        <v>20020006</v>
      </c>
      <c r="AI169" s="12">
        <v>19953389</v>
      </c>
      <c r="AJ169" s="376">
        <f>21783611+6047852</f>
        <v>27831463</v>
      </c>
      <c r="AK169" s="376">
        <f>21798868+6048562</f>
        <v>27847430</v>
      </c>
      <c r="AL169" s="376">
        <v>23988982</v>
      </c>
      <c r="AM169" s="376">
        <v>24025035</v>
      </c>
      <c r="AN169" s="807">
        <v>24748399</v>
      </c>
      <c r="AO169" s="807">
        <v>24775208</v>
      </c>
      <c r="AP169" s="807">
        <v>25549503</v>
      </c>
      <c r="AQ169" s="807">
        <v>25528807</v>
      </c>
      <c r="AR169" s="1044"/>
      <c r="AS169" s="1044"/>
    </row>
    <row r="170" spans="3:45" hidden="1" outlineLevel="1">
      <c r="C170" s="9" t="s">
        <v>16</v>
      </c>
      <c r="D170" s="806" t="s">
        <v>836</v>
      </c>
      <c r="E170" s="20" t="s">
        <v>1365</v>
      </c>
      <c r="F170" s="20"/>
      <c r="G170" s="20"/>
      <c r="H170" s="20"/>
      <c r="I170" s="20"/>
      <c r="J170" s="20"/>
      <c r="K170" s="20"/>
      <c r="L170" s="20"/>
      <c r="M170" s="20"/>
      <c r="N170" s="20"/>
      <c r="O170" s="20"/>
      <c r="P170" s="20"/>
      <c r="Q170" s="20"/>
      <c r="R170" s="20"/>
      <c r="S170" s="20"/>
      <c r="T170" s="20"/>
      <c r="U170" s="20"/>
      <c r="V170" s="20"/>
      <c r="W170" s="20"/>
      <c r="X170" s="20"/>
      <c r="Y170" s="20"/>
      <c r="Z170" s="20"/>
      <c r="AA170" s="20"/>
      <c r="AB170" s="12"/>
      <c r="AC170" s="12"/>
      <c r="AD170" s="12">
        <v>16631225</v>
      </c>
      <c r="AE170" s="12">
        <v>15525679</v>
      </c>
      <c r="AF170" s="12">
        <f>17262673-433233</f>
        <v>16829440</v>
      </c>
      <c r="AG170" s="12">
        <v>17260285</v>
      </c>
      <c r="AH170" s="12">
        <v>13827568</v>
      </c>
      <c r="AI170" s="12">
        <v>13824253</v>
      </c>
      <c r="AJ170" s="376">
        <f>14987994+3755137</f>
        <v>18743131</v>
      </c>
      <c r="AK170" s="376">
        <f>15002253+3754141</f>
        <v>18756394</v>
      </c>
      <c r="AL170" s="376">
        <v>15363462</v>
      </c>
      <c r="AM170" s="376">
        <v>15381525</v>
      </c>
      <c r="AN170" s="807">
        <v>13830018</v>
      </c>
      <c r="AO170" s="807">
        <v>13842840</v>
      </c>
      <c r="AP170" s="807">
        <v>14650338</v>
      </c>
      <c r="AQ170" s="807">
        <v>14646687</v>
      </c>
      <c r="AR170" s="1044"/>
      <c r="AS170" s="1044"/>
    </row>
    <row r="171" spans="3:45" hidden="1" outlineLevel="1">
      <c r="C171" s="9" t="s">
        <v>16</v>
      </c>
      <c r="D171" s="806" t="s">
        <v>836</v>
      </c>
      <c r="E171" s="20" t="s">
        <v>730</v>
      </c>
      <c r="F171" s="20"/>
      <c r="G171" s="20"/>
      <c r="H171" s="20"/>
      <c r="I171" s="20"/>
      <c r="J171" s="20"/>
      <c r="K171" s="20"/>
      <c r="L171" s="20"/>
      <c r="M171" s="20"/>
      <c r="N171" s="20"/>
      <c r="O171" s="20"/>
      <c r="P171" s="20"/>
      <c r="Q171" s="20"/>
      <c r="R171" s="20"/>
      <c r="S171" s="20"/>
      <c r="T171" s="20"/>
      <c r="U171" s="20"/>
      <c r="V171" s="20"/>
      <c r="W171" s="20"/>
      <c r="X171" s="20"/>
      <c r="Y171" s="20"/>
      <c r="Z171" s="20"/>
      <c r="AA171" s="20"/>
      <c r="AB171" s="12"/>
      <c r="AC171" s="12"/>
      <c r="AD171" s="12">
        <v>18871689</v>
      </c>
      <c r="AE171" s="12">
        <v>19174314</v>
      </c>
      <c r="AF171" s="12">
        <f>19906413-682565</f>
        <v>19223848</v>
      </c>
      <c r="AG171" s="12">
        <v>19955008</v>
      </c>
      <c r="AH171" s="12">
        <v>16762807</v>
      </c>
      <c r="AI171" s="12">
        <v>16619208</v>
      </c>
      <c r="AJ171" s="21">
        <v>17041686</v>
      </c>
      <c r="AK171" s="21">
        <v>17012175</v>
      </c>
      <c r="AL171" s="21">
        <v>18462224</v>
      </c>
      <c r="AM171" s="21">
        <v>18522721</v>
      </c>
      <c r="AN171" s="1058">
        <v>21836476</v>
      </c>
      <c r="AO171" s="1058">
        <v>21855599</v>
      </c>
      <c r="AP171" s="1058">
        <v>20745590</v>
      </c>
      <c r="AQ171" s="1058">
        <v>20649160</v>
      </c>
      <c r="AR171" s="1044"/>
      <c r="AS171" s="1044"/>
    </row>
    <row r="172" spans="3:45" hidden="1" outlineLevel="1">
      <c r="C172" s="9" t="s">
        <v>16</v>
      </c>
      <c r="D172" s="806" t="s">
        <v>958</v>
      </c>
      <c r="E172" s="592" t="s">
        <v>1431</v>
      </c>
      <c r="F172" s="20"/>
      <c r="G172" s="20"/>
      <c r="H172" s="20"/>
      <c r="I172" s="20"/>
      <c r="J172" s="20"/>
      <c r="K172" s="20"/>
      <c r="L172" s="20"/>
      <c r="M172" s="20"/>
      <c r="N172" s="20"/>
      <c r="O172" s="20"/>
      <c r="P172" s="20"/>
      <c r="Q172" s="20"/>
      <c r="R172" s="20"/>
      <c r="S172" s="20"/>
      <c r="T172" s="20"/>
      <c r="U172" s="20"/>
      <c r="V172" s="20"/>
      <c r="W172" s="20"/>
      <c r="X172" s="20"/>
      <c r="Y172" s="20"/>
      <c r="Z172" s="20"/>
      <c r="AA172" s="20"/>
      <c r="AB172" s="12"/>
      <c r="AC172" s="12"/>
      <c r="AD172" s="12">
        <v>7553109</v>
      </c>
      <c r="AE172" s="12">
        <v>9662719</v>
      </c>
      <c r="AF172" s="12">
        <v>14003007</v>
      </c>
      <c r="AG172" s="12">
        <v>15505467</v>
      </c>
      <c r="AH172" s="12">
        <v>3366113</v>
      </c>
      <c r="AI172" s="12">
        <v>3366113</v>
      </c>
      <c r="AJ172" s="21">
        <v>3366113</v>
      </c>
      <c r="AK172" s="21">
        <v>3366113</v>
      </c>
      <c r="AL172" s="21">
        <v>5350223</v>
      </c>
      <c r="AM172" s="21">
        <v>6101854</v>
      </c>
      <c r="AN172" s="1058">
        <v>6159752</v>
      </c>
      <c r="AO172" s="1058">
        <v>6158252</v>
      </c>
      <c r="AP172" s="1058">
        <v>6149199</v>
      </c>
      <c r="AQ172" s="1058">
        <v>6153846</v>
      </c>
      <c r="AR172" s="1044"/>
      <c r="AS172" s="1044"/>
    </row>
    <row r="173" spans="3:45" hidden="1" outlineLevel="1">
      <c r="C173" s="9" t="s">
        <v>16</v>
      </c>
      <c r="D173" s="806" t="s">
        <v>836</v>
      </c>
      <c r="E173" s="20" t="s">
        <v>731</v>
      </c>
      <c r="F173" s="20"/>
      <c r="G173" s="20"/>
      <c r="H173" s="20"/>
      <c r="I173" s="20"/>
      <c r="J173" s="20"/>
      <c r="K173" s="20"/>
      <c r="L173" s="20"/>
      <c r="M173" s="20"/>
      <c r="N173" s="20"/>
      <c r="O173" s="20"/>
      <c r="P173" s="20"/>
      <c r="Q173" s="20"/>
      <c r="R173" s="20"/>
      <c r="S173" s="20"/>
      <c r="T173" s="20"/>
      <c r="U173" s="20"/>
      <c r="V173" s="20"/>
      <c r="W173" s="20"/>
      <c r="X173" s="20"/>
      <c r="Y173" s="20"/>
      <c r="Z173" s="20"/>
      <c r="AA173" s="20"/>
      <c r="AB173" s="12"/>
      <c r="AC173" s="12"/>
      <c r="AD173" s="12">
        <v>105760564</v>
      </c>
      <c r="AE173" s="12">
        <v>105625491</v>
      </c>
      <c r="AF173" s="12">
        <f>108426143-4722705</f>
        <v>103703438</v>
      </c>
      <c r="AG173" s="12">
        <v>109445135</v>
      </c>
      <c r="AH173" s="12">
        <v>95956315</v>
      </c>
      <c r="AI173" s="12">
        <v>95317804</v>
      </c>
      <c r="AJ173" s="21">
        <v>100961048</v>
      </c>
      <c r="AK173" s="21">
        <v>101159973</v>
      </c>
      <c r="AL173" s="21">
        <v>108978512</v>
      </c>
      <c r="AM173" s="21">
        <v>109227429</v>
      </c>
      <c r="AN173" s="1058">
        <v>105542145</v>
      </c>
      <c r="AO173" s="1058">
        <v>105488342</v>
      </c>
      <c r="AP173" s="1244">
        <f>115469831-2500000</f>
        <v>112969831</v>
      </c>
      <c r="AQ173" s="1244">
        <v>112969831</v>
      </c>
      <c r="AR173" s="1044"/>
      <c r="AS173" s="1044"/>
    </row>
    <row r="174" spans="3:45" hidden="1" outlineLevel="1">
      <c r="C174" s="9" t="s">
        <v>16</v>
      </c>
      <c r="D174" s="806" t="s">
        <v>836</v>
      </c>
      <c r="E174" s="224" t="s">
        <v>1453</v>
      </c>
      <c r="F174" s="20"/>
      <c r="G174" s="20"/>
      <c r="H174" s="20"/>
      <c r="I174" s="20"/>
      <c r="J174" s="20"/>
      <c r="K174" s="20"/>
      <c r="L174" s="20"/>
      <c r="M174" s="20"/>
      <c r="N174" s="20"/>
      <c r="O174" s="20"/>
      <c r="P174" s="20"/>
      <c r="Q174" s="20"/>
      <c r="R174" s="20"/>
      <c r="S174" s="20"/>
      <c r="T174" s="20"/>
      <c r="U174" s="20"/>
      <c r="V174" s="20"/>
      <c r="W174" s="20"/>
      <c r="X174" s="20"/>
      <c r="Y174" s="20"/>
      <c r="Z174" s="20"/>
      <c r="AA174" s="20"/>
      <c r="AB174" s="12"/>
      <c r="AC174" s="12"/>
      <c r="AD174" s="12">
        <v>0</v>
      </c>
      <c r="AE174" s="12">
        <v>0</v>
      </c>
      <c r="AF174" s="12"/>
      <c r="AG174" s="12"/>
      <c r="AH174" s="12">
        <v>14076345</v>
      </c>
      <c r="AI174" s="12">
        <v>14089057</v>
      </c>
      <c r="AJ174" s="21">
        <v>13435560</v>
      </c>
      <c r="AK174" s="21">
        <v>13435318</v>
      </c>
      <c r="AL174" s="21">
        <v>14422415</v>
      </c>
      <c r="AM174" s="21">
        <v>14423886</v>
      </c>
      <c r="AN174" s="1058">
        <v>22160337</v>
      </c>
      <c r="AO174" s="1058">
        <v>22166741</v>
      </c>
      <c r="AP174" s="1058">
        <v>24512594</v>
      </c>
      <c r="AQ174" s="1058">
        <v>24503453</v>
      </c>
      <c r="AR174" s="1044"/>
      <c r="AS174" s="1044"/>
    </row>
    <row r="175" spans="3:45" hidden="1" outlineLevel="1">
      <c r="C175" s="9" t="s">
        <v>16</v>
      </c>
      <c r="D175" s="806" t="s">
        <v>836</v>
      </c>
      <c r="E175" s="20" t="s">
        <v>1426</v>
      </c>
      <c r="F175" s="20"/>
      <c r="G175" s="20"/>
      <c r="H175" s="20"/>
      <c r="I175" s="20"/>
      <c r="J175" s="20"/>
      <c r="K175" s="20"/>
      <c r="L175" s="20"/>
      <c r="M175" s="20"/>
      <c r="N175" s="20"/>
      <c r="O175" s="20"/>
      <c r="P175" s="20"/>
      <c r="Q175" s="20"/>
      <c r="R175" s="20"/>
      <c r="S175" s="20"/>
      <c r="T175" s="20"/>
      <c r="U175" s="20"/>
      <c r="V175" s="20"/>
      <c r="W175" s="20"/>
      <c r="X175" s="20"/>
      <c r="Y175" s="20"/>
      <c r="Z175" s="20"/>
      <c r="AA175" s="20"/>
      <c r="AB175" s="12"/>
      <c r="AC175" s="12"/>
      <c r="AD175" s="12">
        <v>43677367</v>
      </c>
      <c r="AE175" s="12">
        <v>43685586</v>
      </c>
      <c r="AF175" s="12">
        <f>45614221-1499875</f>
        <v>44114346</v>
      </c>
      <c r="AG175" s="12">
        <v>45746714</v>
      </c>
      <c r="AH175" s="12">
        <v>37797001</v>
      </c>
      <c r="AI175" s="12">
        <v>37843134</v>
      </c>
      <c r="AJ175" s="21">
        <v>39110676</v>
      </c>
      <c r="AK175" s="21">
        <v>39265903</v>
      </c>
      <c r="AL175" s="21">
        <v>39613693</v>
      </c>
      <c r="AM175" s="21">
        <v>39732191</v>
      </c>
      <c r="AN175" s="1058">
        <v>40145767</v>
      </c>
      <c r="AO175" s="1058">
        <v>40201343</v>
      </c>
      <c r="AP175" s="1058">
        <v>39106062</v>
      </c>
      <c r="AQ175" s="1058">
        <v>38039484</v>
      </c>
      <c r="AR175" s="1044"/>
      <c r="AS175" s="1044"/>
    </row>
    <row r="176" spans="3:45" hidden="1" outlineLevel="1">
      <c r="C176" s="9" t="s">
        <v>16</v>
      </c>
      <c r="D176" s="806" t="s">
        <v>836</v>
      </c>
      <c r="E176" s="20" t="s">
        <v>733</v>
      </c>
      <c r="F176" s="20"/>
      <c r="G176" s="20"/>
      <c r="H176" s="20"/>
      <c r="I176" s="20"/>
      <c r="J176" s="20"/>
      <c r="K176" s="20"/>
      <c r="L176" s="20"/>
      <c r="M176" s="20"/>
      <c r="N176" s="20"/>
      <c r="O176" s="20"/>
      <c r="P176" s="20"/>
      <c r="Q176" s="20"/>
      <c r="R176" s="20"/>
      <c r="S176" s="20"/>
      <c r="T176" s="20"/>
      <c r="U176" s="20"/>
      <c r="V176" s="20"/>
      <c r="W176" s="20"/>
      <c r="X176" s="20"/>
      <c r="Y176" s="20"/>
      <c r="Z176" s="20"/>
      <c r="AA176" s="20"/>
      <c r="AB176" s="12"/>
      <c r="AC176" s="12"/>
      <c r="AD176" s="12">
        <v>67158300</v>
      </c>
      <c r="AE176" s="12">
        <v>61349778</v>
      </c>
      <c r="AF176" s="12">
        <f>61057239-1221724</f>
        <v>59835515</v>
      </c>
      <c r="AG176" s="12">
        <v>61120386</v>
      </c>
      <c r="AH176" s="12">
        <v>52541654</v>
      </c>
      <c r="AI176" s="12">
        <v>52143547</v>
      </c>
      <c r="AJ176" s="21">
        <v>50550104</v>
      </c>
      <c r="AK176" s="21">
        <v>50003682</v>
      </c>
      <c r="AL176" s="21">
        <v>51965959</v>
      </c>
      <c r="AM176" s="21">
        <v>51603046</v>
      </c>
      <c r="AN176" s="1058">
        <v>55516210</v>
      </c>
      <c r="AO176" s="1058">
        <v>55474393</v>
      </c>
      <c r="AP176" s="1058">
        <v>51561004</v>
      </c>
      <c r="AQ176" s="1058">
        <v>51491043</v>
      </c>
      <c r="AR176" s="1044"/>
      <c r="AS176" s="1044"/>
    </row>
    <row r="177" spans="3:45" hidden="1" outlineLevel="1">
      <c r="C177" s="9" t="s">
        <v>16</v>
      </c>
      <c r="D177" s="806" t="s">
        <v>958</v>
      </c>
      <c r="E177" s="592" t="s">
        <v>1432</v>
      </c>
      <c r="F177" s="20"/>
      <c r="G177" s="20"/>
      <c r="H177" s="20"/>
      <c r="I177" s="20"/>
      <c r="J177" s="20"/>
      <c r="K177" s="20"/>
      <c r="L177" s="20"/>
      <c r="M177" s="20"/>
      <c r="N177" s="20"/>
      <c r="O177" s="20"/>
      <c r="P177" s="20"/>
      <c r="Q177" s="20"/>
      <c r="R177" s="20"/>
      <c r="S177" s="20"/>
      <c r="T177" s="20"/>
      <c r="U177" s="20"/>
      <c r="V177" s="20"/>
      <c r="W177" s="20"/>
      <c r="X177" s="20"/>
      <c r="Y177" s="20"/>
      <c r="Z177" s="20"/>
      <c r="AA177" s="20"/>
      <c r="AB177" s="12"/>
      <c r="AC177" s="12"/>
      <c r="AD177" s="12">
        <v>415047</v>
      </c>
      <c r="AE177" s="12">
        <v>415047</v>
      </c>
      <c r="AF177" s="12">
        <v>2000000</v>
      </c>
      <c r="AG177" s="12">
        <v>2000000</v>
      </c>
      <c r="AH177" s="12">
        <v>1425000</v>
      </c>
      <c r="AI177" s="12">
        <v>1425000</v>
      </c>
      <c r="AJ177" s="21">
        <v>1425000</v>
      </c>
      <c r="AK177" s="21">
        <v>1425000</v>
      </c>
      <c r="AL177" s="21">
        <v>1425000</v>
      </c>
      <c r="AM177" s="21">
        <v>1425000</v>
      </c>
      <c r="AN177" s="1058">
        <v>1368000</v>
      </c>
      <c r="AO177" s="1058">
        <v>1368000</v>
      </c>
      <c r="AP177" s="1058">
        <v>1368000</v>
      </c>
      <c r="AQ177" s="1058">
        <v>1368000</v>
      </c>
      <c r="AR177" s="1044"/>
      <c r="AS177" s="1044"/>
    </row>
    <row r="178" spans="3:45" hidden="1" outlineLevel="1">
      <c r="C178" s="9" t="s">
        <v>16</v>
      </c>
      <c r="D178" s="806" t="s">
        <v>836</v>
      </c>
      <c r="E178" s="20" t="s">
        <v>735</v>
      </c>
      <c r="F178" s="20"/>
      <c r="G178" s="20"/>
      <c r="H178" s="20"/>
      <c r="I178" s="20"/>
      <c r="J178" s="20"/>
      <c r="K178" s="20"/>
      <c r="L178" s="20"/>
      <c r="M178" s="20"/>
      <c r="N178" s="20"/>
      <c r="O178" s="20"/>
      <c r="P178" s="20"/>
      <c r="Q178" s="20"/>
      <c r="R178" s="20"/>
      <c r="S178" s="20"/>
      <c r="T178" s="20"/>
      <c r="U178" s="20"/>
      <c r="V178" s="20"/>
      <c r="W178" s="20"/>
      <c r="X178" s="20"/>
      <c r="Y178" s="20"/>
      <c r="Z178" s="20"/>
      <c r="AA178" s="20"/>
      <c r="AB178" s="12"/>
      <c r="AC178" s="12"/>
      <c r="AD178" s="12">
        <v>140130445</v>
      </c>
      <c r="AE178" s="12">
        <v>134862321</v>
      </c>
      <c r="AF178" s="12">
        <f>140881792-4894371</f>
        <v>135987421</v>
      </c>
      <c r="AG178" s="12">
        <v>141120198</v>
      </c>
      <c r="AH178" s="12">
        <v>127276377</v>
      </c>
      <c r="AI178" s="12">
        <v>126700431</v>
      </c>
      <c r="AJ178" s="21">
        <v>145393803</v>
      </c>
      <c r="AK178" s="21">
        <v>145167896</v>
      </c>
      <c r="AL178" s="21">
        <v>153681025</v>
      </c>
      <c r="AM178" s="21">
        <v>153823380</v>
      </c>
      <c r="AN178" s="1058">
        <v>153715909</v>
      </c>
      <c r="AO178" s="1058">
        <v>156712855</v>
      </c>
      <c r="AP178" s="1058">
        <v>167441568</v>
      </c>
      <c r="AQ178" s="1058">
        <v>169681575</v>
      </c>
      <c r="AR178" s="1044"/>
      <c r="AS178" s="1044"/>
    </row>
    <row r="179" spans="3:45" hidden="1" outlineLevel="1">
      <c r="C179" s="9" t="s">
        <v>16</v>
      </c>
      <c r="D179" s="806" t="s">
        <v>836</v>
      </c>
      <c r="E179" s="20" t="s">
        <v>855</v>
      </c>
      <c r="F179" s="20"/>
      <c r="G179" s="20"/>
      <c r="H179" s="20"/>
      <c r="I179" s="20"/>
      <c r="J179" s="20"/>
      <c r="K179" s="20"/>
      <c r="L179" s="20"/>
      <c r="M179" s="20"/>
      <c r="N179" s="20"/>
      <c r="O179" s="20"/>
      <c r="P179" s="20"/>
      <c r="Q179" s="20"/>
      <c r="R179" s="20"/>
      <c r="S179" s="20"/>
      <c r="T179" s="20"/>
      <c r="U179" s="20"/>
      <c r="V179" s="20"/>
      <c r="W179" s="20"/>
      <c r="X179" s="20"/>
      <c r="Y179" s="20"/>
      <c r="Z179" s="20"/>
      <c r="AA179" s="20"/>
      <c r="AB179" s="12"/>
      <c r="AC179" s="12"/>
      <c r="AD179" s="12">
        <v>24726357</v>
      </c>
      <c r="AE179" s="12">
        <v>24663498</v>
      </c>
      <c r="AF179" s="12">
        <f>25838163-701274</f>
        <v>25136889</v>
      </c>
      <c r="AG179" s="12">
        <v>25925023</v>
      </c>
      <c r="AH179" s="12">
        <v>22921535</v>
      </c>
      <c r="AI179" s="12">
        <v>22939802</v>
      </c>
      <c r="AJ179" s="21">
        <v>26628940</v>
      </c>
      <c r="AK179" s="21">
        <v>25462809</v>
      </c>
      <c r="AL179" s="21">
        <v>25646766</v>
      </c>
      <c r="AM179" s="21">
        <v>25675052</v>
      </c>
      <c r="AN179" s="1058">
        <v>27306691</v>
      </c>
      <c r="AO179" s="1058">
        <v>25798016</v>
      </c>
      <c r="AP179" s="1058">
        <v>29506087</v>
      </c>
      <c r="AQ179" s="1058">
        <v>29468357</v>
      </c>
      <c r="AR179" s="1044"/>
      <c r="AS179" s="1044"/>
    </row>
    <row r="180" spans="3:45" hidden="1" outlineLevel="1">
      <c r="C180" s="9" t="s">
        <v>16</v>
      </c>
      <c r="D180" s="806" t="s">
        <v>836</v>
      </c>
      <c r="E180" s="20" t="s">
        <v>737</v>
      </c>
      <c r="F180" s="20"/>
      <c r="G180" s="20"/>
      <c r="H180" s="20"/>
      <c r="I180" s="20"/>
      <c r="J180" s="20"/>
      <c r="K180" s="20"/>
      <c r="L180" s="20"/>
      <c r="M180" s="20"/>
      <c r="N180" s="20"/>
      <c r="O180" s="20"/>
      <c r="P180" s="20"/>
      <c r="Q180" s="20"/>
      <c r="R180" s="20"/>
      <c r="S180" s="20"/>
      <c r="T180" s="20"/>
      <c r="U180" s="20"/>
      <c r="V180" s="20"/>
      <c r="W180" s="20"/>
      <c r="X180" s="20"/>
      <c r="Y180" s="20"/>
      <c r="Z180" s="20"/>
      <c r="AA180" s="20"/>
      <c r="AB180" s="12"/>
      <c r="AC180" s="12"/>
      <c r="AD180" s="12">
        <v>57028725</v>
      </c>
      <c r="AE180" s="12">
        <v>56955250</v>
      </c>
      <c r="AF180" s="12">
        <f>55264268-1874548</f>
        <v>53389720</v>
      </c>
      <c r="AG180" s="12">
        <v>55373677</v>
      </c>
      <c r="AH180" s="12">
        <v>46290355</v>
      </c>
      <c r="AI180" s="12">
        <v>46176745</v>
      </c>
      <c r="AJ180" s="21">
        <v>49474653</v>
      </c>
      <c r="AK180" s="21">
        <v>49542474</v>
      </c>
      <c r="AL180" s="21">
        <v>48544875</v>
      </c>
      <c r="AM180" s="21">
        <v>48675751</v>
      </c>
      <c r="AN180" s="1058">
        <v>55390753</v>
      </c>
      <c r="AO180" s="1058">
        <v>55465180</v>
      </c>
      <c r="AP180" s="1058">
        <v>63168756</v>
      </c>
      <c r="AQ180" s="1058">
        <v>63150934</v>
      </c>
      <c r="AR180" s="1044"/>
      <c r="AS180" s="1044"/>
    </row>
    <row r="181" spans="3:45" hidden="1" outlineLevel="1">
      <c r="C181" s="9" t="s">
        <v>16</v>
      </c>
      <c r="D181" s="806" t="s">
        <v>958</v>
      </c>
      <c r="E181" s="592" t="s">
        <v>60</v>
      </c>
      <c r="F181" s="20"/>
      <c r="G181" s="20"/>
      <c r="H181" s="20"/>
      <c r="I181" s="20"/>
      <c r="J181" s="20"/>
      <c r="K181" s="20"/>
      <c r="L181" s="20"/>
      <c r="M181" s="20"/>
      <c r="N181" s="20"/>
      <c r="O181" s="20"/>
      <c r="P181" s="20"/>
      <c r="Q181" s="20"/>
      <c r="R181" s="20"/>
      <c r="S181" s="20"/>
      <c r="T181" s="20"/>
      <c r="U181" s="20"/>
      <c r="V181" s="20"/>
      <c r="W181" s="20"/>
      <c r="X181" s="20"/>
      <c r="Y181" s="20"/>
      <c r="Z181" s="20"/>
      <c r="AA181" s="20"/>
      <c r="AB181" s="12"/>
      <c r="AC181" s="12"/>
      <c r="AD181" s="12">
        <v>1133248</v>
      </c>
      <c r="AE181" s="12">
        <v>1133248</v>
      </c>
      <c r="AF181" s="12">
        <v>1133248</v>
      </c>
      <c r="AG181" s="12">
        <v>1133248</v>
      </c>
      <c r="AH181" s="12">
        <v>3025000</v>
      </c>
      <c r="AI181" s="12">
        <v>1425000</v>
      </c>
      <c r="AJ181" s="21">
        <v>1425000</v>
      </c>
      <c r="AK181" s="21">
        <v>1425000</v>
      </c>
      <c r="AL181" s="21">
        <v>1425000</v>
      </c>
      <c r="AM181" s="21">
        <v>1425000</v>
      </c>
      <c r="AN181" s="1058">
        <v>1368000</v>
      </c>
      <c r="AO181" s="1058">
        <v>1368000</v>
      </c>
      <c r="AP181" s="1058">
        <v>1368000</v>
      </c>
      <c r="AQ181" s="1058">
        <v>1368000</v>
      </c>
      <c r="AR181" s="1044"/>
      <c r="AS181" s="1044"/>
    </row>
    <row r="182" spans="3:45" hidden="1" outlineLevel="1">
      <c r="C182" s="9" t="s">
        <v>16</v>
      </c>
      <c r="D182" s="806" t="s">
        <v>836</v>
      </c>
      <c r="E182" s="20" t="s">
        <v>738</v>
      </c>
      <c r="F182" s="20"/>
      <c r="G182" s="20"/>
      <c r="H182" s="20"/>
      <c r="I182" s="20"/>
      <c r="J182" s="20"/>
      <c r="K182" s="20"/>
      <c r="L182" s="20"/>
      <c r="M182" s="20"/>
      <c r="N182" s="20"/>
      <c r="O182" s="20"/>
      <c r="P182" s="20"/>
      <c r="Q182" s="20"/>
      <c r="R182" s="20"/>
      <c r="S182" s="20"/>
      <c r="T182" s="20"/>
      <c r="U182" s="20"/>
      <c r="V182" s="20"/>
      <c r="W182" s="20"/>
      <c r="X182" s="20"/>
      <c r="Y182" s="20"/>
      <c r="Z182" s="20"/>
      <c r="AA182" s="20"/>
      <c r="AB182" s="12"/>
      <c r="AC182" s="12"/>
      <c r="AD182" s="12">
        <v>33752251</v>
      </c>
      <c r="AE182" s="12">
        <v>33702149</v>
      </c>
      <c r="AF182" s="12">
        <f>43370588-1816749</f>
        <v>41553839</v>
      </c>
      <c r="AG182" s="12">
        <v>43318247</v>
      </c>
      <c r="AH182" s="12">
        <v>35576330</v>
      </c>
      <c r="AI182" s="12">
        <v>35273575</v>
      </c>
      <c r="AJ182" s="21">
        <v>38500209</v>
      </c>
      <c r="AK182" s="21">
        <v>38486987</v>
      </c>
      <c r="AL182" s="21">
        <v>48617011</v>
      </c>
      <c r="AM182" s="21">
        <v>49063811</v>
      </c>
      <c r="AN182" s="1058">
        <v>48703537</v>
      </c>
      <c r="AO182" s="1058">
        <v>48176966</v>
      </c>
      <c r="AP182" s="1058">
        <v>49642353</v>
      </c>
      <c r="AQ182" s="1058">
        <v>49580547</v>
      </c>
      <c r="AR182" s="1044"/>
      <c r="AS182" s="1044"/>
    </row>
    <row r="183" spans="3:45" hidden="1" outlineLevel="1">
      <c r="C183" s="9" t="s">
        <v>16</v>
      </c>
      <c r="D183" s="806" t="s">
        <v>2115</v>
      </c>
      <c r="E183" s="20" t="s">
        <v>1446</v>
      </c>
      <c r="F183" s="20"/>
      <c r="G183" s="20"/>
      <c r="H183" s="20"/>
      <c r="I183" s="20"/>
      <c r="J183" s="20"/>
      <c r="K183" s="20"/>
      <c r="L183" s="20"/>
      <c r="M183" s="20"/>
      <c r="N183" s="20"/>
      <c r="O183" s="20"/>
      <c r="P183" s="20"/>
      <c r="Q183" s="20"/>
      <c r="R183" s="20"/>
      <c r="S183" s="20"/>
      <c r="T183" s="20"/>
      <c r="U183" s="20"/>
      <c r="V183" s="20"/>
      <c r="W183" s="20"/>
      <c r="X183" s="20"/>
      <c r="Y183" s="20"/>
      <c r="Z183" s="20"/>
      <c r="AA183" s="20"/>
      <c r="AB183" s="12"/>
      <c r="AC183" s="12"/>
      <c r="AD183" s="12">
        <v>8865737</v>
      </c>
      <c r="AE183" s="12">
        <v>8862913</v>
      </c>
      <c r="AF183" s="12">
        <f>10011227-400196</f>
        <v>9611031</v>
      </c>
      <c r="AG183" s="12">
        <v>10010328</v>
      </c>
      <c r="AH183" s="12">
        <v>13187031</v>
      </c>
      <c r="AI183" s="12">
        <v>8176621</v>
      </c>
      <c r="AJ183" s="21">
        <v>8659411</v>
      </c>
      <c r="AK183" s="21">
        <v>8661927</v>
      </c>
      <c r="AL183" s="21">
        <v>8817280</v>
      </c>
      <c r="AM183" s="21">
        <v>8822651</v>
      </c>
      <c r="AN183" s="1058">
        <v>9829225</v>
      </c>
      <c r="AO183" s="1058">
        <v>9686743</v>
      </c>
      <c r="AP183" s="1058">
        <v>14297451</v>
      </c>
      <c r="AQ183" s="1058">
        <v>14282770</v>
      </c>
      <c r="AR183" s="1044"/>
      <c r="AS183" s="1044"/>
    </row>
    <row r="184" spans="3:45" hidden="1" outlineLevel="1">
      <c r="C184" s="9" t="s">
        <v>16</v>
      </c>
      <c r="D184" s="806" t="s">
        <v>2115</v>
      </c>
      <c r="E184" s="20" t="s">
        <v>1447</v>
      </c>
      <c r="F184" s="20"/>
      <c r="G184" s="20"/>
      <c r="H184" s="20"/>
      <c r="I184" s="20"/>
      <c r="J184" s="20"/>
      <c r="K184" s="20"/>
      <c r="L184" s="20"/>
      <c r="M184" s="20"/>
      <c r="N184" s="20"/>
      <c r="O184" s="20"/>
      <c r="P184" s="20"/>
      <c r="Q184" s="20"/>
      <c r="R184" s="20"/>
      <c r="S184" s="20"/>
      <c r="T184" s="20"/>
      <c r="U184" s="20"/>
      <c r="V184" s="20"/>
      <c r="W184" s="20"/>
      <c r="X184" s="20"/>
      <c r="Y184" s="20"/>
      <c r="Z184" s="20"/>
      <c r="AA184" s="20"/>
      <c r="AB184" s="12"/>
      <c r="AC184" s="12"/>
      <c r="AD184" s="12">
        <v>6828024</v>
      </c>
      <c r="AE184" s="12">
        <v>6822724</v>
      </c>
      <c r="AF184" s="12">
        <f>6959683-229063</f>
        <v>6730620</v>
      </c>
      <c r="AG184" s="12">
        <v>6953879</v>
      </c>
      <c r="AH184" s="12">
        <v>6726582</v>
      </c>
      <c r="AI184" s="12">
        <v>6711777</v>
      </c>
      <c r="AJ184" s="21">
        <v>6908459</v>
      </c>
      <c r="AK184" s="21">
        <v>6908684</v>
      </c>
      <c r="AL184" s="21">
        <v>7817147</v>
      </c>
      <c r="AM184" s="21">
        <v>7816888</v>
      </c>
      <c r="AN184" s="1058">
        <v>8293981</v>
      </c>
      <c r="AO184" s="1058">
        <v>8056076</v>
      </c>
      <c r="AP184" s="1058">
        <v>10449161</v>
      </c>
      <c r="AQ184" s="1058">
        <v>10443155</v>
      </c>
      <c r="AR184" s="1044"/>
      <c r="AS184" s="1044"/>
    </row>
    <row r="185" spans="3:45" hidden="1" outlineLevel="1">
      <c r="C185" s="9" t="s">
        <v>16</v>
      </c>
      <c r="D185" s="806" t="s">
        <v>2115</v>
      </c>
      <c r="E185" s="20" t="s">
        <v>1448</v>
      </c>
      <c r="F185" s="20"/>
      <c r="G185" s="20"/>
      <c r="H185" s="20"/>
      <c r="I185" s="20"/>
      <c r="J185" s="20"/>
      <c r="K185" s="20"/>
      <c r="L185" s="20"/>
      <c r="M185" s="20"/>
      <c r="N185" s="20"/>
      <c r="O185" s="20"/>
      <c r="P185" s="20"/>
      <c r="Q185" s="20"/>
      <c r="R185" s="20"/>
      <c r="S185" s="20"/>
      <c r="T185" s="20"/>
      <c r="U185" s="20"/>
      <c r="V185" s="20"/>
      <c r="W185" s="20"/>
      <c r="X185" s="20"/>
      <c r="Y185" s="20"/>
      <c r="Z185" s="20"/>
      <c r="AA185" s="20"/>
      <c r="AB185" s="12"/>
      <c r="AC185" s="12"/>
      <c r="AD185" s="12">
        <v>8933819</v>
      </c>
      <c r="AE185" s="12">
        <v>9386001</v>
      </c>
      <c r="AF185" s="12">
        <f>9231490-285470</f>
        <v>8946020</v>
      </c>
      <c r="AG185" s="12">
        <v>9682172</v>
      </c>
      <c r="AH185" s="12">
        <v>8345818</v>
      </c>
      <c r="AI185" s="12">
        <v>8330788</v>
      </c>
      <c r="AJ185" s="21">
        <v>10400827</v>
      </c>
      <c r="AK185" s="21">
        <v>10400801</v>
      </c>
      <c r="AL185" s="21">
        <v>9559247</v>
      </c>
      <c r="AM185" s="21">
        <v>9559762</v>
      </c>
      <c r="AN185" s="1058">
        <v>9293644</v>
      </c>
      <c r="AO185" s="1058">
        <v>9096512</v>
      </c>
      <c r="AP185" s="1058">
        <v>12934838</v>
      </c>
      <c r="AQ185" s="1058">
        <v>12914280</v>
      </c>
      <c r="AR185" s="1044"/>
      <c r="AS185" s="1044"/>
    </row>
    <row r="186" spans="3:45" hidden="1" outlineLevel="1">
      <c r="C186" s="9" t="s">
        <v>16</v>
      </c>
      <c r="D186" s="806" t="s">
        <v>836</v>
      </c>
      <c r="E186" s="20" t="s">
        <v>1367</v>
      </c>
      <c r="F186" s="20"/>
      <c r="G186" s="20"/>
      <c r="H186" s="20"/>
      <c r="I186" s="20"/>
      <c r="J186" s="20"/>
      <c r="K186" s="20"/>
      <c r="L186" s="20"/>
      <c r="M186" s="20"/>
      <c r="N186" s="20"/>
      <c r="O186" s="20"/>
      <c r="P186" s="20"/>
      <c r="Q186" s="20"/>
      <c r="R186" s="20"/>
      <c r="S186" s="20"/>
      <c r="T186" s="20"/>
      <c r="U186" s="20"/>
      <c r="V186" s="20"/>
      <c r="W186" s="20"/>
      <c r="X186" s="20"/>
      <c r="Y186" s="20"/>
      <c r="Z186" s="20"/>
      <c r="AA186" s="20"/>
      <c r="AB186" s="12"/>
      <c r="AC186" s="12"/>
      <c r="AD186" s="12">
        <v>44480170</v>
      </c>
      <c r="AE186" s="12">
        <v>44335355</v>
      </c>
      <c r="AF186" s="12">
        <f>46336872-2122710</f>
        <v>44214162</v>
      </c>
      <c r="AG186" s="12">
        <v>46461324</v>
      </c>
      <c r="AH186" s="12">
        <v>39843239</v>
      </c>
      <c r="AI186" s="12">
        <v>39766337</v>
      </c>
      <c r="AJ186" s="21">
        <v>43504925</v>
      </c>
      <c r="AK186" s="21">
        <v>43564016</v>
      </c>
      <c r="AL186" s="21">
        <v>52437410</v>
      </c>
      <c r="AM186" s="21">
        <v>53615930</v>
      </c>
      <c r="AN186" s="1058">
        <v>56949583</v>
      </c>
      <c r="AO186" s="1058">
        <v>56608700</v>
      </c>
      <c r="AP186" s="1058">
        <v>58530469</v>
      </c>
      <c r="AQ186" s="1058">
        <v>58376132</v>
      </c>
      <c r="AR186" s="1044"/>
      <c r="AS186" s="1044"/>
    </row>
    <row r="187" spans="3:45" hidden="1" outlineLevel="1">
      <c r="C187" s="9" t="s">
        <v>16</v>
      </c>
      <c r="D187" s="806" t="s">
        <v>836</v>
      </c>
      <c r="E187" s="224" t="s">
        <v>1094</v>
      </c>
      <c r="F187" s="20"/>
      <c r="G187" s="20"/>
      <c r="H187" s="20"/>
      <c r="I187" s="20"/>
      <c r="J187" s="20"/>
      <c r="K187" s="20"/>
      <c r="L187" s="20"/>
      <c r="M187" s="20"/>
      <c r="N187" s="20"/>
      <c r="O187" s="20"/>
      <c r="P187" s="20"/>
      <c r="Q187" s="20"/>
      <c r="R187" s="20"/>
      <c r="S187" s="20"/>
      <c r="T187" s="20"/>
      <c r="U187" s="20"/>
      <c r="V187" s="20"/>
      <c r="W187" s="20"/>
      <c r="X187" s="20"/>
      <c r="Y187" s="20"/>
      <c r="Z187" s="20"/>
      <c r="AA187" s="20"/>
      <c r="AB187" s="12"/>
      <c r="AC187" s="12"/>
      <c r="AD187" s="12">
        <v>88731855</v>
      </c>
      <c r="AE187" s="12">
        <v>85571099</v>
      </c>
      <c r="AF187" s="12">
        <f>91468157-3652684</f>
        <v>87815473</v>
      </c>
      <c r="AG187" s="12">
        <v>91713986</v>
      </c>
      <c r="AH187" s="12">
        <v>82391669</v>
      </c>
      <c r="AI187" s="12">
        <v>82503256</v>
      </c>
      <c r="AJ187" s="21">
        <v>91925549</v>
      </c>
      <c r="AK187" s="21">
        <v>91730292</v>
      </c>
      <c r="AL187" s="21">
        <v>101500959</v>
      </c>
      <c r="AM187" s="21">
        <v>102051793</v>
      </c>
      <c r="AN187" s="1058">
        <v>110234948</v>
      </c>
      <c r="AO187" s="1058">
        <v>109079130</v>
      </c>
      <c r="AP187" s="1058">
        <v>120815161</v>
      </c>
      <c r="AQ187" s="1058">
        <v>120215120</v>
      </c>
      <c r="AR187" s="1044"/>
      <c r="AS187" s="1044"/>
    </row>
    <row r="188" spans="3:45" hidden="1" outlineLevel="1">
      <c r="C188" s="9" t="s">
        <v>16</v>
      </c>
      <c r="D188" s="806" t="s">
        <v>836</v>
      </c>
      <c r="E188" s="20" t="s">
        <v>859</v>
      </c>
      <c r="F188" s="20"/>
      <c r="G188" s="20"/>
      <c r="H188" s="20"/>
      <c r="I188" s="20"/>
      <c r="J188" s="20"/>
      <c r="K188" s="20"/>
      <c r="L188" s="20"/>
      <c r="M188" s="20"/>
      <c r="N188" s="20"/>
      <c r="O188" s="20"/>
      <c r="P188" s="20"/>
      <c r="Q188" s="20"/>
      <c r="R188" s="20"/>
      <c r="S188" s="20"/>
      <c r="T188" s="20"/>
      <c r="U188" s="20"/>
      <c r="V188" s="20"/>
      <c r="W188" s="20"/>
      <c r="X188" s="20"/>
      <c r="Y188" s="20"/>
      <c r="Z188" s="20"/>
      <c r="AA188" s="20"/>
      <c r="AB188" s="12"/>
      <c r="AC188" s="12"/>
      <c r="AD188" s="12">
        <v>15119113</v>
      </c>
      <c r="AE188" s="12">
        <v>15082542</v>
      </c>
      <c r="AF188" s="12">
        <f>15348957-235001</f>
        <v>15113956</v>
      </c>
      <c r="AG188" s="12">
        <v>15374551</v>
      </c>
      <c r="AH188" s="12">
        <v>19896246</v>
      </c>
      <c r="AI188" s="12">
        <v>12862225</v>
      </c>
      <c r="AJ188" s="21">
        <v>12913817</v>
      </c>
      <c r="AK188" s="21">
        <v>12716365</v>
      </c>
      <c r="AL188" s="21">
        <v>12631270</v>
      </c>
      <c r="AM188" s="21">
        <v>12652740</v>
      </c>
      <c r="AN188" s="1058">
        <v>11895228</v>
      </c>
      <c r="AO188" s="1058">
        <v>10715176</v>
      </c>
      <c r="AP188" s="1058">
        <v>11001146</v>
      </c>
      <c r="AQ188" s="1058">
        <v>10961983</v>
      </c>
      <c r="AR188" s="1044"/>
      <c r="AS188" s="1044"/>
    </row>
    <row r="189" spans="3:45" hidden="1" outlineLevel="1">
      <c r="C189" s="9" t="s">
        <v>16</v>
      </c>
      <c r="D189" s="806" t="s">
        <v>836</v>
      </c>
      <c r="E189" s="20" t="s">
        <v>1427</v>
      </c>
      <c r="F189" s="20"/>
      <c r="G189" s="20"/>
      <c r="H189" s="20"/>
      <c r="I189" s="20"/>
      <c r="J189" s="20"/>
      <c r="K189" s="20"/>
      <c r="L189" s="20"/>
      <c r="M189" s="20"/>
      <c r="N189" s="20"/>
      <c r="O189" s="20"/>
      <c r="P189" s="20"/>
      <c r="Q189" s="20"/>
      <c r="R189" s="20"/>
      <c r="S189" s="20"/>
      <c r="T189" s="20"/>
      <c r="U189" s="20"/>
      <c r="V189" s="20"/>
      <c r="W189" s="20"/>
      <c r="X189" s="20"/>
      <c r="Y189" s="20"/>
      <c r="Z189" s="20"/>
      <c r="AA189" s="20"/>
      <c r="AB189" s="12"/>
      <c r="AC189" s="12"/>
      <c r="AD189" s="12">
        <v>5375824</v>
      </c>
      <c r="AE189" s="12">
        <v>5375974</v>
      </c>
      <c r="AF189" s="12">
        <f>5739800-107514</f>
        <v>5632286</v>
      </c>
      <c r="AG189" s="12">
        <v>5742343</v>
      </c>
      <c r="AH189" s="12">
        <v>4680909</v>
      </c>
      <c r="AI189" s="12">
        <v>4684023</v>
      </c>
      <c r="AJ189" s="21">
        <v>5120832</v>
      </c>
      <c r="AK189" s="21">
        <v>5124225</v>
      </c>
      <c r="AL189" s="21">
        <v>5024888</v>
      </c>
      <c r="AM189" s="21">
        <v>5027041</v>
      </c>
      <c r="AN189" s="1058">
        <v>4665709</v>
      </c>
      <c r="AO189" s="1058">
        <v>4668714</v>
      </c>
      <c r="AP189" s="1058">
        <v>5035990</v>
      </c>
      <c r="AQ189" s="1058">
        <v>5035787</v>
      </c>
      <c r="AR189" s="1044"/>
      <c r="AS189" s="1044"/>
    </row>
    <row r="190" spans="3:45" hidden="1" outlineLevel="1">
      <c r="C190" s="9" t="s">
        <v>16</v>
      </c>
      <c r="D190" s="806" t="s">
        <v>1498</v>
      </c>
      <c r="E190" s="616" t="s">
        <v>1844</v>
      </c>
      <c r="F190" s="20"/>
      <c r="G190" s="20"/>
      <c r="H190" s="20"/>
      <c r="I190" s="20"/>
      <c r="J190" s="20"/>
      <c r="K190" s="20"/>
      <c r="L190" s="20"/>
      <c r="M190" s="20"/>
      <c r="N190" s="20"/>
      <c r="O190" s="20"/>
      <c r="P190" s="20"/>
      <c r="Q190" s="20"/>
      <c r="R190" s="20"/>
      <c r="S190" s="20"/>
      <c r="T190" s="20"/>
      <c r="U190" s="20"/>
      <c r="V190" s="20"/>
      <c r="W190" s="20"/>
      <c r="X190" s="20"/>
      <c r="Y190" s="20"/>
      <c r="Z190" s="20"/>
      <c r="AA190" s="20"/>
      <c r="AB190" s="12"/>
      <c r="AC190" s="12"/>
      <c r="AD190" s="12">
        <v>157782340</v>
      </c>
      <c r="AE190" s="12">
        <v>139830547</v>
      </c>
      <c r="AF190" s="12">
        <f>152214669-8614304</f>
        <v>143600365</v>
      </c>
      <c r="AG190" s="12">
        <f>152125964+8000000</f>
        <v>160125964</v>
      </c>
      <c r="AH190" s="12">
        <v>130938462</v>
      </c>
      <c r="AI190" s="12">
        <v>118340715</v>
      </c>
      <c r="AJ190" s="21">
        <v>139357272</v>
      </c>
      <c r="AK190" s="21">
        <v>139411638</v>
      </c>
      <c r="AL190" s="21">
        <v>153084715</v>
      </c>
      <c r="AM190" s="21">
        <v>153139690</v>
      </c>
      <c r="AN190" s="1058">
        <v>159283274</v>
      </c>
      <c r="AO190" s="1058">
        <v>159315359</v>
      </c>
      <c r="AP190" s="1058">
        <v>169568982</v>
      </c>
      <c r="AQ190" s="1058">
        <v>169569682</v>
      </c>
      <c r="AR190" s="1044"/>
      <c r="AS190" s="1044"/>
    </row>
    <row r="191" spans="3:45" hidden="1" outlineLevel="1">
      <c r="C191" s="9" t="s">
        <v>16</v>
      </c>
      <c r="D191" s="806" t="s">
        <v>1498</v>
      </c>
      <c r="E191" s="593" t="s">
        <v>1434</v>
      </c>
      <c r="F191" s="20"/>
      <c r="G191" s="20"/>
      <c r="H191" s="20"/>
      <c r="I191" s="20"/>
      <c r="J191" s="20"/>
      <c r="K191" s="20"/>
      <c r="L191" s="20"/>
      <c r="M191" s="20"/>
      <c r="N191" s="20"/>
      <c r="O191" s="20"/>
      <c r="P191" s="20"/>
      <c r="Q191" s="20"/>
      <c r="R191" s="20"/>
      <c r="S191" s="20"/>
      <c r="T191" s="20"/>
      <c r="U191" s="20"/>
      <c r="V191" s="20"/>
      <c r="W191" s="20"/>
      <c r="X191" s="20"/>
      <c r="Y191" s="20"/>
      <c r="Z191" s="20"/>
      <c r="AA191" s="20"/>
      <c r="AB191" s="12"/>
      <c r="AC191" s="12"/>
      <c r="AD191" s="12">
        <v>228954955</v>
      </c>
      <c r="AE191" s="12">
        <v>228794181</v>
      </c>
      <c r="AF191" s="12">
        <f>331854314-6745161</f>
        <v>325109153</v>
      </c>
      <c r="AG191" s="12">
        <v>234678383</v>
      </c>
      <c r="AH191" s="12">
        <v>246003540</v>
      </c>
      <c r="AI191" s="12">
        <v>226185611</v>
      </c>
      <c r="AJ191" s="21">
        <v>253345445</v>
      </c>
      <c r="AK191" s="21">
        <v>253394799</v>
      </c>
      <c r="AL191" s="21">
        <v>258399846</v>
      </c>
      <c r="AM191" s="21">
        <v>258542809</v>
      </c>
      <c r="AN191" s="1058">
        <v>262832204</v>
      </c>
      <c r="AO191" s="1058">
        <v>262967016</v>
      </c>
      <c r="AP191" s="1058">
        <v>267775848</v>
      </c>
      <c r="AQ191" s="1058">
        <v>267775350</v>
      </c>
      <c r="AR191" s="1044"/>
      <c r="AS191" s="1044"/>
    </row>
    <row r="192" spans="3:45" hidden="1" outlineLevel="1">
      <c r="C192" s="9" t="s">
        <v>16</v>
      </c>
      <c r="D192" s="806" t="s">
        <v>1498</v>
      </c>
      <c r="E192" s="593" t="s">
        <v>1435</v>
      </c>
      <c r="F192" s="20"/>
      <c r="G192" s="20"/>
      <c r="H192" s="20"/>
      <c r="I192" s="20"/>
      <c r="J192" s="20"/>
      <c r="K192" s="20"/>
      <c r="L192" s="20"/>
      <c r="M192" s="20"/>
      <c r="N192" s="20"/>
      <c r="O192" s="20"/>
      <c r="P192" s="20"/>
      <c r="Q192" s="20"/>
      <c r="R192" s="20"/>
      <c r="S192" s="20"/>
      <c r="T192" s="20"/>
      <c r="U192" s="20"/>
      <c r="V192" s="20"/>
      <c r="W192" s="20"/>
      <c r="X192" s="20"/>
      <c r="Y192" s="20"/>
      <c r="Z192" s="20"/>
      <c r="AA192" s="20"/>
      <c r="AB192" s="12"/>
      <c r="AC192" s="12"/>
      <c r="AD192" s="12">
        <v>147107649</v>
      </c>
      <c r="AE192" s="12">
        <v>142092911</v>
      </c>
      <c r="AF192" s="12">
        <f>155412196-9673646</f>
        <v>145738550</v>
      </c>
      <c r="AG192" s="12">
        <v>155282670</v>
      </c>
      <c r="AH192" s="12">
        <v>159162503</v>
      </c>
      <c r="AI192" s="12">
        <v>135118799</v>
      </c>
      <c r="AJ192" s="21">
        <v>163203081</v>
      </c>
      <c r="AK192" s="21">
        <v>163505508</v>
      </c>
      <c r="AL192" s="21">
        <v>166678689</v>
      </c>
      <c r="AM192" s="21">
        <v>166926864</v>
      </c>
      <c r="AN192" s="1058">
        <v>174212964</v>
      </c>
      <c r="AO192" s="1058">
        <v>174394183</v>
      </c>
      <c r="AP192" s="1058">
        <v>188280861</v>
      </c>
      <c r="AQ192" s="1058">
        <v>188280561</v>
      </c>
      <c r="AR192" s="1044"/>
      <c r="AS192" s="1044"/>
    </row>
    <row r="193" spans="2:45" hidden="1" outlineLevel="1">
      <c r="C193" s="9" t="s">
        <v>16</v>
      </c>
      <c r="D193" s="806" t="s">
        <v>1498</v>
      </c>
      <c r="E193" s="593" t="s">
        <v>1436</v>
      </c>
      <c r="F193" s="20"/>
      <c r="G193" s="20"/>
      <c r="H193" s="20"/>
      <c r="I193" s="20"/>
      <c r="J193" s="20"/>
      <c r="K193" s="20"/>
      <c r="L193" s="20"/>
      <c r="M193" s="20"/>
      <c r="N193" s="20"/>
      <c r="O193" s="20"/>
      <c r="P193" s="20"/>
      <c r="Q193" s="20"/>
      <c r="R193" s="20"/>
      <c r="S193" s="20"/>
      <c r="T193" s="20"/>
      <c r="U193" s="20"/>
      <c r="V193" s="20"/>
      <c r="W193" s="20"/>
      <c r="X193" s="20"/>
      <c r="Y193" s="20"/>
      <c r="Z193" s="20"/>
      <c r="AA193" s="20"/>
      <c r="AB193" s="12"/>
      <c r="AC193" s="12"/>
      <c r="AD193" s="12">
        <v>141400083</v>
      </c>
      <c r="AE193" s="12">
        <v>141262446</v>
      </c>
      <c r="AF193" s="12">
        <f>154454884-8724332</f>
        <v>145730552</v>
      </c>
      <c r="AG193" s="12">
        <f>154369619+8000000</f>
        <v>162369619</v>
      </c>
      <c r="AH193" s="12">
        <v>138696688</v>
      </c>
      <c r="AI193" s="12">
        <v>121918354</v>
      </c>
      <c r="AJ193" s="21">
        <v>142341388</v>
      </c>
      <c r="AK193" s="21">
        <v>142448592</v>
      </c>
      <c r="AL193" s="21">
        <v>131422183</v>
      </c>
      <c r="AM193" s="21">
        <v>131510128</v>
      </c>
      <c r="AN193" s="1058">
        <v>135724051</v>
      </c>
      <c r="AO193" s="1058">
        <v>135806587</v>
      </c>
      <c r="AP193" s="1058">
        <v>147460472</v>
      </c>
      <c r="AQ193" s="1058">
        <v>147460709</v>
      </c>
      <c r="AR193" s="1044"/>
      <c r="AS193" s="1044"/>
    </row>
    <row r="194" spans="2:45" s="1044" customFormat="1" hidden="1" outlineLevel="1">
      <c r="B194" s="1045"/>
      <c r="C194" s="1030" t="s">
        <v>16</v>
      </c>
      <c r="D194" s="1051" t="s">
        <v>1498</v>
      </c>
      <c r="E194" s="616" t="s">
        <v>1685</v>
      </c>
      <c r="F194" s="1047"/>
      <c r="G194" s="1047"/>
      <c r="H194" s="1047"/>
      <c r="I194" s="1047"/>
      <c r="J194" s="1047"/>
      <c r="K194" s="1047"/>
      <c r="L194" s="1047"/>
      <c r="M194" s="1047"/>
      <c r="N194" s="1047"/>
      <c r="O194" s="1047"/>
      <c r="P194" s="1047"/>
      <c r="Q194" s="1047"/>
      <c r="R194" s="1047"/>
      <c r="S194" s="1047"/>
      <c r="T194" s="1047"/>
      <c r="U194" s="1047"/>
      <c r="V194" s="1047"/>
      <c r="W194" s="1047"/>
      <c r="X194" s="1047"/>
      <c r="Y194" s="1047"/>
      <c r="Z194" s="1047"/>
      <c r="AA194" s="1047"/>
      <c r="AB194" s="1070"/>
      <c r="AC194" s="1070"/>
      <c r="AD194" s="1070"/>
      <c r="AE194" s="1070"/>
      <c r="AF194" s="1070"/>
      <c r="AG194" s="1070"/>
      <c r="AH194" s="1070"/>
      <c r="AI194" s="1070"/>
      <c r="AJ194" s="1058"/>
      <c r="AK194" s="1058"/>
      <c r="AL194" s="1058"/>
      <c r="AM194" s="1058"/>
      <c r="AN194" s="1058">
        <v>26743331</v>
      </c>
      <c r="AO194" s="1058">
        <v>26754712</v>
      </c>
      <c r="AP194" s="1058">
        <v>32285815</v>
      </c>
      <c r="AQ194" s="1058">
        <v>32285815</v>
      </c>
      <c r="AR194" s="1236"/>
      <c r="AS194" s="1236"/>
    </row>
    <row r="195" spans="2:45" hidden="1" outlineLevel="1">
      <c r="C195" s="9" t="s">
        <v>16</v>
      </c>
      <c r="D195" s="806" t="s">
        <v>1498</v>
      </c>
      <c r="E195" s="593" t="s">
        <v>1437</v>
      </c>
      <c r="F195" s="20"/>
      <c r="G195" s="20"/>
      <c r="H195" s="20"/>
      <c r="I195" s="20"/>
      <c r="J195" s="20"/>
      <c r="K195" s="20"/>
      <c r="L195" s="20"/>
      <c r="M195" s="20"/>
      <c r="N195" s="20"/>
      <c r="O195" s="20"/>
      <c r="P195" s="20"/>
      <c r="Q195" s="20"/>
      <c r="R195" s="20"/>
      <c r="S195" s="20"/>
      <c r="T195" s="20"/>
      <c r="U195" s="20"/>
      <c r="V195" s="20"/>
      <c r="W195" s="20"/>
      <c r="X195" s="20"/>
      <c r="Y195" s="20"/>
      <c r="Z195" s="20"/>
      <c r="AA195" s="20"/>
      <c r="AB195" s="12"/>
      <c r="AC195" s="12"/>
      <c r="AD195" s="12">
        <v>152739888</v>
      </c>
      <c r="AE195" s="12">
        <v>152721131</v>
      </c>
      <c r="AF195" s="12">
        <f>164926404-634206</f>
        <v>164292198</v>
      </c>
      <c r="AG195" s="12">
        <f>164903651+8000000</f>
        <v>172903651</v>
      </c>
      <c r="AH195" s="12">
        <v>157954635</v>
      </c>
      <c r="AI195" s="12">
        <v>140480437</v>
      </c>
      <c r="AJ195" s="21">
        <v>171688168</v>
      </c>
      <c r="AK195" s="21">
        <v>171679513</v>
      </c>
      <c r="AL195" s="21">
        <v>185159472</v>
      </c>
      <c r="AM195" s="21">
        <v>185165133</v>
      </c>
      <c r="AN195" s="1058">
        <v>192891958</v>
      </c>
      <c r="AO195" s="1058">
        <v>192894019</v>
      </c>
      <c r="AP195" s="1058">
        <v>202092811</v>
      </c>
      <c r="AQ195" s="1058">
        <v>202093162</v>
      </c>
      <c r="AR195" s="1044"/>
      <c r="AS195" s="1044"/>
    </row>
    <row r="196" spans="2:45" hidden="1" outlineLevel="1">
      <c r="C196" s="9" t="s">
        <v>16</v>
      </c>
      <c r="D196" s="806" t="s">
        <v>1498</v>
      </c>
      <c r="E196" s="593" t="s">
        <v>1438</v>
      </c>
      <c r="F196" s="20"/>
      <c r="G196" s="20"/>
      <c r="H196" s="20"/>
      <c r="I196" s="20"/>
      <c r="J196" s="20"/>
      <c r="K196" s="20"/>
      <c r="L196" s="20"/>
      <c r="M196" s="20"/>
      <c r="N196" s="20"/>
      <c r="O196" s="20"/>
      <c r="P196" s="20"/>
      <c r="Q196" s="20"/>
      <c r="R196" s="20"/>
      <c r="S196" s="20"/>
      <c r="T196" s="20"/>
      <c r="U196" s="20"/>
      <c r="V196" s="20"/>
      <c r="W196" s="20"/>
      <c r="X196" s="20"/>
      <c r="Y196" s="20"/>
      <c r="Z196" s="20"/>
      <c r="AA196" s="20"/>
      <c r="AB196" s="12"/>
      <c r="AC196" s="12"/>
      <c r="AD196" s="12">
        <v>34905094</v>
      </c>
      <c r="AE196" s="12">
        <v>34908244</v>
      </c>
      <c r="AF196" s="12">
        <f>37362761-80210</f>
        <v>37282551</v>
      </c>
      <c r="AG196" s="12">
        <v>37359661</v>
      </c>
      <c r="AH196" s="12">
        <v>40305012</v>
      </c>
      <c r="AI196" s="12">
        <v>31551567</v>
      </c>
      <c r="AJ196" s="21">
        <v>36981360</v>
      </c>
      <c r="AK196" s="21">
        <v>36985935</v>
      </c>
      <c r="AL196" s="21">
        <v>45882979</v>
      </c>
      <c r="AM196" s="21">
        <v>45884857</v>
      </c>
      <c r="AN196" s="1058">
        <v>43090444</v>
      </c>
      <c r="AO196" s="1058">
        <v>43092856</v>
      </c>
      <c r="AP196" s="1058">
        <v>48604141</v>
      </c>
      <c r="AQ196" s="1058">
        <v>48603941</v>
      </c>
      <c r="AR196" s="1044"/>
      <c r="AS196" s="1044"/>
    </row>
    <row r="197" spans="2:45" hidden="1" outlineLevel="1">
      <c r="C197" s="9" t="s">
        <v>16</v>
      </c>
      <c r="D197" s="806" t="s">
        <v>1498</v>
      </c>
      <c r="E197" s="593" t="s">
        <v>1439</v>
      </c>
      <c r="F197" s="20"/>
      <c r="G197" s="20"/>
      <c r="H197" s="20"/>
      <c r="I197" s="20"/>
      <c r="J197" s="20"/>
      <c r="K197" s="20"/>
      <c r="L197" s="20"/>
      <c r="M197" s="20"/>
      <c r="N197" s="20"/>
      <c r="O197" s="20"/>
      <c r="P197" s="20"/>
      <c r="Q197" s="20"/>
      <c r="R197" s="20"/>
      <c r="S197" s="20"/>
      <c r="T197" s="20"/>
      <c r="U197" s="20"/>
      <c r="V197" s="20"/>
      <c r="W197" s="20"/>
      <c r="X197" s="20"/>
      <c r="Y197" s="20"/>
      <c r="Z197" s="20"/>
      <c r="AA197" s="20"/>
      <c r="AB197" s="12"/>
      <c r="AC197" s="12"/>
      <c r="AD197" s="12">
        <v>99895788</v>
      </c>
      <c r="AE197" s="12">
        <v>85694894</v>
      </c>
      <c r="AF197" s="12">
        <f>110347936-6014608</f>
        <v>104333328</v>
      </c>
      <c r="AG197" s="12">
        <f>105335067+8000000</f>
        <v>113335067</v>
      </c>
      <c r="AH197" s="12">
        <v>103738798</v>
      </c>
      <c r="AI197" s="12">
        <v>90664001</v>
      </c>
      <c r="AJ197" s="21">
        <v>119269646</v>
      </c>
      <c r="AK197" s="21">
        <v>119369360</v>
      </c>
      <c r="AL197" s="21">
        <v>132456608</v>
      </c>
      <c r="AM197" s="21">
        <v>132249123</v>
      </c>
      <c r="AN197" s="1058">
        <v>143972983</v>
      </c>
      <c r="AO197" s="1058">
        <v>144025170</v>
      </c>
      <c r="AP197" s="1058">
        <v>145469479</v>
      </c>
      <c r="AQ197" s="1058">
        <v>145473871</v>
      </c>
      <c r="AR197" s="1044"/>
      <c r="AS197" s="1044"/>
    </row>
    <row r="198" spans="2:45" hidden="1" outlineLevel="1">
      <c r="C198" s="9" t="s">
        <v>16</v>
      </c>
      <c r="D198" s="806" t="s">
        <v>1498</v>
      </c>
      <c r="E198" s="593" t="s">
        <v>1440</v>
      </c>
      <c r="F198" s="20"/>
      <c r="G198" s="20"/>
      <c r="H198" s="20"/>
      <c r="I198" s="20"/>
      <c r="J198" s="20"/>
      <c r="K198" s="20"/>
      <c r="L198" s="20"/>
      <c r="M198" s="20"/>
      <c r="N198" s="20"/>
      <c r="O198" s="20"/>
      <c r="P198" s="20"/>
      <c r="Q198" s="20"/>
      <c r="R198" s="20"/>
      <c r="S198" s="20"/>
      <c r="T198" s="20"/>
      <c r="U198" s="20"/>
      <c r="V198" s="20"/>
      <c r="W198" s="20"/>
      <c r="X198" s="20"/>
      <c r="Y198" s="20"/>
      <c r="Z198" s="20"/>
      <c r="AA198" s="20"/>
      <c r="AB198" s="12"/>
      <c r="AC198" s="12"/>
      <c r="AD198" s="12">
        <v>56385726</v>
      </c>
      <c r="AE198" s="12">
        <v>56388382</v>
      </c>
      <c r="AF198" s="12">
        <f>62540846-3438054</f>
        <v>59102792</v>
      </c>
      <c r="AG198" s="12">
        <f>62564129+5000000</f>
        <v>67564129</v>
      </c>
      <c r="AH198" s="12">
        <v>59235376</v>
      </c>
      <c r="AI198" s="12">
        <v>53886456</v>
      </c>
      <c r="AJ198" s="21">
        <v>70320139</v>
      </c>
      <c r="AK198" s="21">
        <v>70416490</v>
      </c>
      <c r="AL198" s="21">
        <v>83282949</v>
      </c>
      <c r="AM198" s="21">
        <v>83052531</v>
      </c>
      <c r="AN198" s="1058">
        <v>88550583</v>
      </c>
      <c r="AO198" s="1058">
        <v>88302840</v>
      </c>
      <c r="AP198" s="1244">
        <f>93401581+2500000</f>
        <v>95901581</v>
      </c>
      <c r="AQ198" s="1244">
        <f>93116953+2500000</f>
        <v>95616953</v>
      </c>
      <c r="AR198" s="1044"/>
      <c r="AS198" s="1044"/>
    </row>
    <row r="199" spans="2:45" hidden="1" outlineLevel="1">
      <c r="C199" s="9" t="s">
        <v>16</v>
      </c>
      <c r="D199" s="806" t="s">
        <v>1498</v>
      </c>
      <c r="E199" s="593" t="s">
        <v>942</v>
      </c>
      <c r="F199" s="20"/>
      <c r="G199" s="20"/>
      <c r="H199" s="20"/>
      <c r="I199" s="20"/>
      <c r="J199" s="20"/>
      <c r="K199" s="20"/>
      <c r="L199" s="20"/>
      <c r="M199" s="20"/>
      <c r="N199" s="20"/>
      <c r="O199" s="20"/>
      <c r="P199" s="20"/>
      <c r="Q199" s="20"/>
      <c r="R199" s="20"/>
      <c r="S199" s="20"/>
      <c r="T199" s="20"/>
      <c r="U199" s="20"/>
      <c r="V199" s="20"/>
      <c r="W199" s="20"/>
      <c r="X199" s="20"/>
      <c r="Y199" s="20"/>
      <c r="Z199" s="20"/>
      <c r="AA199" s="20"/>
      <c r="AB199" s="12"/>
      <c r="AC199" s="12"/>
      <c r="AD199" s="12">
        <v>153866176</v>
      </c>
      <c r="AE199" s="12">
        <v>133502277</v>
      </c>
      <c r="AF199" s="12">
        <f>160940004-7075479</f>
        <v>153864525</v>
      </c>
      <c r="AG199" s="12">
        <f>164806157+8000000</f>
        <v>172806157</v>
      </c>
      <c r="AH199" s="12">
        <v>156183577</v>
      </c>
      <c r="AI199" s="12">
        <v>135529543</v>
      </c>
      <c r="AJ199" s="21">
        <v>169519287</v>
      </c>
      <c r="AK199" s="21">
        <v>169473359</v>
      </c>
      <c r="AL199" s="21">
        <v>121146107</v>
      </c>
      <c r="AM199" s="21">
        <v>121240517</v>
      </c>
      <c r="AN199" s="1058">
        <v>128968094</v>
      </c>
      <c r="AO199" s="1058">
        <v>129010222</v>
      </c>
      <c r="AP199" s="1058">
        <v>148184642</v>
      </c>
      <c r="AQ199" s="1058">
        <v>148167963</v>
      </c>
      <c r="AR199" s="1044"/>
      <c r="AS199" s="1044"/>
    </row>
    <row r="200" spans="2:45" hidden="1" outlineLevel="1">
      <c r="C200" s="9" t="s">
        <v>16</v>
      </c>
      <c r="D200" s="806" t="s">
        <v>1498</v>
      </c>
      <c r="E200" s="616" t="s">
        <v>1556</v>
      </c>
      <c r="F200" s="20"/>
      <c r="G200" s="20"/>
      <c r="H200" s="20"/>
      <c r="I200" s="20"/>
      <c r="J200" s="20"/>
      <c r="K200" s="20"/>
      <c r="L200" s="20"/>
      <c r="M200" s="20"/>
      <c r="N200" s="20"/>
      <c r="O200" s="20"/>
      <c r="P200" s="20"/>
      <c r="Q200" s="20"/>
      <c r="R200" s="20"/>
      <c r="S200" s="20"/>
      <c r="T200" s="20"/>
      <c r="U200" s="20"/>
      <c r="V200" s="20"/>
      <c r="W200" s="20"/>
      <c r="X200" s="20"/>
      <c r="Y200" s="20"/>
      <c r="Z200" s="20"/>
      <c r="AA200" s="20"/>
      <c r="AB200" s="12"/>
      <c r="AC200" s="12"/>
      <c r="AD200" s="12"/>
      <c r="AE200" s="12"/>
      <c r="AF200" s="12"/>
      <c r="AG200" s="12"/>
      <c r="AH200" s="12"/>
      <c r="AI200" s="12"/>
      <c r="AJ200" s="21"/>
      <c r="AK200" s="21"/>
      <c r="AL200" s="21">
        <v>63086161</v>
      </c>
      <c r="AM200" s="21">
        <v>63097439</v>
      </c>
      <c r="AN200" s="1058">
        <v>65415424</v>
      </c>
      <c r="AO200" s="1058">
        <v>65351585</v>
      </c>
      <c r="AP200" s="1058">
        <v>70254352</v>
      </c>
      <c r="AQ200" s="1058">
        <v>70238744</v>
      </c>
      <c r="AR200" s="1044"/>
      <c r="AS200" s="1044"/>
    </row>
    <row r="201" spans="2:45" s="1044" customFormat="1" hidden="1" outlineLevel="1">
      <c r="B201" s="1045"/>
      <c r="C201" s="1030" t="s">
        <v>16</v>
      </c>
      <c r="D201" s="1051" t="s">
        <v>1498</v>
      </c>
      <c r="E201" s="616" t="s">
        <v>1843</v>
      </c>
      <c r="F201" s="1047"/>
      <c r="G201" s="1047"/>
      <c r="H201" s="1047"/>
      <c r="I201" s="1047"/>
      <c r="J201" s="1047"/>
      <c r="K201" s="1047"/>
      <c r="L201" s="1047"/>
      <c r="M201" s="1047"/>
      <c r="N201" s="1047"/>
      <c r="O201" s="1047"/>
      <c r="P201" s="1047"/>
      <c r="Q201" s="1047"/>
      <c r="R201" s="1047"/>
      <c r="S201" s="1047"/>
      <c r="T201" s="1047"/>
      <c r="U201" s="1047"/>
      <c r="V201" s="1047"/>
      <c r="W201" s="1047"/>
      <c r="X201" s="1047"/>
      <c r="Y201" s="1047"/>
      <c r="Z201" s="1047"/>
      <c r="AA201" s="1047"/>
      <c r="AB201" s="1070"/>
      <c r="AC201" s="1070"/>
      <c r="AD201" s="1070"/>
      <c r="AE201" s="1070"/>
      <c r="AF201" s="1070"/>
      <c r="AG201" s="1070"/>
      <c r="AH201" s="1070"/>
      <c r="AI201" s="1070"/>
      <c r="AJ201" s="1058"/>
      <c r="AK201" s="1058"/>
      <c r="AL201" s="1058"/>
      <c r="AM201" s="1058"/>
      <c r="AN201" s="1058">
        <f>6071343-379900</f>
        <v>5691443</v>
      </c>
      <c r="AO201" s="1058">
        <f>6071343-379900</f>
        <v>5691443</v>
      </c>
      <c r="AP201" s="1058">
        <f>12283896-1298537</f>
        <v>10985359</v>
      </c>
      <c r="AQ201" s="1058">
        <f>12283896-1298537</f>
        <v>10985359</v>
      </c>
    </row>
    <row r="202" spans="2:45" hidden="1" outlineLevel="1">
      <c r="C202" s="9" t="s">
        <v>16</v>
      </c>
      <c r="D202" s="805"/>
      <c r="E202" s="226" t="s">
        <v>77</v>
      </c>
      <c r="F202" s="23"/>
      <c r="G202" s="23"/>
      <c r="H202" s="23"/>
      <c r="I202" s="23"/>
      <c r="J202" s="23"/>
      <c r="K202" s="23"/>
      <c r="L202" s="23"/>
      <c r="M202" s="23"/>
      <c r="N202" s="23"/>
      <c r="O202" s="23"/>
      <c r="P202" s="23"/>
      <c r="Q202" s="23"/>
      <c r="R202" s="23"/>
      <c r="S202" s="23"/>
      <c r="T202" s="23"/>
      <c r="U202" s="23"/>
      <c r="V202" s="23"/>
      <c r="W202" s="23"/>
      <c r="X202" s="23"/>
      <c r="Y202" s="23"/>
      <c r="Z202" s="23"/>
      <c r="AA202" s="23"/>
      <c r="AB202" s="34"/>
      <c r="AC202" s="34"/>
      <c r="AD202" s="34">
        <v>860412423</v>
      </c>
      <c r="AE202" s="34">
        <v>858812422</v>
      </c>
      <c r="AF202" s="34">
        <f>929621578-15000000</f>
        <v>914621578</v>
      </c>
      <c r="AG202" s="34">
        <v>929621580</v>
      </c>
      <c r="AH202" s="34">
        <v>874690361</v>
      </c>
      <c r="AI202" s="34">
        <v>874690362</v>
      </c>
      <c r="AJ202" s="230">
        <v>895759508</v>
      </c>
      <c r="AK202" s="230">
        <v>890759510</v>
      </c>
      <c r="AL202" s="230">
        <v>892785312</v>
      </c>
      <c r="AM202" s="230">
        <v>885793094</v>
      </c>
      <c r="AN202" s="920">
        <v>899540045</v>
      </c>
      <c r="AO202" s="920">
        <v>894979998</v>
      </c>
      <c r="AP202" s="920">
        <v>936193916</v>
      </c>
      <c r="AQ202" s="920">
        <v>931497068</v>
      </c>
      <c r="AR202" s="1044"/>
      <c r="AS202" s="1044"/>
    </row>
    <row r="203" spans="2:45" hidden="1" outlineLevel="1">
      <c r="C203" s="9" t="s">
        <v>16</v>
      </c>
      <c r="D203" s="806" t="s">
        <v>1542</v>
      </c>
      <c r="E203" s="20" t="s">
        <v>1441</v>
      </c>
      <c r="F203" s="20"/>
      <c r="G203" s="20"/>
      <c r="H203" s="20"/>
      <c r="I203" s="20"/>
      <c r="J203" s="20"/>
      <c r="K203" s="20"/>
      <c r="L203" s="20"/>
      <c r="M203" s="20"/>
      <c r="N203" s="20"/>
      <c r="O203" s="20"/>
      <c r="P203" s="20"/>
      <c r="Q203" s="20"/>
      <c r="R203" s="20"/>
      <c r="S203" s="20"/>
      <c r="T203" s="20"/>
      <c r="U203" s="20"/>
      <c r="V203" s="20"/>
      <c r="W203" s="20"/>
      <c r="X203" s="20"/>
      <c r="Y203" s="20"/>
      <c r="Z203" s="20"/>
      <c r="AA203" s="20"/>
      <c r="AB203" s="12"/>
      <c r="AC203" s="12"/>
      <c r="AD203" s="12">
        <v>3531910</v>
      </c>
      <c r="AE203" s="12">
        <v>3531909</v>
      </c>
      <c r="AF203" s="12">
        <v>13531909</v>
      </c>
      <c r="AG203" s="12">
        <v>3531909</v>
      </c>
      <c r="AH203" s="12">
        <v>2301722</v>
      </c>
      <c r="AI203" s="12">
        <v>2301722</v>
      </c>
      <c r="AJ203" s="21">
        <v>9201722</v>
      </c>
      <c r="AK203" s="21">
        <v>2301722</v>
      </c>
      <c r="AL203" s="21">
        <v>10801722</v>
      </c>
      <c r="AM203" s="21">
        <v>10801722</v>
      </c>
      <c r="AN203" s="1058">
        <v>3110562</v>
      </c>
      <c r="AO203" s="1058">
        <v>3108744</v>
      </c>
      <c r="AP203" s="1058">
        <v>3043910</v>
      </c>
      <c r="AQ203" s="1058">
        <v>3042093</v>
      </c>
      <c r="AR203" s="1044"/>
      <c r="AS203" s="1044"/>
    </row>
    <row r="204" spans="2:45" hidden="1" outlineLevel="1">
      <c r="C204" s="9" t="s">
        <v>16</v>
      </c>
      <c r="D204" s="806" t="s">
        <v>2100</v>
      </c>
      <c r="E204" s="20" t="s">
        <v>1442</v>
      </c>
      <c r="F204" s="20"/>
      <c r="G204" s="20"/>
      <c r="H204" s="20"/>
      <c r="I204" s="20"/>
      <c r="J204" s="20"/>
      <c r="K204" s="20"/>
      <c r="L204" s="20"/>
      <c r="M204" s="20"/>
      <c r="N204" s="20"/>
      <c r="O204" s="20"/>
      <c r="P204" s="20"/>
      <c r="Q204" s="20"/>
      <c r="R204" s="20"/>
      <c r="S204" s="20"/>
      <c r="T204" s="20"/>
      <c r="U204" s="20"/>
      <c r="V204" s="20"/>
      <c r="W204" s="20"/>
      <c r="X204" s="20"/>
      <c r="Y204" s="20"/>
      <c r="Z204" s="20"/>
      <c r="AA204" s="20"/>
      <c r="AB204" s="12"/>
      <c r="AC204" s="12"/>
      <c r="AD204" s="12">
        <v>17974590</v>
      </c>
      <c r="AE204" s="12">
        <v>17972376</v>
      </c>
      <c r="AF204" s="12">
        <f>19541383-850530</f>
        <v>18690853</v>
      </c>
      <c r="AG204" s="12">
        <v>19539400</v>
      </c>
      <c r="AH204" s="12">
        <v>17592191</v>
      </c>
      <c r="AI204" s="12">
        <v>17585551</v>
      </c>
      <c r="AJ204" s="21">
        <v>16737844</v>
      </c>
      <c r="AK204" s="21">
        <v>16727836</v>
      </c>
      <c r="AL204" s="21">
        <v>16650560</v>
      </c>
      <c r="AM204" s="21">
        <v>16638509</v>
      </c>
      <c r="AN204" s="1058">
        <v>16803134</v>
      </c>
      <c r="AO204" s="1058">
        <v>16761444</v>
      </c>
      <c r="AP204" s="1058">
        <v>27009390</v>
      </c>
      <c r="AQ204" s="1058">
        <v>27199749</v>
      </c>
      <c r="AR204" s="1044"/>
      <c r="AS204" s="1044"/>
    </row>
    <row r="205" spans="2:45" hidden="1" outlineLevel="1">
      <c r="C205" s="9" t="s">
        <v>16</v>
      </c>
      <c r="D205" s="1051" t="s">
        <v>2100</v>
      </c>
      <c r="E205" s="20" t="s">
        <v>1443</v>
      </c>
      <c r="F205" s="20"/>
      <c r="G205" s="20"/>
      <c r="H205" s="20"/>
      <c r="I205" s="20"/>
      <c r="J205" s="20"/>
      <c r="K205" s="20"/>
      <c r="L205" s="20"/>
      <c r="M205" s="20"/>
      <c r="N205" s="20"/>
      <c r="O205" s="20"/>
      <c r="P205" s="20"/>
      <c r="Q205" s="20"/>
      <c r="R205" s="20"/>
      <c r="S205" s="20"/>
      <c r="T205" s="20"/>
      <c r="U205" s="20"/>
      <c r="V205" s="20"/>
      <c r="W205" s="20"/>
      <c r="X205" s="20"/>
      <c r="Y205" s="20"/>
      <c r="Z205" s="20"/>
      <c r="AA205" s="20"/>
      <c r="AB205" s="12"/>
      <c r="AC205" s="12"/>
      <c r="AD205" s="12">
        <v>12046863</v>
      </c>
      <c r="AE205" s="12">
        <v>12040590</v>
      </c>
      <c r="AF205" s="12">
        <f>12453609-419578</f>
        <v>12034031</v>
      </c>
      <c r="AG205" s="12">
        <v>12452887</v>
      </c>
      <c r="AH205" s="12">
        <v>10097664</v>
      </c>
      <c r="AI205" s="12">
        <v>10097421</v>
      </c>
      <c r="AJ205" s="21">
        <v>9564175</v>
      </c>
      <c r="AK205" s="21">
        <v>9563179</v>
      </c>
      <c r="AL205" s="21">
        <v>11226624</v>
      </c>
      <c r="AM205" s="21">
        <v>11226107</v>
      </c>
      <c r="AN205" s="1058">
        <v>10907415</v>
      </c>
      <c r="AO205" s="1058">
        <v>10895927</v>
      </c>
      <c r="AP205" s="1058">
        <v>11688197</v>
      </c>
      <c r="AQ205" s="1058">
        <v>11685060</v>
      </c>
      <c r="AR205" s="1044"/>
      <c r="AS205" s="1044"/>
    </row>
    <row r="206" spans="2:45" hidden="1" outlineLevel="1">
      <c r="C206" s="9" t="s">
        <v>16</v>
      </c>
      <c r="D206" s="1051" t="s">
        <v>2100</v>
      </c>
      <c r="E206" s="20" t="s">
        <v>1444</v>
      </c>
      <c r="F206" s="20"/>
      <c r="G206" s="20"/>
      <c r="H206" s="20"/>
      <c r="I206" s="20"/>
      <c r="J206" s="20"/>
      <c r="K206" s="20"/>
      <c r="L206" s="20"/>
      <c r="M206" s="20"/>
      <c r="N206" s="20"/>
      <c r="O206" s="20"/>
      <c r="P206" s="20"/>
      <c r="Q206" s="20"/>
      <c r="R206" s="20"/>
      <c r="S206" s="20"/>
      <c r="T206" s="20"/>
      <c r="U206" s="20"/>
      <c r="V206" s="20"/>
      <c r="W206" s="20"/>
      <c r="X206" s="20"/>
      <c r="Y206" s="20"/>
      <c r="Z206" s="20"/>
      <c r="AA206" s="20"/>
      <c r="AB206" s="12"/>
      <c r="AC206" s="12"/>
      <c r="AD206" s="12">
        <v>4047840</v>
      </c>
      <c r="AE206" s="12">
        <v>4046203</v>
      </c>
      <c r="AF206" s="12">
        <f>4759213-1157191</f>
        <v>3602022</v>
      </c>
      <c r="AG206" s="12">
        <v>4758562</v>
      </c>
      <c r="AH206" s="12">
        <v>4259975</v>
      </c>
      <c r="AI206" s="12">
        <v>4259454</v>
      </c>
      <c r="AJ206" s="21">
        <v>4787457</v>
      </c>
      <c r="AK206" s="21">
        <v>4786633</v>
      </c>
      <c r="AL206" s="21">
        <v>4937823</v>
      </c>
      <c r="AM206" s="21">
        <v>4935646</v>
      </c>
      <c r="AN206" s="1058">
        <v>5865725</v>
      </c>
      <c r="AO206" s="1058">
        <v>5857633</v>
      </c>
      <c r="AP206" s="1058">
        <v>6556685</v>
      </c>
      <c r="AQ206" s="1058">
        <v>6555047</v>
      </c>
      <c r="AR206" s="1044"/>
      <c r="AS206" s="1044"/>
    </row>
    <row r="207" spans="2:45" hidden="1" outlineLevel="1">
      <c r="C207" s="9" t="s">
        <v>16</v>
      </c>
      <c r="D207" s="1051" t="s">
        <v>2100</v>
      </c>
      <c r="E207" s="20" t="s">
        <v>1445</v>
      </c>
      <c r="F207" s="20"/>
      <c r="G207" s="20"/>
      <c r="H207" s="20"/>
      <c r="I207" s="20"/>
      <c r="J207" s="20"/>
      <c r="K207" s="20"/>
      <c r="L207" s="20"/>
      <c r="M207" s="20"/>
      <c r="N207" s="20"/>
      <c r="O207" s="20"/>
      <c r="P207" s="20"/>
      <c r="Q207" s="20"/>
      <c r="R207" s="20"/>
      <c r="S207" s="20"/>
      <c r="T207" s="20"/>
      <c r="U207" s="20"/>
      <c r="V207" s="20"/>
      <c r="W207" s="20"/>
      <c r="X207" s="20"/>
      <c r="Y207" s="20"/>
      <c r="Z207" s="20"/>
      <c r="AA207" s="20"/>
      <c r="AB207" s="12"/>
      <c r="AC207" s="12"/>
      <c r="AD207" s="12">
        <v>25503459</v>
      </c>
      <c r="AE207" s="12">
        <v>25327546</v>
      </c>
      <c r="AF207" s="12">
        <f>26397717-152123</f>
        <v>26245594</v>
      </c>
      <c r="AG207" s="12">
        <v>26393198</v>
      </c>
      <c r="AH207" s="12">
        <v>28592770</v>
      </c>
      <c r="AI207" s="12">
        <v>26597306</v>
      </c>
      <c r="AJ207" s="21">
        <v>25177263</v>
      </c>
      <c r="AK207" s="21">
        <v>25167487</v>
      </c>
      <c r="AL207" s="21">
        <v>25466973</v>
      </c>
      <c r="AM207" s="21">
        <v>25417038</v>
      </c>
      <c r="AN207" s="1058">
        <v>24060819</v>
      </c>
      <c r="AO207" s="1058">
        <v>23991730</v>
      </c>
      <c r="AP207" s="1058">
        <v>34904948</v>
      </c>
      <c r="AQ207" s="1058">
        <v>34894816</v>
      </c>
      <c r="AR207" s="1044"/>
      <c r="AS207" s="1044"/>
    </row>
    <row r="208" spans="2:45" s="792" customFormat="1" hidden="1" outlineLevel="1">
      <c r="B208" s="793"/>
      <c r="C208" s="799" t="s">
        <v>16</v>
      </c>
      <c r="D208" s="1051" t="s">
        <v>2100</v>
      </c>
      <c r="E208" s="1047" t="s">
        <v>1848</v>
      </c>
      <c r="F208" s="795"/>
      <c r="G208" s="795"/>
      <c r="H208" s="795"/>
      <c r="I208" s="795"/>
      <c r="J208" s="795"/>
      <c r="K208" s="795"/>
      <c r="L208" s="795"/>
      <c r="M208" s="795"/>
      <c r="N208" s="795"/>
      <c r="O208" s="795"/>
      <c r="P208" s="795"/>
      <c r="Q208" s="795"/>
      <c r="R208" s="795"/>
      <c r="S208" s="795"/>
      <c r="T208" s="795"/>
      <c r="U208" s="795"/>
      <c r="V208" s="795"/>
      <c r="W208" s="795"/>
      <c r="X208" s="795"/>
      <c r="Y208" s="795"/>
      <c r="Z208" s="795"/>
      <c r="AA208" s="795"/>
      <c r="AB208" s="794"/>
      <c r="AC208" s="794"/>
      <c r="AD208" s="794"/>
      <c r="AE208" s="794"/>
      <c r="AF208" s="794"/>
      <c r="AG208" s="794"/>
      <c r="AH208" s="794"/>
      <c r="AI208" s="794"/>
      <c r="AJ208" s="796"/>
      <c r="AK208" s="796"/>
      <c r="AL208" s="796"/>
      <c r="AM208" s="796"/>
      <c r="AN208" s="1058">
        <v>5475362</v>
      </c>
      <c r="AO208" s="1058">
        <v>5467450</v>
      </c>
      <c r="AP208" s="1058">
        <v>5962649</v>
      </c>
      <c r="AQ208" s="1058">
        <v>5956640</v>
      </c>
      <c r="AR208" s="1044"/>
      <c r="AS208" s="1044"/>
    </row>
    <row r="209" spans="2:45" s="792" customFormat="1" hidden="1" outlineLevel="1">
      <c r="B209" s="793"/>
      <c r="C209" s="799" t="s">
        <v>16</v>
      </c>
      <c r="D209" s="1051" t="s">
        <v>2100</v>
      </c>
      <c r="E209" s="1047" t="s">
        <v>1849</v>
      </c>
      <c r="F209" s="795"/>
      <c r="G209" s="795"/>
      <c r="H209" s="795"/>
      <c r="I209" s="795"/>
      <c r="J209" s="795"/>
      <c r="K209" s="795"/>
      <c r="L209" s="795"/>
      <c r="M209" s="795"/>
      <c r="N209" s="795"/>
      <c r="O209" s="795"/>
      <c r="P209" s="795"/>
      <c r="Q209" s="795"/>
      <c r="R209" s="795"/>
      <c r="S209" s="795"/>
      <c r="T209" s="795"/>
      <c r="U209" s="795"/>
      <c r="V209" s="795"/>
      <c r="W209" s="795"/>
      <c r="X209" s="795"/>
      <c r="Y209" s="795"/>
      <c r="Z209" s="795"/>
      <c r="AA209" s="795"/>
      <c r="AB209" s="794"/>
      <c r="AC209" s="794"/>
      <c r="AD209" s="794"/>
      <c r="AE209" s="794"/>
      <c r="AF209" s="794"/>
      <c r="AG209" s="794"/>
      <c r="AH209" s="794"/>
      <c r="AI209" s="794"/>
      <c r="AJ209" s="796"/>
      <c r="AK209" s="796"/>
      <c r="AL209" s="796"/>
      <c r="AM209" s="796"/>
      <c r="AN209" s="1058">
        <v>3423807</v>
      </c>
      <c r="AO209" s="1058">
        <v>3411018</v>
      </c>
      <c r="AP209" s="1058">
        <v>3717575</v>
      </c>
      <c r="AQ209" s="1058">
        <v>3717377</v>
      </c>
      <c r="AR209" s="1044"/>
      <c r="AS209" s="1044"/>
    </row>
    <row r="210" spans="2:45" hidden="1" outlineLevel="1">
      <c r="C210" s="9" t="s">
        <v>16</v>
      </c>
      <c r="D210" s="806" t="s">
        <v>1541</v>
      </c>
      <c r="E210" s="20" t="s">
        <v>83</v>
      </c>
      <c r="F210" s="20"/>
      <c r="G210" s="20"/>
      <c r="H210" s="20"/>
      <c r="I210" s="20"/>
      <c r="J210" s="20"/>
      <c r="K210" s="20"/>
      <c r="L210" s="20"/>
      <c r="M210" s="20"/>
      <c r="N210" s="20"/>
      <c r="O210" s="20"/>
      <c r="P210" s="20"/>
      <c r="Q210" s="20"/>
      <c r="R210" s="20"/>
      <c r="S210" s="20"/>
      <c r="T210" s="20"/>
      <c r="U210" s="20"/>
      <c r="V210" s="20"/>
      <c r="W210" s="20"/>
      <c r="X210" s="20"/>
      <c r="Y210" s="20"/>
      <c r="Z210" s="20"/>
      <c r="AA210" s="20"/>
      <c r="AB210" s="12"/>
      <c r="AC210" s="12"/>
      <c r="AD210" s="12">
        <v>58603149</v>
      </c>
      <c r="AE210" s="12">
        <v>53753149</v>
      </c>
      <c r="AF210" s="12">
        <v>59422742</v>
      </c>
      <c r="AG210" s="12">
        <v>59422742</v>
      </c>
      <c r="AH210" s="12">
        <v>50661229</v>
      </c>
      <c r="AI210" s="12">
        <f>50571831+150000</f>
        <v>50721831</v>
      </c>
      <c r="AJ210" s="21">
        <v>52720686</v>
      </c>
      <c r="AK210" s="21">
        <v>52720686</v>
      </c>
      <c r="AL210" s="21">
        <v>56672679</v>
      </c>
      <c r="AM210" s="21">
        <v>56672679</v>
      </c>
      <c r="AN210" s="1058">
        <v>55045508</v>
      </c>
      <c r="AO210" s="1058">
        <v>55045508</v>
      </c>
      <c r="AP210" s="1058">
        <v>55228148</v>
      </c>
      <c r="AQ210" s="1058">
        <v>55228147</v>
      </c>
      <c r="AR210" s="1044"/>
      <c r="AS210" s="1044"/>
    </row>
    <row r="211" spans="2:45" hidden="1" outlineLevel="1">
      <c r="C211" s="9" t="s">
        <v>16</v>
      </c>
      <c r="D211" s="806" t="s">
        <v>1541</v>
      </c>
      <c r="E211" s="20" t="s">
        <v>84</v>
      </c>
      <c r="F211" s="20"/>
      <c r="G211" s="20"/>
      <c r="H211" s="20"/>
      <c r="I211" s="20"/>
      <c r="J211" s="20"/>
      <c r="K211" s="20"/>
      <c r="L211" s="20"/>
      <c r="M211" s="20"/>
      <c r="N211" s="20"/>
      <c r="O211" s="20"/>
      <c r="P211" s="20"/>
      <c r="Q211" s="20"/>
      <c r="R211" s="20"/>
      <c r="S211" s="20"/>
      <c r="T211" s="20"/>
      <c r="U211" s="20"/>
      <c r="V211" s="20"/>
      <c r="W211" s="20"/>
      <c r="X211" s="20"/>
      <c r="Y211" s="20"/>
      <c r="Z211" s="20"/>
      <c r="AA211" s="20"/>
      <c r="AB211" s="12"/>
      <c r="AC211" s="12"/>
      <c r="AD211" s="12">
        <v>47389878</v>
      </c>
      <c r="AE211" s="12">
        <v>47389878</v>
      </c>
      <c r="AF211" s="12">
        <v>49824678</v>
      </c>
      <c r="AG211" s="12">
        <v>49824676</v>
      </c>
      <c r="AH211" s="12">
        <v>42218519</v>
      </c>
      <c r="AI211" s="12">
        <v>42218520</v>
      </c>
      <c r="AJ211" s="21">
        <v>42414675</v>
      </c>
      <c r="AK211" s="21">
        <v>42414675</v>
      </c>
      <c r="AL211" s="21">
        <v>44521407</v>
      </c>
      <c r="AM211" s="21">
        <v>44521410</v>
      </c>
      <c r="AN211" s="1058">
        <v>44054523</v>
      </c>
      <c r="AO211" s="1058">
        <v>44054523</v>
      </c>
      <c r="AP211" s="1058">
        <v>48497887</v>
      </c>
      <c r="AQ211" s="1058">
        <v>48497887</v>
      </c>
      <c r="AR211" s="1044"/>
      <c r="AS211" s="1044"/>
    </row>
    <row r="212" spans="2:45" hidden="1" outlineLevel="1">
      <c r="C212" s="9" t="s">
        <v>16</v>
      </c>
      <c r="D212" s="806" t="s">
        <v>1541</v>
      </c>
      <c r="E212" s="20" t="s">
        <v>85</v>
      </c>
      <c r="F212" s="20"/>
      <c r="G212" s="20"/>
      <c r="H212" s="20"/>
      <c r="I212" s="20"/>
      <c r="J212" s="20"/>
      <c r="K212" s="20"/>
      <c r="L212" s="20"/>
      <c r="M212" s="20"/>
      <c r="N212" s="20"/>
      <c r="O212" s="20"/>
      <c r="P212" s="20"/>
      <c r="Q212" s="20"/>
      <c r="R212" s="20"/>
      <c r="S212" s="20"/>
      <c r="T212" s="20"/>
      <c r="U212" s="20"/>
      <c r="V212" s="20"/>
      <c r="W212" s="20"/>
      <c r="X212" s="20"/>
      <c r="Y212" s="20"/>
      <c r="Z212" s="20"/>
      <c r="AA212" s="20"/>
      <c r="AB212" s="12"/>
      <c r="AC212" s="12"/>
      <c r="AD212" s="12">
        <v>13749278</v>
      </c>
      <c r="AE212" s="12">
        <v>13749278</v>
      </c>
      <c r="AF212" s="12">
        <v>14624356</v>
      </c>
      <c r="AG212" s="12">
        <v>14624357</v>
      </c>
      <c r="AH212" s="12">
        <v>14918380</v>
      </c>
      <c r="AI212" s="12">
        <v>12873378</v>
      </c>
      <c r="AJ212" s="21">
        <v>16671979</v>
      </c>
      <c r="AK212" s="21">
        <v>16671979</v>
      </c>
      <c r="AL212" s="21">
        <v>16274273</v>
      </c>
      <c r="AM212" s="21">
        <v>21274274</v>
      </c>
      <c r="AN212" s="1058">
        <v>21596989</v>
      </c>
      <c r="AO212" s="1058">
        <v>21595283</v>
      </c>
      <c r="AP212" s="1058">
        <v>23126275</v>
      </c>
      <c r="AQ212" s="1058">
        <v>23127274</v>
      </c>
      <c r="AR212" s="1044"/>
      <c r="AS212" s="1044"/>
    </row>
    <row r="213" spans="2:45" hidden="1" outlineLevel="1">
      <c r="C213" s="9" t="s">
        <v>16</v>
      </c>
      <c r="D213" s="806" t="s">
        <v>1541</v>
      </c>
      <c r="E213" s="20" t="s">
        <v>86</v>
      </c>
      <c r="F213" s="20"/>
      <c r="G213" s="20"/>
      <c r="H213" s="20"/>
      <c r="I213" s="20"/>
      <c r="J213" s="20"/>
      <c r="K213" s="20"/>
      <c r="L213" s="20"/>
      <c r="M213" s="20"/>
      <c r="N213" s="20"/>
      <c r="O213" s="20"/>
      <c r="P213" s="20"/>
      <c r="Q213" s="20"/>
      <c r="R213" s="20"/>
      <c r="S213" s="20"/>
      <c r="T213" s="20"/>
      <c r="U213" s="20"/>
      <c r="V213" s="20"/>
      <c r="W213" s="20"/>
      <c r="X213" s="20"/>
      <c r="Y213" s="20"/>
      <c r="Z213" s="20"/>
      <c r="AA213" s="20"/>
      <c r="AB213" s="12"/>
      <c r="AC213" s="12"/>
      <c r="AD213" s="12">
        <v>0</v>
      </c>
      <c r="AE213" s="12">
        <v>0</v>
      </c>
      <c r="AF213" s="12">
        <v>1150000</v>
      </c>
      <c r="AG213" s="12">
        <v>750000</v>
      </c>
      <c r="AH213" s="12">
        <v>641250</v>
      </c>
      <c r="AI213" s="12">
        <v>641250</v>
      </c>
      <c r="AJ213" s="21">
        <v>2141989</v>
      </c>
      <c r="AK213" s="21">
        <v>2141989</v>
      </c>
      <c r="AL213" s="21">
        <v>9363410</v>
      </c>
      <c r="AM213" s="21">
        <v>9363409</v>
      </c>
      <c r="AN213" s="1058">
        <v>7567469</v>
      </c>
      <c r="AO213" s="1058">
        <v>7567470</v>
      </c>
      <c r="AP213" s="1058">
        <v>7613283</v>
      </c>
      <c r="AQ213" s="1058">
        <v>7613282</v>
      </c>
      <c r="AR213" s="1044"/>
      <c r="AS213" s="1044"/>
    </row>
    <row r="214" spans="2:45" hidden="1" outlineLevel="1">
      <c r="C214" s="9" t="s">
        <v>16</v>
      </c>
      <c r="D214" s="806" t="s">
        <v>1541</v>
      </c>
      <c r="E214" s="20" t="s">
        <v>87</v>
      </c>
      <c r="F214" s="20"/>
      <c r="G214" s="20"/>
      <c r="H214" s="20"/>
      <c r="I214" s="20"/>
      <c r="J214" s="20"/>
      <c r="K214" s="20"/>
      <c r="L214" s="20"/>
      <c r="M214" s="20"/>
      <c r="N214" s="20"/>
      <c r="O214" s="20"/>
      <c r="P214" s="20"/>
      <c r="Q214" s="20"/>
      <c r="R214" s="20"/>
      <c r="S214" s="20"/>
      <c r="T214" s="20"/>
      <c r="U214" s="20"/>
      <c r="V214" s="20"/>
      <c r="W214" s="20"/>
      <c r="X214" s="20"/>
      <c r="Y214" s="20"/>
      <c r="Z214" s="20"/>
      <c r="AA214" s="20"/>
      <c r="AB214" s="12"/>
      <c r="AC214" s="12"/>
      <c r="AD214" s="12">
        <v>6867865</v>
      </c>
      <c r="AE214" s="12">
        <v>6867865</v>
      </c>
      <c r="AF214" s="12">
        <v>7159184</v>
      </c>
      <c r="AG214" s="12">
        <v>7159185</v>
      </c>
      <c r="AH214" s="12">
        <v>6247892</v>
      </c>
      <c r="AI214" s="12">
        <f>6140945+1678703</f>
        <v>7819648</v>
      </c>
      <c r="AJ214" s="21">
        <v>7764754</v>
      </c>
      <c r="AK214" s="21">
        <v>7764754</v>
      </c>
      <c r="AL214" s="21">
        <v>7897670</v>
      </c>
      <c r="AM214" s="21">
        <v>7897672</v>
      </c>
      <c r="AN214" s="1058">
        <v>8793983</v>
      </c>
      <c r="AO214" s="1058">
        <v>8793985</v>
      </c>
      <c r="AP214" s="1058">
        <v>8923537</v>
      </c>
      <c r="AQ214" s="1058">
        <v>8923537</v>
      </c>
      <c r="AR214" s="1044"/>
      <c r="AS214" s="1044"/>
    </row>
    <row r="215" spans="2:45" hidden="1" outlineLevel="1">
      <c r="C215" s="9" t="s">
        <v>16</v>
      </c>
      <c r="D215" s="806" t="s">
        <v>1541</v>
      </c>
      <c r="E215" s="20" t="s">
        <v>88</v>
      </c>
      <c r="F215" s="20"/>
      <c r="G215" s="20"/>
      <c r="H215" s="20"/>
      <c r="I215" s="20"/>
      <c r="J215" s="20"/>
      <c r="K215" s="20"/>
      <c r="L215" s="20"/>
      <c r="M215" s="20"/>
      <c r="N215" s="20"/>
      <c r="O215" s="20"/>
      <c r="P215" s="20"/>
      <c r="Q215" s="20"/>
      <c r="R215" s="20"/>
      <c r="S215" s="20"/>
      <c r="T215" s="20"/>
      <c r="U215" s="20"/>
      <c r="V215" s="20"/>
      <c r="W215" s="20"/>
      <c r="X215" s="20"/>
      <c r="Y215" s="20"/>
      <c r="Z215" s="20"/>
      <c r="AA215" s="20"/>
      <c r="AB215" s="12"/>
      <c r="AC215" s="12"/>
      <c r="AD215" s="12">
        <v>15366691</v>
      </c>
      <c r="AE215" s="12">
        <v>15366691</v>
      </c>
      <c r="AF215" s="12">
        <v>19275282</v>
      </c>
      <c r="AG215" s="12">
        <v>19275281</v>
      </c>
      <c r="AH215" s="12">
        <v>140093022</v>
      </c>
      <c r="AI215" s="12">
        <f>18886926+161065711</f>
        <v>179952637</v>
      </c>
      <c r="AJ215" s="21">
        <v>33839210</v>
      </c>
      <c r="AK215" s="21">
        <v>33839210</v>
      </c>
      <c r="AL215" s="21">
        <v>33197745</v>
      </c>
      <c r="AM215" s="21">
        <v>33197743</v>
      </c>
      <c r="AN215" s="1058">
        <v>32785590</v>
      </c>
      <c r="AO215" s="1058">
        <v>32785591</v>
      </c>
      <c r="AP215" s="1058">
        <v>32604399</v>
      </c>
      <c r="AQ215" s="1058">
        <v>32604398</v>
      </c>
      <c r="AR215" s="1044"/>
      <c r="AS215" s="1044"/>
    </row>
    <row r="216" spans="2:45" hidden="1" outlineLevel="1">
      <c r="C216" s="9" t="s">
        <v>16</v>
      </c>
      <c r="D216" s="806" t="s">
        <v>1541</v>
      </c>
      <c r="E216" s="20" t="s">
        <v>89</v>
      </c>
      <c r="F216" s="20"/>
      <c r="G216" s="20"/>
      <c r="H216" s="20"/>
      <c r="I216" s="20"/>
      <c r="J216" s="20"/>
      <c r="K216" s="20"/>
      <c r="L216" s="20"/>
      <c r="M216" s="20"/>
      <c r="N216" s="20"/>
      <c r="O216" s="20"/>
      <c r="P216" s="20"/>
      <c r="Q216" s="20"/>
      <c r="R216" s="20"/>
      <c r="S216" s="20"/>
      <c r="T216" s="20"/>
      <c r="U216" s="20"/>
      <c r="V216" s="20"/>
      <c r="W216" s="20"/>
      <c r="X216" s="20"/>
      <c r="Y216" s="20"/>
      <c r="Z216" s="20"/>
      <c r="AA216" s="20"/>
      <c r="AB216" s="12"/>
      <c r="AC216" s="12"/>
      <c r="AD216" s="12">
        <v>7170616</v>
      </c>
      <c r="AE216" s="12">
        <v>5170615</v>
      </c>
      <c r="AF216" s="12">
        <v>6574353</v>
      </c>
      <c r="AG216" s="12">
        <v>6574354</v>
      </c>
      <c r="AH216" s="12">
        <v>5871963</v>
      </c>
      <c r="AI216" s="12">
        <v>5647150</v>
      </c>
      <c r="AJ216" s="21">
        <v>8806105</v>
      </c>
      <c r="AK216" s="21">
        <v>8806105</v>
      </c>
      <c r="AL216" s="21">
        <v>8974420</v>
      </c>
      <c r="AM216" s="21">
        <v>8974422</v>
      </c>
      <c r="AN216" s="1058">
        <v>8692936</v>
      </c>
      <c r="AO216" s="1058">
        <v>8693186</v>
      </c>
      <c r="AP216" s="1058">
        <v>9273893</v>
      </c>
      <c r="AQ216" s="1058">
        <v>9273891</v>
      </c>
      <c r="AR216" s="1044"/>
      <c r="AS216" s="1044"/>
    </row>
    <row r="217" spans="2:45" s="1044" customFormat="1" hidden="1" outlineLevel="1">
      <c r="B217" s="1045"/>
      <c r="C217" s="1030" t="s">
        <v>16</v>
      </c>
      <c r="D217" s="1051" t="s">
        <v>1541</v>
      </c>
      <c r="E217" s="1054" t="s">
        <v>2051</v>
      </c>
      <c r="F217" s="1047"/>
      <c r="G217" s="1047"/>
      <c r="H217" s="1047"/>
      <c r="I217" s="1047"/>
      <c r="J217" s="1047"/>
      <c r="K217" s="1047"/>
      <c r="L217" s="1047"/>
      <c r="M217" s="1047"/>
      <c r="N217" s="1047"/>
      <c r="O217" s="1047"/>
      <c r="P217" s="1047"/>
      <c r="Q217" s="1047"/>
      <c r="R217" s="1047"/>
      <c r="S217" s="1047"/>
      <c r="T217" s="1047"/>
      <c r="U217" s="1047"/>
      <c r="V217" s="1047"/>
      <c r="W217" s="1047"/>
      <c r="X217" s="1047"/>
      <c r="Y217" s="1047"/>
      <c r="Z217" s="1047"/>
      <c r="AA217" s="1047"/>
      <c r="AB217" s="1070"/>
      <c r="AC217" s="1070"/>
      <c r="AD217" s="1070"/>
      <c r="AE217" s="1070"/>
      <c r="AF217" s="1070"/>
      <c r="AG217" s="1070"/>
      <c r="AH217" s="1070"/>
      <c r="AI217" s="1070"/>
      <c r="AJ217" s="1058"/>
      <c r="AK217" s="1058"/>
      <c r="AL217" s="1058"/>
      <c r="AM217" s="1058"/>
      <c r="AN217" s="1058"/>
      <c r="AO217" s="1058"/>
      <c r="AP217" s="1058">
        <v>20987423</v>
      </c>
      <c r="AQ217" s="1058">
        <v>9815553</v>
      </c>
    </row>
    <row r="218" spans="2:45" hidden="1" outlineLevel="1">
      <c r="C218" s="9" t="s">
        <v>16</v>
      </c>
      <c r="D218" s="9"/>
      <c r="E218" s="224" t="s">
        <v>1693</v>
      </c>
      <c r="F218" s="20"/>
      <c r="G218" s="20"/>
      <c r="H218" s="20"/>
      <c r="I218" s="20"/>
      <c r="J218" s="20"/>
      <c r="K218" s="20"/>
      <c r="L218" s="20"/>
      <c r="M218" s="20"/>
      <c r="N218" s="20"/>
      <c r="O218" s="20"/>
      <c r="P218" s="20"/>
      <c r="Q218" s="20"/>
      <c r="R218" s="20"/>
      <c r="S218" s="20"/>
      <c r="T218" s="20"/>
      <c r="U218" s="20"/>
      <c r="V218" s="20"/>
      <c r="W218" s="20"/>
      <c r="X218" s="20"/>
      <c r="Y218" s="20"/>
      <c r="Z218" s="20"/>
      <c r="AA218" s="20"/>
      <c r="AB218" s="12"/>
      <c r="AC218" s="12"/>
      <c r="AD218" s="12"/>
      <c r="AE218" s="12"/>
      <c r="AF218" s="12"/>
      <c r="AG218" s="12"/>
      <c r="AH218" s="12"/>
      <c r="AI218" s="12"/>
      <c r="AJ218" s="21"/>
      <c r="AK218" s="21"/>
      <c r="AL218" s="21">
        <v>0</v>
      </c>
      <c r="AM218" s="21">
        <v>0</v>
      </c>
      <c r="AN218" s="1058"/>
      <c r="AO218" s="1058"/>
      <c r="AP218" s="1058"/>
      <c r="AQ218" s="1058"/>
      <c r="AR218" s="1044"/>
      <c r="AS218" s="1044"/>
    </row>
    <row r="219" spans="2:45" hidden="1" outlineLevel="1">
      <c r="C219" s="9" t="s">
        <v>16</v>
      </c>
      <c r="D219" s="805"/>
      <c r="E219" s="27" t="s">
        <v>90</v>
      </c>
      <c r="F219" s="20"/>
      <c r="G219" s="20"/>
      <c r="H219" s="20"/>
      <c r="I219" s="20"/>
      <c r="J219" s="20"/>
      <c r="K219" s="20"/>
      <c r="L219" s="20"/>
      <c r="M219" s="20"/>
      <c r="N219" s="20"/>
      <c r="O219" s="20"/>
      <c r="P219" s="20"/>
      <c r="Q219" s="20"/>
      <c r="R219" s="20"/>
      <c r="S219" s="20"/>
      <c r="T219" s="20"/>
      <c r="U219" s="20"/>
      <c r="V219" s="20"/>
      <c r="W219" s="20"/>
      <c r="X219" s="20"/>
      <c r="Y219" s="20"/>
      <c r="Z219" s="20"/>
      <c r="AA219" s="20"/>
      <c r="AB219" s="34"/>
      <c r="AC219" s="34"/>
      <c r="AD219" s="983">
        <f t="shared" ref="AD219:AQ219" si="6">SUM(AD131:AD218)</f>
        <v>22280077332</v>
      </c>
      <c r="AE219" s="983">
        <f t="shared" si="6"/>
        <v>24094653588</v>
      </c>
      <c r="AF219" s="983">
        <f t="shared" si="6"/>
        <v>19421914386</v>
      </c>
      <c r="AG219" s="983">
        <f t="shared" si="6"/>
        <v>25170083712</v>
      </c>
      <c r="AH219" s="983">
        <f t="shared" si="6"/>
        <v>24340344164</v>
      </c>
      <c r="AI219" s="983">
        <f t="shared" si="6"/>
        <v>23021888837</v>
      </c>
      <c r="AJ219" s="983">
        <f t="shared" si="6"/>
        <v>24759358522</v>
      </c>
      <c r="AK219" s="983">
        <f t="shared" si="6"/>
        <v>25493283793</v>
      </c>
      <c r="AL219" s="983">
        <f t="shared" si="6"/>
        <v>28250667299</v>
      </c>
      <c r="AM219" s="983">
        <f t="shared" si="6"/>
        <v>27188921380</v>
      </c>
      <c r="AN219" s="983">
        <f t="shared" si="6"/>
        <v>28898445482</v>
      </c>
      <c r="AO219" s="983">
        <f t="shared" si="6"/>
        <v>26946124186</v>
      </c>
      <c r="AP219" s="983">
        <f t="shared" si="6"/>
        <v>33029997318.231262</v>
      </c>
      <c r="AQ219" s="983">
        <f t="shared" si="6"/>
        <v>32049458611</v>
      </c>
      <c r="AR219" s="1044"/>
      <c r="AS219" s="1044"/>
    </row>
    <row r="220" spans="2:45" hidden="1" outlineLevel="1">
      <c r="C220" s="9" t="s">
        <v>16</v>
      </c>
      <c r="D220" s="805"/>
      <c r="E220" s="20" t="s">
        <v>91</v>
      </c>
      <c r="F220" s="20"/>
      <c r="G220" s="20"/>
      <c r="H220" s="20"/>
      <c r="I220" s="20"/>
      <c r="J220" s="20"/>
      <c r="K220" s="20"/>
      <c r="L220" s="20"/>
      <c r="M220" s="20"/>
      <c r="N220" s="20"/>
      <c r="O220" s="20"/>
      <c r="P220" s="20"/>
      <c r="Q220" s="20"/>
      <c r="R220" s="20"/>
      <c r="S220" s="20"/>
      <c r="T220" s="20"/>
      <c r="U220" s="20"/>
      <c r="V220" s="20"/>
      <c r="W220" s="20"/>
      <c r="X220" s="20"/>
      <c r="Y220" s="20"/>
      <c r="Z220" s="20"/>
      <c r="AA220" s="20"/>
      <c r="AB220" s="12"/>
      <c r="AC220" s="12"/>
      <c r="AD220" s="12">
        <v>21020327</v>
      </c>
      <c r="AE220" s="12">
        <v>21739783</v>
      </c>
      <c r="AF220" s="12">
        <v>23167605</v>
      </c>
      <c r="AG220" s="12">
        <v>24942357</v>
      </c>
      <c r="AH220" s="12">
        <v>25782596</v>
      </c>
      <c r="AI220" s="12">
        <v>28287582</v>
      </c>
      <c r="AJ220" s="21">
        <v>28751996</v>
      </c>
      <c r="AK220" s="21">
        <v>31734927</v>
      </c>
      <c r="AL220" s="21">
        <v>33854450</v>
      </c>
      <c r="AM220" s="21">
        <v>36624622</v>
      </c>
      <c r="AN220" s="1058">
        <v>38101378</v>
      </c>
      <c r="AO220" s="1058">
        <v>39135826</v>
      </c>
      <c r="AP220" s="1058">
        <v>37704232</v>
      </c>
      <c r="AQ220" s="1058">
        <v>38676292</v>
      </c>
      <c r="AR220" s="1044"/>
      <c r="AS220" s="1044"/>
    </row>
    <row r="221" spans="2:45" hidden="1" outlineLevel="1">
      <c r="C221" s="9" t="s">
        <v>16</v>
      </c>
      <c r="D221" s="805"/>
      <c r="E221" s="20" t="s">
        <v>92</v>
      </c>
      <c r="F221" s="20"/>
      <c r="G221" s="20"/>
      <c r="H221" s="20"/>
      <c r="I221" s="20"/>
      <c r="J221" s="20"/>
      <c r="K221" s="20"/>
      <c r="L221" s="20"/>
      <c r="M221" s="20"/>
      <c r="N221" s="20"/>
      <c r="O221" s="20"/>
      <c r="P221" s="20"/>
      <c r="Q221" s="20"/>
      <c r="R221" s="20"/>
      <c r="S221" s="20"/>
      <c r="T221" s="20"/>
      <c r="U221" s="20"/>
      <c r="V221" s="20"/>
      <c r="W221" s="20"/>
      <c r="X221" s="20"/>
      <c r="Y221" s="20"/>
      <c r="Z221" s="20"/>
      <c r="AA221" s="20"/>
      <c r="AB221" s="12"/>
      <c r="AC221" s="12"/>
      <c r="AD221" s="12">
        <v>199464220</v>
      </c>
      <c r="AE221" s="12">
        <v>206285235</v>
      </c>
      <c r="AF221" s="12">
        <v>220918333</v>
      </c>
      <c r="AG221" s="12">
        <v>228518759</v>
      </c>
      <c r="AH221" s="12">
        <v>231889936</v>
      </c>
      <c r="AI221" s="12">
        <v>239816666</v>
      </c>
      <c r="AJ221" s="21">
        <v>207890949</v>
      </c>
      <c r="AK221" s="21">
        <v>211927873</v>
      </c>
      <c r="AL221" s="21">
        <v>227653811</v>
      </c>
      <c r="AM221" s="21">
        <v>236553502</v>
      </c>
      <c r="AN221" s="1058">
        <v>254831145</v>
      </c>
      <c r="AO221" s="1058">
        <v>262300120</v>
      </c>
      <c r="AP221" s="1058">
        <v>269300795</v>
      </c>
      <c r="AQ221" s="1058">
        <v>274639063</v>
      </c>
      <c r="AR221" s="1044"/>
      <c r="AS221" s="1044"/>
    </row>
    <row r="222" spans="2:45" hidden="1" outlineLevel="1">
      <c r="C222" s="9" t="s">
        <v>16</v>
      </c>
      <c r="D222" s="805"/>
      <c r="E222" s="27" t="s">
        <v>93</v>
      </c>
      <c r="F222" s="20"/>
      <c r="G222" s="20"/>
      <c r="H222" s="20"/>
      <c r="I222" s="20"/>
      <c r="J222" s="20"/>
      <c r="K222" s="20"/>
      <c r="L222" s="20"/>
      <c r="M222" s="20"/>
      <c r="N222" s="20"/>
      <c r="O222" s="20"/>
      <c r="P222" s="20"/>
      <c r="Q222" s="20"/>
      <c r="R222" s="20"/>
      <c r="S222" s="20"/>
      <c r="T222" s="20"/>
      <c r="U222" s="20"/>
      <c r="V222" s="20"/>
      <c r="W222" s="20"/>
      <c r="X222" s="20"/>
      <c r="Y222" s="20"/>
      <c r="Z222" s="20"/>
      <c r="AA222" s="20"/>
      <c r="AB222" s="12"/>
      <c r="AC222" s="12"/>
      <c r="AD222" s="12">
        <v>220484547</v>
      </c>
      <c r="AE222" s="12">
        <v>228025018</v>
      </c>
      <c r="AF222" s="12">
        <v>244085938</v>
      </c>
      <c r="AG222" s="12">
        <v>253461116</v>
      </c>
      <c r="AH222" s="12">
        <v>257672532</v>
      </c>
      <c r="AI222" s="12">
        <v>268104248</v>
      </c>
      <c r="AJ222" s="21">
        <v>236642945</v>
      </c>
      <c r="AK222" s="21">
        <v>243662800</v>
      </c>
      <c r="AL222" s="45">
        <f>SUM(AL220:AL221)</f>
        <v>261508261</v>
      </c>
      <c r="AM222" s="45">
        <f>SUM(AM220:AM221)</f>
        <v>273178124</v>
      </c>
      <c r="AN222" s="983">
        <f t="shared" ref="AN222:AQ222" si="7">SUM(AN220:AN221)</f>
        <v>292932523</v>
      </c>
      <c r="AO222" s="983">
        <f t="shared" si="7"/>
        <v>301435946</v>
      </c>
      <c r="AP222" s="983">
        <f t="shared" si="7"/>
        <v>307005027</v>
      </c>
      <c r="AQ222" s="983">
        <f t="shared" si="7"/>
        <v>313315355</v>
      </c>
      <c r="AR222" s="1044"/>
      <c r="AS222" s="1044"/>
    </row>
    <row r="223" spans="2:45" hidden="1" outlineLevel="1">
      <c r="C223" s="9" t="s">
        <v>16</v>
      </c>
      <c r="D223" s="805"/>
      <c r="E223" s="20" t="s">
        <v>94</v>
      </c>
      <c r="F223" s="20"/>
      <c r="G223" s="20"/>
      <c r="H223" s="20"/>
      <c r="I223" s="20"/>
      <c r="J223" s="20"/>
      <c r="K223" s="20"/>
      <c r="L223" s="20"/>
      <c r="M223" s="20"/>
      <c r="N223" s="20"/>
      <c r="O223" s="20"/>
      <c r="P223" s="20"/>
      <c r="Q223" s="20"/>
      <c r="R223" s="20"/>
      <c r="S223" s="20"/>
      <c r="T223" s="20"/>
      <c r="U223" s="20"/>
      <c r="V223" s="20"/>
      <c r="W223" s="20"/>
      <c r="X223" s="20"/>
      <c r="Y223" s="20"/>
      <c r="Z223" s="20"/>
      <c r="AA223" s="20"/>
      <c r="AB223" s="12"/>
      <c r="AC223" s="12"/>
      <c r="AD223" s="12">
        <v>2424425</v>
      </c>
      <c r="AE223" s="12">
        <v>4497044</v>
      </c>
      <c r="AF223" s="12">
        <v>5926610</v>
      </c>
      <c r="AG223" s="12">
        <v>7704490</v>
      </c>
      <c r="AH223" s="12">
        <v>6302598</v>
      </c>
      <c r="AI223" s="12">
        <v>7946232</v>
      </c>
      <c r="AJ223" s="21">
        <v>10300203</v>
      </c>
      <c r="AK223" s="21">
        <v>12088700</v>
      </c>
      <c r="AL223" s="21">
        <v>11642288</v>
      </c>
      <c r="AM223" s="21">
        <v>11118155</v>
      </c>
      <c r="AN223" s="1058">
        <v>10365086</v>
      </c>
      <c r="AO223" s="1058">
        <v>10091306</v>
      </c>
      <c r="AP223" s="1058">
        <v>7228252</v>
      </c>
      <c r="AQ223" s="1058">
        <v>7933400</v>
      </c>
      <c r="AR223" s="1044"/>
      <c r="AS223" s="1044"/>
    </row>
    <row r="224" spans="2:45" hidden="1" outlineLevel="1">
      <c r="C224" s="9" t="s">
        <v>16</v>
      </c>
      <c r="D224" s="805"/>
      <c r="E224" s="20" t="s">
        <v>95</v>
      </c>
      <c r="F224" s="20"/>
      <c r="G224" s="20"/>
      <c r="H224" s="20"/>
      <c r="I224" s="20"/>
      <c r="J224" s="20"/>
      <c r="K224" s="20"/>
      <c r="L224" s="20"/>
      <c r="M224" s="20"/>
      <c r="N224" s="20"/>
      <c r="O224" s="20"/>
      <c r="P224" s="20"/>
      <c r="Q224" s="20"/>
      <c r="R224" s="20"/>
      <c r="S224" s="20"/>
      <c r="T224" s="20"/>
      <c r="U224" s="20"/>
      <c r="V224" s="20"/>
      <c r="W224" s="20"/>
      <c r="X224" s="20"/>
      <c r="Y224" s="20"/>
      <c r="Z224" s="20"/>
      <c r="AA224" s="20"/>
      <c r="AB224" s="12"/>
      <c r="AC224" s="12"/>
      <c r="AD224" s="12">
        <v>6351521</v>
      </c>
      <c r="AE224" s="12">
        <v>6304925</v>
      </c>
      <c r="AF224" s="12">
        <v>3381260</v>
      </c>
      <c r="AG224" s="12">
        <v>2522774</v>
      </c>
      <c r="AH224" s="12">
        <v>2882705</v>
      </c>
      <c r="AI224" s="12">
        <v>2412625</v>
      </c>
      <c r="AJ224" s="21">
        <v>2463527</v>
      </c>
      <c r="AK224" s="21">
        <v>2595069</v>
      </c>
      <c r="AL224" s="21">
        <v>2271245</v>
      </c>
      <c r="AM224" s="21">
        <v>2271028</v>
      </c>
      <c r="AN224" s="1058">
        <v>402420</v>
      </c>
      <c r="AO224" s="1058">
        <v>0</v>
      </c>
      <c r="AP224" s="1058"/>
      <c r="AQ224" s="1058"/>
      <c r="AR224" s="1044"/>
      <c r="AS224" s="1044"/>
    </row>
    <row r="225" spans="2:45" hidden="1" outlineLevel="1">
      <c r="C225" s="9" t="s">
        <v>16</v>
      </c>
      <c r="D225" s="805"/>
      <c r="E225" s="27" t="s">
        <v>96</v>
      </c>
      <c r="F225" s="20"/>
      <c r="G225" s="20"/>
      <c r="H225" s="20"/>
      <c r="I225" s="20"/>
      <c r="J225" s="20"/>
      <c r="K225" s="20"/>
      <c r="L225" s="20"/>
      <c r="M225" s="20"/>
      <c r="N225" s="20"/>
      <c r="O225" s="20"/>
      <c r="P225" s="20"/>
      <c r="Q225" s="20"/>
      <c r="R225" s="20"/>
      <c r="S225" s="20"/>
      <c r="T225" s="20"/>
      <c r="U225" s="20"/>
      <c r="V225" s="20"/>
      <c r="W225" s="20"/>
      <c r="X225" s="20"/>
      <c r="Y225" s="20"/>
      <c r="Z225" s="20"/>
      <c r="AA225" s="20"/>
      <c r="AB225" s="12"/>
      <c r="AC225" s="12"/>
      <c r="AD225" s="12">
        <v>8775946</v>
      </c>
      <c r="AE225" s="12">
        <v>10801969</v>
      </c>
      <c r="AF225" s="12">
        <v>9307870</v>
      </c>
      <c r="AG225" s="12">
        <v>10227264</v>
      </c>
      <c r="AH225" s="12">
        <v>9185303</v>
      </c>
      <c r="AI225" s="12">
        <v>10358857</v>
      </c>
      <c r="AJ225" s="21">
        <v>12763730</v>
      </c>
      <c r="AK225" s="21">
        <v>14683769</v>
      </c>
      <c r="AL225" s="45">
        <f>SUM(AL223:AL224)</f>
        <v>13913533</v>
      </c>
      <c r="AM225" s="45">
        <f>SUM(AM223:AM224)</f>
        <v>13389183</v>
      </c>
      <c r="AN225" s="983">
        <f t="shared" ref="AN225:AQ225" si="8">SUM(AN223:AN224)</f>
        <v>10767506</v>
      </c>
      <c r="AO225" s="983">
        <f t="shared" si="8"/>
        <v>10091306</v>
      </c>
      <c r="AP225" s="983">
        <f t="shared" si="8"/>
        <v>7228252</v>
      </c>
      <c r="AQ225" s="983">
        <f t="shared" si="8"/>
        <v>7933400</v>
      </c>
      <c r="AR225" s="1044"/>
      <c r="AS225" s="1044"/>
    </row>
    <row r="226" spans="2:45" hidden="1" outlineLevel="1">
      <c r="C226" s="9" t="s">
        <v>16</v>
      </c>
      <c r="D226" s="805"/>
      <c r="E226" s="224" t="s">
        <v>1693</v>
      </c>
      <c r="F226" s="20"/>
      <c r="G226" s="20"/>
      <c r="H226" s="20"/>
      <c r="I226" s="20"/>
      <c r="J226" s="20"/>
      <c r="K226" s="20"/>
      <c r="L226" s="20"/>
      <c r="M226" s="20"/>
      <c r="N226" s="20"/>
      <c r="O226" s="20"/>
      <c r="P226" s="20"/>
      <c r="Q226" s="20"/>
      <c r="R226" s="20"/>
      <c r="S226" s="20"/>
      <c r="T226" s="20"/>
      <c r="U226" s="20"/>
      <c r="V226" s="20"/>
      <c r="W226" s="20"/>
      <c r="X226" s="20"/>
      <c r="Y226" s="20"/>
      <c r="Z226" s="20"/>
      <c r="AA226" s="20"/>
      <c r="AB226" s="12"/>
      <c r="AC226" s="12"/>
      <c r="AD226" s="12"/>
      <c r="AE226" s="12"/>
      <c r="AF226" s="12"/>
      <c r="AG226" s="12"/>
      <c r="AH226" s="12"/>
      <c r="AI226" s="12"/>
      <c r="AJ226" s="21"/>
      <c r="AK226" s="21"/>
      <c r="AL226" s="21">
        <v>0</v>
      </c>
      <c r="AM226" s="21">
        <v>0</v>
      </c>
      <c r="AN226" s="1058"/>
      <c r="AO226" s="1058"/>
      <c r="AP226" s="1058"/>
      <c r="AQ226" s="1058"/>
      <c r="AR226" s="1044"/>
      <c r="AS226" s="1044"/>
    </row>
    <row r="227" spans="2:45" hidden="1" outlineLevel="1">
      <c r="C227" s="9" t="s">
        <v>16</v>
      </c>
      <c r="D227" s="805"/>
      <c r="E227" s="27" t="s">
        <v>1463</v>
      </c>
      <c r="F227" s="27"/>
      <c r="G227" s="27"/>
      <c r="H227" s="27"/>
      <c r="I227" s="27"/>
      <c r="J227" s="27"/>
      <c r="K227" s="27"/>
      <c r="L227" s="27"/>
      <c r="M227" s="27"/>
      <c r="N227" s="27"/>
      <c r="O227" s="27"/>
      <c r="P227" s="27"/>
      <c r="Q227" s="27"/>
      <c r="R227" s="27"/>
      <c r="S227" s="27"/>
      <c r="T227" s="27"/>
      <c r="U227" s="27"/>
      <c r="V227" s="27"/>
      <c r="W227" s="27"/>
      <c r="X227" s="27"/>
      <c r="Y227" s="27"/>
      <c r="Z227" s="27"/>
      <c r="AA227" s="27"/>
      <c r="AB227" s="34"/>
      <c r="AC227" s="34"/>
      <c r="AD227" s="34">
        <v>22509337825</v>
      </c>
      <c r="AE227" s="34">
        <v>24333480575</v>
      </c>
      <c r="AF227" s="34">
        <f>23514100694-3838792500</f>
        <v>19675308194</v>
      </c>
      <c r="AG227" s="34">
        <f>25428772092+45000000-40000000</f>
        <v>25433772092</v>
      </c>
      <c r="AH227" s="34">
        <f>24607201999</f>
        <v>24607201999</v>
      </c>
      <c r="AI227" s="34">
        <f>21309631627+1990720315</f>
        <v>23300351942</v>
      </c>
      <c r="AJ227" s="45">
        <f>25008765197</f>
        <v>25008765197</v>
      </c>
      <c r="AK227" s="45">
        <f>25751630362</f>
        <v>25751630362</v>
      </c>
      <c r="AL227" s="45">
        <f>AL219+AL222+AL225+AL226</f>
        <v>28526089093</v>
      </c>
      <c r="AM227" s="45">
        <f>AM219+AM222+AM225+AM226</f>
        <v>27475488687</v>
      </c>
      <c r="AN227" s="983">
        <f t="shared" ref="AN227:AO227" si="9">AN219+AN222+AN225+AN226</f>
        <v>29202145511</v>
      </c>
      <c r="AO227" s="983">
        <f t="shared" si="9"/>
        <v>27257651438</v>
      </c>
      <c r="AP227" s="983">
        <f t="shared" ref="AP227:AQ227" si="10">AP219+AP222+AP225+AP226</f>
        <v>33344230597.231262</v>
      </c>
      <c r="AQ227" s="983">
        <f t="shared" si="10"/>
        <v>32370707366</v>
      </c>
      <c r="AR227" s="1044"/>
      <c r="AS227" s="1044"/>
    </row>
    <row r="228" spans="2:45" hidden="1" outlineLevel="1">
      <c r="C228" s="9"/>
      <c r="D228" s="806" t="s">
        <v>836</v>
      </c>
      <c r="E228" s="27" t="s">
        <v>1499</v>
      </c>
      <c r="F228" s="20"/>
      <c r="G228" s="20"/>
      <c r="H228" s="20"/>
      <c r="I228" s="20"/>
      <c r="J228" s="20"/>
      <c r="K228" s="20"/>
      <c r="L228" s="20"/>
      <c r="M228" s="20"/>
      <c r="N228" s="20"/>
      <c r="O228" s="20"/>
      <c r="P228" s="20"/>
      <c r="Q228" s="20"/>
      <c r="R228" s="20"/>
      <c r="S228" s="20"/>
      <c r="T228" s="20"/>
      <c r="U228" s="20"/>
      <c r="V228" s="20"/>
      <c r="W228" s="20"/>
      <c r="X228" s="20"/>
      <c r="Y228" s="20"/>
      <c r="Z228" s="20"/>
      <c r="AA228" s="20"/>
      <c r="AB228" s="34"/>
      <c r="AC228" s="34"/>
      <c r="AD228" s="34">
        <f t="shared" ref="AD228:AQ234" si="11">SUMIF($D$131:$D$227,$D228,AD$131:AD$227)</f>
        <v>2193949574</v>
      </c>
      <c r="AE228" s="34">
        <f t="shared" si="11"/>
        <v>2158421985</v>
      </c>
      <c r="AF228" s="34">
        <f t="shared" si="11"/>
        <v>2217200365</v>
      </c>
      <c r="AG228" s="34">
        <f t="shared" si="11"/>
        <v>2294906755</v>
      </c>
      <c r="AH228" s="34">
        <f t="shared" si="11"/>
        <v>2008759853</v>
      </c>
      <c r="AI228" s="34">
        <f t="shared" si="11"/>
        <v>1981248284</v>
      </c>
      <c r="AJ228" s="34">
        <f t="shared" si="11"/>
        <v>2170289343</v>
      </c>
      <c r="AK228" s="34">
        <f t="shared" si="11"/>
        <v>2165249873</v>
      </c>
      <c r="AL228" s="34">
        <f t="shared" si="11"/>
        <v>2386555502</v>
      </c>
      <c r="AM228" s="34">
        <f t="shared" si="11"/>
        <v>2375550123</v>
      </c>
      <c r="AN228" s="1073">
        <f t="shared" si="11"/>
        <v>2443284487</v>
      </c>
      <c r="AO228" s="1073">
        <f t="shared" si="11"/>
        <v>2434274684</v>
      </c>
      <c r="AP228" s="1073">
        <f t="shared" si="11"/>
        <v>2671452350.2312622</v>
      </c>
      <c r="AQ228" s="1073">
        <f t="shared" si="11"/>
        <v>2615801039</v>
      </c>
      <c r="AR228" s="1044"/>
      <c r="AS228" s="1044"/>
    </row>
    <row r="229" spans="2:45" hidden="1" outlineLevel="1">
      <c r="C229" s="9"/>
      <c r="D229" s="223" t="s">
        <v>958</v>
      </c>
      <c r="E229" s="27" t="s">
        <v>1543</v>
      </c>
      <c r="F229" s="20"/>
      <c r="G229" s="20"/>
      <c r="H229" s="20"/>
      <c r="I229" s="20"/>
      <c r="J229" s="20"/>
      <c r="K229" s="20"/>
      <c r="L229" s="20"/>
      <c r="M229" s="20"/>
      <c r="N229" s="20"/>
      <c r="O229" s="20"/>
      <c r="P229" s="20"/>
      <c r="Q229" s="20"/>
      <c r="R229" s="20"/>
      <c r="S229" s="20"/>
      <c r="T229" s="20"/>
      <c r="U229" s="20"/>
      <c r="V229" s="20"/>
      <c r="W229" s="20"/>
      <c r="X229" s="20"/>
      <c r="Y229" s="20"/>
      <c r="Z229" s="20"/>
      <c r="AA229" s="20"/>
      <c r="AB229" s="34"/>
      <c r="AC229" s="34"/>
      <c r="AD229" s="34">
        <f t="shared" si="11"/>
        <v>26628933</v>
      </c>
      <c r="AE229" s="34">
        <f t="shared" si="11"/>
        <v>27333634</v>
      </c>
      <c r="AF229" s="34">
        <f t="shared" si="11"/>
        <v>32841647</v>
      </c>
      <c r="AG229" s="34">
        <f t="shared" si="11"/>
        <v>37686928</v>
      </c>
      <c r="AH229" s="34">
        <f t="shared" si="11"/>
        <v>43993791</v>
      </c>
      <c r="AI229" s="34">
        <f t="shared" si="11"/>
        <v>42111965</v>
      </c>
      <c r="AJ229" s="34">
        <f t="shared" si="11"/>
        <v>27686233</v>
      </c>
      <c r="AK229" s="34">
        <f t="shared" si="11"/>
        <v>18455608</v>
      </c>
      <c r="AL229" s="34">
        <f t="shared" si="11"/>
        <v>42586172</v>
      </c>
      <c r="AM229" s="34">
        <f t="shared" si="11"/>
        <v>43352818</v>
      </c>
      <c r="AN229" s="1073">
        <f t="shared" si="11"/>
        <v>67171752</v>
      </c>
      <c r="AO229" s="1073">
        <f t="shared" si="11"/>
        <v>65789700</v>
      </c>
      <c r="AP229" s="1073">
        <f t="shared" si="11"/>
        <v>59997515</v>
      </c>
      <c r="AQ229" s="1073">
        <f t="shared" si="11"/>
        <v>59384405</v>
      </c>
      <c r="AR229" s="1044"/>
      <c r="AS229" s="1044"/>
    </row>
    <row r="230" spans="2:45" hidden="1" outlineLevel="1">
      <c r="C230" s="9"/>
      <c r="D230" s="223" t="s">
        <v>1498</v>
      </c>
      <c r="E230" s="27" t="s">
        <v>1497</v>
      </c>
      <c r="F230" s="20"/>
      <c r="G230" s="20"/>
      <c r="H230" s="20"/>
      <c r="I230" s="20"/>
      <c r="J230" s="20"/>
      <c r="K230" s="20"/>
      <c r="L230" s="20"/>
      <c r="M230" s="20"/>
      <c r="N230" s="20"/>
      <c r="O230" s="20"/>
      <c r="P230" s="20"/>
      <c r="Q230" s="20"/>
      <c r="R230" s="20"/>
      <c r="S230" s="20"/>
      <c r="T230" s="20"/>
      <c r="U230" s="20"/>
      <c r="V230" s="20"/>
      <c r="W230" s="20"/>
      <c r="X230" s="20"/>
      <c r="Y230" s="20"/>
      <c r="Z230" s="20"/>
      <c r="AA230" s="20"/>
      <c r="AB230" s="34"/>
      <c r="AC230" s="34"/>
      <c r="AD230" s="34">
        <f t="shared" si="11"/>
        <v>1173037699</v>
      </c>
      <c r="AE230" s="34">
        <f t="shared" si="11"/>
        <v>1115195013</v>
      </c>
      <c r="AF230" s="34">
        <f t="shared" si="11"/>
        <v>1279054014</v>
      </c>
      <c r="AG230" s="34">
        <f t="shared" si="11"/>
        <v>1276425301</v>
      </c>
      <c r="AH230" s="34">
        <f t="shared" si="11"/>
        <v>1192218591</v>
      </c>
      <c r="AI230" s="34">
        <f t="shared" si="11"/>
        <v>1053675483</v>
      </c>
      <c r="AJ230" s="34">
        <f t="shared" si="11"/>
        <v>1266025786</v>
      </c>
      <c r="AK230" s="34">
        <f t="shared" si="11"/>
        <v>1266685194</v>
      </c>
      <c r="AL230" s="34">
        <f t="shared" si="11"/>
        <v>1340599709</v>
      </c>
      <c r="AM230" s="34">
        <f t="shared" si="11"/>
        <v>1340809091</v>
      </c>
      <c r="AN230" s="1073">
        <f t="shared" si="11"/>
        <v>1427376753</v>
      </c>
      <c r="AO230" s="1073">
        <f t="shared" si="11"/>
        <v>1427605992</v>
      </c>
      <c r="AP230" s="1073">
        <f t="shared" si="11"/>
        <v>1526864343</v>
      </c>
      <c r="AQ230" s="1073">
        <f t="shared" si="11"/>
        <v>1526552110</v>
      </c>
      <c r="AR230" s="1044"/>
      <c r="AS230" s="1044"/>
    </row>
    <row r="231" spans="2:45" hidden="1" outlineLevel="1">
      <c r="C231" s="9"/>
      <c r="D231" s="223" t="s">
        <v>2100</v>
      </c>
      <c r="E231" s="27" t="s">
        <v>2131</v>
      </c>
      <c r="F231" s="20"/>
      <c r="G231" s="20"/>
      <c r="H231" s="20"/>
      <c r="I231" s="20"/>
      <c r="J231" s="20"/>
      <c r="K231" s="20"/>
      <c r="L231" s="20"/>
      <c r="M231" s="20"/>
      <c r="N231" s="20"/>
      <c r="O231" s="20"/>
      <c r="P231" s="20"/>
      <c r="Q231" s="20"/>
      <c r="R231" s="20"/>
      <c r="S231" s="20"/>
      <c r="T231" s="20"/>
      <c r="U231" s="20"/>
      <c r="V231" s="20"/>
      <c r="W231" s="20"/>
      <c r="X231" s="20"/>
      <c r="Y231" s="20"/>
      <c r="Z231" s="20"/>
      <c r="AA231" s="20"/>
      <c r="AB231" s="34"/>
      <c r="AC231" s="34"/>
      <c r="AD231" s="34">
        <f t="shared" si="11"/>
        <v>59572752</v>
      </c>
      <c r="AE231" s="34">
        <f t="shared" si="11"/>
        <v>59386715</v>
      </c>
      <c r="AF231" s="34">
        <f t="shared" si="11"/>
        <v>60572500</v>
      </c>
      <c r="AG231" s="34">
        <f t="shared" si="11"/>
        <v>63144047</v>
      </c>
      <c r="AH231" s="34">
        <f t="shared" si="11"/>
        <v>60542600</v>
      </c>
      <c r="AI231" s="34">
        <f t="shared" si="11"/>
        <v>58539732</v>
      </c>
      <c r="AJ231" s="34">
        <f t="shared" si="11"/>
        <v>56266739</v>
      </c>
      <c r="AK231" s="34">
        <f t="shared" si="11"/>
        <v>56245135</v>
      </c>
      <c r="AL231" s="34">
        <f t="shared" si="11"/>
        <v>58281980</v>
      </c>
      <c r="AM231" s="34">
        <f t="shared" si="11"/>
        <v>58217300</v>
      </c>
      <c r="AN231" s="1073">
        <f t="shared" si="11"/>
        <v>66536262</v>
      </c>
      <c r="AO231" s="1073">
        <f t="shared" si="11"/>
        <v>66385202</v>
      </c>
      <c r="AP231" s="1073">
        <f t="shared" si="11"/>
        <v>89839444</v>
      </c>
      <c r="AQ231" s="1073">
        <f t="shared" si="11"/>
        <v>90008689</v>
      </c>
      <c r="AR231" s="1044"/>
      <c r="AS231" s="1044"/>
    </row>
    <row r="232" spans="2:45" s="1044" customFormat="1" hidden="1" outlineLevel="1">
      <c r="B232" s="1045"/>
      <c r="C232" s="1030"/>
      <c r="D232" s="1051" t="s">
        <v>2115</v>
      </c>
      <c r="E232" s="968" t="s">
        <v>2132</v>
      </c>
      <c r="F232" s="1047"/>
      <c r="G232" s="1047"/>
      <c r="H232" s="1047"/>
      <c r="I232" s="1047"/>
      <c r="J232" s="1047"/>
      <c r="K232" s="1047"/>
      <c r="L232" s="1047"/>
      <c r="M232" s="1047"/>
      <c r="N232" s="1047"/>
      <c r="O232" s="1047"/>
      <c r="P232" s="1047"/>
      <c r="Q232" s="1047"/>
      <c r="R232" s="1047"/>
      <c r="S232" s="1047"/>
      <c r="T232" s="1047"/>
      <c r="U232" s="1047"/>
      <c r="V232" s="1047"/>
      <c r="W232" s="1047"/>
      <c r="X232" s="1047"/>
      <c r="Y232" s="1047"/>
      <c r="Z232" s="1047"/>
      <c r="AA232" s="1047"/>
      <c r="AB232" s="1073"/>
      <c r="AC232" s="1073"/>
      <c r="AD232" s="1073">
        <f t="shared" si="11"/>
        <v>24627580</v>
      </c>
      <c r="AE232" s="1073">
        <f t="shared" si="11"/>
        <v>25071638</v>
      </c>
      <c r="AF232" s="1073">
        <f t="shared" si="11"/>
        <v>25287671</v>
      </c>
      <c r="AG232" s="1073">
        <f t="shared" si="11"/>
        <v>26646379</v>
      </c>
      <c r="AH232" s="1073">
        <f t="shared" si="11"/>
        <v>28259431</v>
      </c>
      <c r="AI232" s="1073">
        <f t="shared" si="11"/>
        <v>23219186</v>
      </c>
      <c r="AJ232" s="1073">
        <f t="shared" si="11"/>
        <v>25968697</v>
      </c>
      <c r="AK232" s="1073">
        <f t="shared" si="11"/>
        <v>25971412</v>
      </c>
      <c r="AL232" s="1073">
        <f t="shared" si="11"/>
        <v>26193674</v>
      </c>
      <c r="AM232" s="1073">
        <f t="shared" si="11"/>
        <v>26199301</v>
      </c>
      <c r="AN232" s="1073">
        <f t="shared" si="11"/>
        <v>27416850</v>
      </c>
      <c r="AO232" s="1073">
        <f t="shared" si="11"/>
        <v>26839331</v>
      </c>
      <c r="AP232" s="1073">
        <f t="shared" si="11"/>
        <v>37681450</v>
      </c>
      <c r="AQ232" s="1073">
        <f t="shared" si="11"/>
        <v>37640205</v>
      </c>
    </row>
    <row r="233" spans="2:45" hidden="1" outlineLevel="1">
      <c r="C233" s="9"/>
      <c r="D233" s="223" t="s">
        <v>1542</v>
      </c>
      <c r="E233" s="27" t="s">
        <v>1544</v>
      </c>
      <c r="F233" s="20"/>
      <c r="G233" s="20"/>
      <c r="H233" s="20"/>
      <c r="I233" s="20"/>
      <c r="J233" s="20"/>
      <c r="K233" s="20"/>
      <c r="L233" s="20"/>
      <c r="M233" s="20"/>
      <c r="N233" s="20"/>
      <c r="O233" s="20"/>
      <c r="P233" s="20"/>
      <c r="Q233" s="20"/>
      <c r="R233" s="20"/>
      <c r="S233" s="20"/>
      <c r="T233" s="20"/>
      <c r="U233" s="20"/>
      <c r="V233" s="20"/>
      <c r="W233" s="20"/>
      <c r="X233" s="20"/>
      <c r="Y233" s="20"/>
      <c r="Z233" s="20"/>
      <c r="AA233" s="20"/>
      <c r="AB233" s="34"/>
      <c r="AC233" s="34"/>
      <c r="AD233" s="34">
        <f t="shared" si="11"/>
        <v>3531910</v>
      </c>
      <c r="AE233" s="34">
        <f t="shared" si="11"/>
        <v>3531909</v>
      </c>
      <c r="AF233" s="34">
        <f t="shared" si="11"/>
        <v>13531909</v>
      </c>
      <c r="AG233" s="34">
        <f t="shared" si="11"/>
        <v>3531909</v>
      </c>
      <c r="AH233" s="34">
        <f t="shared" si="11"/>
        <v>2301722</v>
      </c>
      <c r="AI233" s="34">
        <f t="shared" si="11"/>
        <v>2301722</v>
      </c>
      <c r="AJ233" s="34">
        <f t="shared" si="11"/>
        <v>9201722</v>
      </c>
      <c r="AK233" s="34">
        <f t="shared" si="11"/>
        <v>2301722</v>
      </c>
      <c r="AL233" s="34">
        <f t="shared" si="11"/>
        <v>10801722</v>
      </c>
      <c r="AM233" s="34">
        <f t="shared" si="11"/>
        <v>10801722</v>
      </c>
      <c r="AN233" s="1073">
        <f t="shared" si="11"/>
        <v>3110562</v>
      </c>
      <c r="AO233" s="1073">
        <f t="shared" si="11"/>
        <v>3108744</v>
      </c>
      <c r="AP233" s="1073">
        <f t="shared" si="11"/>
        <v>3043910</v>
      </c>
      <c r="AQ233" s="1073">
        <f t="shared" si="11"/>
        <v>3042093</v>
      </c>
      <c r="AR233" s="1044"/>
      <c r="AS233" s="1044"/>
    </row>
    <row r="234" spans="2:45" hidden="1" outlineLevel="1">
      <c r="C234" s="9"/>
      <c r="D234" s="223" t="s">
        <v>1541</v>
      </c>
      <c r="E234" s="27" t="s">
        <v>1540</v>
      </c>
      <c r="F234" s="20"/>
      <c r="G234" s="20"/>
      <c r="H234" s="20"/>
      <c r="I234" s="20"/>
      <c r="J234" s="20"/>
      <c r="K234" s="20"/>
      <c r="L234" s="20"/>
      <c r="M234" s="20"/>
      <c r="N234" s="20"/>
      <c r="O234" s="20"/>
      <c r="P234" s="20"/>
      <c r="Q234" s="20"/>
      <c r="R234" s="20"/>
      <c r="S234" s="20"/>
      <c r="T234" s="20"/>
      <c r="U234" s="20"/>
      <c r="V234" s="20"/>
      <c r="W234" s="20"/>
      <c r="X234" s="20"/>
      <c r="Y234" s="20"/>
      <c r="Z234" s="20"/>
      <c r="AA234" s="20"/>
      <c r="AB234" s="34"/>
      <c r="AC234" s="34"/>
      <c r="AD234" s="34">
        <f t="shared" si="11"/>
        <v>149147477</v>
      </c>
      <c r="AE234" s="34">
        <f t="shared" si="11"/>
        <v>142297476</v>
      </c>
      <c r="AF234" s="34">
        <f t="shared" si="11"/>
        <v>158030595</v>
      </c>
      <c r="AG234" s="34">
        <f t="shared" si="11"/>
        <v>157630595</v>
      </c>
      <c r="AH234" s="34">
        <f t="shared" si="11"/>
        <v>260652255</v>
      </c>
      <c r="AI234" s="34">
        <f t="shared" si="11"/>
        <v>299874414</v>
      </c>
      <c r="AJ234" s="34">
        <f t="shared" si="11"/>
        <v>164359398</v>
      </c>
      <c r="AK234" s="34">
        <f t="shared" si="11"/>
        <v>164359398</v>
      </c>
      <c r="AL234" s="34">
        <f t="shared" si="11"/>
        <v>176901604</v>
      </c>
      <c r="AM234" s="34">
        <f t="shared" si="11"/>
        <v>181901609</v>
      </c>
      <c r="AN234" s="1073">
        <f t="shared" si="11"/>
        <v>178536998</v>
      </c>
      <c r="AO234" s="1073">
        <f t="shared" si="11"/>
        <v>178535546</v>
      </c>
      <c r="AP234" s="1073">
        <f t="shared" si="11"/>
        <v>206254845</v>
      </c>
      <c r="AQ234" s="1073">
        <f t="shared" si="11"/>
        <v>195083969</v>
      </c>
      <c r="AR234" s="222"/>
      <c r="AS234" s="222"/>
    </row>
    <row r="235" spans="2:45" collapsed="1">
      <c r="C235" s="816" t="s">
        <v>1053</v>
      </c>
      <c r="D235" s="25"/>
      <c r="E235" s="6"/>
      <c r="F235" s="6"/>
      <c r="G235" s="6"/>
      <c r="H235" s="6"/>
      <c r="I235" s="6"/>
      <c r="J235" s="6"/>
      <c r="K235" s="6"/>
      <c r="L235" s="6"/>
      <c r="M235" s="6"/>
      <c r="N235" s="6"/>
      <c r="O235" s="6"/>
      <c r="P235" s="6"/>
      <c r="Q235" s="6"/>
      <c r="R235" s="6"/>
      <c r="S235" s="6"/>
      <c r="T235" s="6"/>
      <c r="U235" s="6"/>
      <c r="V235" s="6"/>
      <c r="W235" s="6"/>
      <c r="X235" s="6"/>
      <c r="Y235" s="6"/>
      <c r="Z235" s="6"/>
      <c r="AA235" s="6"/>
      <c r="AB235" s="7"/>
      <c r="AC235" s="7"/>
      <c r="AD235" s="7"/>
      <c r="AE235" s="7"/>
      <c r="AF235" s="7"/>
      <c r="AG235" s="7"/>
      <c r="AH235" s="7"/>
      <c r="AI235" s="7"/>
      <c r="AJ235" s="369" t="s">
        <v>1208</v>
      </c>
      <c r="AK235" s="369" t="s">
        <v>1208</v>
      </c>
      <c r="AL235" s="369" t="s">
        <v>1798</v>
      </c>
      <c r="AM235" s="369" t="s">
        <v>1798</v>
      </c>
      <c r="AN235" s="369" t="s">
        <v>1854</v>
      </c>
      <c r="AO235" s="369" t="s">
        <v>1854</v>
      </c>
      <c r="AP235" s="696" t="s">
        <v>1850</v>
      </c>
      <c r="AQ235" s="696" t="s">
        <v>1850</v>
      </c>
      <c r="AR235" s="1044"/>
      <c r="AS235" s="1044"/>
    </row>
    <row r="236" spans="2:45" hidden="1" outlineLevel="1">
      <c r="C236" s="816" t="s">
        <v>1054</v>
      </c>
      <c r="D236" s="223"/>
      <c r="E236" s="224" t="s">
        <v>19</v>
      </c>
      <c r="F236" s="20"/>
      <c r="G236" s="20"/>
      <c r="H236" s="20"/>
      <c r="I236" s="20"/>
      <c r="J236" s="20"/>
      <c r="K236" s="20"/>
      <c r="L236" s="20"/>
      <c r="M236" s="20"/>
      <c r="N236" s="20"/>
      <c r="O236" s="20"/>
      <c r="P236" s="20"/>
      <c r="Q236" s="20"/>
      <c r="R236" s="20"/>
      <c r="S236" s="20"/>
      <c r="T236" s="20"/>
      <c r="U236" s="20"/>
      <c r="V236" s="20"/>
      <c r="W236" s="20"/>
      <c r="X236" s="20"/>
      <c r="Y236" s="20"/>
      <c r="Z236" s="20"/>
      <c r="AA236" s="20"/>
      <c r="AB236" s="12"/>
      <c r="AC236" s="12"/>
      <c r="AD236" s="12"/>
      <c r="AE236" s="12"/>
      <c r="AF236" s="12"/>
      <c r="AG236" s="12"/>
      <c r="AH236" s="12">
        <v>324000</v>
      </c>
      <c r="AI236" s="12">
        <v>325000</v>
      </c>
      <c r="AJ236" s="21">
        <v>0</v>
      </c>
      <c r="AK236" s="21">
        <v>0</v>
      </c>
      <c r="AL236" s="21">
        <v>0</v>
      </c>
      <c r="AM236" s="21">
        <v>0</v>
      </c>
      <c r="AN236" s="1058"/>
      <c r="AO236" s="1058"/>
      <c r="AP236" s="1058"/>
      <c r="AQ236" s="1058"/>
      <c r="AR236" s="1044"/>
      <c r="AS236" s="1044"/>
    </row>
    <row r="237" spans="2:45" hidden="1" outlineLevel="1">
      <c r="C237" s="816" t="s">
        <v>1054</v>
      </c>
      <c r="D237" s="223"/>
      <c r="E237" s="224" t="s">
        <v>24</v>
      </c>
      <c r="F237" s="20"/>
      <c r="G237" s="20"/>
      <c r="H237" s="20"/>
      <c r="I237" s="20"/>
      <c r="J237" s="20"/>
      <c r="K237" s="20"/>
      <c r="L237" s="20"/>
      <c r="M237" s="20"/>
      <c r="N237" s="20"/>
      <c r="O237" s="20"/>
      <c r="P237" s="20"/>
      <c r="Q237" s="20"/>
      <c r="R237" s="20"/>
      <c r="S237" s="20"/>
      <c r="T237" s="20"/>
      <c r="U237" s="20"/>
      <c r="V237" s="20"/>
      <c r="W237" s="20"/>
      <c r="X237" s="20"/>
      <c r="Y237" s="20"/>
      <c r="Z237" s="20"/>
      <c r="AA237" s="20"/>
      <c r="AB237" s="12"/>
      <c r="AC237" s="12"/>
      <c r="AD237" s="12"/>
      <c r="AE237" s="12"/>
      <c r="AF237" s="12"/>
      <c r="AG237" s="12"/>
      <c r="AH237" s="12">
        <v>101419633</v>
      </c>
      <c r="AI237" s="12">
        <v>108180942</v>
      </c>
      <c r="AJ237" s="21">
        <v>110344561</v>
      </c>
      <c r="AK237" s="21">
        <v>112551452</v>
      </c>
      <c r="AL237" s="21">
        <v>46177654</v>
      </c>
      <c r="AM237" s="21">
        <v>48024760</v>
      </c>
      <c r="AN237" s="1058">
        <v>46405388</v>
      </c>
      <c r="AO237" s="1058">
        <v>51045926</v>
      </c>
      <c r="AP237" s="1058">
        <v>23714800</v>
      </c>
      <c r="AQ237" s="1058">
        <v>25042829</v>
      </c>
      <c r="AR237" s="1044"/>
      <c r="AS237" s="1044"/>
    </row>
    <row r="238" spans="2:45" hidden="1" outlineLevel="1">
      <c r="C238" s="816" t="s">
        <v>1054</v>
      </c>
      <c r="D238" s="223"/>
      <c r="E238" s="224" t="s">
        <v>25</v>
      </c>
      <c r="F238" s="20"/>
      <c r="G238" s="20"/>
      <c r="H238" s="20"/>
      <c r="I238" s="20"/>
      <c r="J238" s="20"/>
      <c r="K238" s="20"/>
      <c r="L238" s="20"/>
      <c r="M238" s="20"/>
      <c r="N238" s="20"/>
      <c r="O238" s="20"/>
      <c r="P238" s="20"/>
      <c r="Q238" s="20"/>
      <c r="R238" s="20"/>
      <c r="S238" s="20"/>
      <c r="T238" s="20"/>
      <c r="U238" s="20"/>
      <c r="V238" s="20"/>
      <c r="W238" s="20"/>
      <c r="X238" s="20"/>
      <c r="Y238" s="20"/>
      <c r="Z238" s="20"/>
      <c r="AA238" s="20"/>
      <c r="AB238" s="12"/>
      <c r="AC238" s="12"/>
      <c r="AD238" s="12"/>
      <c r="AE238" s="12"/>
      <c r="AF238" s="12"/>
      <c r="AG238" s="12"/>
      <c r="AH238" s="12">
        <v>21282339</v>
      </c>
      <c r="AI238" s="12">
        <v>21282339</v>
      </c>
      <c r="AJ238" s="21">
        <v>27017439</v>
      </c>
      <c r="AK238" s="21">
        <v>27557789</v>
      </c>
      <c r="AL238" s="21">
        <v>33089028</v>
      </c>
      <c r="AM238" s="21">
        <v>34412588</v>
      </c>
      <c r="AN238" s="1058">
        <v>48677592</v>
      </c>
      <c r="AO238" s="1058">
        <v>50137920</v>
      </c>
      <c r="AP238" s="1058">
        <v>26470605</v>
      </c>
      <c r="AQ238" s="1058">
        <v>27105900</v>
      </c>
      <c r="AR238" s="1044"/>
      <c r="AS238" s="1044"/>
    </row>
    <row r="239" spans="2:45" hidden="1" outlineLevel="1">
      <c r="C239" s="816" t="s">
        <v>1054</v>
      </c>
      <c r="D239" s="223"/>
      <c r="E239" s="226" t="s">
        <v>27</v>
      </c>
      <c r="F239" s="20"/>
      <c r="G239" s="20"/>
      <c r="H239" s="20"/>
      <c r="I239" s="20"/>
      <c r="J239" s="20"/>
      <c r="K239" s="20"/>
      <c r="L239" s="20"/>
      <c r="M239" s="20"/>
      <c r="N239" s="20"/>
      <c r="O239" s="20"/>
      <c r="P239" s="20"/>
      <c r="Q239" s="20"/>
      <c r="R239" s="20"/>
      <c r="S239" s="20"/>
      <c r="T239" s="20"/>
      <c r="U239" s="20"/>
      <c r="V239" s="20"/>
      <c r="W239" s="20"/>
      <c r="X239" s="20"/>
      <c r="Y239" s="20"/>
      <c r="Z239" s="20"/>
      <c r="AA239" s="20"/>
      <c r="AB239" s="12"/>
      <c r="AC239" s="12"/>
      <c r="AD239" s="12"/>
      <c r="AE239" s="12"/>
      <c r="AF239" s="12"/>
      <c r="AG239" s="12"/>
      <c r="AH239" s="12">
        <v>86699791</v>
      </c>
      <c r="AI239" s="12">
        <v>557000</v>
      </c>
      <c r="AJ239" s="21">
        <v>46828896</v>
      </c>
      <c r="AK239" s="21">
        <v>72028895</v>
      </c>
      <c r="AL239" s="21">
        <v>135512325</v>
      </c>
      <c r="AM239" s="21">
        <v>53324040</v>
      </c>
      <c r="AN239" s="1058">
        <v>28829566</v>
      </c>
      <c r="AO239" s="1058">
        <v>16479040</v>
      </c>
      <c r="AP239" s="1058">
        <v>17245078</v>
      </c>
      <c r="AQ239" s="1058">
        <v>15847215</v>
      </c>
      <c r="AR239" s="1044"/>
      <c r="AS239" s="1044"/>
    </row>
    <row r="240" spans="2:45" hidden="1" outlineLevel="1">
      <c r="C240" s="816" t="s">
        <v>1054</v>
      </c>
      <c r="D240" s="1051" t="s">
        <v>836</v>
      </c>
      <c r="E240" s="254" t="s">
        <v>754</v>
      </c>
      <c r="F240" s="20"/>
      <c r="G240" s="20"/>
      <c r="H240" s="20"/>
      <c r="I240" s="20"/>
      <c r="J240" s="20"/>
      <c r="K240" s="20"/>
      <c r="L240" s="20"/>
      <c r="M240" s="20"/>
      <c r="N240" s="20"/>
      <c r="O240" s="20"/>
      <c r="P240" s="20"/>
      <c r="Q240" s="20"/>
      <c r="R240" s="20"/>
      <c r="S240" s="20"/>
      <c r="T240" s="20"/>
      <c r="U240" s="20"/>
      <c r="V240" s="20"/>
      <c r="W240" s="20"/>
      <c r="X240" s="20"/>
      <c r="Y240" s="20"/>
      <c r="Z240" s="20"/>
      <c r="AA240" s="20"/>
      <c r="AB240" s="12"/>
      <c r="AC240" s="12"/>
      <c r="AD240" s="12"/>
      <c r="AE240" s="12"/>
      <c r="AF240" s="12"/>
      <c r="AG240" s="12"/>
      <c r="AH240" s="12">
        <v>52183109</v>
      </c>
      <c r="AI240" s="14">
        <v>52603253</v>
      </c>
      <c r="AJ240" s="21">
        <v>59508336</v>
      </c>
      <c r="AK240" s="21">
        <v>60022855</v>
      </c>
      <c r="AL240" s="21">
        <v>65312693</v>
      </c>
      <c r="AM240" s="21">
        <v>65515843</v>
      </c>
      <c r="AN240" s="1058">
        <v>76652583</v>
      </c>
      <c r="AO240" s="1058">
        <v>76730926</v>
      </c>
      <c r="AP240" s="1058">
        <v>71635389</v>
      </c>
      <c r="AQ240" s="1058">
        <v>71752261</v>
      </c>
      <c r="AR240" s="1044"/>
      <c r="AS240" s="1044"/>
    </row>
    <row r="241" spans="3:45" hidden="1" outlineLevel="1">
      <c r="C241" s="816" t="s">
        <v>1054</v>
      </c>
      <c r="D241" s="1051" t="s">
        <v>836</v>
      </c>
      <c r="E241" s="254" t="s">
        <v>749</v>
      </c>
      <c r="F241" s="20"/>
      <c r="G241" s="20"/>
      <c r="H241" s="20"/>
      <c r="I241" s="20"/>
      <c r="J241" s="20"/>
      <c r="K241" s="20"/>
      <c r="L241" s="20"/>
      <c r="M241" s="20"/>
      <c r="N241" s="20"/>
      <c r="O241" s="20"/>
      <c r="P241" s="20"/>
      <c r="Q241" s="20"/>
      <c r="R241" s="20"/>
      <c r="S241" s="20"/>
      <c r="T241" s="20"/>
      <c r="U241" s="20"/>
      <c r="V241" s="20"/>
      <c r="W241" s="20"/>
      <c r="X241" s="20"/>
      <c r="Y241" s="20"/>
      <c r="Z241" s="20"/>
      <c r="AA241" s="20"/>
      <c r="AB241" s="12"/>
      <c r="AC241" s="12"/>
      <c r="AD241" s="12"/>
      <c r="AE241" s="12"/>
      <c r="AF241" s="12"/>
      <c r="AG241" s="12"/>
      <c r="AH241" s="12">
        <v>103969114</v>
      </c>
      <c r="AI241" s="14">
        <v>106225820</v>
      </c>
      <c r="AJ241" s="21">
        <v>116719726</v>
      </c>
      <c r="AK241" s="21">
        <v>118759820</v>
      </c>
      <c r="AL241" s="21">
        <v>117181597</v>
      </c>
      <c r="AM241" s="21">
        <v>114895811</v>
      </c>
      <c r="AN241" s="1058">
        <f>118732761-377900</f>
        <v>118354861</v>
      </c>
      <c r="AO241" s="1058">
        <f>120042620-377900</f>
        <v>119664720</v>
      </c>
      <c r="AP241" s="1058">
        <f>122887771-1298537</f>
        <v>121589234</v>
      </c>
      <c r="AQ241" s="1058">
        <f>123250899-1298537</f>
        <v>121952362</v>
      </c>
      <c r="AR241" s="1044"/>
      <c r="AS241" s="1044"/>
    </row>
    <row r="242" spans="3:45" hidden="1" outlineLevel="1">
      <c r="C242" s="816" t="s">
        <v>1054</v>
      </c>
      <c r="D242" s="1051" t="s">
        <v>836</v>
      </c>
      <c r="E242" s="254" t="s">
        <v>755</v>
      </c>
      <c r="F242" s="20"/>
      <c r="G242" s="20"/>
      <c r="H242" s="20"/>
      <c r="I242" s="20"/>
      <c r="J242" s="20"/>
      <c r="K242" s="20"/>
      <c r="L242" s="20"/>
      <c r="M242" s="20"/>
      <c r="N242" s="20"/>
      <c r="O242" s="20"/>
      <c r="P242" s="20"/>
      <c r="Q242" s="20"/>
      <c r="R242" s="20"/>
      <c r="S242" s="20"/>
      <c r="T242" s="20"/>
      <c r="U242" s="20"/>
      <c r="V242" s="20"/>
      <c r="W242" s="20"/>
      <c r="X242" s="20"/>
      <c r="Y242" s="20"/>
      <c r="Z242" s="20"/>
      <c r="AA242" s="20"/>
      <c r="AB242" s="12"/>
      <c r="AC242" s="12"/>
      <c r="AD242" s="12"/>
      <c r="AE242" s="12"/>
      <c r="AF242" s="12"/>
      <c r="AG242" s="12"/>
      <c r="AH242" s="12">
        <v>36928316</v>
      </c>
      <c r="AI242" s="14">
        <v>37807165</v>
      </c>
      <c r="AJ242" s="21">
        <v>47225117</v>
      </c>
      <c r="AK242" s="21">
        <v>47984127</v>
      </c>
      <c r="AL242" s="21">
        <v>61347226</v>
      </c>
      <c r="AM242" s="21">
        <v>62339492</v>
      </c>
      <c r="AN242" s="1058">
        <v>74645929</v>
      </c>
      <c r="AO242" s="1058">
        <v>75786833</v>
      </c>
      <c r="AP242" s="1058">
        <v>73871455</v>
      </c>
      <c r="AQ242" s="1058">
        <v>74157813</v>
      </c>
      <c r="AR242" s="1044"/>
      <c r="AS242" s="1044"/>
    </row>
    <row r="243" spans="3:45" hidden="1" outlineLevel="1">
      <c r="C243" s="816" t="s">
        <v>1054</v>
      </c>
      <c r="D243" s="1051" t="s">
        <v>836</v>
      </c>
      <c r="E243" s="254" t="s">
        <v>756</v>
      </c>
      <c r="F243" s="20"/>
      <c r="G243" s="20"/>
      <c r="H243" s="20"/>
      <c r="I243" s="20"/>
      <c r="J243" s="20"/>
      <c r="K243" s="20"/>
      <c r="L243" s="20"/>
      <c r="M243" s="20"/>
      <c r="N243" s="20"/>
      <c r="O243" s="20"/>
      <c r="P243" s="20"/>
      <c r="Q243" s="20"/>
      <c r="R243" s="20"/>
      <c r="S243" s="20"/>
      <c r="T243" s="20"/>
      <c r="U243" s="20"/>
      <c r="V243" s="20"/>
      <c r="W243" s="20"/>
      <c r="X243" s="20"/>
      <c r="Y243" s="20"/>
      <c r="Z243" s="20"/>
      <c r="AA243" s="20"/>
      <c r="AB243" s="12"/>
      <c r="AC243" s="12"/>
      <c r="AD243" s="12"/>
      <c r="AE243" s="12"/>
      <c r="AF243" s="12"/>
      <c r="AG243" s="12"/>
      <c r="AH243" s="12">
        <v>27444286</v>
      </c>
      <c r="AI243" s="14">
        <v>27515100</v>
      </c>
      <c r="AJ243" s="21">
        <v>29383461</v>
      </c>
      <c r="AK243" s="21">
        <v>29873116</v>
      </c>
      <c r="AL243" s="21">
        <v>28975512</v>
      </c>
      <c r="AM243" s="21">
        <v>29155467</v>
      </c>
      <c r="AN243" s="1058">
        <v>29971418</v>
      </c>
      <c r="AO243" s="1058">
        <v>30159672</v>
      </c>
      <c r="AP243" s="1058">
        <v>33652820</v>
      </c>
      <c r="AQ243" s="1058">
        <v>33723913</v>
      </c>
      <c r="AR243" s="1044"/>
      <c r="AS243" s="1044"/>
    </row>
    <row r="244" spans="3:45" hidden="1" outlineLevel="1">
      <c r="C244" s="816" t="s">
        <v>1054</v>
      </c>
      <c r="D244" s="1051" t="s">
        <v>836</v>
      </c>
      <c r="E244" s="254" t="s">
        <v>1669</v>
      </c>
      <c r="F244" s="20"/>
      <c r="G244" s="20"/>
      <c r="H244" s="20"/>
      <c r="I244" s="20"/>
      <c r="J244" s="20"/>
      <c r="K244" s="20"/>
      <c r="L244" s="20"/>
      <c r="M244" s="20"/>
      <c r="N244" s="20"/>
      <c r="O244" s="20"/>
      <c r="P244" s="20"/>
      <c r="Q244" s="20"/>
      <c r="R244" s="20"/>
      <c r="S244" s="20"/>
      <c r="T244" s="20"/>
      <c r="U244" s="20"/>
      <c r="V244" s="20"/>
      <c r="W244" s="20"/>
      <c r="X244" s="20"/>
      <c r="Y244" s="20"/>
      <c r="Z244" s="20"/>
      <c r="AA244" s="20"/>
      <c r="AB244" s="12"/>
      <c r="AC244" s="12"/>
      <c r="AD244" s="12"/>
      <c r="AE244" s="12"/>
      <c r="AF244" s="12"/>
      <c r="AG244" s="12"/>
      <c r="AH244" s="12"/>
      <c r="AI244" s="14"/>
      <c r="AJ244" s="21"/>
      <c r="AK244" s="21"/>
      <c r="AL244" s="21">
        <v>35560570</v>
      </c>
      <c r="AM244" s="21">
        <v>35646208</v>
      </c>
      <c r="AN244" s="1058">
        <f>36044823-333850</f>
        <v>35710973</v>
      </c>
      <c r="AO244" s="1058">
        <f>36123180-333850</f>
        <v>35789330</v>
      </c>
      <c r="AP244" s="1058">
        <v>35820131</v>
      </c>
      <c r="AQ244" s="1058">
        <v>35836155</v>
      </c>
      <c r="AR244" s="1044"/>
      <c r="AS244" s="1044"/>
    </row>
    <row r="245" spans="3:45" hidden="1" outlineLevel="1">
      <c r="C245" s="816" t="s">
        <v>1054</v>
      </c>
      <c r="D245" s="1051" t="s">
        <v>836</v>
      </c>
      <c r="E245" s="254" t="s">
        <v>1356</v>
      </c>
      <c r="F245" s="20"/>
      <c r="G245" s="20"/>
      <c r="H245" s="20"/>
      <c r="I245" s="20"/>
      <c r="J245" s="20"/>
      <c r="K245" s="20"/>
      <c r="L245" s="20"/>
      <c r="M245" s="20"/>
      <c r="N245" s="20"/>
      <c r="O245" s="20"/>
      <c r="P245" s="20"/>
      <c r="Q245" s="20"/>
      <c r="R245" s="20"/>
      <c r="S245" s="20"/>
      <c r="T245" s="20"/>
      <c r="U245" s="20"/>
      <c r="V245" s="20"/>
      <c r="W245" s="20"/>
      <c r="X245" s="20"/>
      <c r="Y245" s="20"/>
      <c r="Z245" s="20"/>
      <c r="AA245" s="20"/>
      <c r="AB245" s="12"/>
      <c r="AC245" s="12"/>
      <c r="AD245" s="12"/>
      <c r="AE245" s="12"/>
      <c r="AF245" s="12"/>
      <c r="AG245" s="12"/>
      <c r="AH245" s="12">
        <v>25584116</v>
      </c>
      <c r="AI245" s="14">
        <v>25899028</v>
      </c>
      <c r="AJ245" s="21">
        <v>26334732</v>
      </c>
      <c r="AK245" s="21">
        <v>26522765</v>
      </c>
      <c r="AL245" s="21"/>
      <c r="AM245" s="21"/>
      <c r="AN245" s="1058"/>
      <c r="AO245" s="1058"/>
      <c r="AP245" s="1058"/>
      <c r="AQ245" s="1058"/>
      <c r="AR245" s="1044"/>
      <c r="AS245" s="1044"/>
    </row>
    <row r="246" spans="3:45" hidden="1" outlineLevel="1">
      <c r="C246" s="816" t="s">
        <v>1054</v>
      </c>
      <c r="D246" s="1051" t="s">
        <v>836</v>
      </c>
      <c r="E246" s="254" t="s">
        <v>1357</v>
      </c>
      <c r="F246" s="20"/>
      <c r="G246" s="20"/>
      <c r="H246" s="20"/>
      <c r="I246" s="20"/>
      <c r="J246" s="20"/>
      <c r="K246" s="20"/>
      <c r="L246" s="20"/>
      <c r="M246" s="20"/>
      <c r="N246" s="20"/>
      <c r="O246" s="20"/>
      <c r="P246" s="20"/>
      <c r="Q246" s="20"/>
      <c r="R246" s="20"/>
      <c r="S246" s="20"/>
      <c r="T246" s="20"/>
      <c r="U246" s="20"/>
      <c r="V246" s="20"/>
      <c r="W246" s="20"/>
      <c r="X246" s="20"/>
      <c r="Y246" s="20"/>
      <c r="Z246" s="20"/>
      <c r="AA246" s="20"/>
      <c r="AB246" s="12"/>
      <c r="AC246" s="12"/>
      <c r="AD246" s="12"/>
      <c r="AE246" s="12"/>
      <c r="AF246" s="12"/>
      <c r="AG246" s="12"/>
      <c r="AH246" s="12">
        <v>5082799</v>
      </c>
      <c r="AI246" s="14">
        <v>5121138</v>
      </c>
      <c r="AJ246" s="21">
        <v>8133711</v>
      </c>
      <c r="AK246" s="21">
        <v>8208319</v>
      </c>
      <c r="AL246" s="21"/>
      <c r="AM246" s="21"/>
      <c r="AN246" s="1058"/>
      <c r="AO246" s="1058"/>
      <c r="AP246" s="1058"/>
      <c r="AQ246" s="1058"/>
      <c r="AR246" s="1044"/>
      <c r="AS246" s="1044"/>
    </row>
    <row r="247" spans="3:45" hidden="1" outlineLevel="1">
      <c r="C247" s="816" t="s">
        <v>1054</v>
      </c>
      <c r="D247" s="1051" t="s">
        <v>836</v>
      </c>
      <c r="E247" s="254" t="s">
        <v>1358</v>
      </c>
      <c r="F247" s="20"/>
      <c r="G247" s="20"/>
      <c r="H247" s="20"/>
      <c r="I247" s="20"/>
      <c r="J247" s="20"/>
      <c r="K247" s="20"/>
      <c r="L247" s="20"/>
      <c r="M247" s="20"/>
      <c r="N247" s="20"/>
      <c r="O247" s="20"/>
      <c r="P247" s="20"/>
      <c r="Q247" s="20"/>
      <c r="R247" s="20"/>
      <c r="S247" s="20"/>
      <c r="T247" s="20"/>
      <c r="U247" s="20"/>
      <c r="V247" s="20"/>
      <c r="W247" s="20"/>
      <c r="X247" s="20"/>
      <c r="Y247" s="20"/>
      <c r="Z247" s="20"/>
      <c r="AA247" s="20"/>
      <c r="AB247" s="12"/>
      <c r="AC247" s="12"/>
      <c r="AD247" s="12"/>
      <c r="AE247" s="12"/>
      <c r="AF247" s="12"/>
      <c r="AG247" s="12"/>
      <c r="AH247" s="12">
        <v>5148480</v>
      </c>
      <c r="AI247" s="14">
        <v>5180841</v>
      </c>
      <c r="AJ247" s="21">
        <v>5703430</v>
      </c>
      <c r="AK247" s="21">
        <v>5743130</v>
      </c>
      <c r="AL247" s="21">
        <v>6270938</v>
      </c>
      <c r="AM247" s="21">
        <v>6324570</v>
      </c>
      <c r="AN247" s="1058">
        <v>8372463</v>
      </c>
      <c r="AO247" s="1058">
        <v>8417082</v>
      </c>
      <c r="AP247" s="1058">
        <v>8129876</v>
      </c>
      <c r="AQ247" s="1058">
        <v>8141015</v>
      </c>
      <c r="AR247" s="1044"/>
      <c r="AS247" s="1044"/>
    </row>
    <row r="248" spans="3:45" hidden="1" outlineLevel="1">
      <c r="C248" s="816" t="s">
        <v>1054</v>
      </c>
      <c r="D248" s="1051" t="s">
        <v>836</v>
      </c>
      <c r="E248" s="254" t="s">
        <v>757</v>
      </c>
      <c r="F248" s="20"/>
      <c r="G248" s="20"/>
      <c r="H248" s="20"/>
      <c r="I248" s="20"/>
      <c r="J248" s="20"/>
      <c r="K248" s="20"/>
      <c r="L248" s="20"/>
      <c r="M248" s="20"/>
      <c r="N248" s="20"/>
      <c r="O248" s="20"/>
      <c r="P248" s="20"/>
      <c r="Q248" s="20"/>
      <c r="R248" s="20"/>
      <c r="S248" s="20"/>
      <c r="T248" s="20"/>
      <c r="U248" s="20"/>
      <c r="V248" s="20"/>
      <c r="W248" s="20"/>
      <c r="X248" s="20"/>
      <c r="Y248" s="20"/>
      <c r="Z248" s="20"/>
      <c r="AA248" s="20"/>
      <c r="AB248" s="12"/>
      <c r="AC248" s="12"/>
      <c r="AD248" s="12"/>
      <c r="AE248" s="12"/>
      <c r="AF248" s="12"/>
      <c r="AG248" s="12"/>
      <c r="AH248" s="12">
        <v>40830519</v>
      </c>
      <c r="AI248" s="14">
        <v>41117989</v>
      </c>
      <c r="AJ248" s="21">
        <v>44522025</v>
      </c>
      <c r="AK248" s="21">
        <v>44726876</v>
      </c>
      <c r="AL248" s="21">
        <v>47487883</v>
      </c>
      <c r="AM248" s="21">
        <v>47920683</v>
      </c>
      <c r="AN248" s="1058">
        <v>42285030</v>
      </c>
      <c r="AO248" s="1058">
        <v>42559061</v>
      </c>
      <c r="AP248" s="1058">
        <v>43019997</v>
      </c>
      <c r="AQ248" s="1058">
        <v>43067122</v>
      </c>
      <c r="AR248" s="1044"/>
      <c r="AS248" s="1044"/>
    </row>
    <row r="249" spans="3:45" hidden="1" outlineLevel="1">
      <c r="C249" s="816" t="s">
        <v>1054</v>
      </c>
      <c r="D249" s="1051" t="s">
        <v>836</v>
      </c>
      <c r="E249" s="254" t="s">
        <v>1359</v>
      </c>
      <c r="F249" s="20"/>
      <c r="G249" s="20"/>
      <c r="H249" s="20"/>
      <c r="I249" s="20"/>
      <c r="J249" s="20"/>
      <c r="K249" s="20"/>
      <c r="L249" s="20"/>
      <c r="M249" s="20"/>
      <c r="N249" s="20"/>
      <c r="O249" s="20"/>
      <c r="P249" s="20"/>
      <c r="Q249" s="20"/>
      <c r="R249" s="20"/>
      <c r="S249" s="20"/>
      <c r="T249" s="20"/>
      <c r="U249" s="20"/>
      <c r="V249" s="20"/>
      <c r="W249" s="20"/>
      <c r="X249" s="20"/>
      <c r="Y249" s="20"/>
      <c r="Z249" s="20"/>
      <c r="AA249" s="20"/>
      <c r="AB249" s="12"/>
      <c r="AC249" s="12"/>
      <c r="AD249" s="12"/>
      <c r="AE249" s="12"/>
      <c r="AF249" s="12"/>
      <c r="AG249" s="12"/>
      <c r="AH249" s="12">
        <v>7149410</v>
      </c>
      <c r="AI249" s="14">
        <v>7193407</v>
      </c>
      <c r="AJ249" s="21">
        <v>8539320</v>
      </c>
      <c r="AK249" s="21">
        <v>8579253</v>
      </c>
      <c r="AL249" s="21">
        <v>9328506</v>
      </c>
      <c r="AM249" s="21">
        <v>9401652</v>
      </c>
      <c r="AN249" s="1058">
        <v>11581622</v>
      </c>
      <c r="AO249" s="1058">
        <v>11664078</v>
      </c>
      <c r="AP249" s="1058">
        <v>10909743</v>
      </c>
      <c r="AQ249" s="1058">
        <v>10928096</v>
      </c>
      <c r="AR249" s="1044"/>
      <c r="AS249" s="1044"/>
    </row>
    <row r="250" spans="3:45" hidden="1" outlineLevel="1">
      <c r="C250" s="816" t="s">
        <v>1054</v>
      </c>
      <c r="D250" s="1051" t="s">
        <v>958</v>
      </c>
      <c r="E250" s="20" t="s">
        <v>40</v>
      </c>
      <c r="F250" s="20"/>
      <c r="G250" s="20"/>
      <c r="H250" s="20"/>
      <c r="I250" s="20"/>
      <c r="J250" s="20"/>
      <c r="K250" s="20"/>
      <c r="L250" s="20"/>
      <c r="M250" s="20"/>
      <c r="N250" s="20"/>
      <c r="O250" s="20"/>
      <c r="P250" s="20"/>
      <c r="Q250" s="20"/>
      <c r="R250" s="20"/>
      <c r="S250" s="20"/>
      <c r="T250" s="20"/>
      <c r="U250" s="20"/>
      <c r="V250" s="20"/>
      <c r="W250" s="20"/>
      <c r="X250" s="20"/>
      <c r="Y250" s="20"/>
      <c r="Z250" s="20"/>
      <c r="AA250" s="20"/>
      <c r="AB250" s="12"/>
      <c r="AC250" s="12"/>
      <c r="AD250" s="12"/>
      <c r="AE250" s="12"/>
      <c r="AF250" s="12"/>
      <c r="AG250" s="12"/>
      <c r="AH250" s="12">
        <v>14000</v>
      </c>
      <c r="AI250" s="14">
        <v>14000</v>
      </c>
      <c r="AJ250" s="21"/>
      <c r="AK250" s="21"/>
      <c r="AL250" s="21"/>
      <c r="AM250" s="21"/>
      <c r="AN250" s="1058"/>
      <c r="AO250" s="1058"/>
      <c r="AP250" s="1058"/>
      <c r="AQ250" s="1058"/>
      <c r="AR250" s="1044"/>
      <c r="AS250" s="1044"/>
    </row>
    <row r="251" spans="3:45" hidden="1" outlineLevel="1">
      <c r="C251" s="816" t="s">
        <v>1054</v>
      </c>
      <c r="D251" s="1051" t="s">
        <v>836</v>
      </c>
      <c r="E251" s="254" t="s">
        <v>751</v>
      </c>
      <c r="F251" s="20"/>
      <c r="G251" s="20"/>
      <c r="H251" s="20"/>
      <c r="I251" s="20"/>
      <c r="J251" s="20"/>
      <c r="K251" s="20"/>
      <c r="L251" s="20"/>
      <c r="M251" s="20"/>
      <c r="N251" s="20"/>
      <c r="O251" s="20"/>
      <c r="P251" s="20"/>
      <c r="Q251" s="20"/>
      <c r="R251" s="20"/>
      <c r="S251" s="20"/>
      <c r="T251" s="20"/>
      <c r="U251" s="20"/>
      <c r="V251" s="20"/>
      <c r="W251" s="20"/>
      <c r="X251" s="20"/>
      <c r="Y251" s="20"/>
      <c r="Z251" s="20"/>
      <c r="AA251" s="20"/>
      <c r="AB251" s="12"/>
      <c r="AC251" s="12"/>
      <c r="AD251" s="12"/>
      <c r="AE251" s="12"/>
      <c r="AF251" s="12"/>
      <c r="AG251" s="12"/>
      <c r="AH251" s="12">
        <v>91667283</v>
      </c>
      <c r="AI251" s="14">
        <v>93122343</v>
      </c>
      <c r="AJ251" s="21">
        <v>100462471</v>
      </c>
      <c r="AK251" s="21">
        <v>102011644</v>
      </c>
      <c r="AL251" s="21">
        <v>119023719</v>
      </c>
      <c r="AM251" s="21">
        <v>115829456</v>
      </c>
      <c r="AN251" s="1058">
        <v>124268094</v>
      </c>
      <c r="AO251" s="1058">
        <v>125309433</v>
      </c>
      <c r="AP251" s="1058">
        <v>131469894</v>
      </c>
      <c r="AQ251" s="1058">
        <v>131769077</v>
      </c>
      <c r="AR251" s="1044"/>
      <c r="AS251" s="1044"/>
    </row>
    <row r="252" spans="3:45" hidden="1" outlineLevel="1">
      <c r="C252" s="816" t="s">
        <v>1054</v>
      </c>
      <c r="D252" s="1051" t="s">
        <v>836</v>
      </c>
      <c r="E252" s="254" t="s">
        <v>876</v>
      </c>
      <c r="F252" s="20"/>
      <c r="G252" s="20"/>
      <c r="H252" s="20"/>
      <c r="I252" s="20"/>
      <c r="J252" s="20"/>
      <c r="K252" s="20"/>
      <c r="L252" s="20"/>
      <c r="M252" s="20"/>
      <c r="N252" s="20"/>
      <c r="O252" s="20"/>
      <c r="P252" s="20"/>
      <c r="Q252" s="20"/>
      <c r="R252" s="20"/>
      <c r="S252" s="20"/>
      <c r="T252" s="20"/>
      <c r="U252" s="20"/>
      <c r="V252" s="20"/>
      <c r="W252" s="20"/>
      <c r="X252" s="20"/>
      <c r="Y252" s="20"/>
      <c r="Z252" s="20"/>
      <c r="AA252" s="20"/>
      <c r="AB252" s="12"/>
      <c r="AC252" s="12"/>
      <c r="AD252" s="12"/>
      <c r="AE252" s="12"/>
      <c r="AF252" s="12"/>
      <c r="AG252" s="12"/>
      <c r="AH252" s="12">
        <v>3370744</v>
      </c>
      <c r="AI252" s="14">
        <v>3438204</v>
      </c>
      <c r="AJ252" s="21">
        <v>3795592</v>
      </c>
      <c r="AK252" s="21">
        <v>3830859</v>
      </c>
      <c r="AL252" s="21">
        <v>4278610</v>
      </c>
      <c r="AM252" s="21">
        <v>4311812</v>
      </c>
      <c r="AN252" s="1058">
        <v>4445021</v>
      </c>
      <c r="AO252" s="1058">
        <v>4477976</v>
      </c>
      <c r="AP252" s="1058">
        <v>3219017</v>
      </c>
      <c r="AQ252" s="1058">
        <v>3224671</v>
      </c>
      <c r="AR252" s="1044"/>
      <c r="AS252" s="1044"/>
    </row>
    <row r="253" spans="3:45" hidden="1" outlineLevel="1">
      <c r="C253" s="816" t="s">
        <v>1054</v>
      </c>
      <c r="D253" s="1051" t="s">
        <v>836</v>
      </c>
      <c r="E253" s="254" t="s">
        <v>750</v>
      </c>
      <c r="F253" s="20"/>
      <c r="G253" s="20"/>
      <c r="H253" s="20"/>
      <c r="I253" s="20"/>
      <c r="J253" s="20"/>
      <c r="K253" s="20"/>
      <c r="L253" s="20"/>
      <c r="M253" s="20"/>
      <c r="N253" s="20"/>
      <c r="O253" s="20"/>
      <c r="P253" s="20"/>
      <c r="Q253" s="20"/>
      <c r="R253" s="20"/>
      <c r="S253" s="20"/>
      <c r="T253" s="20"/>
      <c r="U253" s="20"/>
      <c r="V253" s="20"/>
      <c r="W253" s="20"/>
      <c r="X253" s="20"/>
      <c r="Y253" s="20"/>
      <c r="Z253" s="20"/>
      <c r="AA253" s="20"/>
      <c r="AB253" s="12"/>
      <c r="AC253" s="12"/>
      <c r="AD253" s="12"/>
      <c r="AE253" s="12"/>
      <c r="AF253" s="12"/>
      <c r="AG253" s="12"/>
      <c r="AH253" s="12">
        <v>15704154</v>
      </c>
      <c r="AI253" s="14">
        <v>16011357</v>
      </c>
      <c r="AJ253" s="21">
        <v>25023610</v>
      </c>
      <c r="AK253" s="21">
        <v>17492550</v>
      </c>
      <c r="AL253" s="21">
        <v>16940136</v>
      </c>
      <c r="AM253" s="21">
        <v>17079041</v>
      </c>
      <c r="AN253" s="1058">
        <v>17106754</v>
      </c>
      <c r="AO253" s="1058">
        <v>17233861</v>
      </c>
      <c r="AP253" s="1058">
        <v>18811422</v>
      </c>
      <c r="AQ253" s="1058">
        <v>18848568</v>
      </c>
      <c r="AR253" s="1044"/>
      <c r="AS253" s="1044"/>
    </row>
    <row r="254" spans="3:45" hidden="1" outlineLevel="1">
      <c r="C254" s="816" t="s">
        <v>1054</v>
      </c>
      <c r="D254" s="1051" t="s">
        <v>836</v>
      </c>
      <c r="E254" s="254" t="s">
        <v>1209</v>
      </c>
      <c r="F254" s="20"/>
      <c r="G254" s="20"/>
      <c r="H254" s="20"/>
      <c r="I254" s="20"/>
      <c r="J254" s="20"/>
      <c r="K254" s="20"/>
      <c r="L254" s="20"/>
      <c r="M254" s="20"/>
      <c r="N254" s="20"/>
      <c r="O254" s="20"/>
      <c r="P254" s="20"/>
      <c r="Q254" s="20"/>
      <c r="R254" s="20"/>
      <c r="S254" s="20"/>
      <c r="T254" s="20"/>
      <c r="U254" s="20"/>
      <c r="V254" s="20"/>
      <c r="W254" s="20"/>
      <c r="X254" s="20"/>
      <c r="Y254" s="20"/>
      <c r="Z254" s="20"/>
      <c r="AA254" s="20"/>
      <c r="AB254" s="12"/>
      <c r="AC254" s="12"/>
      <c r="AD254" s="12"/>
      <c r="AE254" s="12"/>
      <c r="AF254" s="12"/>
      <c r="AG254" s="12"/>
      <c r="AH254" s="12">
        <v>12165204</v>
      </c>
      <c r="AI254" s="14">
        <v>12320407</v>
      </c>
      <c r="AJ254" s="21">
        <v>13632362</v>
      </c>
      <c r="AK254" s="21">
        <v>13725648</v>
      </c>
      <c r="AL254" s="21">
        <v>15319743</v>
      </c>
      <c r="AM254" s="21">
        <v>15367021</v>
      </c>
      <c r="AN254" s="1058">
        <v>15278098</v>
      </c>
      <c r="AO254" s="1058">
        <v>15315298</v>
      </c>
      <c r="AP254" s="1058">
        <v>14988230</v>
      </c>
      <c r="AQ254" s="1058">
        <v>14999434</v>
      </c>
      <c r="AR254" s="1044"/>
      <c r="AS254" s="1044"/>
    </row>
    <row r="255" spans="3:45" hidden="1" outlineLevel="1">
      <c r="C255" s="816" t="s">
        <v>1054</v>
      </c>
      <c r="D255" s="1051" t="s">
        <v>836</v>
      </c>
      <c r="E255" s="254" t="s">
        <v>1210</v>
      </c>
      <c r="F255" s="20"/>
      <c r="G255" s="20"/>
      <c r="H255" s="20"/>
      <c r="I255" s="20"/>
      <c r="J255" s="20"/>
      <c r="K255" s="20"/>
      <c r="L255" s="20"/>
      <c r="M255" s="20"/>
      <c r="N255" s="20"/>
      <c r="O255" s="20"/>
      <c r="P255" s="20"/>
      <c r="Q255" s="20"/>
      <c r="R255" s="20"/>
      <c r="S255" s="20"/>
      <c r="T255" s="20"/>
      <c r="U255" s="20"/>
      <c r="V255" s="20"/>
      <c r="W255" s="20"/>
      <c r="X255" s="20"/>
      <c r="Y255" s="20"/>
      <c r="Z255" s="20"/>
      <c r="AA255" s="20"/>
      <c r="AB255" s="12"/>
      <c r="AC255" s="12"/>
      <c r="AD255" s="12"/>
      <c r="AE255" s="12"/>
      <c r="AF255" s="12"/>
      <c r="AG255" s="12"/>
      <c r="AH255" s="12">
        <v>2584264</v>
      </c>
      <c r="AI255" s="14">
        <v>2662511</v>
      </c>
      <c r="AJ255" s="21">
        <v>2726498</v>
      </c>
      <c r="AK255" s="21">
        <v>2771295</v>
      </c>
      <c r="AL255" s="21">
        <v>2637477</v>
      </c>
      <c r="AM255" s="21">
        <v>2655461</v>
      </c>
      <c r="AN255" s="1058">
        <v>2423902</v>
      </c>
      <c r="AO255" s="1058">
        <v>2434313</v>
      </c>
      <c r="AP255" s="1058">
        <v>2485293</v>
      </c>
      <c r="AQ255" s="1058">
        <v>2489053</v>
      </c>
      <c r="AR255" s="1044"/>
      <c r="AS255" s="1044"/>
    </row>
    <row r="256" spans="3:45" hidden="1" outlineLevel="1">
      <c r="C256" s="816" t="s">
        <v>1054</v>
      </c>
      <c r="D256" s="1051" t="s">
        <v>836</v>
      </c>
      <c r="E256" s="254" t="s">
        <v>1211</v>
      </c>
      <c r="F256" s="20"/>
      <c r="G256" s="20"/>
      <c r="H256" s="20"/>
      <c r="I256" s="20"/>
      <c r="J256" s="20"/>
      <c r="K256" s="20"/>
      <c r="L256" s="20"/>
      <c r="M256" s="20"/>
      <c r="N256" s="20"/>
      <c r="O256" s="20"/>
      <c r="P256" s="20"/>
      <c r="Q256" s="20"/>
      <c r="R256" s="20"/>
      <c r="S256" s="20"/>
      <c r="T256" s="20"/>
      <c r="U256" s="20"/>
      <c r="V256" s="20"/>
      <c r="W256" s="20"/>
      <c r="X256" s="20"/>
      <c r="Y256" s="20"/>
      <c r="Z256" s="20"/>
      <c r="AA256" s="20"/>
      <c r="AB256" s="12"/>
      <c r="AC256" s="12"/>
      <c r="AD256" s="12"/>
      <c r="AE256" s="12"/>
      <c r="AF256" s="12"/>
      <c r="AG256" s="12"/>
      <c r="AH256" s="12">
        <v>14263037</v>
      </c>
      <c r="AI256" s="14">
        <v>14395621</v>
      </c>
      <c r="AJ256" s="21">
        <v>14919247</v>
      </c>
      <c r="AK256" s="21">
        <v>15135616</v>
      </c>
      <c r="AL256" s="21">
        <v>15195275</v>
      </c>
      <c r="AM256" s="21">
        <v>15310919</v>
      </c>
      <c r="AN256" s="1058">
        <v>17454943</v>
      </c>
      <c r="AO256" s="1058">
        <v>17485008</v>
      </c>
      <c r="AP256" s="1058">
        <v>17779512</v>
      </c>
      <c r="AQ256" s="1058">
        <v>17788290</v>
      </c>
      <c r="AR256" s="1044"/>
      <c r="AS256" s="1044"/>
    </row>
    <row r="257" spans="3:45" hidden="1" outlineLevel="1">
      <c r="C257" s="816" t="s">
        <v>1054</v>
      </c>
      <c r="D257" s="1051" t="s">
        <v>836</v>
      </c>
      <c r="E257" s="254" t="s">
        <v>1212</v>
      </c>
      <c r="F257" s="20"/>
      <c r="G257" s="20"/>
      <c r="H257" s="20"/>
      <c r="I257" s="20"/>
      <c r="J257" s="20"/>
      <c r="K257" s="20"/>
      <c r="L257" s="20"/>
      <c r="M257" s="20"/>
      <c r="N257" s="20"/>
      <c r="O257" s="20"/>
      <c r="P257" s="20"/>
      <c r="Q257" s="20"/>
      <c r="R257" s="20"/>
      <c r="S257" s="20"/>
      <c r="T257" s="20"/>
      <c r="U257" s="20"/>
      <c r="V257" s="20"/>
      <c r="W257" s="20"/>
      <c r="X257" s="20"/>
      <c r="Y257" s="20"/>
      <c r="Z257" s="20"/>
      <c r="AA257" s="20"/>
      <c r="AB257" s="12"/>
      <c r="AC257" s="12"/>
      <c r="AD257" s="12"/>
      <c r="AE257" s="12"/>
      <c r="AF257" s="12"/>
      <c r="AG257" s="12"/>
      <c r="AH257" s="12">
        <v>10523193</v>
      </c>
      <c r="AI257" s="14">
        <v>10814858</v>
      </c>
      <c r="AJ257" s="21">
        <v>10448939</v>
      </c>
      <c r="AK257" s="21">
        <v>10592947</v>
      </c>
      <c r="AL257" s="21">
        <v>16178508</v>
      </c>
      <c r="AM257" s="21">
        <v>16430699</v>
      </c>
      <c r="AN257" s="1058">
        <v>23656642</v>
      </c>
      <c r="AO257" s="1058">
        <v>24088718</v>
      </c>
      <c r="AP257" s="1058">
        <v>15786957</v>
      </c>
      <c r="AQ257" s="1058">
        <v>15844394</v>
      </c>
      <c r="AR257" s="1044"/>
      <c r="AS257" s="1044"/>
    </row>
    <row r="258" spans="3:45" hidden="1" outlineLevel="1">
      <c r="C258" s="816" t="s">
        <v>1054</v>
      </c>
      <c r="D258" s="1051" t="s">
        <v>836</v>
      </c>
      <c r="E258" s="254" t="s">
        <v>1213</v>
      </c>
      <c r="F258" s="20"/>
      <c r="G258" s="20"/>
      <c r="H258" s="20"/>
      <c r="I258" s="20"/>
      <c r="J258" s="20"/>
      <c r="K258" s="20"/>
      <c r="L258" s="20"/>
      <c r="M258" s="20"/>
      <c r="N258" s="20"/>
      <c r="O258" s="20"/>
      <c r="P258" s="20"/>
      <c r="Q258" s="20"/>
      <c r="R258" s="20"/>
      <c r="S258" s="20"/>
      <c r="T258" s="20"/>
      <c r="U258" s="20"/>
      <c r="V258" s="20"/>
      <c r="W258" s="20"/>
      <c r="X258" s="20"/>
      <c r="Y258" s="20"/>
      <c r="Z258" s="20"/>
      <c r="AA258" s="20"/>
      <c r="AB258" s="12"/>
      <c r="AC258" s="12"/>
      <c r="AD258" s="12"/>
      <c r="AE258" s="12"/>
      <c r="AF258" s="12"/>
      <c r="AG258" s="12"/>
      <c r="AH258" s="12">
        <v>3915525</v>
      </c>
      <c r="AI258" s="14">
        <v>3922241</v>
      </c>
      <c r="AJ258" s="21">
        <v>4824517</v>
      </c>
      <c r="AK258" s="21">
        <v>4831263</v>
      </c>
      <c r="AL258" s="21">
        <v>4610020</v>
      </c>
      <c r="AM258" s="21">
        <v>4615779</v>
      </c>
      <c r="AN258" s="1058">
        <v>6360240</v>
      </c>
      <c r="AO258" s="1058">
        <v>6371897</v>
      </c>
      <c r="AP258" s="1058">
        <v>7278110</v>
      </c>
      <c r="AQ258" s="1058">
        <v>7281297</v>
      </c>
      <c r="AR258" s="1044"/>
      <c r="AS258" s="1044"/>
    </row>
    <row r="259" spans="3:45" hidden="1" outlineLevel="1">
      <c r="C259" s="816" t="s">
        <v>1054</v>
      </c>
      <c r="D259" s="1051" t="s">
        <v>836</v>
      </c>
      <c r="E259" s="254" t="s">
        <v>861</v>
      </c>
      <c r="F259" s="20"/>
      <c r="G259" s="20"/>
      <c r="H259" s="20"/>
      <c r="I259" s="20"/>
      <c r="J259" s="20"/>
      <c r="K259" s="20"/>
      <c r="L259" s="20"/>
      <c r="M259" s="20"/>
      <c r="N259" s="20"/>
      <c r="O259" s="20"/>
      <c r="P259" s="20"/>
      <c r="Q259" s="20"/>
      <c r="R259" s="20"/>
      <c r="S259" s="20"/>
      <c r="T259" s="20"/>
      <c r="U259" s="20"/>
      <c r="V259" s="20"/>
      <c r="W259" s="20"/>
      <c r="X259" s="20"/>
      <c r="Y259" s="20"/>
      <c r="Z259" s="20"/>
      <c r="AA259" s="20"/>
      <c r="AB259" s="12"/>
      <c r="AC259" s="12"/>
      <c r="AD259" s="12"/>
      <c r="AE259" s="12"/>
      <c r="AF259" s="12"/>
      <c r="AG259" s="12"/>
      <c r="AH259" s="12">
        <v>7689165</v>
      </c>
      <c r="AI259" s="14">
        <v>7841864</v>
      </c>
      <c r="AJ259" s="21">
        <v>8186439</v>
      </c>
      <c r="AK259" s="21">
        <v>8258957</v>
      </c>
      <c r="AL259" s="21">
        <v>8172207</v>
      </c>
      <c r="AM259" s="21">
        <v>8194252</v>
      </c>
      <c r="AN259" s="1058">
        <v>9179870</v>
      </c>
      <c r="AO259" s="1058">
        <v>9212991</v>
      </c>
      <c r="AP259" s="1058">
        <v>9935001</v>
      </c>
      <c r="AQ259" s="1058">
        <v>9940960</v>
      </c>
      <c r="AR259" s="1044"/>
      <c r="AS259" s="1044"/>
    </row>
    <row r="260" spans="3:45" hidden="1" outlineLevel="1">
      <c r="C260" s="816" t="s">
        <v>1054</v>
      </c>
      <c r="D260" s="1051" t="s">
        <v>836</v>
      </c>
      <c r="E260" s="254" t="s">
        <v>871</v>
      </c>
      <c r="F260" s="20"/>
      <c r="G260" s="20"/>
      <c r="H260" s="20"/>
      <c r="I260" s="20"/>
      <c r="J260" s="20"/>
      <c r="K260" s="20"/>
      <c r="L260" s="20"/>
      <c r="M260" s="20"/>
      <c r="N260" s="20"/>
      <c r="O260" s="20"/>
      <c r="P260" s="20"/>
      <c r="Q260" s="20"/>
      <c r="R260" s="20"/>
      <c r="S260" s="20"/>
      <c r="T260" s="20"/>
      <c r="U260" s="20"/>
      <c r="V260" s="20"/>
      <c r="W260" s="20"/>
      <c r="X260" s="20"/>
      <c r="Y260" s="20"/>
      <c r="Z260" s="20"/>
      <c r="AA260" s="20"/>
      <c r="AB260" s="12"/>
      <c r="AC260" s="12"/>
      <c r="AD260" s="12"/>
      <c r="AE260" s="12"/>
      <c r="AF260" s="12"/>
      <c r="AG260" s="12"/>
      <c r="AH260" s="12">
        <v>9610087</v>
      </c>
      <c r="AI260" s="14">
        <v>9954776</v>
      </c>
      <c r="AJ260" s="21">
        <v>12287042</v>
      </c>
      <c r="AK260" s="21">
        <v>12506032</v>
      </c>
      <c r="AL260" s="21">
        <v>12684375</v>
      </c>
      <c r="AM260" s="21">
        <v>12761185</v>
      </c>
      <c r="AN260" s="1058">
        <v>12981192</v>
      </c>
      <c r="AO260" s="1058">
        <v>13077130</v>
      </c>
      <c r="AP260" s="1058">
        <v>13574857</v>
      </c>
      <c r="AQ260" s="1058">
        <v>13604747</v>
      </c>
      <c r="AR260" s="1044"/>
      <c r="AS260" s="1044"/>
    </row>
    <row r="261" spans="3:45" hidden="1" outlineLevel="1">
      <c r="C261" s="816" t="s">
        <v>1054</v>
      </c>
      <c r="D261" s="1051" t="s">
        <v>836</v>
      </c>
      <c r="E261" s="254" t="s">
        <v>43</v>
      </c>
      <c r="F261" s="20"/>
      <c r="G261" s="20"/>
      <c r="H261" s="20"/>
      <c r="I261" s="20"/>
      <c r="J261" s="20"/>
      <c r="K261" s="20"/>
      <c r="L261" s="20"/>
      <c r="M261" s="20"/>
      <c r="N261" s="20"/>
      <c r="O261" s="20"/>
      <c r="P261" s="20"/>
      <c r="Q261" s="20"/>
      <c r="R261" s="20"/>
      <c r="S261" s="20"/>
      <c r="T261" s="20"/>
      <c r="U261" s="20"/>
      <c r="V261" s="20"/>
      <c r="W261" s="20"/>
      <c r="X261" s="20"/>
      <c r="Y261" s="20"/>
      <c r="Z261" s="20"/>
      <c r="AA261" s="20"/>
      <c r="AB261" s="12"/>
      <c r="AC261" s="12"/>
      <c r="AD261" s="12"/>
      <c r="AE261" s="12"/>
      <c r="AF261" s="12"/>
      <c r="AG261" s="12"/>
      <c r="AH261" s="12">
        <v>11570001</v>
      </c>
      <c r="AI261" s="14">
        <v>11769401</v>
      </c>
      <c r="AJ261" s="21">
        <v>17075391</v>
      </c>
      <c r="AK261" s="21">
        <v>17174714</v>
      </c>
      <c r="AL261" s="21">
        <v>16980738</v>
      </c>
      <c r="AM261" s="21">
        <v>17077035</v>
      </c>
      <c r="AN261" s="1058">
        <v>19480340</v>
      </c>
      <c r="AO261" s="1058">
        <v>19639225</v>
      </c>
      <c r="AP261" s="1058">
        <v>15934663</v>
      </c>
      <c r="AQ261" s="1058">
        <v>15959916</v>
      </c>
      <c r="AR261" s="1044"/>
      <c r="AS261" s="1044"/>
    </row>
    <row r="262" spans="3:45" hidden="1" outlineLevel="1">
      <c r="C262" s="816" t="s">
        <v>1054</v>
      </c>
      <c r="D262" s="1051" t="s">
        <v>836</v>
      </c>
      <c r="E262" s="254" t="s">
        <v>44</v>
      </c>
      <c r="F262" s="20"/>
      <c r="G262" s="20"/>
      <c r="H262" s="20"/>
      <c r="I262" s="20"/>
      <c r="J262" s="20"/>
      <c r="K262" s="20"/>
      <c r="L262" s="20"/>
      <c r="M262" s="20"/>
      <c r="N262" s="20"/>
      <c r="O262" s="20"/>
      <c r="P262" s="20"/>
      <c r="Q262" s="20"/>
      <c r="R262" s="20"/>
      <c r="S262" s="20"/>
      <c r="T262" s="20"/>
      <c r="U262" s="20"/>
      <c r="V262" s="20"/>
      <c r="W262" s="20"/>
      <c r="X262" s="20"/>
      <c r="Y262" s="20"/>
      <c r="Z262" s="20"/>
      <c r="AA262" s="20"/>
      <c r="AB262" s="12"/>
      <c r="AC262" s="12"/>
      <c r="AD262" s="12"/>
      <c r="AE262" s="12"/>
      <c r="AF262" s="12"/>
      <c r="AG262" s="12"/>
      <c r="AH262" s="12">
        <v>2114506</v>
      </c>
      <c r="AI262" s="14">
        <v>2269807</v>
      </c>
      <c r="AJ262" s="21">
        <v>2035091</v>
      </c>
      <c r="AK262" s="21">
        <v>2089789</v>
      </c>
      <c r="AL262" s="21">
        <v>2336165</v>
      </c>
      <c r="AM262" s="21">
        <v>2382966</v>
      </c>
      <c r="AN262" s="1058">
        <v>2580494</v>
      </c>
      <c r="AO262" s="1058">
        <v>2603966</v>
      </c>
      <c r="AP262" s="1058">
        <v>2361978</v>
      </c>
      <c r="AQ262" s="1058">
        <v>2366960</v>
      </c>
      <c r="AR262" s="1044"/>
      <c r="AS262" s="1044"/>
    </row>
    <row r="263" spans="3:45" hidden="1" outlineLevel="1">
      <c r="C263" s="816" t="s">
        <v>1054</v>
      </c>
      <c r="D263" s="1051" t="s">
        <v>836</v>
      </c>
      <c r="E263" s="254" t="s">
        <v>726</v>
      </c>
      <c r="F263" s="20"/>
      <c r="G263" s="20"/>
      <c r="H263" s="20"/>
      <c r="I263" s="20"/>
      <c r="J263" s="20"/>
      <c r="K263" s="20"/>
      <c r="L263" s="20"/>
      <c r="M263" s="20"/>
      <c r="N263" s="20"/>
      <c r="O263" s="20"/>
      <c r="P263" s="20"/>
      <c r="Q263" s="20"/>
      <c r="R263" s="20"/>
      <c r="S263" s="20"/>
      <c r="T263" s="20"/>
      <c r="U263" s="20"/>
      <c r="V263" s="20"/>
      <c r="W263" s="20"/>
      <c r="X263" s="20"/>
      <c r="Y263" s="20"/>
      <c r="Z263" s="20"/>
      <c r="AA263" s="20"/>
      <c r="AB263" s="12"/>
      <c r="AC263" s="12"/>
      <c r="AD263" s="12"/>
      <c r="AE263" s="12"/>
      <c r="AF263" s="12"/>
      <c r="AG263" s="12"/>
      <c r="AH263" s="12">
        <v>68029222</v>
      </c>
      <c r="AI263" s="14">
        <v>69454507</v>
      </c>
      <c r="AJ263" s="21">
        <v>74565819</v>
      </c>
      <c r="AK263" s="21">
        <v>75484030</v>
      </c>
      <c r="AL263" s="21">
        <v>78215338</v>
      </c>
      <c r="AM263" s="21">
        <v>78973317</v>
      </c>
      <c r="AN263" s="1058">
        <v>82874815</v>
      </c>
      <c r="AO263" s="1058">
        <v>83560759</v>
      </c>
      <c r="AP263" s="1058">
        <v>82629340</v>
      </c>
      <c r="AQ263" s="1058">
        <v>82783635</v>
      </c>
      <c r="AR263" s="1044"/>
      <c r="AS263" s="1044"/>
    </row>
    <row r="264" spans="3:45" hidden="1" outlineLevel="1">
      <c r="C264" s="816" t="s">
        <v>1054</v>
      </c>
      <c r="D264" s="1051" t="s">
        <v>836</v>
      </c>
      <c r="E264" s="254" t="s">
        <v>1363</v>
      </c>
      <c r="F264" s="20"/>
      <c r="G264" s="20"/>
      <c r="H264" s="20"/>
      <c r="I264" s="20"/>
      <c r="J264" s="20"/>
      <c r="K264" s="20"/>
      <c r="L264" s="20"/>
      <c r="M264" s="20"/>
      <c r="N264" s="20"/>
      <c r="O264" s="20"/>
      <c r="P264" s="20"/>
      <c r="Q264" s="20"/>
      <c r="R264" s="20"/>
      <c r="S264" s="20"/>
      <c r="T264" s="20"/>
      <c r="U264" s="20"/>
      <c r="V264" s="20"/>
      <c r="W264" s="20"/>
      <c r="X264" s="20"/>
      <c r="Y264" s="20"/>
      <c r="Z264" s="20"/>
      <c r="AA264" s="20"/>
      <c r="AB264" s="12"/>
      <c r="AC264" s="12"/>
      <c r="AD264" s="12"/>
      <c r="AE264" s="12"/>
      <c r="AF264" s="12"/>
      <c r="AG264" s="12"/>
      <c r="AH264" s="12">
        <v>12558594</v>
      </c>
      <c r="AI264" s="14">
        <v>12836989</v>
      </c>
      <c r="AJ264" s="21">
        <v>12800803</v>
      </c>
      <c r="AK264" s="21">
        <v>12975741</v>
      </c>
      <c r="AL264" s="21">
        <v>15946955</v>
      </c>
      <c r="AM264" s="21">
        <v>16163310</v>
      </c>
      <c r="AN264" s="1058">
        <v>17250228</v>
      </c>
      <c r="AO264" s="1058">
        <v>17504412</v>
      </c>
      <c r="AP264" s="1058">
        <v>13892411</v>
      </c>
      <c r="AQ264" s="1058">
        <v>13926077</v>
      </c>
      <c r="AR264" s="1044"/>
      <c r="AS264" s="1044"/>
    </row>
    <row r="265" spans="3:45" hidden="1" outlineLevel="1">
      <c r="C265" s="816" t="s">
        <v>1054</v>
      </c>
      <c r="D265" s="1051" t="s">
        <v>836</v>
      </c>
      <c r="E265" s="254" t="s">
        <v>1364</v>
      </c>
      <c r="F265" s="20"/>
      <c r="G265" s="20"/>
      <c r="H265" s="20"/>
      <c r="I265" s="20"/>
      <c r="J265" s="20"/>
      <c r="K265" s="20"/>
      <c r="L265" s="20"/>
      <c r="M265" s="20"/>
      <c r="N265" s="20"/>
      <c r="O265" s="20"/>
      <c r="P265" s="20"/>
      <c r="Q265" s="20"/>
      <c r="R265" s="20"/>
      <c r="S265" s="20"/>
      <c r="T265" s="20"/>
      <c r="U265" s="20"/>
      <c r="V265" s="20"/>
      <c r="W265" s="20"/>
      <c r="X265" s="20"/>
      <c r="Y265" s="20"/>
      <c r="Z265" s="20"/>
      <c r="AA265" s="20"/>
      <c r="AB265" s="12"/>
      <c r="AC265" s="12"/>
      <c r="AD265" s="12"/>
      <c r="AE265" s="12"/>
      <c r="AF265" s="12"/>
      <c r="AG265" s="12"/>
      <c r="AH265" s="12">
        <v>13887692</v>
      </c>
      <c r="AI265" s="14">
        <v>14065735</v>
      </c>
      <c r="AJ265" s="21">
        <v>16910761</v>
      </c>
      <c r="AK265" s="21">
        <v>17022955</v>
      </c>
      <c r="AL265" s="21">
        <v>17167010</v>
      </c>
      <c r="AM265" s="21">
        <v>17275118</v>
      </c>
      <c r="AN265" s="1058">
        <v>17302110</v>
      </c>
      <c r="AO265" s="1058">
        <v>17389121</v>
      </c>
      <c r="AP265" s="1058">
        <v>17423377</v>
      </c>
      <c r="AQ265" s="1058">
        <v>17447154</v>
      </c>
      <c r="AR265" s="1044"/>
      <c r="AS265" s="1044"/>
    </row>
    <row r="266" spans="3:45" hidden="1" outlineLevel="1">
      <c r="C266" s="816" t="s">
        <v>1054</v>
      </c>
      <c r="D266" s="1051" t="s">
        <v>836</v>
      </c>
      <c r="E266" s="254" t="s">
        <v>1365</v>
      </c>
      <c r="F266" s="20"/>
      <c r="G266" s="20"/>
      <c r="H266" s="20"/>
      <c r="I266" s="20"/>
      <c r="J266" s="20"/>
      <c r="K266" s="20"/>
      <c r="L266" s="20"/>
      <c r="M266" s="20"/>
      <c r="N266" s="20"/>
      <c r="O266" s="20"/>
      <c r="P266" s="20"/>
      <c r="Q266" s="20"/>
      <c r="R266" s="20"/>
      <c r="S266" s="20"/>
      <c r="T266" s="20"/>
      <c r="U266" s="20"/>
      <c r="V266" s="20"/>
      <c r="W266" s="20"/>
      <c r="X266" s="20"/>
      <c r="Y266" s="20"/>
      <c r="Z266" s="20"/>
      <c r="AA266" s="20"/>
      <c r="AB266" s="12"/>
      <c r="AC266" s="12"/>
      <c r="AD266" s="12"/>
      <c r="AE266" s="12"/>
      <c r="AF266" s="12"/>
      <c r="AG266" s="12"/>
      <c r="AH266" s="12">
        <v>6046988</v>
      </c>
      <c r="AI266" s="14">
        <v>6088150</v>
      </c>
      <c r="AJ266" s="21">
        <v>5876820</v>
      </c>
      <c r="AK266" s="21">
        <v>5909707</v>
      </c>
      <c r="AL266" s="21">
        <v>6026281</v>
      </c>
      <c r="AM266" s="21">
        <v>6059205</v>
      </c>
      <c r="AN266" s="1058">
        <v>5179936</v>
      </c>
      <c r="AO266" s="1058">
        <v>5198425</v>
      </c>
      <c r="AP266" s="1058">
        <v>5354610</v>
      </c>
      <c r="AQ266" s="1058">
        <v>5359042</v>
      </c>
      <c r="AR266" s="1044"/>
      <c r="AS266" s="1044"/>
    </row>
    <row r="267" spans="3:45" hidden="1" outlineLevel="1">
      <c r="C267" s="816" t="s">
        <v>1054</v>
      </c>
      <c r="D267" s="1051" t="s">
        <v>836</v>
      </c>
      <c r="E267" s="254" t="s">
        <v>730</v>
      </c>
      <c r="F267" s="20"/>
      <c r="G267" s="20"/>
      <c r="H267" s="20"/>
      <c r="I267" s="20"/>
      <c r="J267" s="20"/>
      <c r="K267" s="20"/>
      <c r="L267" s="20"/>
      <c r="M267" s="20"/>
      <c r="N267" s="20"/>
      <c r="O267" s="20"/>
      <c r="P267" s="20"/>
      <c r="Q267" s="20"/>
      <c r="R267" s="20"/>
      <c r="S267" s="20"/>
      <c r="T267" s="20"/>
      <c r="U267" s="20"/>
      <c r="V267" s="20"/>
      <c r="W267" s="20"/>
      <c r="X267" s="20"/>
      <c r="Y267" s="20"/>
      <c r="Z267" s="20"/>
      <c r="AA267" s="20"/>
      <c r="AB267" s="12"/>
      <c r="AC267" s="12"/>
      <c r="AD267" s="12"/>
      <c r="AE267" s="12"/>
      <c r="AF267" s="12"/>
      <c r="AG267" s="12"/>
      <c r="AH267" s="12">
        <v>7603931</v>
      </c>
      <c r="AI267" s="14">
        <v>7842508</v>
      </c>
      <c r="AJ267" s="21">
        <v>6718771</v>
      </c>
      <c r="AK267" s="21">
        <v>6837483</v>
      </c>
      <c r="AL267" s="21">
        <v>6841947</v>
      </c>
      <c r="AM267" s="21">
        <v>6896220</v>
      </c>
      <c r="AN267" s="1058">
        <v>7209525</v>
      </c>
      <c r="AO267" s="1058">
        <v>7266266</v>
      </c>
      <c r="AP267" s="1058">
        <v>6755878</v>
      </c>
      <c r="AQ267" s="1058">
        <v>6767165</v>
      </c>
      <c r="AR267" s="1044"/>
      <c r="AS267" s="1044"/>
    </row>
    <row r="268" spans="3:45" hidden="1" outlineLevel="1">
      <c r="C268" s="816" t="s">
        <v>1054</v>
      </c>
      <c r="D268" s="1051" t="s">
        <v>958</v>
      </c>
      <c r="E268" s="255" t="s">
        <v>1431</v>
      </c>
      <c r="F268" s="20"/>
      <c r="G268" s="20"/>
      <c r="H268" s="20"/>
      <c r="I268" s="20"/>
      <c r="J268" s="20"/>
      <c r="K268" s="20"/>
      <c r="L268" s="20"/>
      <c r="M268" s="20"/>
      <c r="N268" s="20"/>
      <c r="O268" s="20"/>
      <c r="P268" s="20"/>
      <c r="Q268" s="20"/>
      <c r="R268" s="20"/>
      <c r="S268" s="20"/>
      <c r="T268" s="20"/>
      <c r="U268" s="20"/>
      <c r="V268" s="20"/>
      <c r="W268" s="20"/>
      <c r="X268" s="20"/>
      <c r="Y268" s="20"/>
      <c r="Z268" s="20"/>
      <c r="AA268" s="20"/>
      <c r="AB268" s="12"/>
      <c r="AC268" s="12"/>
      <c r="AD268" s="12"/>
      <c r="AE268" s="12"/>
      <c r="AF268" s="12"/>
      <c r="AG268" s="12"/>
      <c r="AH268" s="12"/>
      <c r="AI268" s="14"/>
      <c r="AJ268" s="21"/>
      <c r="AK268" s="21"/>
      <c r="AL268" s="21">
        <v>1204020</v>
      </c>
      <c r="AM268" s="21">
        <v>1204868</v>
      </c>
      <c r="AN268" s="1058"/>
      <c r="AO268" s="1058"/>
      <c r="AP268" s="1058"/>
      <c r="AQ268" s="1058"/>
      <c r="AR268" s="1044"/>
      <c r="AS268" s="1044"/>
    </row>
    <row r="269" spans="3:45" hidden="1" outlineLevel="1">
      <c r="C269" s="816" t="s">
        <v>1054</v>
      </c>
      <c r="D269" s="1051" t="s">
        <v>836</v>
      </c>
      <c r="E269" s="254" t="s">
        <v>731</v>
      </c>
      <c r="F269" s="20"/>
      <c r="G269" s="20"/>
      <c r="H269" s="20"/>
      <c r="I269" s="20"/>
      <c r="J269" s="20"/>
      <c r="K269" s="20"/>
      <c r="L269" s="20"/>
      <c r="M269" s="20"/>
      <c r="N269" s="20"/>
      <c r="O269" s="20"/>
      <c r="P269" s="20"/>
      <c r="Q269" s="20"/>
      <c r="R269" s="20"/>
      <c r="S269" s="20"/>
      <c r="T269" s="20"/>
      <c r="U269" s="20"/>
      <c r="V269" s="20"/>
      <c r="W269" s="20"/>
      <c r="X269" s="20"/>
      <c r="Y269" s="20"/>
      <c r="Z269" s="20"/>
      <c r="AA269" s="20"/>
      <c r="AB269" s="12"/>
      <c r="AC269" s="12"/>
      <c r="AD269" s="12"/>
      <c r="AE269" s="12"/>
      <c r="AF269" s="12"/>
      <c r="AG269" s="12"/>
      <c r="AH269" s="12">
        <v>51983681</v>
      </c>
      <c r="AI269" s="14">
        <v>53097551</v>
      </c>
      <c r="AJ269" s="21">
        <v>53023759</v>
      </c>
      <c r="AK269" s="21">
        <v>53662660</v>
      </c>
      <c r="AL269" s="21">
        <v>50308333</v>
      </c>
      <c r="AM269" s="21">
        <v>50676412</v>
      </c>
      <c r="AN269" s="1058">
        <v>60665420</v>
      </c>
      <c r="AO269" s="1058">
        <v>61171757</v>
      </c>
      <c r="AP269" s="1058">
        <v>62373630</v>
      </c>
      <c r="AQ269" s="1058">
        <v>62507101</v>
      </c>
      <c r="AR269" s="1044"/>
      <c r="AS269" s="1044"/>
    </row>
    <row r="270" spans="3:45" hidden="1" outlineLevel="1">
      <c r="C270" s="816" t="s">
        <v>1054</v>
      </c>
      <c r="D270" s="1051" t="s">
        <v>836</v>
      </c>
      <c r="E270" s="254" t="s">
        <v>1453</v>
      </c>
      <c r="F270" s="20"/>
      <c r="G270" s="20"/>
      <c r="H270" s="20"/>
      <c r="I270" s="20"/>
      <c r="J270" s="20"/>
      <c r="K270" s="20"/>
      <c r="L270" s="20"/>
      <c r="M270" s="20"/>
      <c r="N270" s="20"/>
      <c r="O270" s="20"/>
      <c r="P270" s="20"/>
      <c r="Q270" s="20"/>
      <c r="R270" s="20"/>
      <c r="S270" s="20"/>
      <c r="T270" s="20"/>
      <c r="U270" s="20"/>
      <c r="V270" s="20"/>
      <c r="W270" s="20"/>
      <c r="X270" s="20"/>
      <c r="Y270" s="20"/>
      <c r="Z270" s="20"/>
      <c r="AA270" s="20"/>
      <c r="AB270" s="12"/>
      <c r="AC270" s="12"/>
      <c r="AD270" s="12"/>
      <c r="AE270" s="12"/>
      <c r="AF270" s="12"/>
      <c r="AG270" s="12"/>
      <c r="AH270" s="12">
        <v>1156493</v>
      </c>
      <c r="AI270" s="14">
        <v>1156493</v>
      </c>
      <c r="AJ270" s="21">
        <v>2669276</v>
      </c>
      <c r="AK270" s="21">
        <v>2676399</v>
      </c>
      <c r="AL270" s="21">
        <v>2377733</v>
      </c>
      <c r="AM270" s="21">
        <v>2386879</v>
      </c>
      <c r="AN270" s="1058">
        <v>6177372</v>
      </c>
      <c r="AO270" s="1058">
        <v>6181143</v>
      </c>
      <c r="AP270" s="1058">
        <v>6927135</v>
      </c>
      <c r="AQ270" s="1058">
        <v>6927775</v>
      </c>
      <c r="AR270" s="1044"/>
      <c r="AS270" s="1044"/>
    </row>
    <row r="271" spans="3:45" hidden="1" outlineLevel="1">
      <c r="C271" s="816" t="s">
        <v>1054</v>
      </c>
      <c r="D271" s="1051" t="s">
        <v>836</v>
      </c>
      <c r="E271" s="254" t="s">
        <v>1426</v>
      </c>
      <c r="F271" s="20"/>
      <c r="G271" s="20"/>
      <c r="H271" s="20"/>
      <c r="I271" s="20"/>
      <c r="J271" s="20"/>
      <c r="K271" s="20"/>
      <c r="L271" s="20"/>
      <c r="M271" s="20"/>
      <c r="N271" s="20"/>
      <c r="O271" s="20"/>
      <c r="P271" s="20"/>
      <c r="Q271" s="20"/>
      <c r="R271" s="20"/>
      <c r="S271" s="20"/>
      <c r="T271" s="20"/>
      <c r="U271" s="20"/>
      <c r="V271" s="20"/>
      <c r="W271" s="20"/>
      <c r="X271" s="20"/>
      <c r="Y271" s="20"/>
      <c r="Z271" s="20"/>
      <c r="AA271" s="20"/>
      <c r="AB271" s="12"/>
      <c r="AC271" s="12"/>
      <c r="AD271" s="12"/>
      <c r="AE271" s="12"/>
      <c r="AF271" s="12"/>
      <c r="AG271" s="12"/>
      <c r="AH271" s="12">
        <v>16485905</v>
      </c>
      <c r="AI271" s="14">
        <v>16602634</v>
      </c>
      <c r="AJ271" s="21">
        <v>17681142</v>
      </c>
      <c r="AK271" s="21">
        <v>17786039</v>
      </c>
      <c r="AL271" s="21">
        <v>16682383</v>
      </c>
      <c r="AM271" s="21">
        <v>16780924</v>
      </c>
      <c r="AN271" s="1058">
        <v>16524901</v>
      </c>
      <c r="AO271" s="1058">
        <v>16618282</v>
      </c>
      <c r="AP271" s="1058">
        <v>16169918</v>
      </c>
      <c r="AQ271" s="1058">
        <v>16187905</v>
      </c>
      <c r="AR271" s="1044"/>
      <c r="AS271" s="1044"/>
    </row>
    <row r="272" spans="3:45" hidden="1" outlineLevel="1">
      <c r="C272" s="816" t="s">
        <v>1054</v>
      </c>
      <c r="D272" s="1051" t="s">
        <v>836</v>
      </c>
      <c r="E272" s="254" t="s">
        <v>733</v>
      </c>
      <c r="F272" s="20"/>
      <c r="G272" s="20"/>
      <c r="H272" s="20"/>
      <c r="I272" s="20"/>
      <c r="J272" s="20"/>
      <c r="K272" s="20"/>
      <c r="L272" s="20"/>
      <c r="M272" s="20"/>
      <c r="N272" s="20"/>
      <c r="O272" s="20"/>
      <c r="P272" s="20"/>
      <c r="Q272" s="20"/>
      <c r="R272" s="20"/>
      <c r="S272" s="20"/>
      <c r="T272" s="20"/>
      <c r="U272" s="20"/>
      <c r="V272" s="20"/>
      <c r="W272" s="20"/>
      <c r="X272" s="20"/>
      <c r="Y272" s="20"/>
      <c r="Z272" s="20"/>
      <c r="AA272" s="20"/>
      <c r="AB272" s="12"/>
      <c r="AC272" s="12"/>
      <c r="AD272" s="12"/>
      <c r="AE272" s="12"/>
      <c r="AF272" s="12"/>
      <c r="AG272" s="12"/>
      <c r="AH272" s="12">
        <v>22821822</v>
      </c>
      <c r="AI272" s="14">
        <v>23396850</v>
      </c>
      <c r="AJ272" s="21">
        <v>26073307</v>
      </c>
      <c r="AK272" s="21">
        <v>26389389</v>
      </c>
      <c r="AL272" s="21">
        <v>23800901</v>
      </c>
      <c r="AM272" s="21">
        <v>23994965</v>
      </c>
      <c r="AN272" s="1058">
        <v>23666294</v>
      </c>
      <c r="AO272" s="1058">
        <v>23885316</v>
      </c>
      <c r="AP272" s="1058">
        <v>29622051</v>
      </c>
      <c r="AQ272" s="1058">
        <v>29703057</v>
      </c>
      <c r="AR272" s="1044"/>
      <c r="AS272" s="1044"/>
    </row>
    <row r="273" spans="3:45" hidden="1" outlineLevel="1">
      <c r="C273" s="816" t="s">
        <v>1054</v>
      </c>
      <c r="D273" s="1051" t="s">
        <v>836</v>
      </c>
      <c r="E273" s="254" t="s">
        <v>735</v>
      </c>
      <c r="F273" s="20"/>
      <c r="G273" s="20"/>
      <c r="H273" s="20"/>
      <c r="I273" s="20"/>
      <c r="J273" s="20"/>
      <c r="K273" s="20"/>
      <c r="L273" s="20"/>
      <c r="M273" s="20"/>
      <c r="N273" s="20"/>
      <c r="O273" s="20"/>
      <c r="P273" s="20"/>
      <c r="Q273" s="20"/>
      <c r="R273" s="20"/>
      <c r="S273" s="20"/>
      <c r="T273" s="20"/>
      <c r="U273" s="20"/>
      <c r="V273" s="20"/>
      <c r="W273" s="20"/>
      <c r="X273" s="20"/>
      <c r="Y273" s="20"/>
      <c r="Z273" s="20"/>
      <c r="AA273" s="20"/>
      <c r="AB273" s="12"/>
      <c r="AC273" s="12"/>
      <c r="AD273" s="12"/>
      <c r="AE273" s="12"/>
      <c r="AF273" s="12"/>
      <c r="AG273" s="12"/>
      <c r="AH273" s="12">
        <v>50999661</v>
      </c>
      <c r="AI273" s="14">
        <v>52079874</v>
      </c>
      <c r="AJ273" s="21">
        <v>54832337</v>
      </c>
      <c r="AK273" s="21">
        <v>55589187</v>
      </c>
      <c r="AL273" s="21">
        <v>57206334</v>
      </c>
      <c r="AM273" s="21">
        <v>57649890</v>
      </c>
      <c r="AN273" s="1058">
        <v>62264215</v>
      </c>
      <c r="AO273" s="1058">
        <v>62782356</v>
      </c>
      <c r="AP273" s="1058">
        <v>60565893</v>
      </c>
      <c r="AQ273" s="1058">
        <v>60690986</v>
      </c>
      <c r="AR273" s="1044"/>
      <c r="AS273" s="1044"/>
    </row>
    <row r="274" spans="3:45" hidden="1" outlineLevel="1">
      <c r="C274" s="816" t="s">
        <v>1054</v>
      </c>
      <c r="D274" s="1051" t="s">
        <v>836</v>
      </c>
      <c r="E274" s="254" t="s">
        <v>855</v>
      </c>
      <c r="F274" s="20"/>
      <c r="G274" s="20"/>
      <c r="H274" s="20"/>
      <c r="I274" s="20"/>
      <c r="J274" s="20"/>
      <c r="K274" s="20"/>
      <c r="L274" s="20"/>
      <c r="M274" s="20"/>
      <c r="N274" s="20"/>
      <c r="O274" s="20"/>
      <c r="P274" s="20"/>
      <c r="Q274" s="20"/>
      <c r="R274" s="20"/>
      <c r="S274" s="20"/>
      <c r="T274" s="20"/>
      <c r="U274" s="20"/>
      <c r="V274" s="20"/>
      <c r="W274" s="20"/>
      <c r="X274" s="20"/>
      <c r="Y274" s="20"/>
      <c r="Z274" s="20"/>
      <c r="AA274" s="20"/>
      <c r="AB274" s="12"/>
      <c r="AC274" s="12"/>
      <c r="AD274" s="12"/>
      <c r="AE274" s="12"/>
      <c r="AF274" s="12"/>
      <c r="AG274" s="12"/>
      <c r="AH274" s="12">
        <v>9086945</v>
      </c>
      <c r="AI274" s="14">
        <v>9105584</v>
      </c>
      <c r="AJ274" s="21">
        <v>9362172</v>
      </c>
      <c r="AK274" s="21">
        <v>9400754</v>
      </c>
      <c r="AL274" s="21">
        <v>8903535</v>
      </c>
      <c r="AM274" s="21">
        <v>8994462</v>
      </c>
      <c r="AN274" s="1058">
        <v>13408355</v>
      </c>
      <c r="AO274" s="1058">
        <v>13514863</v>
      </c>
      <c r="AP274" s="1058">
        <v>11687681</v>
      </c>
      <c r="AQ274" s="1058">
        <v>11708528</v>
      </c>
      <c r="AR274" s="1044"/>
      <c r="AS274" s="1044"/>
    </row>
    <row r="275" spans="3:45" hidden="1" outlineLevel="1">
      <c r="C275" s="816" t="s">
        <v>1054</v>
      </c>
      <c r="D275" s="1051" t="s">
        <v>836</v>
      </c>
      <c r="E275" s="254" t="s">
        <v>737</v>
      </c>
      <c r="F275" s="20"/>
      <c r="G275" s="20"/>
      <c r="H275" s="20"/>
      <c r="I275" s="20"/>
      <c r="J275" s="20"/>
      <c r="K275" s="20"/>
      <c r="L275" s="20"/>
      <c r="M275" s="20"/>
      <c r="N275" s="20"/>
      <c r="O275" s="20"/>
      <c r="P275" s="20"/>
      <c r="Q275" s="20"/>
      <c r="R275" s="20"/>
      <c r="S275" s="20"/>
      <c r="T275" s="20"/>
      <c r="U275" s="20"/>
      <c r="V275" s="20"/>
      <c r="W275" s="20"/>
      <c r="X275" s="20"/>
      <c r="Y275" s="20"/>
      <c r="Z275" s="20"/>
      <c r="AA275" s="20"/>
      <c r="AB275" s="12"/>
      <c r="AC275" s="12"/>
      <c r="AD275" s="12"/>
      <c r="AE275" s="12"/>
      <c r="AF275" s="12"/>
      <c r="AG275" s="12"/>
      <c r="AH275" s="12">
        <v>21181180</v>
      </c>
      <c r="AI275" s="14">
        <v>21492643</v>
      </c>
      <c r="AJ275" s="21">
        <v>21140243</v>
      </c>
      <c r="AK275" s="21">
        <v>21285129</v>
      </c>
      <c r="AL275" s="21">
        <v>23866086</v>
      </c>
      <c r="AM275" s="21">
        <v>23970075</v>
      </c>
      <c r="AN275" s="1058">
        <v>21707575</v>
      </c>
      <c r="AO275" s="1058">
        <v>21796368</v>
      </c>
      <c r="AP275" s="1058">
        <v>18681145</v>
      </c>
      <c r="AQ275" s="1058">
        <v>18693769</v>
      </c>
      <c r="AR275" s="1044"/>
      <c r="AS275" s="1044"/>
    </row>
    <row r="276" spans="3:45" hidden="1" outlineLevel="1">
      <c r="C276" s="816" t="s">
        <v>1054</v>
      </c>
      <c r="D276" s="1051" t="s">
        <v>836</v>
      </c>
      <c r="E276" s="254" t="s">
        <v>738</v>
      </c>
      <c r="F276" s="20"/>
      <c r="G276" s="20"/>
      <c r="H276" s="20"/>
      <c r="I276" s="20"/>
      <c r="J276" s="20"/>
      <c r="K276" s="20"/>
      <c r="L276" s="20"/>
      <c r="M276" s="20"/>
      <c r="N276" s="20"/>
      <c r="O276" s="20"/>
      <c r="P276" s="20"/>
      <c r="Q276" s="20"/>
      <c r="R276" s="20"/>
      <c r="S276" s="20"/>
      <c r="T276" s="20"/>
      <c r="U276" s="20"/>
      <c r="V276" s="20"/>
      <c r="W276" s="20"/>
      <c r="X276" s="20"/>
      <c r="Y276" s="20"/>
      <c r="Z276" s="20"/>
      <c r="AA276" s="20"/>
      <c r="AB276" s="12"/>
      <c r="AC276" s="12"/>
      <c r="AD276" s="12"/>
      <c r="AE276" s="12"/>
      <c r="AF276" s="12"/>
      <c r="AG276" s="12"/>
      <c r="AH276" s="12">
        <v>20332307</v>
      </c>
      <c r="AI276" s="14">
        <v>20744693</v>
      </c>
      <c r="AJ276" s="21">
        <v>17695989</v>
      </c>
      <c r="AK276" s="21">
        <v>17904194</v>
      </c>
      <c r="AL276" s="21">
        <v>17478199</v>
      </c>
      <c r="AM276" s="21">
        <v>17485532</v>
      </c>
      <c r="AN276" s="1058">
        <v>19701189</v>
      </c>
      <c r="AO276" s="1058">
        <v>19880107</v>
      </c>
      <c r="AP276" s="1058">
        <v>18000991</v>
      </c>
      <c r="AQ276" s="1058">
        <v>18013556</v>
      </c>
      <c r="AR276" s="1044"/>
      <c r="AS276" s="1044"/>
    </row>
    <row r="277" spans="3:45" hidden="1" outlineLevel="1">
      <c r="C277" s="816" t="s">
        <v>1054</v>
      </c>
      <c r="D277" s="223" t="s">
        <v>1203</v>
      </c>
      <c r="E277" s="255" t="s">
        <v>1446</v>
      </c>
      <c r="F277" s="20"/>
      <c r="G277" s="20"/>
      <c r="H277" s="20"/>
      <c r="I277" s="20"/>
      <c r="J277" s="20"/>
      <c r="K277" s="20"/>
      <c r="L277" s="20"/>
      <c r="M277" s="20"/>
      <c r="N277" s="20"/>
      <c r="O277" s="20"/>
      <c r="P277" s="20"/>
      <c r="Q277" s="20"/>
      <c r="R277" s="20"/>
      <c r="S277" s="20"/>
      <c r="T277" s="20"/>
      <c r="U277" s="20"/>
      <c r="V277" s="20"/>
      <c r="W277" s="20"/>
      <c r="X277" s="20"/>
      <c r="Y277" s="20"/>
      <c r="Z277" s="20"/>
      <c r="AA277" s="20"/>
      <c r="AB277" s="12"/>
      <c r="AC277" s="12"/>
      <c r="AD277" s="12"/>
      <c r="AE277" s="12"/>
      <c r="AF277" s="12"/>
      <c r="AG277" s="12"/>
      <c r="AH277" s="12">
        <v>3663454</v>
      </c>
      <c r="AI277" s="14">
        <v>3681884</v>
      </c>
      <c r="AJ277" s="21">
        <v>2774380</v>
      </c>
      <c r="AK277" s="21">
        <v>2793025</v>
      </c>
      <c r="AL277" s="21">
        <v>3060013</v>
      </c>
      <c r="AM277" s="21">
        <v>3075648</v>
      </c>
      <c r="AN277" s="1058">
        <v>2503619</v>
      </c>
      <c r="AO277" s="1058">
        <v>2508026</v>
      </c>
      <c r="AP277" s="1058">
        <v>2530635</v>
      </c>
      <c r="AQ277" s="1058">
        <v>2531733</v>
      </c>
      <c r="AR277" s="1044"/>
      <c r="AS277" s="1044"/>
    </row>
    <row r="278" spans="3:45" hidden="1" outlineLevel="1">
      <c r="C278" s="816" t="s">
        <v>1054</v>
      </c>
      <c r="D278" s="1051" t="s">
        <v>1203</v>
      </c>
      <c r="E278" s="254" t="s">
        <v>1447</v>
      </c>
      <c r="F278" s="20"/>
      <c r="G278" s="20"/>
      <c r="H278" s="20"/>
      <c r="I278" s="20"/>
      <c r="J278" s="20"/>
      <c r="K278" s="20"/>
      <c r="L278" s="20"/>
      <c r="M278" s="20"/>
      <c r="N278" s="20"/>
      <c r="O278" s="20"/>
      <c r="P278" s="20"/>
      <c r="Q278" s="20"/>
      <c r="R278" s="20"/>
      <c r="S278" s="20"/>
      <c r="T278" s="20"/>
      <c r="U278" s="20"/>
      <c r="V278" s="20"/>
      <c r="W278" s="20"/>
      <c r="X278" s="20"/>
      <c r="Y278" s="20"/>
      <c r="Z278" s="20"/>
      <c r="AA278" s="20"/>
      <c r="AB278" s="12"/>
      <c r="AC278" s="12"/>
      <c r="AD278" s="12"/>
      <c r="AE278" s="12"/>
      <c r="AF278" s="12"/>
      <c r="AG278" s="12"/>
      <c r="AH278" s="12">
        <v>2801555</v>
      </c>
      <c r="AI278" s="14">
        <v>2924855</v>
      </c>
      <c r="AJ278" s="21">
        <v>2528512</v>
      </c>
      <c r="AK278" s="21">
        <v>2588357</v>
      </c>
      <c r="AL278" s="21">
        <v>2152997</v>
      </c>
      <c r="AM278" s="21">
        <v>2164533</v>
      </c>
      <c r="AN278" s="1058">
        <v>2144000</v>
      </c>
      <c r="AO278" s="1058">
        <v>2152932</v>
      </c>
      <c r="AP278" s="1058">
        <v>2030295</v>
      </c>
      <c r="AQ278" s="1058">
        <v>2032087</v>
      </c>
      <c r="AR278" s="1044"/>
      <c r="AS278" s="1044"/>
    </row>
    <row r="279" spans="3:45" hidden="1" outlineLevel="1">
      <c r="C279" s="816" t="s">
        <v>1054</v>
      </c>
      <c r="D279" s="1051" t="s">
        <v>1203</v>
      </c>
      <c r="E279" s="254" t="s">
        <v>1448</v>
      </c>
      <c r="F279" s="20"/>
      <c r="G279" s="20"/>
      <c r="H279" s="20"/>
      <c r="I279" s="20"/>
      <c r="J279" s="20"/>
      <c r="K279" s="20"/>
      <c r="L279" s="20"/>
      <c r="M279" s="20"/>
      <c r="N279" s="20"/>
      <c r="O279" s="20"/>
      <c r="P279" s="20"/>
      <c r="Q279" s="20"/>
      <c r="R279" s="20"/>
      <c r="S279" s="20"/>
      <c r="T279" s="20"/>
      <c r="U279" s="20"/>
      <c r="V279" s="20"/>
      <c r="W279" s="20"/>
      <c r="X279" s="20"/>
      <c r="Y279" s="20"/>
      <c r="Z279" s="20"/>
      <c r="AA279" s="20"/>
      <c r="AB279" s="12"/>
      <c r="AC279" s="12"/>
      <c r="AD279" s="12"/>
      <c r="AE279" s="12"/>
      <c r="AF279" s="12"/>
      <c r="AG279" s="12"/>
      <c r="AH279" s="12">
        <v>2718826</v>
      </c>
      <c r="AI279" s="14">
        <v>2724277</v>
      </c>
      <c r="AJ279" s="21">
        <v>3128170</v>
      </c>
      <c r="AK279" s="21">
        <v>3142680</v>
      </c>
      <c r="AL279" s="21">
        <v>1288993</v>
      </c>
      <c r="AM279" s="21">
        <v>1291970</v>
      </c>
      <c r="AN279" s="1058">
        <v>2053265</v>
      </c>
      <c r="AO279" s="1058">
        <v>2057197</v>
      </c>
      <c r="AP279" s="1058">
        <v>2300571</v>
      </c>
      <c r="AQ279" s="1058">
        <v>2304164</v>
      </c>
      <c r="AR279" s="1044"/>
      <c r="AS279" s="1044"/>
    </row>
    <row r="280" spans="3:45" hidden="1" outlineLevel="1">
      <c r="C280" s="816" t="s">
        <v>1054</v>
      </c>
      <c r="D280" s="1051" t="s">
        <v>836</v>
      </c>
      <c r="E280" s="254" t="s">
        <v>1367</v>
      </c>
      <c r="F280" s="20"/>
      <c r="G280" s="20"/>
      <c r="H280" s="20"/>
      <c r="I280" s="20"/>
      <c r="J280" s="20"/>
      <c r="K280" s="20"/>
      <c r="L280" s="20"/>
      <c r="M280" s="20"/>
      <c r="N280" s="20"/>
      <c r="O280" s="20"/>
      <c r="P280" s="20"/>
      <c r="Q280" s="20"/>
      <c r="R280" s="20"/>
      <c r="S280" s="20"/>
      <c r="T280" s="20"/>
      <c r="U280" s="20"/>
      <c r="V280" s="20"/>
      <c r="W280" s="20"/>
      <c r="X280" s="20"/>
      <c r="Y280" s="20"/>
      <c r="Z280" s="20"/>
      <c r="AA280" s="20"/>
      <c r="AB280" s="12"/>
      <c r="AC280" s="12"/>
      <c r="AD280" s="12"/>
      <c r="AE280" s="12"/>
      <c r="AF280" s="12"/>
      <c r="AG280" s="12"/>
      <c r="AH280" s="12">
        <v>32725074</v>
      </c>
      <c r="AI280" s="14">
        <v>33004223</v>
      </c>
      <c r="AJ280" s="21">
        <v>35847043</v>
      </c>
      <c r="AK280" s="21">
        <v>33902944</v>
      </c>
      <c r="AL280" s="21">
        <v>34173359</v>
      </c>
      <c r="AM280" s="21">
        <v>31873588</v>
      </c>
      <c r="AN280" s="1058">
        <v>30966003</v>
      </c>
      <c r="AO280" s="1058">
        <v>31096503</v>
      </c>
      <c r="AP280" s="1058">
        <v>34277479</v>
      </c>
      <c r="AQ280" s="1058">
        <v>31993131</v>
      </c>
      <c r="AR280" s="1044"/>
      <c r="AS280" s="1044"/>
    </row>
    <row r="281" spans="3:45" hidden="1" outlineLevel="1">
      <c r="C281" s="816" t="s">
        <v>1054</v>
      </c>
      <c r="D281" s="1051" t="s">
        <v>836</v>
      </c>
      <c r="E281" s="255" t="s">
        <v>1094</v>
      </c>
      <c r="F281" s="20"/>
      <c r="G281" s="20"/>
      <c r="H281" s="20"/>
      <c r="I281" s="20"/>
      <c r="J281" s="20"/>
      <c r="K281" s="20"/>
      <c r="L281" s="20"/>
      <c r="M281" s="20"/>
      <c r="N281" s="20"/>
      <c r="O281" s="20"/>
      <c r="P281" s="20"/>
      <c r="Q281" s="20"/>
      <c r="R281" s="20"/>
      <c r="S281" s="20"/>
      <c r="T281" s="20"/>
      <c r="U281" s="20"/>
      <c r="V281" s="20"/>
      <c r="W281" s="20"/>
      <c r="X281" s="20"/>
      <c r="Y281" s="20"/>
      <c r="Z281" s="20"/>
      <c r="AA281" s="20"/>
      <c r="AB281" s="12"/>
      <c r="AC281" s="12"/>
      <c r="AD281" s="12"/>
      <c r="AE281" s="12"/>
      <c r="AF281" s="12"/>
      <c r="AG281" s="12"/>
      <c r="AH281" s="12">
        <v>44689605</v>
      </c>
      <c r="AI281" s="14">
        <v>44908114</v>
      </c>
      <c r="AJ281" s="21">
        <v>46357897</v>
      </c>
      <c r="AK281" s="21">
        <v>46497917</v>
      </c>
      <c r="AL281" s="21">
        <v>48266065</v>
      </c>
      <c r="AM281" s="21">
        <v>48284242</v>
      </c>
      <c r="AN281" s="1058">
        <v>51302865</v>
      </c>
      <c r="AO281" s="1058">
        <v>51437497</v>
      </c>
      <c r="AP281" s="1058">
        <v>49520757</v>
      </c>
      <c r="AQ281" s="1058">
        <v>49534792</v>
      </c>
      <c r="AR281" s="1044"/>
      <c r="AS281" s="1044"/>
    </row>
    <row r="282" spans="3:45" hidden="1" outlineLevel="1">
      <c r="C282" s="816" t="s">
        <v>1054</v>
      </c>
      <c r="D282" s="1051" t="s">
        <v>836</v>
      </c>
      <c r="E282" s="254" t="s">
        <v>859</v>
      </c>
      <c r="F282" s="20"/>
      <c r="G282" s="20"/>
      <c r="H282" s="20"/>
      <c r="I282" s="20"/>
      <c r="J282" s="20"/>
      <c r="K282" s="20"/>
      <c r="L282" s="20"/>
      <c r="M282" s="20"/>
      <c r="N282" s="20"/>
      <c r="O282" s="20"/>
      <c r="P282" s="20"/>
      <c r="Q282" s="20"/>
      <c r="R282" s="20"/>
      <c r="S282" s="20"/>
      <c r="T282" s="20"/>
      <c r="U282" s="20"/>
      <c r="V282" s="20"/>
      <c r="W282" s="20"/>
      <c r="X282" s="20"/>
      <c r="Y282" s="20"/>
      <c r="Z282" s="20"/>
      <c r="AA282" s="20"/>
      <c r="AB282" s="12"/>
      <c r="AC282" s="12"/>
      <c r="AD282" s="12"/>
      <c r="AE282" s="12"/>
      <c r="AF282" s="12"/>
      <c r="AG282" s="12"/>
      <c r="AH282" s="12">
        <v>2519033</v>
      </c>
      <c r="AI282" s="14">
        <v>2526516</v>
      </c>
      <c r="AJ282" s="21">
        <v>2087376</v>
      </c>
      <c r="AK282" s="21">
        <v>2092892</v>
      </c>
      <c r="AL282" s="21">
        <v>2252124</v>
      </c>
      <c r="AM282" s="21">
        <v>2260407</v>
      </c>
      <c r="AN282" s="1058">
        <v>2662803</v>
      </c>
      <c r="AO282" s="1058">
        <v>2670580</v>
      </c>
      <c r="AP282" s="1058">
        <v>2335711</v>
      </c>
      <c r="AQ282" s="1058">
        <v>2337929</v>
      </c>
      <c r="AR282" s="1044"/>
      <c r="AS282" s="1044"/>
    </row>
    <row r="283" spans="3:45" hidden="1" outlineLevel="1">
      <c r="C283" s="816" t="s">
        <v>1054</v>
      </c>
      <c r="D283" s="223" t="s">
        <v>836</v>
      </c>
      <c r="E283" s="254" t="s">
        <v>1427</v>
      </c>
      <c r="F283" s="20"/>
      <c r="G283" s="20"/>
      <c r="H283" s="20"/>
      <c r="I283" s="20"/>
      <c r="J283" s="20"/>
      <c r="K283" s="20"/>
      <c r="L283" s="20"/>
      <c r="M283" s="20"/>
      <c r="N283" s="20"/>
      <c r="O283" s="20"/>
      <c r="P283" s="20"/>
      <c r="Q283" s="20"/>
      <c r="R283" s="20"/>
      <c r="S283" s="20"/>
      <c r="T283" s="20"/>
      <c r="U283" s="20"/>
      <c r="V283" s="20"/>
      <c r="W283" s="20"/>
      <c r="X283" s="20"/>
      <c r="Y283" s="20"/>
      <c r="Z283" s="20"/>
      <c r="AA283" s="20"/>
      <c r="AB283" s="12"/>
      <c r="AC283" s="12"/>
      <c r="AD283" s="12"/>
      <c r="AE283" s="12"/>
      <c r="AF283" s="12"/>
      <c r="AG283" s="12"/>
      <c r="AH283" s="12">
        <v>1380760</v>
      </c>
      <c r="AI283" s="14">
        <v>1381691</v>
      </c>
      <c r="AJ283" s="21">
        <v>924636</v>
      </c>
      <c r="AK283" s="21">
        <v>925162</v>
      </c>
      <c r="AL283" s="21">
        <v>927118</v>
      </c>
      <c r="AM283" s="21">
        <v>928753</v>
      </c>
      <c r="AN283" s="1058">
        <v>968551</v>
      </c>
      <c r="AO283" s="1058">
        <v>969554</v>
      </c>
      <c r="AP283" s="1058">
        <v>807886</v>
      </c>
      <c r="AQ283" s="1058">
        <v>808128</v>
      </c>
      <c r="AR283" s="1044"/>
      <c r="AS283" s="1044"/>
    </row>
    <row r="284" spans="3:45" hidden="1" outlineLevel="1">
      <c r="C284" s="816" t="s">
        <v>1054</v>
      </c>
      <c r="D284" s="1049" t="s">
        <v>1498</v>
      </c>
      <c r="E284" s="255" t="s">
        <v>1844</v>
      </c>
      <c r="F284" s="20"/>
      <c r="G284" s="20"/>
      <c r="H284" s="20"/>
      <c r="I284" s="20"/>
      <c r="J284" s="20"/>
      <c r="K284" s="20"/>
      <c r="L284" s="20"/>
      <c r="M284" s="20"/>
      <c r="N284" s="20"/>
      <c r="O284" s="20"/>
      <c r="P284" s="20"/>
      <c r="Q284" s="20"/>
      <c r="R284" s="20"/>
      <c r="S284" s="20"/>
      <c r="T284" s="20"/>
      <c r="U284" s="20"/>
      <c r="V284" s="20"/>
      <c r="W284" s="20"/>
      <c r="X284" s="20"/>
      <c r="Y284" s="20"/>
      <c r="Z284" s="20"/>
      <c r="AA284" s="20"/>
      <c r="AB284" s="12"/>
      <c r="AC284" s="12"/>
      <c r="AD284" s="12"/>
      <c r="AE284" s="12"/>
      <c r="AF284" s="12"/>
      <c r="AG284" s="12"/>
      <c r="AH284" s="12">
        <v>8996328</v>
      </c>
      <c r="AI284" s="14">
        <v>9058286</v>
      </c>
      <c r="AJ284" s="21">
        <v>6491519</v>
      </c>
      <c r="AK284" s="21">
        <v>6491520</v>
      </c>
      <c r="AL284" s="21">
        <v>7453078</v>
      </c>
      <c r="AM284" s="21">
        <v>7453079</v>
      </c>
      <c r="AN284" s="1058">
        <v>7244576</v>
      </c>
      <c r="AO284" s="1058">
        <v>7244577</v>
      </c>
      <c r="AP284" s="1058">
        <v>7751770</v>
      </c>
      <c r="AQ284" s="1058">
        <v>7751770</v>
      </c>
      <c r="AR284" s="1044"/>
      <c r="AS284" s="1044"/>
    </row>
    <row r="285" spans="3:45" hidden="1" outlineLevel="1">
      <c r="C285" s="816" t="s">
        <v>1054</v>
      </c>
      <c r="D285" s="1049" t="s">
        <v>1498</v>
      </c>
      <c r="E285" s="254" t="s">
        <v>1434</v>
      </c>
      <c r="F285" s="20"/>
      <c r="G285" s="20"/>
      <c r="H285" s="20"/>
      <c r="I285" s="20"/>
      <c r="J285" s="20"/>
      <c r="K285" s="20"/>
      <c r="L285" s="20"/>
      <c r="M285" s="20"/>
      <c r="N285" s="20"/>
      <c r="O285" s="20"/>
      <c r="P285" s="20"/>
      <c r="Q285" s="20"/>
      <c r="R285" s="20"/>
      <c r="S285" s="20"/>
      <c r="T285" s="20"/>
      <c r="U285" s="20"/>
      <c r="V285" s="20"/>
      <c r="W285" s="20"/>
      <c r="X285" s="20"/>
      <c r="Y285" s="20"/>
      <c r="Z285" s="20"/>
      <c r="AA285" s="20"/>
      <c r="AB285" s="12"/>
      <c r="AC285" s="12"/>
      <c r="AD285" s="12"/>
      <c r="AE285" s="12"/>
      <c r="AF285" s="12"/>
      <c r="AG285" s="12"/>
      <c r="AH285" s="12">
        <v>12406504</v>
      </c>
      <c r="AI285" s="14">
        <v>12390649</v>
      </c>
      <c r="AJ285" s="21">
        <v>9413312</v>
      </c>
      <c r="AK285" s="21">
        <v>9413312</v>
      </c>
      <c r="AL285" s="21">
        <v>12883508</v>
      </c>
      <c r="AM285" s="21">
        <v>12883508</v>
      </c>
      <c r="AN285" s="1058">
        <v>13424583</v>
      </c>
      <c r="AO285" s="1058">
        <v>13424582</v>
      </c>
      <c r="AP285" s="1058">
        <v>13309294</v>
      </c>
      <c r="AQ285" s="1058">
        <v>13309294</v>
      </c>
      <c r="AR285" s="1044"/>
      <c r="AS285" s="1044"/>
    </row>
    <row r="286" spans="3:45" hidden="1" outlineLevel="1">
      <c r="C286" s="816" t="s">
        <v>1054</v>
      </c>
      <c r="D286" s="1049" t="s">
        <v>1498</v>
      </c>
      <c r="E286" s="254" t="s">
        <v>1435</v>
      </c>
      <c r="F286" s="20"/>
      <c r="G286" s="20"/>
      <c r="H286" s="20"/>
      <c r="I286" s="20"/>
      <c r="J286" s="20"/>
      <c r="K286" s="20"/>
      <c r="L286" s="20"/>
      <c r="M286" s="20"/>
      <c r="N286" s="20"/>
      <c r="O286" s="20"/>
      <c r="P286" s="20"/>
      <c r="Q286" s="20"/>
      <c r="R286" s="20"/>
      <c r="S286" s="20"/>
      <c r="T286" s="20"/>
      <c r="U286" s="20"/>
      <c r="V286" s="20"/>
      <c r="W286" s="20"/>
      <c r="X286" s="20"/>
      <c r="Y286" s="20"/>
      <c r="Z286" s="20"/>
      <c r="AA286" s="20"/>
      <c r="AB286" s="12"/>
      <c r="AC286" s="12"/>
      <c r="AD286" s="12"/>
      <c r="AE286" s="12"/>
      <c r="AF286" s="12"/>
      <c r="AG286" s="12"/>
      <c r="AH286" s="12">
        <v>17711217</v>
      </c>
      <c r="AI286" s="14">
        <v>17771955</v>
      </c>
      <c r="AJ286" s="21">
        <v>20418750</v>
      </c>
      <c r="AK286" s="21">
        <v>20418747</v>
      </c>
      <c r="AL286" s="21">
        <v>21905165</v>
      </c>
      <c r="AM286" s="21">
        <v>21905165</v>
      </c>
      <c r="AN286" s="1058">
        <v>23927156</v>
      </c>
      <c r="AO286" s="1058">
        <v>23927155</v>
      </c>
      <c r="AP286" s="1058">
        <v>25610629</v>
      </c>
      <c r="AQ286" s="1058">
        <v>25610629</v>
      </c>
      <c r="AR286" s="1044"/>
      <c r="AS286" s="1044"/>
    </row>
    <row r="287" spans="3:45" hidden="1" outlineLevel="1">
      <c r="C287" s="816" t="s">
        <v>1054</v>
      </c>
      <c r="D287" s="1049" t="s">
        <v>1498</v>
      </c>
      <c r="E287" s="254" t="s">
        <v>1436</v>
      </c>
      <c r="F287" s="20"/>
      <c r="G287" s="20"/>
      <c r="H287" s="20"/>
      <c r="I287" s="20"/>
      <c r="J287" s="20"/>
      <c r="K287" s="20"/>
      <c r="L287" s="20"/>
      <c r="M287" s="20"/>
      <c r="N287" s="20"/>
      <c r="O287" s="20"/>
      <c r="P287" s="20"/>
      <c r="Q287" s="20"/>
      <c r="R287" s="20"/>
      <c r="S287" s="20"/>
      <c r="T287" s="20"/>
      <c r="U287" s="20"/>
      <c r="V287" s="20"/>
      <c r="W287" s="20"/>
      <c r="X287" s="20"/>
      <c r="Y287" s="20"/>
      <c r="Z287" s="20"/>
      <c r="AA287" s="20"/>
      <c r="AB287" s="12"/>
      <c r="AC287" s="12"/>
      <c r="AD287" s="12"/>
      <c r="AE287" s="12"/>
      <c r="AF287" s="12"/>
      <c r="AG287" s="12"/>
      <c r="AH287" s="12">
        <v>8602992</v>
      </c>
      <c r="AI287" s="14">
        <v>8631865</v>
      </c>
      <c r="AJ287" s="21">
        <v>8517186</v>
      </c>
      <c r="AK287" s="21">
        <v>8517187</v>
      </c>
      <c r="AL287" s="21">
        <v>9094506</v>
      </c>
      <c r="AM287" s="21">
        <v>9094508</v>
      </c>
      <c r="AN287" s="1058">
        <v>11063999</v>
      </c>
      <c r="AO287" s="1058">
        <v>11063999</v>
      </c>
      <c r="AP287" s="1058">
        <v>11347923</v>
      </c>
      <c r="AQ287" s="1058">
        <v>11347923</v>
      </c>
      <c r="AR287" s="1044"/>
      <c r="AS287" s="1044"/>
    </row>
    <row r="288" spans="3:45" hidden="1" outlineLevel="1">
      <c r="C288" s="816" t="s">
        <v>1054</v>
      </c>
      <c r="D288" s="1049" t="s">
        <v>1498</v>
      </c>
      <c r="E288" s="254" t="s">
        <v>1670</v>
      </c>
      <c r="F288" s="20"/>
      <c r="G288" s="20"/>
      <c r="H288" s="20"/>
      <c r="I288" s="20"/>
      <c r="J288" s="20"/>
      <c r="K288" s="20"/>
      <c r="L288" s="20"/>
      <c r="M288" s="20"/>
      <c r="N288" s="20"/>
      <c r="O288" s="20"/>
      <c r="P288" s="20"/>
      <c r="Q288" s="20"/>
      <c r="R288" s="20"/>
      <c r="S288" s="20"/>
      <c r="T288" s="20"/>
      <c r="U288" s="20"/>
      <c r="V288" s="20"/>
      <c r="W288" s="20"/>
      <c r="X288" s="20"/>
      <c r="Y288" s="20"/>
      <c r="Z288" s="20"/>
      <c r="AA288" s="20"/>
      <c r="AB288" s="12"/>
      <c r="AC288" s="12"/>
      <c r="AD288" s="12"/>
      <c r="AE288" s="12"/>
      <c r="AF288" s="12"/>
      <c r="AG288" s="12"/>
      <c r="AH288" s="12"/>
      <c r="AI288" s="14"/>
      <c r="AJ288" s="21"/>
      <c r="AK288" s="21"/>
      <c r="AL288" s="21"/>
      <c r="AM288" s="21"/>
      <c r="AN288" s="1058">
        <v>333850</v>
      </c>
      <c r="AO288" s="1058">
        <v>333850</v>
      </c>
      <c r="AP288" s="1058">
        <v>927792</v>
      </c>
      <c r="AQ288" s="1058">
        <v>927792</v>
      </c>
      <c r="AR288" s="1044"/>
      <c r="AS288" s="1044"/>
    </row>
    <row r="289" spans="2:45" hidden="1" outlineLevel="1">
      <c r="C289" s="816" t="s">
        <v>1054</v>
      </c>
      <c r="D289" s="1049" t="s">
        <v>1498</v>
      </c>
      <c r="E289" s="254" t="s">
        <v>1437</v>
      </c>
      <c r="F289" s="20"/>
      <c r="G289" s="20"/>
      <c r="H289" s="20"/>
      <c r="I289" s="20"/>
      <c r="J289" s="20"/>
      <c r="K289" s="20"/>
      <c r="L289" s="20"/>
      <c r="M289" s="20"/>
      <c r="N289" s="20"/>
      <c r="O289" s="20"/>
      <c r="P289" s="20"/>
      <c r="Q289" s="20"/>
      <c r="R289" s="20"/>
      <c r="S289" s="20"/>
      <c r="T289" s="20"/>
      <c r="U289" s="20"/>
      <c r="V289" s="20"/>
      <c r="W289" s="20"/>
      <c r="X289" s="20"/>
      <c r="Y289" s="20"/>
      <c r="Z289" s="20"/>
      <c r="AA289" s="20"/>
      <c r="AB289" s="12"/>
      <c r="AC289" s="12"/>
      <c r="AD289" s="12"/>
      <c r="AE289" s="12"/>
      <c r="AF289" s="12"/>
      <c r="AG289" s="12"/>
      <c r="AH289" s="12">
        <v>26454044</v>
      </c>
      <c r="AI289" s="14">
        <v>29022141</v>
      </c>
      <c r="AJ289" s="21">
        <v>813695</v>
      </c>
      <c r="AK289" s="21">
        <v>813696</v>
      </c>
      <c r="AL289" s="21">
        <v>833795</v>
      </c>
      <c r="AM289" s="21">
        <v>833796</v>
      </c>
      <c r="AN289" s="1058">
        <v>918810</v>
      </c>
      <c r="AO289" s="1058">
        <v>918810</v>
      </c>
      <c r="AP289" s="1058">
        <v>772845</v>
      </c>
      <c r="AQ289" s="1058">
        <v>772845</v>
      </c>
      <c r="AR289" s="1044"/>
      <c r="AS289" s="1044"/>
    </row>
    <row r="290" spans="2:45" hidden="1" outlineLevel="1">
      <c r="C290" s="816" t="s">
        <v>1054</v>
      </c>
      <c r="D290" s="1049" t="s">
        <v>1498</v>
      </c>
      <c r="E290" s="254" t="s">
        <v>1438</v>
      </c>
      <c r="F290" s="20"/>
      <c r="G290" s="20"/>
      <c r="H290" s="20"/>
      <c r="I290" s="20"/>
      <c r="J290" s="20"/>
      <c r="K290" s="20"/>
      <c r="L290" s="20"/>
      <c r="M290" s="20"/>
      <c r="N290" s="20"/>
      <c r="O290" s="20"/>
      <c r="P290" s="20"/>
      <c r="Q290" s="20"/>
      <c r="R290" s="20"/>
      <c r="S290" s="20"/>
      <c r="T290" s="20"/>
      <c r="U290" s="20"/>
      <c r="V290" s="20"/>
      <c r="W290" s="20"/>
      <c r="X290" s="20"/>
      <c r="Y290" s="20"/>
      <c r="Z290" s="20"/>
      <c r="AA290" s="20"/>
      <c r="AB290" s="12"/>
      <c r="AC290" s="12"/>
      <c r="AD290" s="12"/>
      <c r="AE290" s="12"/>
      <c r="AF290" s="12"/>
      <c r="AG290" s="12"/>
      <c r="AH290" s="12">
        <v>284200</v>
      </c>
      <c r="AI290" s="14">
        <v>285000</v>
      </c>
      <c r="AJ290" s="21">
        <v>5502</v>
      </c>
      <c r="AK290" s="21">
        <v>5502</v>
      </c>
      <c r="AL290" s="21">
        <v>370777</v>
      </c>
      <c r="AM290" s="21">
        <v>370777</v>
      </c>
      <c r="AN290" s="1058">
        <v>467207</v>
      </c>
      <c r="AO290" s="1058">
        <v>467207</v>
      </c>
      <c r="AP290" s="1058">
        <v>483518</v>
      </c>
      <c r="AQ290" s="1058">
        <v>483518</v>
      </c>
      <c r="AR290" s="1044"/>
      <c r="AS290" s="1044"/>
    </row>
    <row r="291" spans="2:45" hidden="1" outlineLevel="1">
      <c r="C291" s="816" t="s">
        <v>1054</v>
      </c>
      <c r="D291" s="1049" t="s">
        <v>1498</v>
      </c>
      <c r="E291" s="254" t="s">
        <v>1439</v>
      </c>
      <c r="F291" s="20"/>
      <c r="G291" s="20"/>
      <c r="H291" s="20"/>
      <c r="I291" s="20"/>
      <c r="J291" s="20"/>
      <c r="K291" s="20"/>
      <c r="L291" s="20"/>
      <c r="M291" s="20"/>
      <c r="N291" s="20"/>
      <c r="O291" s="20"/>
      <c r="P291" s="20"/>
      <c r="Q291" s="20"/>
      <c r="R291" s="20"/>
      <c r="S291" s="20"/>
      <c r="T291" s="20"/>
      <c r="U291" s="20"/>
      <c r="V291" s="20"/>
      <c r="W291" s="20"/>
      <c r="X291" s="20"/>
      <c r="Y291" s="20"/>
      <c r="Z291" s="20"/>
      <c r="AA291" s="20"/>
      <c r="AB291" s="12"/>
      <c r="AC291" s="12"/>
      <c r="AD291" s="12"/>
      <c r="AE291" s="12"/>
      <c r="AF291" s="12"/>
      <c r="AG291" s="12"/>
      <c r="AH291" s="12">
        <v>12386274</v>
      </c>
      <c r="AI291" s="14">
        <v>12522135</v>
      </c>
      <c r="AJ291" s="21">
        <v>12202980</v>
      </c>
      <c r="AK291" s="21">
        <v>12202981</v>
      </c>
      <c r="AL291" s="21">
        <v>14480356</v>
      </c>
      <c r="AM291" s="21">
        <v>14480356</v>
      </c>
      <c r="AN291" s="1058">
        <v>16376825</v>
      </c>
      <c r="AO291" s="1058">
        <v>16376826</v>
      </c>
      <c r="AP291" s="1058">
        <v>16840628</v>
      </c>
      <c r="AQ291" s="1058">
        <v>16840628</v>
      </c>
      <c r="AR291" s="1044"/>
      <c r="AS291" s="1044"/>
    </row>
    <row r="292" spans="2:45" hidden="1" outlineLevel="1">
      <c r="C292" s="816" t="s">
        <v>1054</v>
      </c>
      <c r="D292" s="1049" t="s">
        <v>1498</v>
      </c>
      <c r="E292" s="254" t="s">
        <v>1440</v>
      </c>
      <c r="F292" s="20"/>
      <c r="G292" s="20"/>
      <c r="H292" s="20"/>
      <c r="I292" s="20"/>
      <c r="J292" s="20"/>
      <c r="K292" s="20"/>
      <c r="L292" s="20"/>
      <c r="M292" s="20"/>
      <c r="N292" s="20"/>
      <c r="O292" s="20"/>
      <c r="P292" s="20"/>
      <c r="Q292" s="20"/>
      <c r="R292" s="20"/>
      <c r="S292" s="20"/>
      <c r="T292" s="20"/>
      <c r="U292" s="20"/>
      <c r="V292" s="20"/>
      <c r="W292" s="20"/>
      <c r="X292" s="20"/>
      <c r="Y292" s="20"/>
      <c r="Z292" s="20"/>
      <c r="AA292" s="20"/>
      <c r="AB292" s="12"/>
      <c r="AC292" s="12"/>
      <c r="AD292" s="12"/>
      <c r="AE292" s="12"/>
      <c r="AF292" s="12"/>
      <c r="AG292" s="12"/>
      <c r="AH292" s="12">
        <v>8106584</v>
      </c>
      <c r="AI292" s="14">
        <v>8189278</v>
      </c>
      <c r="AJ292" s="21">
        <v>7047275</v>
      </c>
      <c r="AK292" s="21">
        <v>7047274</v>
      </c>
      <c r="AL292" s="21">
        <v>9492965</v>
      </c>
      <c r="AM292" s="21">
        <v>9492964</v>
      </c>
      <c r="AN292" s="1058">
        <v>10597391</v>
      </c>
      <c r="AO292" s="1058">
        <v>10597392</v>
      </c>
      <c r="AP292" s="1058">
        <v>10471063</v>
      </c>
      <c r="AQ292" s="1058">
        <v>10471063</v>
      </c>
      <c r="AR292" s="1044"/>
      <c r="AS292" s="1044"/>
    </row>
    <row r="293" spans="2:45" hidden="1" outlineLevel="1">
      <c r="C293" s="816" t="s">
        <v>1054</v>
      </c>
      <c r="D293" s="1049" t="s">
        <v>1498</v>
      </c>
      <c r="E293" s="254" t="s">
        <v>942</v>
      </c>
      <c r="F293" s="20"/>
      <c r="G293" s="20"/>
      <c r="H293" s="20"/>
      <c r="I293" s="20"/>
      <c r="J293" s="20"/>
      <c r="K293" s="20"/>
      <c r="L293" s="20"/>
      <c r="M293" s="20"/>
      <c r="N293" s="20"/>
      <c r="O293" s="20"/>
      <c r="P293" s="20"/>
      <c r="Q293" s="20"/>
      <c r="R293" s="20"/>
      <c r="S293" s="20"/>
      <c r="T293" s="20"/>
      <c r="U293" s="20"/>
      <c r="V293" s="20"/>
      <c r="W293" s="20"/>
      <c r="X293" s="20"/>
      <c r="Y293" s="20"/>
      <c r="Z293" s="20"/>
      <c r="AA293" s="20"/>
      <c r="AB293" s="12"/>
      <c r="AC293" s="12"/>
      <c r="AD293" s="12"/>
      <c r="AE293" s="12"/>
      <c r="AF293" s="12"/>
      <c r="AG293" s="12"/>
      <c r="AH293" s="12">
        <v>13435189</v>
      </c>
      <c r="AI293" s="14">
        <v>14260031</v>
      </c>
      <c r="AJ293" s="21">
        <v>13737981</v>
      </c>
      <c r="AK293" s="21">
        <v>13737983</v>
      </c>
      <c r="AL293" s="21">
        <v>13314682</v>
      </c>
      <c r="AM293" s="21">
        <v>13314682</v>
      </c>
      <c r="AN293" s="1058">
        <v>14278321</v>
      </c>
      <c r="AO293" s="1058">
        <v>14278321</v>
      </c>
      <c r="AP293" s="1058">
        <v>15804390</v>
      </c>
      <c r="AQ293" s="1058">
        <v>15804390</v>
      </c>
      <c r="AR293" s="1044"/>
      <c r="AS293" s="1044"/>
    </row>
    <row r="294" spans="2:45" hidden="1" outlineLevel="1">
      <c r="C294" s="816" t="s">
        <v>1054</v>
      </c>
      <c r="D294" s="1049" t="s">
        <v>1498</v>
      </c>
      <c r="E294" s="254" t="s">
        <v>1556</v>
      </c>
      <c r="F294" s="20"/>
      <c r="G294" s="20"/>
      <c r="H294" s="20"/>
      <c r="I294" s="20"/>
      <c r="J294" s="20"/>
      <c r="K294" s="20"/>
      <c r="L294" s="20"/>
      <c r="M294" s="20"/>
      <c r="N294" s="20"/>
      <c r="O294" s="20"/>
      <c r="P294" s="20"/>
      <c r="Q294" s="20"/>
      <c r="R294" s="20"/>
      <c r="S294" s="20"/>
      <c r="T294" s="20"/>
      <c r="U294" s="20"/>
      <c r="V294" s="20"/>
      <c r="W294" s="20"/>
      <c r="X294" s="20"/>
      <c r="Y294" s="20"/>
      <c r="Z294" s="20"/>
      <c r="AA294" s="20"/>
      <c r="AB294" s="12"/>
      <c r="AC294" s="12"/>
      <c r="AD294" s="12"/>
      <c r="AE294" s="12"/>
      <c r="AF294" s="12"/>
      <c r="AG294" s="12"/>
      <c r="AH294" s="12"/>
      <c r="AI294" s="14"/>
      <c r="AJ294" s="21"/>
      <c r="AK294" s="21"/>
      <c r="AL294" s="21">
        <v>2039634</v>
      </c>
      <c r="AM294" s="21">
        <v>2039635</v>
      </c>
      <c r="AN294" s="1058">
        <v>2640633</v>
      </c>
      <c r="AO294" s="1058">
        <v>2640633</v>
      </c>
      <c r="AP294" s="1058">
        <v>2970717</v>
      </c>
      <c r="AQ294" s="1058">
        <v>2970717</v>
      </c>
      <c r="AR294" s="1044"/>
      <c r="AS294" s="1044"/>
    </row>
    <row r="295" spans="2:45" s="1044" customFormat="1" hidden="1" outlineLevel="1">
      <c r="B295" s="1045"/>
      <c r="C295" s="1053" t="s">
        <v>1054</v>
      </c>
      <c r="D295" s="1049" t="s">
        <v>1498</v>
      </c>
      <c r="E295" s="815" t="s">
        <v>1843</v>
      </c>
      <c r="F295" s="1047"/>
      <c r="G295" s="1047"/>
      <c r="H295" s="1047"/>
      <c r="I295" s="1047"/>
      <c r="J295" s="1047"/>
      <c r="K295" s="1047"/>
      <c r="L295" s="1047"/>
      <c r="M295" s="1047"/>
      <c r="N295" s="1047"/>
      <c r="O295" s="1047"/>
      <c r="P295" s="1047"/>
      <c r="Q295" s="1047"/>
      <c r="R295" s="1047"/>
      <c r="S295" s="1047"/>
      <c r="T295" s="1047"/>
      <c r="U295" s="1047"/>
      <c r="V295" s="1047"/>
      <c r="W295" s="1047"/>
      <c r="X295" s="1047"/>
      <c r="Y295" s="1047"/>
      <c r="Z295" s="1047"/>
      <c r="AA295" s="1047"/>
      <c r="AB295" s="1070"/>
      <c r="AC295" s="1070"/>
      <c r="AD295" s="1070"/>
      <c r="AE295" s="1070"/>
      <c r="AF295" s="1070"/>
      <c r="AG295" s="1070"/>
      <c r="AH295" s="1070"/>
      <c r="AI295" s="1071"/>
      <c r="AJ295" s="1058"/>
      <c r="AK295" s="1058"/>
      <c r="AL295" s="1058"/>
      <c r="AM295" s="1058"/>
      <c r="AN295" s="1058">
        <v>379900</v>
      </c>
      <c r="AO295" s="1058">
        <v>379900</v>
      </c>
      <c r="AP295" s="1058">
        <v>1298537</v>
      </c>
      <c r="AQ295" s="1058">
        <v>1298537</v>
      </c>
    </row>
    <row r="296" spans="2:45" hidden="1" outlineLevel="1">
      <c r="C296" s="816" t="s">
        <v>1054</v>
      </c>
      <c r="D296" s="223" t="s">
        <v>1542</v>
      </c>
      <c r="E296" s="20" t="s">
        <v>1441</v>
      </c>
      <c r="F296" s="20"/>
      <c r="G296" s="20"/>
      <c r="H296" s="20"/>
      <c r="I296" s="20"/>
      <c r="J296" s="20"/>
      <c r="K296" s="20"/>
      <c r="L296" s="20"/>
      <c r="M296" s="20"/>
      <c r="N296" s="20"/>
      <c r="O296" s="20"/>
      <c r="P296" s="20"/>
      <c r="Q296" s="20"/>
      <c r="R296" s="20"/>
      <c r="S296" s="20"/>
      <c r="T296" s="20"/>
      <c r="U296" s="20"/>
      <c r="V296" s="20"/>
      <c r="W296" s="20"/>
      <c r="X296" s="20"/>
      <c r="Y296" s="20"/>
      <c r="Z296" s="20"/>
      <c r="AA296" s="20"/>
      <c r="AB296" s="12"/>
      <c r="AC296" s="12"/>
      <c r="AD296" s="12"/>
      <c r="AE296" s="12"/>
      <c r="AF296" s="12"/>
      <c r="AG296" s="12"/>
      <c r="AH296" s="12">
        <v>373652</v>
      </c>
      <c r="AI296" s="14">
        <v>374365</v>
      </c>
      <c r="AJ296" s="21">
        <v>40805</v>
      </c>
      <c r="AK296" s="21">
        <v>41533</v>
      </c>
      <c r="AL296" s="21">
        <v>545313</v>
      </c>
      <c r="AM296" s="21">
        <v>546062</v>
      </c>
      <c r="AN296" s="1058">
        <v>726550</v>
      </c>
      <c r="AO296" s="1058">
        <v>735693</v>
      </c>
      <c r="AP296" s="1058">
        <v>371719</v>
      </c>
      <c r="AQ296" s="1058">
        <v>376435</v>
      </c>
      <c r="AR296" s="1044"/>
      <c r="AS296" s="1044"/>
    </row>
    <row r="297" spans="2:45" hidden="1" outlineLevel="1">
      <c r="C297" s="816" t="s">
        <v>1054</v>
      </c>
      <c r="D297" s="223" t="s">
        <v>2100</v>
      </c>
      <c r="E297" s="254" t="s">
        <v>1442</v>
      </c>
      <c r="F297" s="20"/>
      <c r="G297" s="20"/>
      <c r="H297" s="20"/>
      <c r="I297" s="20"/>
      <c r="J297" s="20"/>
      <c r="K297" s="20"/>
      <c r="L297" s="20"/>
      <c r="M297" s="20"/>
      <c r="N297" s="20"/>
      <c r="O297" s="20"/>
      <c r="P297" s="20"/>
      <c r="Q297" s="20"/>
      <c r="R297" s="20"/>
      <c r="S297" s="20"/>
      <c r="T297" s="20"/>
      <c r="U297" s="20"/>
      <c r="V297" s="20"/>
      <c r="W297" s="20"/>
      <c r="X297" s="20"/>
      <c r="Y297" s="20"/>
      <c r="Z297" s="20"/>
      <c r="AA297" s="20"/>
      <c r="AB297" s="12"/>
      <c r="AC297" s="12"/>
      <c r="AD297" s="12"/>
      <c r="AE297" s="12"/>
      <c r="AF297" s="12"/>
      <c r="AG297" s="12"/>
      <c r="AH297" s="12">
        <v>7103048</v>
      </c>
      <c r="AI297" s="14">
        <v>6812720</v>
      </c>
      <c r="AJ297" s="21">
        <v>8514473</v>
      </c>
      <c r="AK297" s="21">
        <v>8722603</v>
      </c>
      <c r="AL297" s="21">
        <v>9407507</v>
      </c>
      <c r="AM297" s="21">
        <v>9660030</v>
      </c>
      <c r="AN297" s="1058">
        <v>9263581</v>
      </c>
      <c r="AO297" s="1058">
        <v>9764726</v>
      </c>
      <c r="AP297" s="1058">
        <v>2253469</v>
      </c>
      <c r="AQ297" s="1058">
        <v>2373458</v>
      </c>
      <c r="AR297" s="1044"/>
      <c r="AS297" s="1044"/>
    </row>
    <row r="298" spans="2:45" hidden="1" outlineLevel="1">
      <c r="C298" s="816" t="s">
        <v>1054</v>
      </c>
      <c r="D298" s="1051" t="s">
        <v>2100</v>
      </c>
      <c r="E298" s="254" t="s">
        <v>1443</v>
      </c>
      <c r="F298" s="20"/>
      <c r="G298" s="20"/>
      <c r="H298" s="20"/>
      <c r="I298" s="20"/>
      <c r="J298" s="20"/>
      <c r="K298" s="20"/>
      <c r="L298" s="20"/>
      <c r="M298" s="20"/>
      <c r="N298" s="20"/>
      <c r="O298" s="20"/>
      <c r="P298" s="20"/>
      <c r="Q298" s="20"/>
      <c r="R298" s="20"/>
      <c r="S298" s="20"/>
      <c r="T298" s="20"/>
      <c r="U298" s="20"/>
      <c r="V298" s="20"/>
      <c r="W298" s="20"/>
      <c r="X298" s="20"/>
      <c r="Y298" s="20"/>
      <c r="Z298" s="20"/>
      <c r="AA298" s="20"/>
      <c r="AB298" s="12"/>
      <c r="AC298" s="12"/>
      <c r="AD298" s="12"/>
      <c r="AE298" s="12"/>
      <c r="AF298" s="12"/>
      <c r="AG298" s="12"/>
      <c r="AH298" s="12">
        <v>2375301</v>
      </c>
      <c r="AI298" s="14">
        <v>2399905</v>
      </c>
      <c r="AJ298" s="21">
        <v>1759058</v>
      </c>
      <c r="AK298" s="21">
        <v>1777960</v>
      </c>
      <c r="AL298" s="21">
        <v>2564508</v>
      </c>
      <c r="AM298" s="21">
        <v>2592285</v>
      </c>
      <c r="AN298" s="1058">
        <v>2820526</v>
      </c>
      <c r="AO298" s="1058">
        <v>2972975</v>
      </c>
      <c r="AP298" s="1058">
        <v>644706</v>
      </c>
      <c r="AQ298" s="1058">
        <v>679424</v>
      </c>
      <c r="AR298" s="1044"/>
      <c r="AS298" s="1044"/>
    </row>
    <row r="299" spans="2:45" hidden="1" outlineLevel="1">
      <c r="C299" s="816" t="s">
        <v>1054</v>
      </c>
      <c r="D299" s="1051" t="s">
        <v>2100</v>
      </c>
      <c r="E299" s="254" t="s">
        <v>1444</v>
      </c>
      <c r="F299" s="20"/>
      <c r="G299" s="20"/>
      <c r="H299" s="20"/>
      <c r="I299" s="20"/>
      <c r="J299" s="20"/>
      <c r="K299" s="20"/>
      <c r="L299" s="20"/>
      <c r="M299" s="20"/>
      <c r="N299" s="20"/>
      <c r="O299" s="20"/>
      <c r="P299" s="20"/>
      <c r="Q299" s="20"/>
      <c r="R299" s="20"/>
      <c r="S299" s="20"/>
      <c r="T299" s="20"/>
      <c r="U299" s="20"/>
      <c r="V299" s="20"/>
      <c r="W299" s="20"/>
      <c r="X299" s="20"/>
      <c r="Y299" s="20"/>
      <c r="Z299" s="20"/>
      <c r="AA299" s="20"/>
      <c r="AB299" s="12"/>
      <c r="AC299" s="12"/>
      <c r="AD299" s="12"/>
      <c r="AE299" s="12"/>
      <c r="AF299" s="12"/>
      <c r="AG299" s="12"/>
      <c r="AH299" s="12">
        <v>1228010</v>
      </c>
      <c r="AI299" s="14">
        <v>1248029</v>
      </c>
      <c r="AJ299" s="21">
        <v>1386669</v>
      </c>
      <c r="AK299" s="21">
        <v>1401698</v>
      </c>
      <c r="AL299" s="21">
        <v>1668839</v>
      </c>
      <c r="AM299" s="21">
        <v>1698818</v>
      </c>
      <c r="AN299" s="1058">
        <v>1840951</v>
      </c>
      <c r="AO299" s="1058">
        <v>1933655</v>
      </c>
      <c r="AP299" s="1058">
        <v>195963</v>
      </c>
      <c r="AQ299" s="1058">
        <v>217598</v>
      </c>
      <c r="AR299" s="1044"/>
      <c r="AS299" s="1044"/>
    </row>
    <row r="300" spans="2:45" hidden="1" outlineLevel="1">
      <c r="C300" s="816" t="s">
        <v>1054</v>
      </c>
      <c r="D300" s="1051" t="s">
        <v>2100</v>
      </c>
      <c r="E300" s="254" t="s">
        <v>1445</v>
      </c>
      <c r="F300" s="20"/>
      <c r="G300" s="20"/>
      <c r="H300" s="20"/>
      <c r="I300" s="20"/>
      <c r="J300" s="20"/>
      <c r="K300" s="20"/>
      <c r="L300" s="20"/>
      <c r="M300" s="20"/>
      <c r="N300" s="20"/>
      <c r="O300" s="20"/>
      <c r="P300" s="20"/>
      <c r="Q300" s="20"/>
      <c r="R300" s="20"/>
      <c r="S300" s="20"/>
      <c r="T300" s="20"/>
      <c r="U300" s="20"/>
      <c r="V300" s="20"/>
      <c r="W300" s="20"/>
      <c r="X300" s="20"/>
      <c r="Y300" s="20"/>
      <c r="Z300" s="20"/>
      <c r="AA300" s="20"/>
      <c r="AB300" s="12"/>
      <c r="AC300" s="12"/>
      <c r="AD300" s="12"/>
      <c r="AE300" s="12"/>
      <c r="AF300" s="12"/>
      <c r="AG300" s="12"/>
      <c r="AH300" s="12">
        <v>9199300</v>
      </c>
      <c r="AI300" s="14">
        <v>9207410</v>
      </c>
      <c r="AJ300" s="21">
        <v>11243714</v>
      </c>
      <c r="AK300" s="21">
        <v>11484476</v>
      </c>
      <c r="AL300" s="21">
        <v>10047642</v>
      </c>
      <c r="AM300" s="21">
        <v>10668131</v>
      </c>
      <c r="AN300" s="1058">
        <v>10778985</v>
      </c>
      <c r="AO300" s="1058">
        <v>11355608</v>
      </c>
      <c r="AP300" s="1058">
        <v>2633284</v>
      </c>
      <c r="AQ300" s="1058">
        <v>2762983</v>
      </c>
      <c r="AR300" s="1044"/>
      <c r="AS300" s="1044"/>
    </row>
    <row r="301" spans="2:45" s="808" customFormat="1" hidden="1" outlineLevel="1">
      <c r="B301" s="809"/>
      <c r="C301" s="816" t="s">
        <v>1054</v>
      </c>
      <c r="D301" s="1051" t="s">
        <v>2100</v>
      </c>
      <c r="E301" s="815" t="s">
        <v>1852</v>
      </c>
      <c r="F301" s="813"/>
      <c r="G301" s="813"/>
      <c r="H301" s="813"/>
      <c r="I301" s="813"/>
      <c r="J301" s="813"/>
      <c r="K301" s="813"/>
      <c r="L301" s="813"/>
      <c r="M301" s="813"/>
      <c r="N301" s="813"/>
      <c r="O301" s="813"/>
      <c r="P301" s="813"/>
      <c r="Q301" s="813"/>
      <c r="R301" s="813"/>
      <c r="S301" s="813"/>
      <c r="T301" s="813"/>
      <c r="U301" s="813"/>
      <c r="V301" s="813"/>
      <c r="W301" s="813"/>
      <c r="X301" s="813"/>
      <c r="Y301" s="813"/>
      <c r="Z301" s="813"/>
      <c r="AA301" s="813"/>
      <c r="AB301" s="811"/>
      <c r="AC301" s="811"/>
      <c r="AD301" s="811"/>
      <c r="AE301" s="811"/>
      <c r="AF301" s="811"/>
      <c r="AG301" s="811"/>
      <c r="AH301" s="811"/>
      <c r="AI301" s="812"/>
      <c r="AJ301" s="814"/>
      <c r="AK301" s="814"/>
      <c r="AL301" s="814"/>
      <c r="AM301" s="814"/>
      <c r="AN301" s="1058">
        <v>262761</v>
      </c>
      <c r="AO301" s="1058">
        <v>334506</v>
      </c>
      <c r="AP301" s="1058">
        <v>295480</v>
      </c>
      <c r="AQ301" s="1058">
        <v>314831</v>
      </c>
      <c r="AR301" s="1044"/>
      <c r="AS301" s="1044"/>
    </row>
    <row r="302" spans="2:45" s="808" customFormat="1" hidden="1" outlineLevel="1">
      <c r="B302" s="809"/>
      <c r="C302" s="816" t="s">
        <v>1054</v>
      </c>
      <c r="D302" s="1051" t="s">
        <v>2100</v>
      </c>
      <c r="E302" s="815" t="s">
        <v>1853</v>
      </c>
      <c r="F302" s="813"/>
      <c r="G302" s="813"/>
      <c r="H302" s="813"/>
      <c r="I302" s="813"/>
      <c r="J302" s="813"/>
      <c r="K302" s="813"/>
      <c r="L302" s="813"/>
      <c r="M302" s="813"/>
      <c r="N302" s="813"/>
      <c r="O302" s="813"/>
      <c r="P302" s="813"/>
      <c r="Q302" s="813"/>
      <c r="R302" s="813"/>
      <c r="S302" s="813"/>
      <c r="T302" s="813"/>
      <c r="U302" s="813"/>
      <c r="V302" s="813"/>
      <c r="W302" s="813"/>
      <c r="X302" s="813"/>
      <c r="Y302" s="813"/>
      <c r="Z302" s="813"/>
      <c r="AA302" s="813"/>
      <c r="AB302" s="811"/>
      <c r="AC302" s="811"/>
      <c r="AD302" s="811"/>
      <c r="AE302" s="811"/>
      <c r="AF302" s="811"/>
      <c r="AG302" s="811"/>
      <c r="AH302" s="811"/>
      <c r="AI302" s="812"/>
      <c r="AJ302" s="814"/>
      <c r="AK302" s="814"/>
      <c r="AL302" s="814"/>
      <c r="AM302" s="814"/>
      <c r="AN302" s="1058">
        <v>364649</v>
      </c>
      <c r="AO302" s="1058">
        <v>463964</v>
      </c>
      <c r="AP302" s="1058">
        <v>188344</v>
      </c>
      <c r="AQ302" s="1058">
        <v>198731</v>
      </c>
      <c r="AR302" s="1044"/>
      <c r="AS302" s="1044"/>
    </row>
    <row r="303" spans="2:45" hidden="1" outlineLevel="1">
      <c r="C303" s="816" t="s">
        <v>1054</v>
      </c>
      <c r="D303" s="223" t="s">
        <v>1541</v>
      </c>
      <c r="E303" s="20" t="s">
        <v>83</v>
      </c>
      <c r="F303" s="20"/>
      <c r="G303" s="20"/>
      <c r="H303" s="20"/>
      <c r="I303" s="20"/>
      <c r="J303" s="20"/>
      <c r="K303" s="20"/>
      <c r="L303" s="20"/>
      <c r="M303" s="20"/>
      <c r="N303" s="20"/>
      <c r="O303" s="20"/>
      <c r="P303" s="20"/>
      <c r="Q303" s="20"/>
      <c r="R303" s="20"/>
      <c r="S303" s="20"/>
      <c r="T303" s="20"/>
      <c r="U303" s="20"/>
      <c r="V303" s="20"/>
      <c r="W303" s="20"/>
      <c r="X303" s="20"/>
      <c r="Y303" s="20"/>
      <c r="Z303" s="20"/>
      <c r="AA303" s="20"/>
      <c r="AB303" s="12"/>
      <c r="AC303" s="12"/>
      <c r="AD303" s="12"/>
      <c r="AE303" s="12"/>
      <c r="AF303" s="12"/>
      <c r="AG303" s="12"/>
      <c r="AH303" s="12">
        <v>475000</v>
      </c>
      <c r="AI303" s="12">
        <v>475000</v>
      </c>
      <c r="AJ303" s="21">
        <v>468750</v>
      </c>
      <c r="AK303" s="21">
        <v>468750</v>
      </c>
      <c r="AL303" s="21">
        <v>474700</v>
      </c>
      <c r="AM303" s="21">
        <v>474700</v>
      </c>
      <c r="AN303" s="1058">
        <v>455712</v>
      </c>
      <c r="AO303" s="1058">
        <v>455712</v>
      </c>
      <c r="AP303" s="1058">
        <v>455712</v>
      </c>
      <c r="AQ303" s="1058">
        <v>455712</v>
      </c>
      <c r="AR303" s="1044"/>
      <c r="AS303" s="1044"/>
    </row>
    <row r="304" spans="2:45" hidden="1" outlineLevel="1">
      <c r="C304" s="816" t="s">
        <v>1054</v>
      </c>
      <c r="D304" s="223" t="s">
        <v>1541</v>
      </c>
      <c r="E304" s="20" t="s">
        <v>84</v>
      </c>
      <c r="F304" s="20"/>
      <c r="G304" s="20"/>
      <c r="H304" s="20"/>
      <c r="I304" s="20"/>
      <c r="J304" s="20"/>
      <c r="K304" s="20"/>
      <c r="L304" s="20"/>
      <c r="M304" s="20"/>
      <c r="N304" s="20"/>
      <c r="O304" s="20"/>
      <c r="P304" s="20"/>
      <c r="Q304" s="20"/>
      <c r="R304" s="20"/>
      <c r="S304" s="20"/>
      <c r="T304" s="20"/>
      <c r="U304" s="20"/>
      <c r="V304" s="20"/>
      <c r="W304" s="20"/>
      <c r="X304" s="20"/>
      <c r="Y304" s="20"/>
      <c r="Z304" s="20"/>
      <c r="AA304" s="20"/>
      <c r="AB304" s="12"/>
      <c r="AC304" s="12"/>
      <c r="AD304" s="12"/>
      <c r="AE304" s="12"/>
      <c r="AF304" s="12"/>
      <c r="AG304" s="12"/>
      <c r="AH304" s="12">
        <v>9000</v>
      </c>
      <c r="AI304" s="12">
        <v>9000</v>
      </c>
      <c r="AJ304" s="21">
        <v>0</v>
      </c>
      <c r="AK304" s="21">
        <v>0</v>
      </c>
      <c r="AL304" s="21">
        <v>462043</v>
      </c>
      <c r="AN304" s="1058"/>
      <c r="AO304" s="1058"/>
      <c r="AP304" s="1058"/>
      <c r="AQ304" s="1058"/>
      <c r="AR304" s="1044"/>
      <c r="AS304" s="1044"/>
    </row>
    <row r="305" spans="2:45" hidden="1" outlineLevel="1">
      <c r="C305" s="816" t="s">
        <v>1054</v>
      </c>
      <c r="D305" s="223" t="s">
        <v>1541</v>
      </c>
      <c r="E305" s="20" t="s">
        <v>85</v>
      </c>
      <c r="F305" s="20"/>
      <c r="G305" s="20"/>
      <c r="H305" s="20"/>
      <c r="I305" s="20"/>
      <c r="J305" s="20"/>
      <c r="K305" s="20"/>
      <c r="L305" s="20"/>
      <c r="M305" s="20"/>
      <c r="N305" s="20"/>
      <c r="O305" s="20"/>
      <c r="P305" s="20"/>
      <c r="Q305" s="20"/>
      <c r="R305" s="20"/>
      <c r="S305" s="20"/>
      <c r="T305" s="20"/>
      <c r="U305" s="20"/>
      <c r="V305" s="20"/>
      <c r="W305" s="20"/>
      <c r="X305" s="20"/>
      <c r="Y305" s="20"/>
      <c r="Z305" s="20"/>
      <c r="AA305" s="20"/>
      <c r="AB305" s="12"/>
      <c r="AC305" s="12"/>
      <c r="AD305" s="12"/>
      <c r="AE305" s="12"/>
      <c r="AF305" s="12"/>
      <c r="AG305" s="12"/>
      <c r="AH305" s="12">
        <v>452209</v>
      </c>
      <c r="AI305" s="12">
        <v>452209</v>
      </c>
      <c r="AJ305" s="21">
        <v>452258</v>
      </c>
      <c r="AK305" s="21">
        <v>452258</v>
      </c>
      <c r="AL305" s="21"/>
      <c r="AM305" s="21">
        <v>462043</v>
      </c>
      <c r="AN305" s="1058">
        <v>443562</v>
      </c>
      <c r="AO305" s="1058">
        <v>443561</v>
      </c>
      <c r="AP305" s="1058">
        <v>443562</v>
      </c>
      <c r="AQ305" s="1058">
        <v>443561</v>
      </c>
      <c r="AR305" s="1044"/>
      <c r="AS305" s="1044"/>
    </row>
    <row r="306" spans="2:45" hidden="1" outlineLevel="1">
      <c r="C306" s="816" t="s">
        <v>1054</v>
      </c>
      <c r="D306" s="223" t="s">
        <v>1541</v>
      </c>
      <c r="E306" s="20" t="s">
        <v>88</v>
      </c>
      <c r="F306" s="20"/>
      <c r="G306" s="20"/>
      <c r="H306" s="20"/>
      <c r="I306" s="20"/>
      <c r="J306" s="20"/>
      <c r="K306" s="20"/>
      <c r="L306" s="20"/>
      <c r="M306" s="20"/>
      <c r="N306" s="20"/>
      <c r="O306" s="20"/>
      <c r="P306" s="20"/>
      <c r="Q306" s="20"/>
      <c r="R306" s="20"/>
      <c r="S306" s="20"/>
      <c r="T306" s="20"/>
      <c r="U306" s="20"/>
      <c r="V306" s="20"/>
      <c r="W306" s="20"/>
      <c r="X306" s="20"/>
      <c r="Y306" s="20"/>
      <c r="Z306" s="20"/>
      <c r="AA306" s="20"/>
      <c r="AB306" s="12"/>
      <c r="AC306" s="12"/>
      <c r="AD306" s="12"/>
      <c r="AE306" s="12"/>
      <c r="AF306" s="12"/>
      <c r="AG306" s="12"/>
      <c r="AH306" s="12">
        <v>14436000</v>
      </c>
      <c r="AI306" s="12">
        <v>14456000</v>
      </c>
      <c r="AJ306" s="21">
        <v>19480000</v>
      </c>
      <c r="AK306" s="21">
        <v>19513000</v>
      </c>
      <c r="AL306" s="21">
        <v>20027654</v>
      </c>
      <c r="AM306" s="21">
        <v>20027654</v>
      </c>
      <c r="AN306" s="1058">
        <v>24516548</v>
      </c>
      <c r="AO306" s="1058">
        <v>24516549</v>
      </c>
      <c r="AP306" s="1058">
        <v>24754048</v>
      </c>
      <c r="AQ306" s="1058">
        <v>24754049</v>
      </c>
      <c r="AR306" s="1044"/>
      <c r="AS306" s="1044"/>
    </row>
    <row r="307" spans="2:45" hidden="1" outlineLevel="1">
      <c r="C307" s="816" t="s">
        <v>1054</v>
      </c>
      <c r="D307" s="223"/>
      <c r="E307" s="224" t="s">
        <v>1693</v>
      </c>
      <c r="F307" s="20"/>
      <c r="G307" s="20"/>
      <c r="H307" s="20"/>
      <c r="I307" s="20"/>
      <c r="J307" s="20"/>
      <c r="K307" s="20"/>
      <c r="L307" s="20"/>
      <c r="M307" s="20"/>
      <c r="N307" s="20"/>
      <c r="O307" s="20"/>
      <c r="P307" s="20"/>
      <c r="Q307" s="20"/>
      <c r="R307" s="20"/>
      <c r="S307" s="20"/>
      <c r="T307" s="20"/>
      <c r="U307" s="20"/>
      <c r="V307" s="20"/>
      <c r="W307" s="20"/>
      <c r="X307" s="20"/>
      <c r="Y307" s="20"/>
      <c r="Z307" s="20"/>
      <c r="AA307" s="20"/>
      <c r="AB307" s="12"/>
      <c r="AC307" s="12"/>
      <c r="AD307" s="12"/>
      <c r="AE307" s="12"/>
      <c r="AF307" s="12"/>
      <c r="AG307" s="12"/>
      <c r="AH307" s="12"/>
      <c r="AI307" s="12"/>
      <c r="AJ307" s="21"/>
      <c r="AK307" s="21"/>
      <c r="AL307" s="21">
        <v>11500000</v>
      </c>
      <c r="AM307" s="21">
        <v>11500000</v>
      </c>
      <c r="AN307" s="1058"/>
      <c r="AO307" s="1058"/>
      <c r="AP307" s="1058"/>
      <c r="AQ307" s="1058"/>
      <c r="AR307" s="1044"/>
      <c r="AS307" s="1044"/>
    </row>
    <row r="308" spans="2:45" hidden="1" outlineLevel="1">
      <c r="C308" s="816" t="s">
        <v>1054</v>
      </c>
      <c r="D308" s="223"/>
      <c r="E308" s="27" t="s">
        <v>90</v>
      </c>
      <c r="F308" s="20"/>
      <c r="G308" s="20"/>
      <c r="H308" s="20"/>
      <c r="I308" s="20"/>
      <c r="J308" s="20"/>
      <c r="K308" s="20"/>
      <c r="L308" s="20"/>
      <c r="M308" s="20"/>
      <c r="N308" s="20"/>
      <c r="O308" s="20"/>
      <c r="P308" s="20"/>
      <c r="Q308" s="20"/>
      <c r="R308" s="20"/>
      <c r="S308" s="20"/>
      <c r="T308" s="20"/>
      <c r="U308" s="20"/>
      <c r="V308" s="20"/>
      <c r="W308" s="20"/>
      <c r="X308" s="20"/>
      <c r="Y308" s="20"/>
      <c r="Z308" s="20"/>
      <c r="AA308" s="20"/>
      <c r="AB308" s="12"/>
      <c r="AC308" s="12"/>
      <c r="AD308" s="12"/>
      <c r="AE308" s="12"/>
      <c r="AF308" s="12"/>
      <c r="AG308" s="12"/>
      <c r="AH308" s="12">
        <v>1235964655</v>
      </c>
      <c r="AI308" s="12">
        <v>1174228161</v>
      </c>
      <c r="AJ308" s="21">
        <v>1280671093</v>
      </c>
      <c r="AK308" s="21">
        <v>1310356835</v>
      </c>
      <c r="AL308" s="45">
        <f t="shared" ref="AL308:AQ308" si="12">SUM(AL236:AL307)</f>
        <v>1387313301</v>
      </c>
      <c r="AM308" s="45">
        <f t="shared" si="12"/>
        <v>1306865251</v>
      </c>
      <c r="AN308" s="983">
        <f t="shared" si="12"/>
        <v>1376363132</v>
      </c>
      <c r="AO308" s="983">
        <f t="shared" si="12"/>
        <v>1379956069</v>
      </c>
      <c r="AP308" s="983">
        <f t="shared" si="12"/>
        <v>1303396849</v>
      </c>
      <c r="AQ308" s="983">
        <f t="shared" si="12"/>
        <v>1304095650</v>
      </c>
      <c r="AR308" s="1044"/>
      <c r="AS308" s="1044"/>
    </row>
    <row r="309" spans="2:45" hidden="1" outlineLevel="1">
      <c r="C309" s="816" t="s">
        <v>1054</v>
      </c>
      <c r="D309" s="223"/>
      <c r="E309" s="20" t="s">
        <v>92</v>
      </c>
      <c r="F309" s="20"/>
      <c r="G309" s="20"/>
      <c r="H309" s="20"/>
      <c r="I309" s="20"/>
      <c r="J309" s="20"/>
      <c r="K309" s="20"/>
      <c r="L309" s="20"/>
      <c r="M309" s="20"/>
      <c r="N309" s="20"/>
      <c r="O309" s="20"/>
      <c r="P309" s="20"/>
      <c r="Q309" s="20"/>
      <c r="R309" s="20"/>
      <c r="S309" s="20"/>
      <c r="T309" s="20"/>
      <c r="U309" s="20"/>
      <c r="V309" s="20"/>
      <c r="W309" s="20"/>
      <c r="X309" s="20"/>
      <c r="Y309" s="20"/>
      <c r="Z309" s="20"/>
      <c r="AA309" s="20"/>
      <c r="AB309" s="12"/>
      <c r="AC309" s="12"/>
      <c r="AD309" s="12"/>
      <c r="AE309" s="12"/>
      <c r="AF309" s="12"/>
      <c r="AG309" s="12"/>
      <c r="AH309" s="12">
        <v>41844521</v>
      </c>
      <c r="AI309" s="12">
        <v>43309079</v>
      </c>
      <c r="AJ309" s="21">
        <v>46572713</v>
      </c>
      <c r="AK309" s="21">
        <v>47504167</v>
      </c>
      <c r="AL309" s="21">
        <v>46345849</v>
      </c>
      <c r="AM309" s="21">
        <v>48199683</v>
      </c>
      <c r="AN309" s="1058">
        <v>55627670</v>
      </c>
      <c r="AO309" s="1058">
        <v>57302689</v>
      </c>
      <c r="AP309" s="1058">
        <v>58123265</v>
      </c>
      <c r="AQ309" s="1058">
        <v>59297355</v>
      </c>
      <c r="AR309" s="1044"/>
      <c r="AS309" s="1044"/>
    </row>
    <row r="310" spans="2:45" hidden="1" outlineLevel="1">
      <c r="C310" s="816" t="s">
        <v>1054</v>
      </c>
      <c r="D310" s="223"/>
      <c r="E310" s="27" t="s">
        <v>93</v>
      </c>
      <c r="F310" s="20"/>
      <c r="G310" s="20"/>
      <c r="H310" s="20"/>
      <c r="I310" s="20"/>
      <c r="J310" s="20"/>
      <c r="K310" s="20"/>
      <c r="L310" s="20"/>
      <c r="M310" s="20"/>
      <c r="N310" s="20"/>
      <c r="O310" s="20"/>
      <c r="P310" s="20"/>
      <c r="Q310" s="20"/>
      <c r="R310" s="20"/>
      <c r="S310" s="20"/>
      <c r="T310" s="20"/>
      <c r="U310" s="20"/>
      <c r="V310" s="20"/>
      <c r="W310" s="20"/>
      <c r="X310" s="20"/>
      <c r="Y310" s="20"/>
      <c r="Z310" s="20"/>
      <c r="AA310" s="20"/>
      <c r="AB310" s="12"/>
      <c r="AC310" s="12"/>
      <c r="AD310" s="12"/>
      <c r="AE310" s="12"/>
      <c r="AF310" s="12"/>
      <c r="AG310" s="12"/>
      <c r="AH310" s="12">
        <v>41844521</v>
      </c>
      <c r="AI310" s="12">
        <v>43309079</v>
      </c>
      <c r="AJ310" s="21">
        <v>46572713</v>
      </c>
      <c r="AK310" s="21">
        <v>47504167</v>
      </c>
      <c r="AL310" s="45">
        <f t="shared" ref="AL310:AQ310" si="13">SUM(AL309)</f>
        <v>46345849</v>
      </c>
      <c r="AM310" s="45">
        <f t="shared" si="13"/>
        <v>48199683</v>
      </c>
      <c r="AN310" s="983">
        <f t="shared" si="13"/>
        <v>55627670</v>
      </c>
      <c r="AO310" s="983">
        <f t="shared" si="13"/>
        <v>57302689</v>
      </c>
      <c r="AP310" s="983">
        <f t="shared" si="13"/>
        <v>58123265</v>
      </c>
      <c r="AQ310" s="983">
        <f t="shared" si="13"/>
        <v>59297355</v>
      </c>
      <c r="AR310" s="1044"/>
      <c r="AS310" s="1044"/>
    </row>
    <row r="311" spans="2:45" hidden="1" outlineLevel="1">
      <c r="C311" s="816" t="s">
        <v>1054</v>
      </c>
      <c r="D311" s="223"/>
      <c r="E311" s="20" t="s">
        <v>98</v>
      </c>
      <c r="F311" s="20"/>
      <c r="G311" s="20"/>
      <c r="H311" s="20"/>
      <c r="I311" s="20"/>
      <c r="J311" s="20"/>
      <c r="K311" s="20"/>
      <c r="L311" s="20"/>
      <c r="M311" s="20"/>
      <c r="N311" s="20"/>
      <c r="O311" s="20"/>
      <c r="P311" s="20"/>
      <c r="Q311" s="20"/>
      <c r="R311" s="20"/>
      <c r="S311" s="20"/>
      <c r="T311" s="20"/>
      <c r="U311" s="20"/>
      <c r="V311" s="20"/>
      <c r="W311" s="20"/>
      <c r="X311" s="20"/>
      <c r="Y311" s="20"/>
      <c r="Z311" s="20"/>
      <c r="AA311" s="20"/>
      <c r="AB311" s="12"/>
      <c r="AC311" s="12"/>
      <c r="AD311" s="12"/>
      <c r="AE311" s="12"/>
      <c r="AF311" s="12"/>
      <c r="AG311" s="12"/>
      <c r="AH311" s="12">
        <v>1277809176</v>
      </c>
      <c r="AI311" s="12">
        <v>1217537240</v>
      </c>
      <c r="AJ311" s="21">
        <v>1327243806</v>
      </c>
      <c r="AK311" s="21">
        <v>1357861002</v>
      </c>
      <c r="AL311" s="45">
        <f t="shared" ref="AL311:AQ311" si="14">AL310+AL308</f>
        <v>1433659150</v>
      </c>
      <c r="AM311" s="45">
        <f t="shared" si="14"/>
        <v>1355064934</v>
      </c>
      <c r="AN311" s="983">
        <f t="shared" si="14"/>
        <v>1431990802</v>
      </c>
      <c r="AO311" s="983">
        <f t="shared" si="14"/>
        <v>1437258758</v>
      </c>
      <c r="AP311" s="983">
        <f t="shared" si="14"/>
        <v>1361520114</v>
      </c>
      <c r="AQ311" s="983">
        <f t="shared" si="14"/>
        <v>1363393005</v>
      </c>
      <c r="AR311" s="1044"/>
      <c r="AS311" s="1044"/>
    </row>
    <row r="312" spans="2:45" s="1044" customFormat="1" hidden="1" outlineLevel="1">
      <c r="B312" s="1045"/>
      <c r="C312" s="1053" t="s">
        <v>1054</v>
      </c>
      <c r="D312" s="1048" t="s">
        <v>836</v>
      </c>
      <c r="E312" s="1048" t="s">
        <v>2107</v>
      </c>
      <c r="F312" s="1047"/>
      <c r="G312" s="1047"/>
      <c r="H312" s="1047"/>
      <c r="I312" s="1047"/>
      <c r="J312" s="1047"/>
      <c r="K312" s="1047"/>
      <c r="L312" s="1047"/>
      <c r="M312" s="1047"/>
      <c r="N312" s="1047"/>
      <c r="O312" s="1047"/>
      <c r="P312" s="1047"/>
      <c r="Q312" s="1047"/>
      <c r="R312" s="1047"/>
      <c r="S312" s="1047"/>
      <c r="T312" s="1047"/>
      <c r="U312" s="1047"/>
      <c r="V312" s="1047"/>
      <c r="W312" s="1047"/>
      <c r="X312" s="1047"/>
      <c r="Y312" s="1047"/>
      <c r="Z312" s="1047"/>
      <c r="AA312" s="1047"/>
      <c r="AB312" s="1070"/>
      <c r="AC312" s="1070"/>
      <c r="AD312" s="1070"/>
      <c r="AE312" s="1070"/>
      <c r="AF312" s="1070"/>
      <c r="AG312" s="1070"/>
      <c r="AH312" s="1070">
        <f t="shared" ref="AH312:AI318" si="15">SUMIF($D$236:$D$307,$D312,AH$236:AH$307)</f>
        <v>872986205</v>
      </c>
      <c r="AI312" s="1070">
        <f>SUMIF($D$236:$D$307,$D312,AI$236:AI$307)</f>
        <v>886971886</v>
      </c>
      <c r="AJ312" s="1070">
        <f t="shared" ref="AJ312:AQ318" si="16">SUMIF($D$236:$D$307,$D312,AJ$236:AJ$307)</f>
        <v>966055208</v>
      </c>
      <c r="AK312" s="1070">
        <f t="shared" si="16"/>
        <v>967184157</v>
      </c>
      <c r="AL312" s="1070">
        <f t="shared" si="16"/>
        <v>1016261599</v>
      </c>
      <c r="AM312" s="1070">
        <f t="shared" si="16"/>
        <v>1013868651</v>
      </c>
      <c r="AN312" s="1070">
        <f t="shared" si="16"/>
        <v>1092622626</v>
      </c>
      <c r="AO312" s="1070">
        <f t="shared" si="16"/>
        <v>1100944827</v>
      </c>
      <c r="AP312" s="1070">
        <f t="shared" si="16"/>
        <v>1089279472</v>
      </c>
      <c r="AQ312" s="1070">
        <f t="shared" si="16"/>
        <v>1089065834</v>
      </c>
    </row>
    <row r="313" spans="2:45" s="1044" customFormat="1" hidden="1" outlineLevel="1">
      <c r="B313" s="1045"/>
      <c r="C313" s="1053" t="s">
        <v>1054</v>
      </c>
      <c r="D313" s="1048" t="s">
        <v>958</v>
      </c>
      <c r="E313" s="1048" t="s">
        <v>2108</v>
      </c>
      <c r="F313" s="1047"/>
      <c r="G313" s="1047"/>
      <c r="H313" s="1047"/>
      <c r="I313" s="1047"/>
      <c r="J313" s="1047"/>
      <c r="K313" s="1047"/>
      <c r="L313" s="1047"/>
      <c r="M313" s="1047"/>
      <c r="N313" s="1047"/>
      <c r="O313" s="1047"/>
      <c r="P313" s="1047"/>
      <c r="Q313" s="1047"/>
      <c r="R313" s="1047"/>
      <c r="S313" s="1047"/>
      <c r="T313" s="1047"/>
      <c r="U313" s="1047"/>
      <c r="V313" s="1047"/>
      <c r="W313" s="1047"/>
      <c r="X313" s="1047"/>
      <c r="Y313" s="1047"/>
      <c r="Z313" s="1047"/>
      <c r="AA313" s="1047"/>
      <c r="AB313" s="1070"/>
      <c r="AC313" s="1070"/>
      <c r="AD313" s="1070"/>
      <c r="AE313" s="1070"/>
      <c r="AF313" s="1070"/>
      <c r="AG313" s="1070"/>
      <c r="AH313" s="1070">
        <f t="shared" si="15"/>
        <v>14000</v>
      </c>
      <c r="AI313" s="1070">
        <f t="shared" si="15"/>
        <v>14000</v>
      </c>
      <c r="AJ313" s="1070">
        <f t="shared" si="16"/>
        <v>0</v>
      </c>
      <c r="AK313" s="1070">
        <f t="shared" si="16"/>
        <v>0</v>
      </c>
      <c r="AL313" s="1070">
        <f t="shared" si="16"/>
        <v>1204020</v>
      </c>
      <c r="AM313" s="1070">
        <f t="shared" si="16"/>
        <v>1204868</v>
      </c>
      <c r="AN313" s="1070">
        <f t="shared" si="16"/>
        <v>0</v>
      </c>
      <c r="AO313" s="1070">
        <f t="shared" si="16"/>
        <v>0</v>
      </c>
      <c r="AP313" s="1070">
        <f t="shared" si="16"/>
        <v>0</v>
      </c>
      <c r="AQ313" s="1070">
        <f t="shared" si="16"/>
        <v>0</v>
      </c>
    </row>
    <row r="314" spans="2:45" s="1044" customFormat="1" hidden="1" outlineLevel="1">
      <c r="B314" s="1045"/>
      <c r="C314" s="1053" t="s">
        <v>1054</v>
      </c>
      <c r="D314" s="1048" t="s">
        <v>1498</v>
      </c>
      <c r="E314" s="1048" t="s">
        <v>2109</v>
      </c>
      <c r="F314" s="1047"/>
      <c r="G314" s="1047"/>
      <c r="H314" s="1047"/>
      <c r="I314" s="1047"/>
      <c r="J314" s="1047"/>
      <c r="K314" s="1047"/>
      <c r="L314" s="1047"/>
      <c r="M314" s="1047"/>
      <c r="N314" s="1047"/>
      <c r="O314" s="1047"/>
      <c r="P314" s="1047"/>
      <c r="Q314" s="1047"/>
      <c r="R314" s="1047"/>
      <c r="S314" s="1047"/>
      <c r="T314" s="1047"/>
      <c r="U314" s="1047"/>
      <c r="V314" s="1047"/>
      <c r="W314" s="1047"/>
      <c r="X314" s="1047"/>
      <c r="Y314" s="1047"/>
      <c r="Z314" s="1047"/>
      <c r="AA314" s="1047"/>
      <c r="AB314" s="1070"/>
      <c r="AC314" s="1070"/>
      <c r="AD314" s="1070"/>
      <c r="AE314" s="1070"/>
      <c r="AF314" s="1070"/>
      <c r="AG314" s="1070"/>
      <c r="AH314" s="1070">
        <f t="shared" si="15"/>
        <v>108383332</v>
      </c>
      <c r="AI314" s="1070">
        <f t="shared" si="15"/>
        <v>112131340</v>
      </c>
      <c r="AJ314" s="1070">
        <f t="shared" si="16"/>
        <v>78648200</v>
      </c>
      <c r="AK314" s="1070">
        <f t="shared" si="16"/>
        <v>78648202</v>
      </c>
      <c r="AL314" s="1070">
        <f t="shared" si="16"/>
        <v>91868466</v>
      </c>
      <c r="AM314" s="1070">
        <f t="shared" si="16"/>
        <v>91868470</v>
      </c>
      <c r="AN314" s="1070">
        <f t="shared" si="16"/>
        <v>101653251</v>
      </c>
      <c r="AO314" s="1070">
        <f t="shared" si="16"/>
        <v>101653252</v>
      </c>
      <c r="AP314" s="1070">
        <f t="shared" si="16"/>
        <v>107589106</v>
      </c>
      <c r="AQ314" s="1070">
        <f t="shared" si="16"/>
        <v>107589106</v>
      </c>
    </row>
    <row r="315" spans="2:45" s="1044" customFormat="1" hidden="1" outlineLevel="1">
      <c r="B315" s="1045"/>
      <c r="C315" s="1053" t="s">
        <v>1054</v>
      </c>
      <c r="D315" s="1048" t="s">
        <v>2100</v>
      </c>
      <c r="E315" s="1048" t="s">
        <v>2110</v>
      </c>
      <c r="F315" s="1047"/>
      <c r="G315" s="1047"/>
      <c r="H315" s="1047"/>
      <c r="I315" s="1047"/>
      <c r="J315" s="1047"/>
      <c r="K315" s="1047"/>
      <c r="L315" s="1047"/>
      <c r="M315" s="1047"/>
      <c r="N315" s="1047"/>
      <c r="O315" s="1047"/>
      <c r="P315" s="1047"/>
      <c r="Q315" s="1047"/>
      <c r="R315" s="1047"/>
      <c r="S315" s="1047"/>
      <c r="T315" s="1047"/>
      <c r="U315" s="1047"/>
      <c r="V315" s="1047"/>
      <c r="W315" s="1047"/>
      <c r="X315" s="1047"/>
      <c r="Y315" s="1047"/>
      <c r="Z315" s="1047"/>
      <c r="AA315" s="1047"/>
      <c r="AB315" s="1070"/>
      <c r="AC315" s="1070"/>
      <c r="AD315" s="1070"/>
      <c r="AE315" s="1070"/>
      <c r="AF315" s="1070"/>
      <c r="AG315" s="1070"/>
      <c r="AH315" s="1070">
        <f t="shared" si="15"/>
        <v>19905659</v>
      </c>
      <c r="AI315" s="1070">
        <f t="shared" si="15"/>
        <v>19668064</v>
      </c>
      <c r="AJ315" s="1070">
        <f t="shared" si="16"/>
        <v>22903914</v>
      </c>
      <c r="AK315" s="1070">
        <f t="shared" si="16"/>
        <v>23386737</v>
      </c>
      <c r="AL315" s="1070">
        <f t="shared" si="16"/>
        <v>23688496</v>
      </c>
      <c r="AM315" s="1070">
        <f t="shared" si="16"/>
        <v>24619264</v>
      </c>
      <c r="AN315" s="1070">
        <f t="shared" si="16"/>
        <v>25331453</v>
      </c>
      <c r="AO315" s="1070">
        <f t="shared" si="16"/>
        <v>26825434</v>
      </c>
      <c r="AP315" s="1070">
        <f t="shared" si="16"/>
        <v>6211246</v>
      </c>
      <c r="AQ315" s="1070">
        <f t="shared" si="16"/>
        <v>6547025</v>
      </c>
    </row>
    <row r="316" spans="2:45" s="1044" customFormat="1" hidden="1" outlineLevel="1">
      <c r="B316" s="1045"/>
      <c r="C316" s="1053" t="s">
        <v>1054</v>
      </c>
      <c r="D316" s="1048" t="s">
        <v>1203</v>
      </c>
      <c r="E316" s="1048" t="s">
        <v>2111</v>
      </c>
      <c r="F316" s="1047"/>
      <c r="G316" s="1047"/>
      <c r="H316" s="1047"/>
      <c r="I316" s="1047"/>
      <c r="J316" s="1047"/>
      <c r="K316" s="1047"/>
      <c r="L316" s="1047"/>
      <c r="M316" s="1047"/>
      <c r="N316" s="1047"/>
      <c r="O316" s="1047"/>
      <c r="P316" s="1047"/>
      <c r="Q316" s="1047"/>
      <c r="R316" s="1047"/>
      <c r="S316" s="1047"/>
      <c r="T316" s="1047"/>
      <c r="U316" s="1047"/>
      <c r="V316" s="1047"/>
      <c r="W316" s="1047"/>
      <c r="X316" s="1047"/>
      <c r="Y316" s="1047"/>
      <c r="Z316" s="1047"/>
      <c r="AA316" s="1047"/>
      <c r="AB316" s="1070"/>
      <c r="AC316" s="1070"/>
      <c r="AD316" s="1070"/>
      <c r="AE316" s="1070"/>
      <c r="AF316" s="1070"/>
      <c r="AG316" s="1070"/>
      <c r="AH316" s="1070">
        <f t="shared" si="15"/>
        <v>9183835</v>
      </c>
      <c r="AI316" s="1070">
        <f t="shared" si="15"/>
        <v>9331016</v>
      </c>
      <c r="AJ316" s="1070">
        <f t="shared" si="16"/>
        <v>8431062</v>
      </c>
      <c r="AK316" s="1070">
        <f t="shared" si="16"/>
        <v>8524062</v>
      </c>
      <c r="AL316" s="1070">
        <f t="shared" si="16"/>
        <v>6502003</v>
      </c>
      <c r="AM316" s="1070">
        <f t="shared" si="16"/>
        <v>6532151</v>
      </c>
      <c r="AN316" s="1070">
        <f t="shared" si="16"/>
        <v>6700884</v>
      </c>
      <c r="AO316" s="1070">
        <f t="shared" si="16"/>
        <v>6718155</v>
      </c>
      <c r="AP316" s="1070">
        <f t="shared" si="16"/>
        <v>6861501</v>
      </c>
      <c r="AQ316" s="1070">
        <f t="shared" si="16"/>
        <v>6867984</v>
      </c>
    </row>
    <row r="317" spans="2:45" s="1044" customFormat="1" hidden="1" outlineLevel="1">
      <c r="B317" s="1045"/>
      <c r="C317" s="1053" t="s">
        <v>1054</v>
      </c>
      <c r="D317" s="1048" t="s">
        <v>1542</v>
      </c>
      <c r="E317" s="1048" t="s">
        <v>2106</v>
      </c>
      <c r="F317" s="1047"/>
      <c r="G317" s="1047"/>
      <c r="H317" s="1047"/>
      <c r="I317" s="1047"/>
      <c r="J317" s="1047"/>
      <c r="K317" s="1047"/>
      <c r="L317" s="1047"/>
      <c r="M317" s="1047"/>
      <c r="N317" s="1047"/>
      <c r="O317" s="1047"/>
      <c r="P317" s="1047"/>
      <c r="Q317" s="1047"/>
      <c r="R317" s="1047"/>
      <c r="S317" s="1047"/>
      <c r="T317" s="1047"/>
      <c r="U317" s="1047"/>
      <c r="V317" s="1047"/>
      <c r="W317" s="1047"/>
      <c r="X317" s="1047"/>
      <c r="Y317" s="1047"/>
      <c r="Z317" s="1047"/>
      <c r="AA317" s="1047"/>
      <c r="AB317" s="1070"/>
      <c r="AC317" s="1070"/>
      <c r="AD317" s="1070"/>
      <c r="AE317" s="1070"/>
      <c r="AF317" s="1070"/>
      <c r="AG317" s="1070"/>
      <c r="AH317" s="1070">
        <f t="shared" si="15"/>
        <v>373652</v>
      </c>
      <c r="AI317" s="1070">
        <f t="shared" si="15"/>
        <v>374365</v>
      </c>
      <c r="AJ317" s="1070">
        <f t="shared" si="16"/>
        <v>40805</v>
      </c>
      <c r="AK317" s="1070">
        <f t="shared" si="16"/>
        <v>41533</v>
      </c>
      <c r="AL317" s="1070">
        <f t="shared" si="16"/>
        <v>545313</v>
      </c>
      <c r="AM317" s="1070">
        <f t="shared" si="16"/>
        <v>546062</v>
      </c>
      <c r="AN317" s="1070">
        <f t="shared" si="16"/>
        <v>726550</v>
      </c>
      <c r="AO317" s="1070">
        <f t="shared" si="16"/>
        <v>735693</v>
      </c>
      <c r="AP317" s="1070">
        <f t="shared" si="16"/>
        <v>371719</v>
      </c>
      <c r="AQ317" s="1070">
        <f t="shared" si="16"/>
        <v>376435</v>
      </c>
    </row>
    <row r="318" spans="2:45" s="1044" customFormat="1" hidden="1" outlineLevel="1">
      <c r="B318" s="1045"/>
      <c r="C318" s="1053" t="s">
        <v>1054</v>
      </c>
      <c r="D318" s="1048" t="s">
        <v>1541</v>
      </c>
      <c r="E318" s="1048" t="s">
        <v>2112</v>
      </c>
      <c r="F318" s="1047"/>
      <c r="G318" s="1047"/>
      <c r="H318" s="1047"/>
      <c r="I318" s="1047"/>
      <c r="J318" s="1047"/>
      <c r="K318" s="1047"/>
      <c r="L318" s="1047"/>
      <c r="M318" s="1047"/>
      <c r="N318" s="1047"/>
      <c r="O318" s="1047"/>
      <c r="P318" s="1047"/>
      <c r="Q318" s="1047"/>
      <c r="R318" s="1047"/>
      <c r="S318" s="1047"/>
      <c r="T318" s="1047"/>
      <c r="U318" s="1047"/>
      <c r="V318" s="1047"/>
      <c r="W318" s="1047"/>
      <c r="X318" s="1047"/>
      <c r="Y318" s="1047"/>
      <c r="Z318" s="1047"/>
      <c r="AA318" s="1047"/>
      <c r="AB318" s="1070"/>
      <c r="AC318" s="1070"/>
      <c r="AD318" s="1070"/>
      <c r="AE318" s="1070"/>
      <c r="AF318" s="1070"/>
      <c r="AG318" s="1070"/>
      <c r="AH318" s="1070">
        <f t="shared" si="15"/>
        <v>15372209</v>
      </c>
      <c r="AI318" s="1070">
        <f t="shared" si="15"/>
        <v>15392209</v>
      </c>
      <c r="AJ318" s="1070">
        <f t="shared" si="16"/>
        <v>20401008</v>
      </c>
      <c r="AK318" s="1070">
        <f t="shared" si="16"/>
        <v>20434008</v>
      </c>
      <c r="AL318" s="1070">
        <f t="shared" si="16"/>
        <v>20964397</v>
      </c>
      <c r="AM318" s="1070">
        <f t="shared" si="16"/>
        <v>20964397</v>
      </c>
      <c r="AN318" s="1070">
        <f t="shared" si="16"/>
        <v>25415822</v>
      </c>
      <c r="AO318" s="1070">
        <f t="shared" si="16"/>
        <v>25415822</v>
      </c>
      <c r="AP318" s="1070">
        <f t="shared" si="16"/>
        <v>25653322</v>
      </c>
      <c r="AQ318" s="1070">
        <f t="shared" si="16"/>
        <v>25653322</v>
      </c>
    </row>
    <row r="319" spans="2:45" s="1044" customFormat="1" hidden="1" outlineLevel="1">
      <c r="B319" s="1045"/>
      <c r="C319" s="1053"/>
      <c r="D319" s="1051"/>
      <c r="E319" s="968"/>
      <c r="F319" s="1047"/>
      <c r="G319" s="1047"/>
      <c r="H319" s="1047"/>
      <c r="I319" s="1047"/>
      <c r="J319" s="1047"/>
      <c r="K319" s="1047"/>
      <c r="L319" s="1047"/>
      <c r="M319" s="1047"/>
      <c r="N319" s="1047"/>
      <c r="O319" s="1047"/>
      <c r="P319" s="1047"/>
      <c r="Q319" s="1047"/>
      <c r="R319" s="1047"/>
      <c r="S319" s="1047"/>
      <c r="T319" s="1047"/>
      <c r="U319" s="1047"/>
      <c r="V319" s="1047"/>
      <c r="W319" s="1047"/>
      <c r="X319" s="1047"/>
      <c r="Y319" s="1047"/>
      <c r="Z319" s="1047"/>
      <c r="AA319" s="1047"/>
      <c r="AB319" s="1070"/>
      <c r="AC319" s="1070"/>
      <c r="AD319" s="1070"/>
      <c r="AE319" s="1070"/>
      <c r="AF319" s="1070"/>
      <c r="AG319" s="1070"/>
      <c r="AH319" s="1070"/>
      <c r="AI319" s="1070"/>
      <c r="AJ319" s="1058"/>
      <c r="AK319" s="1058"/>
      <c r="AL319" s="983"/>
      <c r="AM319" s="983"/>
      <c r="AN319" s="983"/>
      <c r="AO319" s="983"/>
      <c r="AP319" s="983"/>
      <c r="AQ319" s="983"/>
    </row>
    <row r="320" spans="2:45" collapsed="1">
      <c r="C320" s="816" t="s">
        <v>100</v>
      </c>
      <c r="D320" s="25"/>
      <c r="E320" s="6"/>
      <c r="F320" s="6"/>
      <c r="G320" s="6"/>
      <c r="H320" s="6"/>
      <c r="I320" s="6"/>
      <c r="J320" s="6"/>
      <c r="K320" s="6"/>
      <c r="L320" s="6"/>
      <c r="M320" s="6"/>
      <c r="N320" s="6"/>
      <c r="O320" s="6"/>
      <c r="P320" s="6"/>
      <c r="Q320" s="6"/>
      <c r="R320" s="6"/>
      <c r="S320" s="6"/>
      <c r="T320" s="6"/>
      <c r="U320" s="6"/>
      <c r="V320" s="6"/>
      <c r="W320" s="6"/>
      <c r="X320" s="6"/>
      <c r="Y320" s="6"/>
      <c r="Z320" s="6"/>
      <c r="AA320" s="6"/>
      <c r="AB320" s="7"/>
      <c r="AC320" s="7"/>
      <c r="AD320" s="7"/>
      <c r="AE320" s="7"/>
      <c r="AF320" s="7"/>
      <c r="AG320" s="7"/>
      <c r="AH320" s="7"/>
      <c r="AI320" s="7"/>
      <c r="AJ320" s="369" t="s">
        <v>1214</v>
      </c>
      <c r="AK320" s="369" t="s">
        <v>1214</v>
      </c>
      <c r="AL320" s="369" t="s">
        <v>1786</v>
      </c>
      <c r="AM320" s="369" t="s">
        <v>1786</v>
      </c>
      <c r="AN320" s="369" t="s">
        <v>1855</v>
      </c>
      <c r="AO320" s="369" t="s">
        <v>1855</v>
      </c>
      <c r="AP320" s="696" t="s">
        <v>2044</v>
      </c>
      <c r="AQ320" s="696" t="s">
        <v>2044</v>
      </c>
      <c r="AR320" s="1044"/>
      <c r="AS320" s="1044"/>
    </row>
    <row r="321" spans="2:45" hidden="1" outlineLevel="1">
      <c r="B321" s="565">
        <v>3607</v>
      </c>
      <c r="C321" s="816" t="s">
        <v>2</v>
      </c>
      <c r="D321" s="9"/>
      <c r="E321" s="20" t="s">
        <v>1407</v>
      </c>
      <c r="F321" s="20"/>
      <c r="G321" s="20"/>
      <c r="H321" s="20"/>
      <c r="I321" s="20"/>
      <c r="J321" s="20"/>
      <c r="K321" s="20"/>
      <c r="L321" s="20"/>
      <c r="M321" s="20"/>
      <c r="N321" s="20"/>
      <c r="O321" s="20"/>
      <c r="P321" s="20"/>
      <c r="Q321" s="20"/>
      <c r="R321" s="20"/>
      <c r="S321" s="20"/>
      <c r="T321" s="20"/>
      <c r="U321" s="20"/>
      <c r="V321" s="20"/>
      <c r="W321" s="20"/>
      <c r="X321" s="20"/>
      <c r="Y321" s="20"/>
      <c r="Z321" s="20"/>
      <c r="AA321" s="20"/>
      <c r="AB321" s="12"/>
      <c r="AC321" s="12"/>
      <c r="AD321" s="12">
        <v>67846696</v>
      </c>
      <c r="AE321" s="12">
        <v>67846696</v>
      </c>
      <c r="AF321" s="12">
        <f>72134191</f>
        <v>72134191</v>
      </c>
      <c r="AG321" s="12">
        <v>72134192</v>
      </c>
      <c r="AH321" s="12">
        <v>66015450</v>
      </c>
      <c r="AI321" s="12">
        <v>66015450</v>
      </c>
      <c r="AJ321" s="21">
        <v>63440459</v>
      </c>
      <c r="AK321" s="21">
        <v>63440459</v>
      </c>
      <c r="AL321" s="21">
        <v>64400935</v>
      </c>
      <c r="AM321" s="21">
        <v>64400934</v>
      </c>
      <c r="AN321" s="1058">
        <v>63944822</v>
      </c>
      <c r="AO321" s="1058">
        <v>63944821</v>
      </c>
      <c r="AP321" s="1058">
        <v>66832870</v>
      </c>
      <c r="AQ321" s="1058">
        <v>66832878</v>
      </c>
      <c r="AR321" s="1044"/>
      <c r="AS321" s="1044"/>
    </row>
    <row r="322" spans="2:45" hidden="1" outlineLevel="1">
      <c r="B322" s="565">
        <v>3539</v>
      </c>
      <c r="C322" s="816" t="s">
        <v>2</v>
      </c>
      <c r="D322" s="9"/>
      <c r="E322" s="20" t="s">
        <v>102</v>
      </c>
      <c r="F322" s="20"/>
      <c r="G322" s="20"/>
      <c r="H322" s="20"/>
      <c r="I322" s="20"/>
      <c r="J322" s="20"/>
      <c r="K322" s="20"/>
      <c r="L322" s="20"/>
      <c r="M322" s="20"/>
      <c r="N322" s="20"/>
      <c r="O322" s="20"/>
      <c r="P322" s="20"/>
      <c r="Q322" s="20"/>
      <c r="R322" s="20"/>
      <c r="S322" s="20"/>
      <c r="T322" s="20"/>
      <c r="U322" s="20"/>
      <c r="V322" s="20"/>
      <c r="W322" s="20"/>
      <c r="X322" s="20"/>
      <c r="Y322" s="20"/>
      <c r="Z322" s="20"/>
      <c r="AA322" s="20"/>
      <c r="AB322" s="12"/>
      <c r="AC322" s="12"/>
      <c r="AD322" s="12">
        <v>8456708</v>
      </c>
      <c r="AE322" s="12">
        <v>8456708</v>
      </c>
      <c r="AF322" s="12">
        <f>8456709</f>
        <v>8456709</v>
      </c>
      <c r="AG322" s="12">
        <v>8456708</v>
      </c>
      <c r="AH322" s="12">
        <v>7364589</v>
      </c>
      <c r="AI322" s="12">
        <v>7364589</v>
      </c>
      <c r="AJ322" s="21">
        <v>7380912</v>
      </c>
      <c r="AK322" s="21">
        <v>7380912</v>
      </c>
      <c r="AL322" s="21">
        <v>7205161</v>
      </c>
      <c r="AM322" s="21">
        <v>7205160</v>
      </c>
      <c r="AN322" s="1058">
        <v>7930936</v>
      </c>
      <c r="AO322" s="1058">
        <v>7930934</v>
      </c>
      <c r="AP322" s="1058">
        <v>7772636</v>
      </c>
      <c r="AQ322" s="1058">
        <v>7772636</v>
      </c>
      <c r="AR322" s="1044"/>
      <c r="AS322" s="1044"/>
    </row>
    <row r="323" spans="2:45" hidden="1" outlineLevel="1">
      <c r="B323" s="565">
        <v>3540</v>
      </c>
      <c r="C323" s="816" t="s">
        <v>2</v>
      </c>
      <c r="D323" s="9"/>
      <c r="E323" s="20" t="s">
        <v>103</v>
      </c>
      <c r="F323" s="20"/>
      <c r="G323" s="20"/>
      <c r="H323" s="20"/>
      <c r="I323" s="20"/>
      <c r="J323" s="20"/>
      <c r="K323" s="20"/>
      <c r="L323" s="20"/>
      <c r="M323" s="20"/>
      <c r="N323" s="20"/>
      <c r="O323" s="20"/>
      <c r="P323" s="20"/>
      <c r="Q323" s="20"/>
      <c r="R323" s="20"/>
      <c r="S323" s="20"/>
      <c r="T323" s="20"/>
      <c r="U323" s="20"/>
      <c r="V323" s="20"/>
      <c r="W323" s="20"/>
      <c r="X323" s="20"/>
      <c r="Y323" s="20"/>
      <c r="Z323" s="20"/>
      <c r="AA323" s="20"/>
      <c r="AB323" s="12"/>
      <c r="AC323" s="12"/>
      <c r="AD323" s="12">
        <v>17153266</v>
      </c>
      <c r="AE323" s="12">
        <v>17153266</v>
      </c>
      <c r="AF323" s="12">
        <f>17153266</f>
        <v>17153266</v>
      </c>
      <c r="AG323" s="12">
        <v>17153267</v>
      </c>
      <c r="AH323" s="12">
        <v>15289610</v>
      </c>
      <c r="AI323" s="12">
        <v>15289610</v>
      </c>
      <c r="AJ323" s="21">
        <v>15278458</v>
      </c>
      <c r="AK323" s="21">
        <v>15278458</v>
      </c>
      <c r="AL323" s="21">
        <v>13793779</v>
      </c>
      <c r="AM323" s="21">
        <v>13793777</v>
      </c>
      <c r="AN323" s="1058">
        <v>13518127</v>
      </c>
      <c r="AO323" s="1058">
        <v>13518126</v>
      </c>
      <c r="AP323" s="1058">
        <v>14847413</v>
      </c>
      <c r="AQ323" s="1058">
        <v>14847411</v>
      </c>
      <c r="AR323" s="1044"/>
      <c r="AS323" s="1044"/>
    </row>
    <row r="324" spans="2:45" hidden="1" outlineLevel="1">
      <c r="B324" s="565">
        <v>6661</v>
      </c>
      <c r="C324" s="816" t="s">
        <v>2</v>
      </c>
      <c r="D324" s="9"/>
      <c r="E324" s="20" t="s">
        <v>104</v>
      </c>
      <c r="F324" s="20"/>
      <c r="G324" s="20"/>
      <c r="H324" s="20"/>
      <c r="I324" s="20"/>
      <c r="J324" s="20"/>
      <c r="K324" s="20"/>
      <c r="L324" s="20"/>
      <c r="M324" s="20"/>
      <c r="N324" s="20"/>
      <c r="O324" s="20"/>
      <c r="P324" s="20"/>
      <c r="Q324" s="20"/>
      <c r="R324" s="20"/>
      <c r="S324" s="20"/>
      <c r="T324" s="20"/>
      <c r="U324" s="20"/>
      <c r="V324" s="20"/>
      <c r="W324" s="20"/>
      <c r="X324" s="20"/>
      <c r="Y324" s="20"/>
      <c r="Z324" s="20"/>
      <c r="AA324" s="20"/>
      <c r="AB324" s="12"/>
      <c r="AC324" s="12"/>
      <c r="AD324" s="12">
        <v>8407214</v>
      </c>
      <c r="AE324" s="12">
        <v>8407214</v>
      </c>
      <c r="AF324" s="12">
        <f>8407214</f>
        <v>8407214</v>
      </c>
      <c r="AG324" s="12">
        <v>8407215</v>
      </c>
      <c r="AH324" s="12">
        <v>7805624</v>
      </c>
      <c r="AI324" s="12">
        <v>7805624</v>
      </c>
      <c r="AJ324" s="21">
        <v>7610997</v>
      </c>
      <c r="AK324" s="21">
        <v>7610997</v>
      </c>
      <c r="AL324" s="21">
        <v>7385421</v>
      </c>
      <c r="AM324" s="21">
        <v>7385420</v>
      </c>
      <c r="AN324" s="1058">
        <v>7465206</v>
      </c>
      <c r="AO324" s="1058">
        <v>7465206</v>
      </c>
      <c r="AP324" s="1058">
        <v>8556451</v>
      </c>
      <c r="AQ324" s="1058">
        <v>8556450</v>
      </c>
      <c r="AR324" s="1044"/>
      <c r="AS324" s="1044"/>
    </row>
    <row r="325" spans="2:45" hidden="1" outlineLevel="1">
      <c r="B325" s="565">
        <v>12015</v>
      </c>
      <c r="C325" s="816" t="s">
        <v>2</v>
      </c>
      <c r="D325" s="9"/>
      <c r="E325" s="20" t="s">
        <v>105</v>
      </c>
      <c r="F325" s="20"/>
      <c r="G325" s="20"/>
      <c r="H325" s="20"/>
      <c r="I325" s="20"/>
      <c r="J325" s="20"/>
      <c r="K325" s="20"/>
      <c r="L325" s="20"/>
      <c r="M325" s="20"/>
      <c r="N325" s="20"/>
      <c r="O325" s="20"/>
      <c r="P325" s="20"/>
      <c r="Q325" s="20"/>
      <c r="R325" s="20"/>
      <c r="S325" s="20"/>
      <c r="T325" s="20"/>
      <c r="U325" s="20"/>
      <c r="V325" s="20"/>
      <c r="W325" s="20"/>
      <c r="X325" s="20"/>
      <c r="Y325" s="20"/>
      <c r="Z325" s="20"/>
      <c r="AA325" s="20"/>
      <c r="AB325" s="12"/>
      <c r="AC325" s="12"/>
      <c r="AD325" s="12">
        <v>42279850</v>
      </c>
      <c r="AE325" s="12">
        <v>42279850</v>
      </c>
      <c r="AF325" s="12">
        <f>47028408</f>
        <v>47028408</v>
      </c>
      <c r="AG325" s="12">
        <v>47028408</v>
      </c>
      <c r="AH325" s="12">
        <v>45388980</v>
      </c>
      <c r="AI325" s="12">
        <v>45388980</v>
      </c>
      <c r="AJ325" s="21">
        <v>51184969</v>
      </c>
      <c r="AK325" s="21">
        <v>46184969</v>
      </c>
      <c r="AL325" s="21">
        <v>49272792</v>
      </c>
      <c r="AM325" s="21">
        <v>44272790</v>
      </c>
      <c r="AN325" s="1058">
        <v>48741932</v>
      </c>
      <c r="AO325" s="1058">
        <v>44181931</v>
      </c>
      <c r="AP325" s="1058">
        <v>49927319</v>
      </c>
      <c r="AQ325" s="1058">
        <v>45367318</v>
      </c>
      <c r="AR325" s="1044"/>
      <c r="AS325" s="1044"/>
    </row>
    <row r="326" spans="2:45" hidden="1" outlineLevel="1">
      <c r="B326" s="565">
        <v>3549</v>
      </c>
      <c r="C326" s="816" t="s">
        <v>2</v>
      </c>
      <c r="D326" s="9"/>
      <c r="E326" s="20" t="s">
        <v>106</v>
      </c>
      <c r="F326" s="20"/>
      <c r="G326" s="20"/>
      <c r="H326" s="20"/>
      <c r="I326" s="20"/>
      <c r="J326" s="20"/>
      <c r="K326" s="20"/>
      <c r="L326" s="20"/>
      <c r="M326" s="20"/>
      <c r="N326" s="20"/>
      <c r="O326" s="20"/>
      <c r="P326" s="20"/>
      <c r="Q326" s="20"/>
      <c r="R326" s="20"/>
      <c r="S326" s="20"/>
      <c r="T326" s="20"/>
      <c r="U326" s="20"/>
      <c r="V326" s="20"/>
      <c r="W326" s="20"/>
      <c r="X326" s="20"/>
      <c r="Y326" s="20"/>
      <c r="Z326" s="20"/>
      <c r="AA326" s="20"/>
      <c r="AB326" s="12"/>
      <c r="AC326" s="12"/>
      <c r="AD326" s="12">
        <v>20926227</v>
      </c>
      <c r="AE326" s="12">
        <v>20926227</v>
      </c>
      <c r="AF326" s="12">
        <f>23707162+100000</f>
        <v>23807162</v>
      </c>
      <c r="AG326" s="12">
        <v>23707163</v>
      </c>
      <c r="AH326" s="12">
        <v>20737029</v>
      </c>
      <c r="AI326" s="12">
        <v>20737029</v>
      </c>
      <c r="AJ326" s="21">
        <v>22741440</v>
      </c>
      <c r="AK326" s="21">
        <v>22741440</v>
      </c>
      <c r="AL326" s="21">
        <v>24145565</v>
      </c>
      <c r="AM326" s="21">
        <v>24145563</v>
      </c>
      <c r="AN326" s="1058">
        <v>23618241</v>
      </c>
      <c r="AO326" s="1058">
        <v>23618240</v>
      </c>
      <c r="AP326" s="1058">
        <v>24601520</v>
      </c>
      <c r="AQ326" s="1058">
        <v>24464719</v>
      </c>
      <c r="AR326" s="1044"/>
      <c r="AS326" s="1044"/>
    </row>
    <row r="327" spans="2:45" hidden="1" outlineLevel="1">
      <c r="B327" s="565">
        <v>7857</v>
      </c>
      <c r="C327" s="816" t="s">
        <v>2</v>
      </c>
      <c r="D327" s="9"/>
      <c r="E327" s="20" t="s">
        <v>107</v>
      </c>
      <c r="F327" s="20"/>
      <c r="G327" s="20"/>
      <c r="H327" s="20"/>
      <c r="I327" s="20"/>
      <c r="J327" s="20"/>
      <c r="K327" s="20"/>
      <c r="L327" s="20"/>
      <c r="M327" s="20"/>
      <c r="N327" s="20"/>
      <c r="O327" s="20"/>
      <c r="P327" s="20"/>
      <c r="Q327" s="20"/>
      <c r="R327" s="20"/>
      <c r="S327" s="20"/>
      <c r="T327" s="20"/>
      <c r="U327" s="20"/>
      <c r="V327" s="20"/>
      <c r="W327" s="20"/>
      <c r="X327" s="20"/>
      <c r="Y327" s="20"/>
      <c r="Z327" s="20"/>
      <c r="AA327" s="20"/>
      <c r="AB327" s="12"/>
      <c r="AC327" s="12"/>
      <c r="AD327" s="12">
        <v>5997143</v>
      </c>
      <c r="AE327" s="12">
        <v>5797143</v>
      </c>
      <c r="AF327" s="12">
        <f>5850650</f>
        <v>5850650</v>
      </c>
      <c r="AG327" s="12">
        <v>5850651</v>
      </c>
      <c r="AH327" s="12">
        <v>4886769</v>
      </c>
      <c r="AI327" s="12">
        <v>4886769</v>
      </c>
      <c r="AJ327" s="21">
        <v>5777901</v>
      </c>
      <c r="AK327" s="21">
        <v>5777901</v>
      </c>
      <c r="AL327" s="21">
        <v>5742696</v>
      </c>
      <c r="AM327" s="21">
        <v>5742695</v>
      </c>
      <c r="AN327" s="1058">
        <v>5460604</v>
      </c>
      <c r="AO327" s="1058">
        <v>5460603</v>
      </c>
      <c r="AP327" s="1058">
        <v>5990395</v>
      </c>
      <c r="AQ327" s="1058">
        <v>5990394</v>
      </c>
      <c r="AR327" s="1044"/>
      <c r="AS327" s="1044"/>
    </row>
    <row r="328" spans="2:45" hidden="1" outlineLevel="1">
      <c r="B328" s="565">
        <v>4003</v>
      </c>
      <c r="C328" s="816" t="s">
        <v>2</v>
      </c>
      <c r="D328" s="9"/>
      <c r="E328" s="20" t="s">
        <v>108</v>
      </c>
      <c r="F328" s="20"/>
      <c r="G328" s="20"/>
      <c r="H328" s="20"/>
      <c r="I328" s="20"/>
      <c r="J328" s="20"/>
      <c r="K328" s="20"/>
      <c r="L328" s="20"/>
      <c r="M328" s="20"/>
      <c r="N328" s="20"/>
      <c r="O328" s="20"/>
      <c r="P328" s="20"/>
      <c r="Q328" s="20"/>
      <c r="R328" s="20"/>
      <c r="S328" s="20"/>
      <c r="T328" s="20"/>
      <c r="U328" s="20"/>
      <c r="V328" s="20"/>
      <c r="W328" s="20"/>
      <c r="X328" s="20"/>
      <c r="Y328" s="20"/>
      <c r="Z328" s="20"/>
      <c r="AA328" s="20"/>
      <c r="AB328" s="12"/>
      <c r="AC328" s="12"/>
      <c r="AD328" s="12">
        <v>20013113</v>
      </c>
      <c r="AE328" s="12">
        <v>20013113</v>
      </c>
      <c r="AF328" s="12">
        <f>21182930</f>
        <v>21182930</v>
      </c>
      <c r="AG328" s="12">
        <v>21182931</v>
      </c>
      <c r="AH328" s="12">
        <v>19825096</v>
      </c>
      <c r="AI328" s="12">
        <v>19825096</v>
      </c>
      <c r="AJ328" s="21">
        <v>20604188</v>
      </c>
      <c r="AK328" s="21">
        <v>20604188</v>
      </c>
      <c r="AL328" s="21">
        <v>18543769</v>
      </c>
      <c r="AM328" s="21">
        <v>18543769</v>
      </c>
      <c r="AN328" s="1058">
        <v>16614884</v>
      </c>
      <c r="AO328" s="1058">
        <v>16614883</v>
      </c>
      <c r="AP328" s="1058">
        <v>16380840</v>
      </c>
      <c r="AQ328" s="1058">
        <v>16380839</v>
      </c>
      <c r="AR328" s="1044"/>
      <c r="AS328" s="1044"/>
    </row>
    <row r="329" spans="2:45" hidden="1" outlineLevel="1">
      <c r="B329" s="565">
        <v>3553</v>
      </c>
      <c r="C329" s="816" t="s">
        <v>2</v>
      </c>
      <c r="D329" s="9"/>
      <c r="E329" s="20" t="s">
        <v>1404</v>
      </c>
      <c r="F329" s="20"/>
      <c r="G329" s="20"/>
      <c r="H329" s="20"/>
      <c r="I329" s="20"/>
      <c r="J329" s="20"/>
      <c r="K329" s="20"/>
      <c r="L329" s="20"/>
      <c r="M329" s="20"/>
      <c r="N329" s="20"/>
      <c r="O329" s="20"/>
      <c r="P329" s="20"/>
      <c r="Q329" s="20"/>
      <c r="R329" s="20"/>
      <c r="S329" s="20"/>
      <c r="T329" s="20"/>
      <c r="U329" s="20"/>
      <c r="V329" s="20"/>
      <c r="W329" s="20"/>
      <c r="X329" s="20"/>
      <c r="Y329" s="20"/>
      <c r="Z329" s="20"/>
      <c r="AA329" s="20"/>
      <c r="AB329" s="12"/>
      <c r="AC329" s="12"/>
      <c r="AD329" s="12">
        <v>5483108</v>
      </c>
      <c r="AE329" s="12">
        <v>5483108</v>
      </c>
      <c r="AF329" s="12">
        <f>5637530</f>
        <v>5637530</v>
      </c>
      <c r="AG329" s="12">
        <v>5637530</v>
      </c>
      <c r="AH329" s="12">
        <v>5534898</v>
      </c>
      <c r="AI329" s="12">
        <v>5534898</v>
      </c>
      <c r="AJ329" s="21">
        <v>5264255</v>
      </c>
      <c r="AK329" s="21">
        <v>5264255</v>
      </c>
      <c r="AL329" s="21">
        <v>5179529</v>
      </c>
      <c r="AM329" s="21">
        <v>5179527</v>
      </c>
      <c r="AN329" s="1058">
        <v>4988509</v>
      </c>
      <c r="AO329" s="1058">
        <v>4988508</v>
      </c>
      <c r="AP329" s="1058">
        <v>5352835</v>
      </c>
      <c r="AQ329" s="1058">
        <v>5352834</v>
      </c>
      <c r="AR329" s="1044"/>
      <c r="AS329" s="1044"/>
    </row>
    <row r="330" spans="2:45" hidden="1" outlineLevel="1">
      <c r="B330" s="565">
        <v>3554</v>
      </c>
      <c r="C330" s="816" t="s">
        <v>2</v>
      </c>
      <c r="D330" s="9"/>
      <c r="E330" s="20" t="s">
        <v>110</v>
      </c>
      <c r="F330" s="20"/>
      <c r="G330" s="20"/>
      <c r="H330" s="20"/>
      <c r="I330" s="20"/>
      <c r="J330" s="20"/>
      <c r="K330" s="20"/>
      <c r="L330" s="20"/>
      <c r="M330" s="20"/>
      <c r="N330" s="20"/>
      <c r="O330" s="20"/>
      <c r="P330" s="20"/>
      <c r="Q330" s="20"/>
      <c r="R330" s="20"/>
      <c r="S330" s="20"/>
      <c r="T330" s="20"/>
      <c r="U330" s="20"/>
      <c r="V330" s="20"/>
      <c r="W330" s="20"/>
      <c r="X330" s="20"/>
      <c r="Y330" s="20"/>
      <c r="Z330" s="20"/>
      <c r="AA330" s="20"/>
      <c r="AB330" s="12"/>
      <c r="AC330" s="12"/>
      <c r="AD330" s="12">
        <v>2088598</v>
      </c>
      <c r="AE330" s="12">
        <v>2088598</v>
      </c>
      <c r="AF330" s="12">
        <f>2672561</f>
        <v>2672561</v>
      </c>
      <c r="AG330" s="12">
        <v>2672561</v>
      </c>
      <c r="AH330" s="12">
        <v>2553182</v>
      </c>
      <c r="AI330" s="12">
        <v>2553182</v>
      </c>
      <c r="AJ330" s="21">
        <v>2485093</v>
      </c>
      <c r="AK330" s="21">
        <v>2485093</v>
      </c>
      <c r="AL330" s="21">
        <v>2568791</v>
      </c>
      <c r="AM330" s="21">
        <v>2568790</v>
      </c>
      <c r="AN330" s="1058">
        <v>2835381</v>
      </c>
      <c r="AO330" s="1058">
        <v>2835380</v>
      </c>
      <c r="AP330" s="1058">
        <v>2933293</v>
      </c>
      <c r="AQ330" s="1058">
        <v>2933292</v>
      </c>
      <c r="AR330" s="1044"/>
      <c r="AS330" s="1044"/>
    </row>
    <row r="331" spans="2:45" hidden="1" outlineLevel="1">
      <c r="B331" s="565">
        <v>3546</v>
      </c>
      <c r="C331" s="816" t="s">
        <v>2</v>
      </c>
      <c r="D331" s="9"/>
      <c r="E331" s="20" t="s">
        <v>167</v>
      </c>
      <c r="F331" s="20"/>
      <c r="G331" s="20"/>
      <c r="H331" s="20"/>
      <c r="I331" s="20"/>
      <c r="J331" s="20"/>
      <c r="K331" s="20"/>
      <c r="L331" s="20"/>
      <c r="M331" s="20"/>
      <c r="N331" s="20"/>
      <c r="O331" s="20"/>
      <c r="P331" s="20"/>
      <c r="Q331" s="20"/>
      <c r="R331" s="20"/>
      <c r="S331" s="20"/>
      <c r="T331" s="20"/>
      <c r="U331" s="20"/>
      <c r="V331" s="20"/>
      <c r="W331" s="20"/>
      <c r="X331" s="20"/>
      <c r="Y331" s="20"/>
      <c r="Z331" s="20"/>
      <c r="AA331" s="20"/>
      <c r="AB331" s="12"/>
      <c r="AC331" s="12"/>
      <c r="AD331" s="12">
        <v>6816009</v>
      </c>
      <c r="AE331" s="12">
        <v>6816009</v>
      </c>
      <c r="AF331" s="12">
        <f>6816008+500000</f>
        <v>7316008</v>
      </c>
      <c r="AG331" s="12">
        <v>6816009</v>
      </c>
      <c r="AH331" s="12">
        <v>6493374</v>
      </c>
      <c r="AI331" s="12">
        <v>6493374</v>
      </c>
      <c r="AJ331" s="21">
        <v>6290718</v>
      </c>
      <c r="AK331" s="21">
        <v>6290718</v>
      </c>
      <c r="AL331" s="21">
        <v>6421423</v>
      </c>
      <c r="AM331" s="21">
        <v>6421423</v>
      </c>
      <c r="AN331" s="1058">
        <v>7162663</v>
      </c>
      <c r="AO331" s="1058">
        <v>7162661</v>
      </c>
      <c r="AP331" s="1058">
        <v>6804529</v>
      </c>
      <c r="AQ331" s="1058">
        <v>6804529</v>
      </c>
      <c r="AR331" s="1044"/>
      <c r="AS331" s="1044"/>
    </row>
    <row r="332" spans="2:45" hidden="1" outlineLevel="1">
      <c r="B332" s="565">
        <v>7096</v>
      </c>
      <c r="C332" s="816" t="s">
        <v>2</v>
      </c>
      <c r="D332" s="9"/>
      <c r="E332" s="20" t="s">
        <v>1410</v>
      </c>
      <c r="F332" s="20"/>
      <c r="G332" s="20"/>
      <c r="H332" s="20"/>
      <c r="I332" s="20"/>
      <c r="J332" s="20"/>
      <c r="K332" s="20"/>
      <c r="L332" s="20"/>
      <c r="M332" s="20"/>
      <c r="N332" s="20"/>
      <c r="O332" s="20"/>
      <c r="P332" s="20"/>
      <c r="Q332" s="20"/>
      <c r="R332" s="20"/>
      <c r="S332" s="20"/>
      <c r="T332" s="20"/>
      <c r="U332" s="20"/>
      <c r="V332" s="20"/>
      <c r="W332" s="20"/>
      <c r="X332" s="20"/>
      <c r="Y332" s="20"/>
      <c r="Z332" s="20"/>
      <c r="AA332" s="20"/>
      <c r="AB332" s="12"/>
      <c r="AC332" s="12"/>
      <c r="AD332" s="12">
        <v>6357062</v>
      </c>
      <c r="AE332" s="12">
        <v>6357062</v>
      </c>
      <c r="AF332" s="12">
        <f>6357063</f>
        <v>6357063</v>
      </c>
      <c r="AG332" s="12">
        <v>6357061</v>
      </c>
      <c r="AH332" s="12">
        <v>6019346</v>
      </c>
      <c r="AI332" s="12">
        <v>6019346</v>
      </c>
      <c r="AJ332" s="21">
        <v>6103539</v>
      </c>
      <c r="AK332" s="21">
        <v>6103539</v>
      </c>
      <c r="AL332" s="21">
        <v>5838182</v>
      </c>
      <c r="AM332" s="21">
        <v>5838181</v>
      </c>
      <c r="AN332" s="1058">
        <v>6100118</v>
      </c>
      <c r="AO332" s="1058">
        <v>6100117</v>
      </c>
      <c r="AP332" s="1058">
        <v>6533437</v>
      </c>
      <c r="AQ332" s="1058">
        <v>6533436</v>
      </c>
      <c r="AR332" s="1044"/>
      <c r="AS332" s="1044"/>
    </row>
    <row r="333" spans="2:45" hidden="1" outlineLevel="1">
      <c r="B333" s="565">
        <v>23614</v>
      </c>
      <c r="C333" s="816" t="s">
        <v>2</v>
      </c>
      <c r="D333" s="9"/>
      <c r="E333" s="20" t="s">
        <v>885</v>
      </c>
      <c r="F333" s="20"/>
      <c r="G333" s="20"/>
      <c r="H333" s="20"/>
      <c r="I333" s="20"/>
      <c r="J333" s="20"/>
      <c r="K333" s="20"/>
      <c r="L333" s="20"/>
      <c r="M333" s="20"/>
      <c r="N333" s="20"/>
      <c r="O333" s="20"/>
      <c r="P333" s="20"/>
      <c r="Q333" s="20"/>
      <c r="R333" s="20"/>
      <c r="S333" s="20"/>
      <c r="T333" s="20"/>
      <c r="U333" s="20"/>
      <c r="V333" s="20"/>
      <c r="W333" s="20"/>
      <c r="X333" s="20"/>
      <c r="Y333" s="20"/>
      <c r="Z333" s="20"/>
      <c r="AA333" s="20"/>
      <c r="AB333" s="12"/>
      <c r="AC333" s="12"/>
      <c r="AD333" s="12">
        <v>28191440</v>
      </c>
      <c r="AE333" s="12">
        <v>28191440</v>
      </c>
      <c r="AF333" s="12">
        <f>31834408</f>
        <v>31834408</v>
      </c>
      <c r="AG333" s="12">
        <v>31834407</v>
      </c>
      <c r="AH333" s="12">
        <v>30022848</v>
      </c>
      <c r="AI333" s="12">
        <v>30022848</v>
      </c>
      <c r="AJ333" s="21">
        <v>33136075</v>
      </c>
      <c r="AK333" s="21">
        <v>33136075</v>
      </c>
      <c r="AL333" s="21">
        <v>33744731</v>
      </c>
      <c r="AM333" s="21">
        <v>33744729</v>
      </c>
      <c r="AN333" s="1058">
        <v>35500002</v>
      </c>
      <c r="AO333" s="1058">
        <v>35500001</v>
      </c>
      <c r="AP333" s="1058">
        <v>39834020</v>
      </c>
      <c r="AQ333" s="1058">
        <v>39834019</v>
      </c>
      <c r="AR333" s="1044"/>
      <c r="AS333" s="1044"/>
    </row>
    <row r="334" spans="2:45" hidden="1" outlineLevel="1">
      <c r="B334" s="565">
        <v>9331</v>
      </c>
      <c r="C334" s="816" t="s">
        <v>2</v>
      </c>
      <c r="D334" s="9"/>
      <c r="E334" s="224" t="s">
        <v>1411</v>
      </c>
      <c r="F334" s="20"/>
      <c r="G334" s="20"/>
      <c r="H334" s="20"/>
      <c r="I334" s="20"/>
      <c r="J334" s="20"/>
      <c r="K334" s="20"/>
      <c r="L334" s="20"/>
      <c r="M334" s="20"/>
      <c r="N334" s="20"/>
      <c r="O334" s="20"/>
      <c r="P334" s="20"/>
      <c r="Q334" s="20"/>
      <c r="R334" s="20"/>
      <c r="S334" s="20"/>
      <c r="T334" s="20"/>
      <c r="U334" s="20"/>
      <c r="V334" s="20"/>
      <c r="W334" s="20"/>
      <c r="X334" s="20"/>
      <c r="Y334" s="20"/>
      <c r="Z334" s="20"/>
      <c r="AA334" s="20"/>
      <c r="AB334" s="12"/>
      <c r="AC334" s="12"/>
      <c r="AD334" s="12">
        <v>91135492</v>
      </c>
      <c r="AE334" s="12">
        <v>91135493</v>
      </c>
      <c r="AF334" s="12">
        <f>99926826</f>
        <v>99926826</v>
      </c>
      <c r="AG334" s="12">
        <v>99926826</v>
      </c>
      <c r="AH334" s="12">
        <v>91807378</v>
      </c>
      <c r="AI334" s="12">
        <v>91807378</v>
      </c>
      <c r="AJ334" s="21">
        <v>89284325</v>
      </c>
      <c r="AK334" s="21">
        <v>89284326</v>
      </c>
      <c r="AL334" s="21">
        <v>87365906</v>
      </c>
      <c r="AM334" s="21">
        <v>87365904</v>
      </c>
      <c r="AN334" s="1058">
        <v>89650927</v>
      </c>
      <c r="AO334" s="1058">
        <v>89650927</v>
      </c>
      <c r="AP334" s="1058">
        <v>96423538</v>
      </c>
      <c r="AQ334" s="1058">
        <v>96423537</v>
      </c>
      <c r="AR334" s="1044"/>
      <c r="AS334" s="1044"/>
    </row>
    <row r="335" spans="2:45" hidden="1" outlineLevel="1">
      <c r="B335" s="565">
        <v>3563</v>
      </c>
      <c r="C335" s="816" t="s">
        <v>2</v>
      </c>
      <c r="D335" s="9"/>
      <c r="E335" s="20" t="s">
        <v>114</v>
      </c>
      <c r="F335" s="20"/>
      <c r="G335" s="20"/>
      <c r="H335" s="20"/>
      <c r="I335" s="20"/>
      <c r="J335" s="20"/>
      <c r="K335" s="20"/>
      <c r="L335" s="20"/>
      <c r="M335" s="20"/>
      <c r="N335" s="20"/>
      <c r="O335" s="20"/>
      <c r="P335" s="20"/>
      <c r="Q335" s="20"/>
      <c r="R335" s="20"/>
      <c r="S335" s="20"/>
      <c r="T335" s="20"/>
      <c r="U335" s="20"/>
      <c r="V335" s="20"/>
      <c r="W335" s="20"/>
      <c r="X335" s="20"/>
      <c r="Y335" s="20"/>
      <c r="Z335" s="20"/>
      <c r="AA335" s="20"/>
      <c r="AB335" s="12"/>
      <c r="AC335" s="12"/>
      <c r="AD335" s="12">
        <v>18658677</v>
      </c>
      <c r="AE335" s="12">
        <v>18658677</v>
      </c>
      <c r="AF335" s="12">
        <f>18658677</f>
        <v>18658677</v>
      </c>
      <c r="AG335" s="12">
        <v>18658677</v>
      </c>
      <c r="AH335" s="12">
        <v>16587948</v>
      </c>
      <c r="AI335" s="12">
        <v>16587948</v>
      </c>
      <c r="AJ335" s="21">
        <v>15193419</v>
      </c>
      <c r="AK335" s="21">
        <v>15193419</v>
      </c>
      <c r="AL335" s="21">
        <v>14536060</v>
      </c>
      <c r="AM335" s="21">
        <v>14536060</v>
      </c>
      <c r="AN335" s="1058">
        <v>15867734</v>
      </c>
      <c r="AO335" s="1058">
        <v>15867733</v>
      </c>
      <c r="AP335" s="1058">
        <v>16479471</v>
      </c>
      <c r="AQ335" s="1058">
        <v>16479469</v>
      </c>
      <c r="AR335" s="1044"/>
      <c r="AS335" s="1044"/>
    </row>
    <row r="336" spans="2:45" hidden="1" outlineLevel="1">
      <c r="B336" s="565">
        <v>10387</v>
      </c>
      <c r="C336" s="816" t="s">
        <v>2</v>
      </c>
      <c r="D336" s="9"/>
      <c r="E336" s="20" t="s">
        <v>1412</v>
      </c>
      <c r="F336" s="20"/>
      <c r="G336" s="20"/>
      <c r="H336" s="20"/>
      <c r="I336" s="20"/>
      <c r="J336" s="20"/>
      <c r="K336" s="20"/>
      <c r="L336" s="20"/>
      <c r="M336" s="20"/>
      <c r="N336" s="20"/>
      <c r="O336" s="20"/>
      <c r="P336" s="20"/>
      <c r="Q336" s="20"/>
      <c r="R336" s="20"/>
      <c r="S336" s="20"/>
      <c r="T336" s="20"/>
      <c r="U336" s="20"/>
      <c r="V336" s="20"/>
      <c r="W336" s="20"/>
      <c r="X336" s="20"/>
      <c r="Y336" s="20"/>
      <c r="Z336" s="20"/>
      <c r="AA336" s="20"/>
      <c r="AB336" s="12"/>
      <c r="AC336" s="12"/>
      <c r="AD336" s="12">
        <v>33356211</v>
      </c>
      <c r="AE336" s="12">
        <v>33356211</v>
      </c>
      <c r="AF336" s="12">
        <f>33649172</f>
        <v>33649172</v>
      </c>
      <c r="AG336" s="12">
        <v>33649172</v>
      </c>
      <c r="AH336" s="12">
        <v>31020092</v>
      </c>
      <c r="AI336" s="12">
        <v>31020092</v>
      </c>
      <c r="AJ336" s="21">
        <v>33758308</v>
      </c>
      <c r="AK336" s="21">
        <v>33758308</v>
      </c>
      <c r="AL336" s="21">
        <v>32113304</v>
      </c>
      <c r="AM336" s="21">
        <v>32113303</v>
      </c>
      <c r="AN336" s="1058">
        <v>31794915</v>
      </c>
      <c r="AO336" s="1058">
        <v>31794914</v>
      </c>
      <c r="AP336" s="1058">
        <v>32105981</v>
      </c>
      <c r="AQ336" s="1058">
        <v>32105979</v>
      </c>
      <c r="AR336" s="1044"/>
      <c r="AS336" s="1044"/>
    </row>
    <row r="337" spans="2:45" hidden="1" outlineLevel="1">
      <c r="B337" s="565">
        <v>3568</v>
      </c>
      <c r="C337" s="816" t="s">
        <v>2</v>
      </c>
      <c r="D337" s="9"/>
      <c r="E337" s="20" t="s">
        <v>116</v>
      </c>
      <c r="F337" s="20"/>
      <c r="G337" s="20"/>
      <c r="H337" s="20"/>
      <c r="I337" s="20"/>
      <c r="J337" s="20"/>
      <c r="K337" s="20"/>
      <c r="L337" s="20"/>
      <c r="M337" s="20"/>
      <c r="N337" s="20"/>
      <c r="O337" s="20"/>
      <c r="P337" s="20"/>
      <c r="Q337" s="20"/>
      <c r="R337" s="20"/>
      <c r="S337" s="20"/>
      <c r="T337" s="20"/>
      <c r="U337" s="20"/>
      <c r="V337" s="20"/>
      <c r="W337" s="20"/>
      <c r="X337" s="20"/>
      <c r="Y337" s="20"/>
      <c r="Z337" s="20"/>
      <c r="AA337" s="20"/>
      <c r="AB337" s="12"/>
      <c r="AC337" s="12"/>
      <c r="AD337" s="12">
        <v>2715708</v>
      </c>
      <c r="AE337" s="12">
        <v>2715708</v>
      </c>
      <c r="AF337" s="12">
        <f>2844920</f>
        <v>2844920</v>
      </c>
      <c r="AG337" s="12">
        <v>2844920</v>
      </c>
      <c r="AH337" s="12">
        <v>2056921</v>
      </c>
      <c r="AI337" s="12">
        <v>2056921</v>
      </c>
      <c r="AJ337" s="21">
        <v>2280532</v>
      </c>
      <c r="AK337" s="21">
        <v>2280532</v>
      </c>
      <c r="AL337" s="21">
        <v>2444593</v>
      </c>
      <c r="AM337" s="21">
        <v>2444591</v>
      </c>
      <c r="AN337" s="1058">
        <v>2642997</v>
      </c>
      <c r="AO337" s="1058">
        <v>2642996</v>
      </c>
      <c r="AP337" s="1058">
        <v>2538541</v>
      </c>
      <c r="AQ337" s="1058">
        <v>2538541</v>
      </c>
      <c r="AR337" s="1044"/>
      <c r="AS337" s="1044"/>
    </row>
    <row r="338" spans="2:45" hidden="1" outlineLevel="1">
      <c r="B338" s="565">
        <v>6662</v>
      </c>
      <c r="C338" s="816" t="s">
        <v>2</v>
      </c>
      <c r="D338" s="9"/>
      <c r="E338" s="20" t="s">
        <v>117</v>
      </c>
      <c r="F338" s="20"/>
      <c r="G338" s="20"/>
      <c r="H338" s="20"/>
      <c r="I338" s="20"/>
      <c r="J338" s="20"/>
      <c r="K338" s="20"/>
      <c r="L338" s="20"/>
      <c r="M338" s="20"/>
      <c r="N338" s="20"/>
      <c r="O338" s="20"/>
      <c r="P338" s="20"/>
      <c r="Q338" s="20"/>
      <c r="R338" s="20"/>
      <c r="S338" s="20"/>
      <c r="T338" s="20"/>
      <c r="U338" s="20"/>
      <c r="V338" s="20"/>
      <c r="W338" s="20"/>
      <c r="X338" s="20"/>
      <c r="Y338" s="20"/>
      <c r="Z338" s="20"/>
      <c r="AA338" s="20"/>
      <c r="AB338" s="12"/>
      <c r="AC338" s="12"/>
      <c r="AD338" s="12">
        <v>4729350</v>
      </c>
      <c r="AE338" s="12">
        <v>4729350</v>
      </c>
      <c r="AF338" s="12">
        <f>4729349</f>
        <v>4729349</v>
      </c>
      <c r="AG338" s="12">
        <v>4729350</v>
      </c>
      <c r="AH338" s="12">
        <v>3365989</v>
      </c>
      <c r="AI338" s="12">
        <v>3365989</v>
      </c>
      <c r="AJ338" s="21">
        <v>3759208</v>
      </c>
      <c r="AK338" s="21">
        <v>3759208</v>
      </c>
      <c r="AL338" s="21">
        <v>3661357</v>
      </c>
      <c r="AM338" s="21">
        <v>3661356</v>
      </c>
      <c r="AN338" s="1058">
        <v>4085599</v>
      </c>
      <c r="AO338" s="1058">
        <v>4085598</v>
      </c>
      <c r="AP338" s="1058">
        <v>4608371</v>
      </c>
      <c r="AQ338" s="1058">
        <v>4608370</v>
      </c>
      <c r="AR338" s="1044"/>
      <c r="AS338" s="1044"/>
    </row>
    <row r="339" spans="2:45" hidden="1" outlineLevel="1">
      <c r="B339" s="565">
        <v>3570</v>
      </c>
      <c r="C339" s="816" t="s">
        <v>2</v>
      </c>
      <c r="D339" s="9"/>
      <c r="E339" s="20" t="s">
        <v>1406</v>
      </c>
      <c r="F339" s="20"/>
      <c r="G339" s="20"/>
      <c r="H339" s="20"/>
      <c r="I339" s="20"/>
      <c r="J339" s="20"/>
      <c r="K339" s="20"/>
      <c r="L339" s="20"/>
      <c r="M339" s="20"/>
      <c r="N339" s="20"/>
      <c r="O339" s="20"/>
      <c r="P339" s="20"/>
      <c r="Q339" s="20"/>
      <c r="R339" s="20"/>
      <c r="S339" s="20"/>
      <c r="T339" s="20"/>
      <c r="U339" s="20"/>
      <c r="V339" s="20"/>
      <c r="W339" s="20"/>
      <c r="X339" s="20"/>
      <c r="Y339" s="20"/>
      <c r="Z339" s="20"/>
      <c r="AA339" s="20"/>
      <c r="AB339" s="12"/>
      <c r="AC339" s="12"/>
      <c r="AD339" s="12">
        <v>6955071</v>
      </c>
      <c r="AE339" s="12">
        <v>6955071</v>
      </c>
      <c r="AF339" s="12">
        <f>7440616</f>
        <v>7440616</v>
      </c>
      <c r="AG339" s="12">
        <v>7440616</v>
      </c>
      <c r="AH339" s="12">
        <v>7581417</v>
      </c>
      <c r="AI339" s="12">
        <v>7581417</v>
      </c>
      <c r="AJ339" s="21">
        <v>7501692</v>
      </c>
      <c r="AK339" s="21">
        <v>7501692</v>
      </c>
      <c r="AL339" s="21">
        <v>7578388</v>
      </c>
      <c r="AM339" s="21">
        <v>7578387</v>
      </c>
      <c r="AN339" s="1058">
        <v>7155460</v>
      </c>
      <c r="AO339" s="1058">
        <v>7155459</v>
      </c>
      <c r="AP339" s="1058">
        <v>7092138</v>
      </c>
      <c r="AQ339" s="1058">
        <v>7092138</v>
      </c>
      <c r="AR339" s="1044"/>
      <c r="AS339" s="1044"/>
    </row>
    <row r="340" spans="2:45" hidden="1" outlineLevel="1">
      <c r="B340" s="565">
        <v>3573</v>
      </c>
      <c r="C340" s="816" t="s">
        <v>2</v>
      </c>
      <c r="D340" s="9"/>
      <c r="E340" s="20" t="s">
        <v>119</v>
      </c>
      <c r="F340" s="20"/>
      <c r="G340" s="20"/>
      <c r="H340" s="20"/>
      <c r="I340" s="20"/>
      <c r="J340" s="20"/>
      <c r="K340" s="20"/>
      <c r="L340" s="20"/>
      <c r="M340" s="20"/>
      <c r="N340" s="20"/>
      <c r="O340" s="20"/>
      <c r="P340" s="20"/>
      <c r="Q340" s="20"/>
      <c r="R340" s="20"/>
      <c r="S340" s="20"/>
      <c r="T340" s="20"/>
      <c r="U340" s="20"/>
      <c r="V340" s="20"/>
      <c r="W340" s="20"/>
      <c r="X340" s="20"/>
      <c r="Y340" s="20"/>
      <c r="Z340" s="20"/>
      <c r="AA340" s="20"/>
      <c r="AB340" s="12"/>
      <c r="AC340" s="12"/>
      <c r="AD340" s="12">
        <v>6857816</v>
      </c>
      <c r="AE340" s="12">
        <v>6857815</v>
      </c>
      <c r="AF340" s="12">
        <f>7265770</f>
        <v>7265770</v>
      </c>
      <c r="AG340" s="12">
        <v>7265769</v>
      </c>
      <c r="AH340" s="12">
        <v>6948830</v>
      </c>
      <c r="AI340" s="12">
        <v>6948830</v>
      </c>
      <c r="AJ340" s="21">
        <v>7612305</v>
      </c>
      <c r="AK340" s="21">
        <v>7612305</v>
      </c>
      <c r="AL340" s="21">
        <v>6886725</v>
      </c>
      <c r="AM340" s="21">
        <v>6886724</v>
      </c>
      <c r="AN340" s="1058">
        <v>6701917</v>
      </c>
      <c r="AO340" s="1058">
        <v>6701915</v>
      </c>
      <c r="AP340" s="1058">
        <v>7091106</v>
      </c>
      <c r="AQ340" s="1058">
        <v>7091105</v>
      </c>
      <c r="AR340" s="1044"/>
      <c r="AS340" s="1044"/>
    </row>
    <row r="341" spans="2:45" hidden="1" outlineLevel="1">
      <c r="B341" s="565">
        <v>10633</v>
      </c>
      <c r="C341" s="816" t="s">
        <v>2</v>
      </c>
      <c r="D341" s="9"/>
      <c r="E341" s="20" t="s">
        <v>120</v>
      </c>
      <c r="F341" s="20"/>
      <c r="G341" s="20"/>
      <c r="H341" s="20"/>
      <c r="I341" s="20"/>
      <c r="J341" s="20"/>
      <c r="K341" s="20"/>
      <c r="L341" s="20"/>
      <c r="M341" s="20"/>
      <c r="N341" s="20"/>
      <c r="O341" s="20"/>
      <c r="P341" s="20"/>
      <c r="Q341" s="20"/>
      <c r="R341" s="20"/>
      <c r="S341" s="20"/>
      <c r="T341" s="20"/>
      <c r="U341" s="20"/>
      <c r="V341" s="20"/>
      <c r="W341" s="20"/>
      <c r="X341" s="20"/>
      <c r="Y341" s="20"/>
      <c r="Z341" s="20"/>
      <c r="AA341" s="20"/>
      <c r="AB341" s="12"/>
      <c r="AC341" s="12"/>
      <c r="AD341" s="12">
        <v>63627433</v>
      </c>
      <c r="AE341" s="12">
        <v>63627433</v>
      </c>
      <c r="AF341" s="12">
        <f>70337112</f>
        <v>70337112</v>
      </c>
      <c r="AG341" s="12">
        <v>70337113</v>
      </c>
      <c r="AH341" s="12">
        <v>70326504</v>
      </c>
      <c r="AI341" s="12">
        <v>70326504</v>
      </c>
      <c r="AJ341" s="21">
        <v>69148935</v>
      </c>
      <c r="AK341" s="21">
        <v>69148935</v>
      </c>
      <c r="AL341" s="21">
        <v>69995428</v>
      </c>
      <c r="AM341" s="21">
        <v>69995426</v>
      </c>
      <c r="AN341" s="1058">
        <v>68108943</v>
      </c>
      <c r="AO341" s="1058">
        <v>68108943</v>
      </c>
      <c r="AP341" s="1058">
        <v>68575955</v>
      </c>
      <c r="AQ341" s="1058">
        <v>68575953</v>
      </c>
      <c r="AR341" s="1044"/>
      <c r="AS341" s="1044"/>
    </row>
    <row r="342" spans="2:45" hidden="1" outlineLevel="1">
      <c r="B342" s="565">
        <v>103574</v>
      </c>
      <c r="C342" s="816" t="s">
        <v>2</v>
      </c>
      <c r="D342" s="9"/>
      <c r="E342" s="20" t="s">
        <v>1415</v>
      </c>
      <c r="F342" s="20"/>
      <c r="G342" s="20"/>
      <c r="H342" s="20"/>
      <c r="I342" s="20"/>
      <c r="J342" s="20"/>
      <c r="K342" s="20"/>
      <c r="L342" s="20"/>
      <c r="M342" s="20"/>
      <c r="N342" s="20"/>
      <c r="O342" s="20"/>
      <c r="P342" s="20"/>
      <c r="Q342" s="20"/>
      <c r="R342" s="20"/>
      <c r="S342" s="20"/>
      <c r="T342" s="20"/>
      <c r="U342" s="20"/>
      <c r="V342" s="20"/>
      <c r="W342" s="20"/>
      <c r="X342" s="20"/>
      <c r="Y342" s="20"/>
      <c r="Z342" s="20"/>
      <c r="AA342" s="20"/>
      <c r="AB342" s="12"/>
      <c r="AC342" s="12"/>
      <c r="AD342" s="12">
        <v>11691060</v>
      </c>
      <c r="AE342" s="12">
        <v>10691060</v>
      </c>
      <c r="AF342" s="12">
        <f>11911795</f>
        <v>11911795</v>
      </c>
      <c r="AG342" s="12">
        <v>11911793</v>
      </c>
      <c r="AH342" s="12">
        <v>10678366</v>
      </c>
      <c r="AI342" s="12">
        <v>10678366</v>
      </c>
      <c r="AJ342" s="21">
        <v>9765534</v>
      </c>
      <c r="AK342" s="21">
        <v>9765534</v>
      </c>
      <c r="AL342" s="21">
        <v>11046268</v>
      </c>
      <c r="AM342" s="21">
        <v>9054110</v>
      </c>
      <c r="AN342" s="1058">
        <v>9686962</v>
      </c>
      <c r="AO342" s="1058">
        <v>9686961</v>
      </c>
      <c r="AP342" s="1058">
        <v>10170883</v>
      </c>
      <c r="AQ342" s="1058">
        <v>10170882</v>
      </c>
      <c r="AR342" s="1044"/>
      <c r="AS342" s="1044"/>
    </row>
    <row r="343" spans="2:45" hidden="1" outlineLevel="1">
      <c r="B343" s="565">
        <v>3580</v>
      </c>
      <c r="C343" s="816" t="s">
        <v>2</v>
      </c>
      <c r="D343" s="9"/>
      <c r="E343" s="20" t="s">
        <v>122</v>
      </c>
      <c r="F343" s="20"/>
      <c r="G343" s="20"/>
      <c r="H343" s="20"/>
      <c r="I343" s="20"/>
      <c r="J343" s="20"/>
      <c r="K343" s="20"/>
      <c r="L343" s="20"/>
      <c r="M343" s="20"/>
      <c r="N343" s="20"/>
      <c r="O343" s="20"/>
      <c r="P343" s="20"/>
      <c r="Q343" s="20"/>
      <c r="R343" s="20"/>
      <c r="S343" s="20"/>
      <c r="T343" s="20"/>
      <c r="U343" s="20"/>
      <c r="V343" s="20"/>
      <c r="W343" s="20"/>
      <c r="X343" s="20"/>
      <c r="Y343" s="20"/>
      <c r="Z343" s="20"/>
      <c r="AA343" s="20"/>
      <c r="AB343" s="12"/>
      <c r="AC343" s="12"/>
      <c r="AD343" s="12">
        <v>10183214</v>
      </c>
      <c r="AE343" s="12">
        <v>10183214</v>
      </c>
      <c r="AF343" s="12">
        <f>12569607</f>
        <v>12569607</v>
      </c>
      <c r="AG343" s="12">
        <v>12569607</v>
      </c>
      <c r="AH343" s="12">
        <v>11248691</v>
      </c>
      <c r="AI343" s="12">
        <v>11248691</v>
      </c>
      <c r="AJ343" s="21">
        <v>10583081</v>
      </c>
      <c r="AK343" s="21">
        <v>10583081</v>
      </c>
      <c r="AL343" s="21">
        <v>9980673</v>
      </c>
      <c r="AM343" s="21">
        <v>9980671</v>
      </c>
      <c r="AN343" s="1058">
        <v>9728706</v>
      </c>
      <c r="AO343" s="1058">
        <v>9728706</v>
      </c>
      <c r="AP343" s="1058">
        <v>9242271</v>
      </c>
      <c r="AQ343" s="1058">
        <v>9242270</v>
      </c>
      <c r="AR343" s="1044"/>
      <c r="AS343" s="1044"/>
    </row>
    <row r="344" spans="2:45" hidden="1" outlineLevel="1">
      <c r="B344" s="565">
        <v>3582</v>
      </c>
      <c r="C344" s="816" t="s">
        <v>2</v>
      </c>
      <c r="D344" s="9"/>
      <c r="E344" s="20" t="s">
        <v>123</v>
      </c>
      <c r="F344" s="20"/>
      <c r="G344" s="20"/>
      <c r="H344" s="20"/>
      <c r="I344" s="20"/>
      <c r="J344" s="20"/>
      <c r="K344" s="20"/>
      <c r="L344" s="20"/>
      <c r="M344" s="20"/>
      <c r="N344" s="20"/>
      <c r="O344" s="20"/>
      <c r="P344" s="20"/>
      <c r="Q344" s="20"/>
      <c r="R344" s="20"/>
      <c r="S344" s="20"/>
      <c r="T344" s="20"/>
      <c r="U344" s="20"/>
      <c r="V344" s="20"/>
      <c r="W344" s="20"/>
      <c r="X344" s="20"/>
      <c r="Y344" s="20"/>
      <c r="Z344" s="20"/>
      <c r="AA344" s="20"/>
      <c r="AB344" s="12"/>
      <c r="AC344" s="12"/>
      <c r="AD344" s="12">
        <v>12850788</v>
      </c>
      <c r="AE344" s="12">
        <v>12850787</v>
      </c>
      <c r="AF344" s="12">
        <f>12850787</f>
        <v>12850787</v>
      </c>
      <c r="AG344" s="12">
        <v>12850787</v>
      </c>
      <c r="AH344" s="12">
        <v>11054462</v>
      </c>
      <c r="AI344" s="12">
        <v>11054462</v>
      </c>
      <c r="AJ344" s="21">
        <v>11114970</v>
      </c>
      <c r="AK344" s="21">
        <v>11114970</v>
      </c>
      <c r="AL344" s="21">
        <v>10325498</v>
      </c>
      <c r="AM344" s="21">
        <v>10325497</v>
      </c>
      <c r="AN344" s="1058">
        <v>10428672</v>
      </c>
      <c r="AO344" s="1058">
        <v>10428671</v>
      </c>
      <c r="AP344" s="1058">
        <v>11496521</v>
      </c>
      <c r="AQ344" s="1058">
        <v>11496520</v>
      </c>
      <c r="AR344" s="1044"/>
      <c r="AS344" s="1044"/>
    </row>
    <row r="345" spans="2:45" hidden="1" outlineLevel="1">
      <c r="B345" s="565">
        <v>3583</v>
      </c>
      <c r="C345" s="816" t="s">
        <v>2</v>
      </c>
      <c r="D345" s="9"/>
      <c r="E345" s="20" t="s">
        <v>174</v>
      </c>
      <c r="F345" s="20"/>
      <c r="G345" s="20"/>
      <c r="H345" s="20"/>
      <c r="I345" s="20"/>
      <c r="J345" s="20"/>
      <c r="K345" s="20"/>
      <c r="L345" s="20"/>
      <c r="M345" s="20"/>
      <c r="N345" s="20"/>
      <c r="O345" s="20"/>
      <c r="P345" s="20"/>
      <c r="Q345" s="20"/>
      <c r="R345" s="20"/>
      <c r="S345" s="20"/>
      <c r="T345" s="20"/>
      <c r="U345" s="20"/>
      <c r="V345" s="20"/>
      <c r="W345" s="20"/>
      <c r="X345" s="20"/>
      <c r="Y345" s="20"/>
      <c r="Z345" s="20"/>
      <c r="AA345" s="20"/>
      <c r="AB345" s="12"/>
      <c r="AC345" s="12"/>
      <c r="AD345" s="12">
        <v>10072007</v>
      </c>
      <c r="AE345" s="12">
        <v>10072007</v>
      </c>
      <c r="AF345" s="12">
        <f>10284700</f>
        <v>10284700</v>
      </c>
      <c r="AG345" s="12">
        <v>10284700</v>
      </c>
      <c r="AH345" s="12">
        <v>9330698</v>
      </c>
      <c r="AI345" s="12">
        <v>9330698</v>
      </c>
      <c r="AJ345" s="21">
        <v>8680108</v>
      </c>
      <c r="AK345" s="21">
        <v>8680108</v>
      </c>
      <c r="AL345" s="21">
        <v>9096119</v>
      </c>
      <c r="AM345" s="21">
        <v>9096118</v>
      </c>
      <c r="AN345" s="1058">
        <v>9919220</v>
      </c>
      <c r="AO345" s="1058">
        <v>9919220</v>
      </c>
      <c r="AP345" s="1058">
        <v>10424439</v>
      </c>
      <c r="AQ345" s="1058">
        <v>10424437</v>
      </c>
      <c r="AR345" s="1044"/>
      <c r="AS345" s="1044"/>
    </row>
    <row r="346" spans="2:45" hidden="1" outlineLevel="1">
      <c r="B346" s="565">
        <v>11145</v>
      </c>
      <c r="C346" s="816" t="s">
        <v>2</v>
      </c>
      <c r="D346" s="9"/>
      <c r="E346" s="20" t="s">
        <v>892</v>
      </c>
      <c r="F346" s="20"/>
      <c r="G346" s="20"/>
      <c r="H346" s="20"/>
      <c r="I346" s="20"/>
      <c r="J346" s="20"/>
      <c r="K346" s="20"/>
      <c r="L346" s="20"/>
      <c r="M346" s="20"/>
      <c r="N346" s="20"/>
      <c r="O346" s="20"/>
      <c r="P346" s="20"/>
      <c r="Q346" s="20"/>
      <c r="R346" s="20"/>
      <c r="S346" s="20"/>
      <c r="T346" s="20"/>
      <c r="U346" s="20"/>
      <c r="V346" s="20"/>
      <c r="W346" s="20"/>
      <c r="X346" s="20"/>
      <c r="Y346" s="20"/>
      <c r="Z346" s="20"/>
      <c r="AA346" s="20"/>
      <c r="AB346" s="12"/>
      <c r="AC346" s="12"/>
      <c r="AD346" s="12">
        <v>13803602</v>
      </c>
      <c r="AE346" s="12">
        <v>13803602</v>
      </c>
      <c r="AF346" s="12">
        <f>10509878</f>
        <v>10509878</v>
      </c>
      <c r="AG346" s="12">
        <v>10509879</v>
      </c>
      <c r="AH346" s="12">
        <v>9585132</v>
      </c>
      <c r="AI346" s="12">
        <v>9585132</v>
      </c>
      <c r="AJ346" s="21">
        <v>72475700</v>
      </c>
      <c r="AK346" s="21">
        <v>72475700</v>
      </c>
      <c r="AL346" s="21">
        <v>74093146</v>
      </c>
      <c r="AM346" s="21">
        <v>74093145</v>
      </c>
      <c r="AN346" s="1058">
        <v>77956615</v>
      </c>
      <c r="AO346" s="1058">
        <v>77956614</v>
      </c>
      <c r="AP346" s="1058">
        <v>78657933</v>
      </c>
      <c r="AQ346" s="1058">
        <v>78657932</v>
      </c>
      <c r="AR346" s="1044"/>
      <c r="AS346" s="1044"/>
    </row>
    <row r="347" spans="2:45" hidden="1" outlineLevel="1">
      <c r="B347" s="565">
        <v>3590</v>
      </c>
      <c r="C347" s="816" t="s">
        <v>2</v>
      </c>
      <c r="D347" s="9"/>
      <c r="E347" s="20" t="s">
        <v>126</v>
      </c>
      <c r="F347" s="20"/>
      <c r="G347" s="20"/>
      <c r="H347" s="20"/>
      <c r="I347" s="20"/>
      <c r="J347" s="20"/>
      <c r="K347" s="20"/>
      <c r="L347" s="20"/>
      <c r="M347" s="20"/>
      <c r="N347" s="20"/>
      <c r="O347" s="20"/>
      <c r="P347" s="20"/>
      <c r="Q347" s="20"/>
      <c r="R347" s="20"/>
      <c r="S347" s="20"/>
      <c r="T347" s="20"/>
      <c r="U347" s="20"/>
      <c r="V347" s="20"/>
      <c r="W347" s="20"/>
      <c r="X347" s="20"/>
      <c r="Y347" s="20"/>
      <c r="Z347" s="20"/>
      <c r="AA347" s="20"/>
      <c r="AB347" s="12"/>
      <c r="AC347" s="12"/>
      <c r="AD347" s="12">
        <v>10475571</v>
      </c>
      <c r="AE347" s="12">
        <v>10275572</v>
      </c>
      <c r="AF347" s="12">
        <f>61615839</f>
        <v>61615839</v>
      </c>
      <c r="AG347" s="12">
        <v>61615839</v>
      </c>
      <c r="AH347" s="12">
        <v>63235414</v>
      </c>
      <c r="AI347" s="12">
        <v>63235414</v>
      </c>
      <c r="AJ347" s="21">
        <v>13456451</v>
      </c>
      <c r="AK347" s="21">
        <v>13456451</v>
      </c>
      <c r="AL347" s="21">
        <v>12110807</v>
      </c>
      <c r="AM347" s="21">
        <v>12110805</v>
      </c>
      <c r="AN347" s="1058">
        <v>12343261</v>
      </c>
      <c r="AO347" s="1058">
        <v>12343260</v>
      </c>
      <c r="AP347" s="1058">
        <v>12500515</v>
      </c>
      <c r="AQ347" s="1058">
        <v>12500515</v>
      </c>
      <c r="AR347" s="1044"/>
      <c r="AS347" s="1044"/>
    </row>
    <row r="348" spans="2:45" hidden="1" outlineLevel="1">
      <c r="B348" s="565">
        <v>9797</v>
      </c>
      <c r="C348" s="816" t="s">
        <v>2</v>
      </c>
      <c r="D348" s="9"/>
      <c r="E348" s="20" t="s">
        <v>127</v>
      </c>
      <c r="F348" s="20"/>
      <c r="G348" s="20"/>
      <c r="H348" s="20"/>
      <c r="I348" s="20"/>
      <c r="J348" s="20"/>
      <c r="K348" s="20"/>
      <c r="L348" s="20"/>
      <c r="M348" s="20"/>
      <c r="N348" s="20"/>
      <c r="O348" s="20"/>
      <c r="P348" s="20"/>
      <c r="Q348" s="20"/>
      <c r="R348" s="20"/>
      <c r="S348" s="20"/>
      <c r="T348" s="20"/>
      <c r="U348" s="20"/>
      <c r="V348" s="20"/>
      <c r="W348" s="20"/>
      <c r="X348" s="20"/>
      <c r="Y348" s="20"/>
      <c r="Z348" s="20"/>
      <c r="AA348" s="20"/>
      <c r="AB348" s="12"/>
      <c r="AC348" s="12"/>
      <c r="AD348" s="12">
        <v>12124659</v>
      </c>
      <c r="AE348" s="12">
        <v>12124659</v>
      </c>
      <c r="AF348" s="12">
        <f>14087663</f>
        <v>14087663</v>
      </c>
      <c r="AG348" s="12">
        <v>14087663</v>
      </c>
      <c r="AH348" s="12">
        <v>13895904</v>
      </c>
      <c r="AI348" s="12">
        <v>13895904</v>
      </c>
      <c r="AJ348" s="21">
        <v>8869659</v>
      </c>
      <c r="AK348" s="21">
        <v>8869659</v>
      </c>
      <c r="AL348" s="21">
        <v>7998346</v>
      </c>
      <c r="AM348" s="21">
        <v>7998346</v>
      </c>
      <c r="AN348" s="1058">
        <v>8456383</v>
      </c>
      <c r="AO348" s="1058">
        <v>8456383</v>
      </c>
      <c r="AP348" s="1058">
        <v>8049768</v>
      </c>
      <c r="AQ348" s="1058">
        <v>8049765</v>
      </c>
      <c r="AR348" s="1044"/>
      <c r="AS348" s="1044"/>
    </row>
    <row r="349" spans="2:45" hidden="1" outlineLevel="1">
      <c r="B349" s="565">
        <v>3593</v>
      </c>
      <c r="C349" s="816" t="s">
        <v>2</v>
      </c>
      <c r="D349" s="9"/>
      <c r="E349" s="20" t="s">
        <v>128</v>
      </c>
      <c r="F349" s="20"/>
      <c r="G349" s="20"/>
      <c r="H349" s="20"/>
      <c r="I349" s="20"/>
      <c r="J349" s="20"/>
      <c r="K349" s="20"/>
      <c r="L349" s="20"/>
      <c r="M349" s="20"/>
      <c r="N349" s="20"/>
      <c r="O349" s="20"/>
      <c r="P349" s="20"/>
      <c r="Q349" s="20"/>
      <c r="R349" s="20"/>
      <c r="S349" s="20"/>
      <c r="T349" s="20"/>
      <c r="U349" s="20"/>
      <c r="V349" s="20"/>
      <c r="W349" s="20"/>
      <c r="X349" s="20"/>
      <c r="Y349" s="20"/>
      <c r="Z349" s="20"/>
      <c r="AA349" s="20"/>
      <c r="AB349" s="12"/>
      <c r="AC349" s="12"/>
      <c r="AD349" s="12">
        <v>9419309</v>
      </c>
      <c r="AE349" s="12">
        <v>9419309</v>
      </c>
      <c r="AF349" s="12">
        <f>10292535</f>
        <v>10292535</v>
      </c>
      <c r="AG349" s="12">
        <v>10292534</v>
      </c>
      <c r="AH349" s="12">
        <v>8879891</v>
      </c>
      <c r="AI349" s="12">
        <v>8879891</v>
      </c>
      <c r="AJ349" s="21">
        <v>16262313</v>
      </c>
      <c r="AK349" s="21">
        <v>16262313</v>
      </c>
      <c r="AL349" s="21">
        <v>15266373</v>
      </c>
      <c r="AM349" s="21">
        <v>15266372</v>
      </c>
      <c r="AN349" s="1058">
        <v>14052371</v>
      </c>
      <c r="AO349" s="1058">
        <v>14052370</v>
      </c>
      <c r="AP349" s="1058">
        <v>13362835</v>
      </c>
      <c r="AQ349" s="1058">
        <v>13362833</v>
      </c>
      <c r="AR349" s="1044"/>
      <c r="AS349" s="1044"/>
    </row>
    <row r="350" spans="2:45" hidden="1" outlineLevel="1">
      <c r="B350" s="565">
        <v>3558</v>
      </c>
      <c r="C350" s="816" t="s">
        <v>2</v>
      </c>
      <c r="D350" s="9"/>
      <c r="E350" s="20" t="s">
        <v>1405</v>
      </c>
      <c r="F350" s="20"/>
      <c r="G350" s="20"/>
      <c r="H350" s="20"/>
      <c r="I350" s="20"/>
      <c r="J350" s="20"/>
      <c r="K350" s="20"/>
      <c r="L350" s="20"/>
      <c r="M350" s="20"/>
      <c r="N350" s="20"/>
      <c r="O350" s="20"/>
      <c r="P350" s="20"/>
      <c r="Q350" s="20"/>
      <c r="R350" s="20"/>
      <c r="S350" s="20"/>
      <c r="T350" s="20"/>
      <c r="U350" s="20"/>
      <c r="V350" s="20"/>
      <c r="W350" s="20"/>
      <c r="X350" s="20"/>
      <c r="Y350" s="20"/>
      <c r="Z350" s="20"/>
      <c r="AA350" s="20"/>
      <c r="AB350" s="12"/>
      <c r="AC350" s="12"/>
      <c r="AD350" s="12">
        <v>54856528</v>
      </c>
      <c r="AE350" s="12">
        <v>54856528</v>
      </c>
      <c r="AF350" s="12">
        <f>15158298</f>
        <v>15158298</v>
      </c>
      <c r="AG350" s="12">
        <v>15158298</v>
      </c>
      <c r="AH350" s="12">
        <v>15609937</v>
      </c>
      <c r="AI350" s="12">
        <v>15609937</v>
      </c>
      <c r="AJ350" s="21">
        <v>11319127</v>
      </c>
      <c r="AK350" s="21">
        <v>11319127</v>
      </c>
      <c r="AL350" s="21">
        <v>11216773</v>
      </c>
      <c r="AM350" s="21">
        <v>11216773</v>
      </c>
      <c r="AN350" s="1058">
        <v>10810261</v>
      </c>
      <c r="AO350" s="1058">
        <v>10810260</v>
      </c>
      <c r="AP350" s="1058">
        <v>11723836</v>
      </c>
      <c r="AQ350" s="1058">
        <v>11723836</v>
      </c>
      <c r="AR350" s="1044"/>
      <c r="AS350" s="1044"/>
    </row>
    <row r="351" spans="2:45" hidden="1" outlineLevel="1">
      <c r="B351" s="565">
        <v>23154</v>
      </c>
      <c r="C351" s="816" t="s">
        <v>2</v>
      </c>
      <c r="D351" s="9"/>
      <c r="E351" s="20" t="s">
        <v>1413</v>
      </c>
      <c r="F351" s="20"/>
      <c r="G351" s="20"/>
      <c r="H351" s="20"/>
      <c r="I351" s="20"/>
      <c r="J351" s="20"/>
      <c r="K351" s="20"/>
      <c r="L351" s="20"/>
      <c r="M351" s="20"/>
      <c r="N351" s="20"/>
      <c r="O351" s="20"/>
      <c r="P351" s="20"/>
      <c r="Q351" s="20"/>
      <c r="R351" s="20"/>
      <c r="S351" s="20"/>
      <c r="T351" s="20"/>
      <c r="U351" s="20"/>
      <c r="V351" s="20"/>
      <c r="W351" s="20"/>
      <c r="X351" s="20"/>
      <c r="Y351" s="20"/>
      <c r="Z351" s="20"/>
      <c r="AA351" s="20"/>
      <c r="AB351" s="12"/>
      <c r="AC351" s="12"/>
      <c r="AD351" s="12">
        <v>3990216</v>
      </c>
      <c r="AE351" s="12">
        <v>3990216</v>
      </c>
      <c r="AF351" s="12">
        <f>4232007</f>
        <v>4232007</v>
      </c>
      <c r="AG351" s="12">
        <v>4232007</v>
      </c>
      <c r="AH351" s="12">
        <v>4285579</v>
      </c>
      <c r="AI351" s="12">
        <v>4285579</v>
      </c>
      <c r="AJ351" s="21">
        <v>4862118</v>
      </c>
      <c r="AK351" s="21">
        <v>4862118</v>
      </c>
      <c r="AL351" s="21">
        <v>4578180</v>
      </c>
      <c r="AM351" s="21">
        <v>4578178</v>
      </c>
      <c r="AN351" s="1058">
        <v>4732868</v>
      </c>
      <c r="AO351" s="1058">
        <v>4732867</v>
      </c>
      <c r="AP351" s="1058">
        <v>4967759</v>
      </c>
      <c r="AQ351" s="1058">
        <v>4967758</v>
      </c>
      <c r="AR351" s="1044"/>
      <c r="AS351" s="1044"/>
    </row>
    <row r="352" spans="2:45" hidden="1" outlineLevel="1">
      <c r="B352" s="565">
        <v>3596</v>
      </c>
      <c r="C352" s="816" t="s">
        <v>2</v>
      </c>
      <c r="D352" s="9"/>
      <c r="E352" s="20" t="s">
        <v>131</v>
      </c>
      <c r="F352" s="20"/>
      <c r="G352" s="20"/>
      <c r="H352" s="20"/>
      <c r="I352" s="20"/>
      <c r="J352" s="20"/>
      <c r="K352" s="20"/>
      <c r="L352" s="20"/>
      <c r="M352" s="20"/>
      <c r="N352" s="20"/>
      <c r="O352" s="20"/>
      <c r="P352" s="20"/>
      <c r="Q352" s="20"/>
      <c r="R352" s="20"/>
      <c r="S352" s="20"/>
      <c r="T352" s="20"/>
      <c r="U352" s="20"/>
      <c r="V352" s="20"/>
      <c r="W352" s="20"/>
      <c r="X352" s="20"/>
      <c r="Y352" s="20"/>
      <c r="Z352" s="20"/>
      <c r="AA352" s="20"/>
      <c r="AB352" s="12"/>
      <c r="AC352" s="12"/>
      <c r="AD352" s="12">
        <v>8473764</v>
      </c>
      <c r="AE352" s="12">
        <v>8473764</v>
      </c>
      <c r="AF352" s="12">
        <f>8473763</f>
        <v>8473763</v>
      </c>
      <c r="AG352" s="12">
        <v>8473764</v>
      </c>
      <c r="AH352" s="12">
        <v>6761399</v>
      </c>
      <c r="AI352" s="12">
        <v>6761399</v>
      </c>
      <c r="AJ352" s="21">
        <v>7351136</v>
      </c>
      <c r="AK352" s="21">
        <v>7351136</v>
      </c>
      <c r="AL352" s="21">
        <v>7613429</v>
      </c>
      <c r="AM352" s="21">
        <v>7613429</v>
      </c>
      <c r="AN352" s="1058">
        <v>8370062</v>
      </c>
      <c r="AO352" s="1058">
        <v>8370061</v>
      </c>
      <c r="AP352" s="1058">
        <v>9641570</v>
      </c>
      <c r="AQ352" s="1058">
        <v>9641569</v>
      </c>
      <c r="AR352" s="1044"/>
      <c r="AS352" s="1044"/>
    </row>
    <row r="353" spans="2:45" hidden="1" outlineLevel="1">
      <c r="B353" s="565">
        <v>3600</v>
      </c>
      <c r="C353" s="816" t="s">
        <v>2</v>
      </c>
      <c r="D353" s="9"/>
      <c r="E353" s="20" t="s">
        <v>132</v>
      </c>
      <c r="F353" s="20"/>
      <c r="G353" s="20"/>
      <c r="H353" s="20"/>
      <c r="I353" s="20"/>
      <c r="J353" s="20"/>
      <c r="K353" s="20"/>
      <c r="L353" s="20"/>
      <c r="M353" s="20"/>
      <c r="N353" s="20"/>
      <c r="O353" s="20"/>
      <c r="P353" s="20"/>
      <c r="Q353" s="20"/>
      <c r="R353" s="20"/>
      <c r="S353" s="20"/>
      <c r="T353" s="20"/>
      <c r="U353" s="20"/>
      <c r="V353" s="20"/>
      <c r="W353" s="20"/>
      <c r="X353" s="20"/>
      <c r="Y353" s="20"/>
      <c r="Z353" s="20"/>
      <c r="AA353" s="20"/>
      <c r="AB353" s="12"/>
      <c r="AC353" s="12"/>
      <c r="AD353" s="12">
        <v>3643558</v>
      </c>
      <c r="AE353" s="12">
        <v>3643558</v>
      </c>
      <c r="AF353" s="12">
        <f>3826099</f>
        <v>3826099</v>
      </c>
      <c r="AG353" s="12">
        <v>3826099</v>
      </c>
      <c r="AH353" s="12">
        <v>3383947</v>
      </c>
      <c r="AI353" s="12">
        <v>3383947</v>
      </c>
      <c r="AJ353" s="21">
        <v>4315726</v>
      </c>
      <c r="AK353" s="21">
        <v>4315726</v>
      </c>
      <c r="AL353" s="21">
        <v>4684705</v>
      </c>
      <c r="AM353" s="21">
        <v>4684704</v>
      </c>
      <c r="AN353" s="1058">
        <v>5073688</v>
      </c>
      <c r="AO353" s="1058">
        <v>5073686</v>
      </c>
      <c r="AP353" s="1058">
        <v>4861783</v>
      </c>
      <c r="AQ353" s="1058">
        <v>4861782</v>
      </c>
      <c r="AR353" s="1044"/>
      <c r="AS353" s="1044"/>
    </row>
    <row r="354" spans="2:45" hidden="1" outlineLevel="1">
      <c r="B354" s="565">
        <v>3601</v>
      </c>
      <c r="C354" s="816" t="s">
        <v>2</v>
      </c>
      <c r="D354" s="9"/>
      <c r="E354" s="20" t="s">
        <v>133</v>
      </c>
      <c r="F354" s="20"/>
      <c r="G354" s="20"/>
      <c r="H354" s="20"/>
      <c r="I354" s="20"/>
      <c r="J354" s="20"/>
      <c r="K354" s="20"/>
      <c r="L354" s="20"/>
      <c r="M354" s="20"/>
      <c r="N354" s="20"/>
      <c r="O354" s="20"/>
      <c r="P354" s="20"/>
      <c r="Q354" s="20"/>
      <c r="R354" s="20"/>
      <c r="S354" s="20"/>
      <c r="T354" s="20"/>
      <c r="U354" s="20"/>
      <c r="V354" s="20"/>
      <c r="W354" s="20"/>
      <c r="X354" s="20"/>
      <c r="Y354" s="20"/>
      <c r="Z354" s="20"/>
      <c r="AA354" s="20"/>
      <c r="AB354" s="12"/>
      <c r="AC354" s="12"/>
      <c r="AD354" s="12">
        <v>8145155</v>
      </c>
      <c r="AE354" s="12">
        <v>8145155</v>
      </c>
      <c r="AF354" s="12">
        <f>9272406</f>
        <v>9272406</v>
      </c>
      <c r="AG354" s="12">
        <v>9272407</v>
      </c>
      <c r="AH354" s="12">
        <v>8901843</v>
      </c>
      <c r="AI354" s="12">
        <v>8901843</v>
      </c>
      <c r="AJ354" s="21">
        <v>8496387</v>
      </c>
      <c r="AK354" s="21">
        <v>8496387</v>
      </c>
      <c r="AL354" s="21">
        <v>8486838</v>
      </c>
      <c r="AM354" s="21">
        <v>8486837</v>
      </c>
      <c r="AN354" s="1058">
        <v>7813822</v>
      </c>
      <c r="AO354" s="1058">
        <v>7813822</v>
      </c>
      <c r="AP354" s="1058">
        <v>7941653</v>
      </c>
      <c r="AQ354" s="1058">
        <v>7941651</v>
      </c>
      <c r="AR354" s="1044"/>
      <c r="AS354" s="1044"/>
    </row>
    <row r="355" spans="2:45" hidden="1" outlineLevel="1">
      <c r="B355" s="565">
        <v>3603</v>
      </c>
      <c r="C355" s="816" t="s">
        <v>2</v>
      </c>
      <c r="D355" s="9"/>
      <c r="E355" s="20" t="s">
        <v>134</v>
      </c>
      <c r="F355" s="20"/>
      <c r="G355" s="20"/>
      <c r="H355" s="20"/>
      <c r="I355" s="20"/>
      <c r="J355" s="20"/>
      <c r="K355" s="20"/>
      <c r="L355" s="20"/>
      <c r="M355" s="20"/>
      <c r="N355" s="20"/>
      <c r="O355" s="20"/>
      <c r="P355" s="20"/>
      <c r="Q355" s="20"/>
      <c r="R355" s="20"/>
      <c r="S355" s="20"/>
      <c r="T355" s="20"/>
      <c r="U355" s="20"/>
      <c r="V355" s="20"/>
      <c r="W355" s="20"/>
      <c r="X355" s="20"/>
      <c r="Y355" s="20"/>
      <c r="Z355" s="20"/>
      <c r="AA355" s="20"/>
      <c r="AB355" s="12"/>
      <c r="AC355" s="12"/>
      <c r="AD355" s="12">
        <v>2089810</v>
      </c>
      <c r="AE355" s="12">
        <v>2089810</v>
      </c>
      <c r="AF355" s="12">
        <f>2089810</f>
        <v>2089810</v>
      </c>
      <c r="AG355" s="12">
        <v>2089810</v>
      </c>
      <c r="AH355" s="12">
        <v>2211668</v>
      </c>
      <c r="AI355" s="12">
        <v>2211668</v>
      </c>
      <c r="AJ355" s="21">
        <v>3354665</v>
      </c>
      <c r="AK355" s="21">
        <v>3354665</v>
      </c>
      <c r="AL355" s="21">
        <v>3582858</v>
      </c>
      <c r="AM355" s="21">
        <v>3582857</v>
      </c>
      <c r="AN355" s="1058">
        <v>3897149</v>
      </c>
      <c r="AO355" s="1058">
        <v>3897148</v>
      </c>
      <c r="AP355" s="1058">
        <v>3863091</v>
      </c>
      <c r="AQ355" s="1058">
        <v>3863090</v>
      </c>
      <c r="AR355" s="1044"/>
      <c r="AS355" s="1044"/>
    </row>
    <row r="356" spans="2:45" hidden="1" outlineLevel="1">
      <c r="B356" s="565">
        <v>29137</v>
      </c>
      <c r="C356" s="816" t="s">
        <v>2</v>
      </c>
      <c r="D356" s="9"/>
      <c r="E356" s="20" t="s">
        <v>1414</v>
      </c>
      <c r="F356" s="20"/>
      <c r="G356" s="20"/>
      <c r="H356" s="20"/>
      <c r="I356" s="20"/>
      <c r="J356" s="20"/>
      <c r="K356" s="20"/>
      <c r="L356" s="20"/>
      <c r="M356" s="20"/>
      <c r="N356" s="20"/>
      <c r="O356" s="20"/>
      <c r="P356" s="20"/>
      <c r="Q356" s="20"/>
      <c r="R356" s="20"/>
      <c r="S356" s="20"/>
      <c r="T356" s="20"/>
      <c r="U356" s="20"/>
      <c r="V356" s="20"/>
      <c r="W356" s="20"/>
      <c r="X356" s="20"/>
      <c r="Y356" s="20"/>
      <c r="Z356" s="20"/>
      <c r="AA356" s="20"/>
      <c r="AB356" s="12"/>
      <c r="AC356" s="12"/>
      <c r="AD356" s="12">
        <v>37123012</v>
      </c>
      <c r="AE356" s="12">
        <v>37123012</v>
      </c>
      <c r="AF356" s="12">
        <f>38883496</f>
        <v>38883496</v>
      </c>
      <c r="AG356" s="12">
        <v>38883496</v>
      </c>
      <c r="AH356" s="12">
        <v>36100676</v>
      </c>
      <c r="AI356" s="12">
        <v>36100676</v>
      </c>
      <c r="AJ356" s="21">
        <v>37142853</v>
      </c>
      <c r="AK356" s="21">
        <v>37142853</v>
      </c>
      <c r="AL356" s="21">
        <v>36486414</v>
      </c>
      <c r="AM356" s="21">
        <v>36486412</v>
      </c>
      <c r="AN356" s="1058">
        <v>38785179</v>
      </c>
      <c r="AO356" s="1058">
        <v>38785177</v>
      </c>
      <c r="AP356" s="1058">
        <v>42079966</v>
      </c>
      <c r="AQ356" s="1058">
        <v>42079966</v>
      </c>
      <c r="AR356" s="1044"/>
      <c r="AS356" s="1044"/>
    </row>
    <row r="357" spans="2:45" hidden="1" outlineLevel="1">
      <c r="B357" s="565">
        <v>3611</v>
      </c>
      <c r="C357" s="816" t="s">
        <v>2</v>
      </c>
      <c r="D357" s="9"/>
      <c r="E357" s="20" t="s">
        <v>136</v>
      </c>
      <c r="F357" s="20"/>
      <c r="G357" s="20"/>
      <c r="H357" s="20"/>
      <c r="I357" s="20"/>
      <c r="J357" s="20"/>
      <c r="K357" s="20"/>
      <c r="L357" s="20"/>
      <c r="M357" s="20"/>
      <c r="N357" s="20"/>
      <c r="O357" s="20"/>
      <c r="P357" s="20"/>
      <c r="Q357" s="20"/>
      <c r="R357" s="20"/>
      <c r="S357" s="20"/>
      <c r="T357" s="20"/>
      <c r="U357" s="20"/>
      <c r="V357" s="20"/>
      <c r="W357" s="20"/>
      <c r="X357" s="20"/>
      <c r="Y357" s="20"/>
      <c r="Z357" s="20"/>
      <c r="AA357" s="20"/>
      <c r="AB357" s="12"/>
      <c r="AC357" s="12"/>
      <c r="AD357" s="12">
        <v>14512858</v>
      </c>
      <c r="AE357" s="12">
        <v>14512858</v>
      </c>
      <c r="AF357" s="12">
        <f>15110039</f>
        <v>15110039</v>
      </c>
      <c r="AG357" s="12">
        <v>15110040</v>
      </c>
      <c r="AH357" s="12">
        <v>13604870</v>
      </c>
      <c r="AI357" s="12">
        <v>13604870</v>
      </c>
      <c r="AJ357" s="21">
        <v>13398638</v>
      </c>
      <c r="AK357" s="21">
        <v>13398638</v>
      </c>
      <c r="AL357" s="21">
        <v>13947421</v>
      </c>
      <c r="AM357" s="21">
        <v>13947420</v>
      </c>
      <c r="AN357" s="1058">
        <v>13607154</v>
      </c>
      <c r="AO357" s="1058">
        <v>13607153</v>
      </c>
      <c r="AP357" s="1058">
        <v>13387699</v>
      </c>
      <c r="AQ357" s="1058">
        <v>13387698</v>
      </c>
      <c r="AR357" s="1044"/>
      <c r="AS357" s="1044"/>
    </row>
    <row r="358" spans="2:45" hidden="1" outlineLevel="1">
      <c r="B358" s="565">
        <v>31034</v>
      </c>
      <c r="C358" s="816" t="s">
        <v>2</v>
      </c>
      <c r="D358" s="9"/>
      <c r="E358" s="20" t="s">
        <v>137</v>
      </c>
      <c r="F358" s="20"/>
      <c r="G358" s="20"/>
      <c r="H358" s="20"/>
      <c r="I358" s="20"/>
      <c r="J358" s="20"/>
      <c r="K358" s="20"/>
      <c r="L358" s="20"/>
      <c r="M358" s="20"/>
      <c r="N358" s="20"/>
      <c r="O358" s="20"/>
      <c r="P358" s="20"/>
      <c r="Q358" s="20"/>
      <c r="R358" s="20"/>
      <c r="S358" s="20"/>
      <c r="T358" s="20"/>
      <c r="U358" s="20"/>
      <c r="V358" s="20"/>
      <c r="W358" s="20"/>
      <c r="X358" s="20"/>
      <c r="Y358" s="20"/>
      <c r="Z358" s="20"/>
      <c r="AA358" s="20"/>
      <c r="AB358" s="12"/>
      <c r="AC358" s="12"/>
      <c r="AD358" s="12">
        <v>25572842</v>
      </c>
      <c r="AE358" s="12">
        <v>25372841</v>
      </c>
      <c r="AF358" s="12">
        <f>30568691</f>
        <v>30568691</v>
      </c>
      <c r="AG358" s="12">
        <v>30568691</v>
      </c>
      <c r="AH358" s="12">
        <v>32241180</v>
      </c>
      <c r="AI358" s="12">
        <v>32241180</v>
      </c>
      <c r="AJ358" s="21">
        <v>35896669</v>
      </c>
      <c r="AK358" s="21">
        <v>35896669</v>
      </c>
      <c r="AL358" s="21">
        <v>38583036</v>
      </c>
      <c r="AM358" s="21">
        <v>38583034</v>
      </c>
      <c r="AN358" s="1058">
        <v>40226013</v>
      </c>
      <c r="AO358" s="1058">
        <v>40226012</v>
      </c>
      <c r="AP358" s="1058">
        <v>42172061</v>
      </c>
      <c r="AQ358" s="1058">
        <v>42172059</v>
      </c>
      <c r="AR358" s="1044"/>
      <c r="AS358" s="1044"/>
    </row>
    <row r="359" spans="2:45" hidden="1" outlineLevel="1">
      <c r="B359" s="565">
        <v>3614</v>
      </c>
      <c r="C359" s="816" t="s">
        <v>2</v>
      </c>
      <c r="D359" s="9"/>
      <c r="E359" s="20" t="s">
        <v>138</v>
      </c>
      <c r="F359" s="20"/>
      <c r="G359" s="20"/>
      <c r="H359" s="20"/>
      <c r="I359" s="20"/>
      <c r="J359" s="20"/>
      <c r="K359" s="20"/>
      <c r="L359" s="20"/>
      <c r="M359" s="20"/>
      <c r="N359" s="20"/>
      <c r="O359" s="20"/>
      <c r="P359" s="20"/>
      <c r="Q359" s="20"/>
      <c r="R359" s="20"/>
      <c r="S359" s="20"/>
      <c r="T359" s="20"/>
      <c r="U359" s="20"/>
      <c r="V359" s="20"/>
      <c r="W359" s="20"/>
      <c r="X359" s="20"/>
      <c r="Y359" s="20"/>
      <c r="Z359" s="20"/>
      <c r="AA359" s="20"/>
      <c r="AB359" s="12"/>
      <c r="AC359" s="12"/>
      <c r="AD359" s="12">
        <v>7704532</v>
      </c>
      <c r="AE359" s="12">
        <v>7704532</v>
      </c>
      <c r="AF359" s="12">
        <f>7704532</f>
        <v>7704532</v>
      </c>
      <c r="AG359" s="12">
        <v>7704531</v>
      </c>
      <c r="AH359" s="12">
        <v>7306967</v>
      </c>
      <c r="AI359" s="12">
        <v>7306967</v>
      </c>
      <c r="AJ359" s="21">
        <v>7311744</v>
      </c>
      <c r="AK359" s="21">
        <v>7311744</v>
      </c>
      <c r="AL359" s="21">
        <v>6986904</v>
      </c>
      <c r="AM359" s="21">
        <v>6986903</v>
      </c>
      <c r="AN359" s="1058">
        <v>7467879</v>
      </c>
      <c r="AO359" s="1058">
        <v>7467877</v>
      </c>
      <c r="AP359" s="1058">
        <v>8462710</v>
      </c>
      <c r="AQ359" s="1058">
        <v>8462709</v>
      </c>
      <c r="AR359" s="1044"/>
      <c r="AS359" s="1044"/>
    </row>
    <row r="360" spans="2:45" hidden="1" outlineLevel="1">
      <c r="B360" s="565">
        <v>3626</v>
      </c>
      <c r="C360" s="816" t="s">
        <v>2</v>
      </c>
      <c r="D360" s="9"/>
      <c r="E360" s="20" t="s">
        <v>1408</v>
      </c>
      <c r="F360" s="20"/>
      <c r="G360" s="20"/>
      <c r="H360" s="20"/>
      <c r="I360" s="20"/>
      <c r="J360" s="20"/>
      <c r="K360" s="20"/>
      <c r="L360" s="20"/>
      <c r="M360" s="20"/>
      <c r="N360" s="20"/>
      <c r="O360" s="20"/>
      <c r="P360" s="20"/>
      <c r="Q360" s="20"/>
      <c r="R360" s="20"/>
      <c r="S360" s="20"/>
      <c r="T360" s="20"/>
      <c r="U360" s="20"/>
      <c r="V360" s="20"/>
      <c r="W360" s="20"/>
      <c r="X360" s="20"/>
      <c r="Y360" s="20"/>
      <c r="Z360" s="20"/>
      <c r="AA360" s="20"/>
      <c r="AB360" s="12"/>
      <c r="AC360" s="12"/>
      <c r="AD360" s="12">
        <v>45442760</v>
      </c>
      <c r="AE360" s="12">
        <v>45442760</v>
      </c>
      <c r="AF360" s="12">
        <f>52970370</f>
        <v>52970370</v>
      </c>
      <c r="AG360" s="12">
        <v>52970371</v>
      </c>
      <c r="AH360" s="12">
        <v>51753799</v>
      </c>
      <c r="AI360" s="12">
        <v>51753799</v>
      </c>
      <c r="AJ360" s="21">
        <v>54396981</v>
      </c>
      <c r="AK360" s="21">
        <v>54396981</v>
      </c>
      <c r="AL360" s="21">
        <v>56290151</v>
      </c>
      <c r="AM360" s="21">
        <v>56290151</v>
      </c>
      <c r="AN360" s="1058">
        <v>55345475</v>
      </c>
      <c r="AO360" s="1058">
        <v>55345474</v>
      </c>
      <c r="AP360" s="1058">
        <v>56831712</v>
      </c>
      <c r="AQ360" s="1058">
        <v>56831711</v>
      </c>
      <c r="AR360" s="1044"/>
      <c r="AS360" s="1044"/>
    </row>
    <row r="361" spans="2:45" hidden="1" outlineLevel="1">
      <c r="B361" s="565">
        <v>3627</v>
      </c>
      <c r="C361" s="816" t="s">
        <v>2</v>
      </c>
      <c r="D361" s="9"/>
      <c r="E361" s="20" t="s">
        <v>1409</v>
      </c>
      <c r="F361" s="20"/>
      <c r="G361" s="20"/>
      <c r="H361" s="20"/>
      <c r="I361" s="20"/>
      <c r="J361" s="20"/>
      <c r="K361" s="20"/>
      <c r="L361" s="20"/>
      <c r="M361" s="20"/>
      <c r="N361" s="20"/>
      <c r="O361" s="20"/>
      <c r="P361" s="20"/>
      <c r="Q361" s="20"/>
      <c r="R361" s="20"/>
      <c r="S361" s="20"/>
      <c r="T361" s="20"/>
      <c r="U361" s="20"/>
      <c r="V361" s="20"/>
      <c r="W361" s="20"/>
      <c r="X361" s="20"/>
      <c r="Y361" s="20"/>
      <c r="Z361" s="20"/>
      <c r="AA361" s="20"/>
      <c r="AB361" s="12"/>
      <c r="AC361" s="12"/>
      <c r="AD361" s="12">
        <v>7050649</v>
      </c>
      <c r="AE361" s="12">
        <v>7050649</v>
      </c>
      <c r="AF361" s="12">
        <f>8275090+805000</f>
        <v>9080090</v>
      </c>
      <c r="AG361" s="12">
        <v>8275089</v>
      </c>
      <c r="AH361" s="12">
        <v>7820691</v>
      </c>
      <c r="AI361" s="12">
        <v>7820691</v>
      </c>
      <c r="AJ361" s="21">
        <v>7854386</v>
      </c>
      <c r="AK361" s="21">
        <v>7854386</v>
      </c>
      <c r="AL361" s="21">
        <v>7646065</v>
      </c>
      <c r="AM361" s="21">
        <v>7646063</v>
      </c>
      <c r="AN361" s="1058">
        <v>7070683</v>
      </c>
      <c r="AO361" s="1058">
        <v>7070682</v>
      </c>
      <c r="AP361" s="1058">
        <v>7022460</v>
      </c>
      <c r="AQ361" s="1058">
        <v>7022458</v>
      </c>
      <c r="AR361" s="1044"/>
      <c r="AS361" s="1044"/>
    </row>
    <row r="362" spans="2:45" hidden="1" outlineLevel="1">
      <c r="B362" s="565">
        <v>3628</v>
      </c>
      <c r="C362" s="816" t="s">
        <v>2</v>
      </c>
      <c r="D362" s="9"/>
      <c r="E362" s="20" t="s">
        <v>141</v>
      </c>
      <c r="F362" s="20"/>
      <c r="G362" s="20"/>
      <c r="H362" s="20"/>
      <c r="I362" s="20"/>
      <c r="J362" s="20"/>
      <c r="K362" s="20"/>
      <c r="L362" s="20"/>
      <c r="M362" s="20"/>
      <c r="N362" s="20"/>
      <c r="O362" s="20"/>
      <c r="P362" s="20"/>
      <c r="Q362" s="20"/>
      <c r="R362" s="20"/>
      <c r="S362" s="20"/>
      <c r="T362" s="20"/>
      <c r="U362" s="20"/>
      <c r="V362" s="20"/>
      <c r="W362" s="20"/>
      <c r="X362" s="20"/>
      <c r="Y362" s="20"/>
      <c r="Z362" s="20"/>
      <c r="AA362" s="20"/>
      <c r="AB362" s="12"/>
      <c r="AC362" s="12"/>
      <c r="AD362" s="12">
        <v>9106535</v>
      </c>
      <c r="AE362" s="12">
        <v>9106535</v>
      </c>
      <c r="AF362" s="12">
        <f>9301696</f>
        <v>9301696</v>
      </c>
      <c r="AG362" s="12">
        <v>9301695</v>
      </c>
      <c r="AH362" s="12">
        <v>7682941</v>
      </c>
      <c r="AI362" s="12">
        <v>7682941</v>
      </c>
      <c r="AJ362" s="21">
        <v>6681440</v>
      </c>
      <c r="AK362" s="21">
        <v>6681440</v>
      </c>
      <c r="AL362" s="21">
        <v>6939423</v>
      </c>
      <c r="AM362" s="21">
        <v>6939421</v>
      </c>
      <c r="AN362" s="1058">
        <v>7198828</v>
      </c>
      <c r="AO362" s="1058">
        <v>7198827</v>
      </c>
      <c r="AP362" s="1058">
        <v>7484440</v>
      </c>
      <c r="AQ362" s="1058">
        <v>7484438</v>
      </c>
      <c r="AR362" s="1044"/>
      <c r="AS362" s="1044"/>
    </row>
    <row r="363" spans="2:45" hidden="1" outlineLevel="1">
      <c r="B363" s="565">
        <v>3643</v>
      </c>
      <c r="C363" s="816" t="s">
        <v>2</v>
      </c>
      <c r="D363" s="9"/>
      <c r="E363" s="20" t="s">
        <v>142</v>
      </c>
      <c r="F363" s="20"/>
      <c r="G363" s="20"/>
      <c r="H363" s="20"/>
      <c r="I363" s="20"/>
      <c r="J363" s="20"/>
      <c r="K363" s="20"/>
      <c r="L363" s="20"/>
      <c r="M363" s="20"/>
      <c r="N363" s="20"/>
      <c r="O363" s="20"/>
      <c r="P363" s="20"/>
      <c r="Q363" s="20"/>
      <c r="R363" s="20"/>
      <c r="S363" s="20"/>
      <c r="T363" s="20"/>
      <c r="U363" s="20"/>
      <c r="V363" s="20"/>
      <c r="W363" s="20"/>
      <c r="X363" s="20"/>
      <c r="Y363" s="20"/>
      <c r="Z363" s="20"/>
      <c r="AA363" s="20"/>
      <c r="AB363" s="12"/>
      <c r="AC363" s="12"/>
      <c r="AD363" s="12">
        <v>13982821</v>
      </c>
      <c r="AE363" s="12">
        <v>13982821</v>
      </c>
      <c r="AF363" s="12">
        <f>13982821</f>
        <v>13982821</v>
      </c>
      <c r="AG363" s="12">
        <v>13982821</v>
      </c>
      <c r="AH363" s="12">
        <v>11382503</v>
      </c>
      <c r="AI363" s="12">
        <v>11382503</v>
      </c>
      <c r="AJ363" s="21">
        <v>5094234</v>
      </c>
      <c r="AK363" s="21">
        <v>5094235</v>
      </c>
      <c r="AL363" s="21">
        <v>6162261</v>
      </c>
      <c r="AM363" s="21">
        <v>6162261</v>
      </c>
      <c r="AN363" s="1058">
        <v>5237663</v>
      </c>
      <c r="AO363" s="1058">
        <v>5237662</v>
      </c>
      <c r="AP363" s="1058">
        <v>7048806</v>
      </c>
      <c r="AQ363" s="1058">
        <v>7048804</v>
      </c>
      <c r="AR363" s="1044"/>
      <c r="AS363" s="1044"/>
    </row>
    <row r="364" spans="2:45" hidden="1" outlineLevel="1">
      <c r="B364" s="565">
        <v>3572</v>
      </c>
      <c r="C364" s="816" t="s">
        <v>2</v>
      </c>
      <c r="D364" s="9"/>
      <c r="E364" s="20" t="s">
        <v>143</v>
      </c>
      <c r="F364" s="20"/>
      <c r="G364" s="20"/>
      <c r="H364" s="20"/>
      <c r="I364" s="20"/>
      <c r="J364" s="20"/>
      <c r="K364" s="20"/>
      <c r="L364" s="20"/>
      <c r="M364" s="20"/>
      <c r="N364" s="20"/>
      <c r="O364" s="20"/>
      <c r="P364" s="20"/>
      <c r="Q364" s="20"/>
      <c r="R364" s="20"/>
      <c r="S364" s="20"/>
      <c r="T364" s="20"/>
      <c r="U364" s="20"/>
      <c r="V364" s="20"/>
      <c r="W364" s="20"/>
      <c r="X364" s="20"/>
      <c r="Y364" s="20"/>
      <c r="Z364" s="20"/>
      <c r="AA364" s="20"/>
      <c r="AB364" s="12"/>
      <c r="AC364" s="12"/>
      <c r="AD364" s="12">
        <v>11574177</v>
      </c>
      <c r="AE364" s="12">
        <v>11574177</v>
      </c>
      <c r="AF364" s="12">
        <f>11937840</f>
        <v>11937840</v>
      </c>
      <c r="AG364" s="12">
        <v>11937841</v>
      </c>
      <c r="AH364" s="12">
        <v>11138009</v>
      </c>
      <c r="AI364" s="12">
        <v>11138009</v>
      </c>
      <c r="AJ364" s="21">
        <v>11334491</v>
      </c>
      <c r="AK364" s="21">
        <v>11334491</v>
      </c>
      <c r="AL364" s="21">
        <v>11143764</v>
      </c>
      <c r="AM364" s="21">
        <v>11143762</v>
      </c>
      <c r="AN364" s="1058">
        <v>11734564</v>
      </c>
      <c r="AO364" s="1058">
        <v>11734564</v>
      </c>
      <c r="AP364" s="1058">
        <v>11926817</v>
      </c>
      <c r="AQ364" s="1058">
        <v>11926816</v>
      </c>
      <c r="AR364" s="1044"/>
      <c r="AS364" s="1044"/>
    </row>
    <row r="365" spans="2:45" hidden="1" outlineLevel="1">
      <c r="B365" s="565">
        <v>3648</v>
      </c>
      <c r="C365" s="816" t="s">
        <v>2</v>
      </c>
      <c r="D365" s="9"/>
      <c r="E365" s="20" t="s">
        <v>144</v>
      </c>
      <c r="F365" s="20"/>
      <c r="G365" s="20"/>
      <c r="H365" s="20"/>
      <c r="I365" s="20"/>
      <c r="J365" s="20"/>
      <c r="K365" s="20"/>
      <c r="L365" s="20"/>
      <c r="M365" s="20"/>
      <c r="N365" s="20"/>
      <c r="O365" s="20"/>
      <c r="P365" s="20"/>
      <c r="Q365" s="20"/>
      <c r="R365" s="20"/>
      <c r="S365" s="20"/>
      <c r="T365" s="20"/>
      <c r="U365" s="20"/>
      <c r="V365" s="20"/>
      <c r="W365" s="20"/>
      <c r="X365" s="20"/>
      <c r="Y365" s="20"/>
      <c r="Z365" s="20"/>
      <c r="AA365" s="20"/>
      <c r="AB365" s="12"/>
      <c r="AC365" s="12"/>
      <c r="AD365" s="12">
        <v>16487450</v>
      </c>
      <c r="AE365" s="12">
        <v>16487450</v>
      </c>
      <c r="AF365" s="12">
        <f>18157590</f>
        <v>18157590</v>
      </c>
      <c r="AG365" s="12">
        <v>18157589</v>
      </c>
      <c r="AH365" s="12">
        <v>17471056</v>
      </c>
      <c r="AI365" s="12">
        <v>17471056</v>
      </c>
      <c r="AJ365" s="21">
        <v>16788037</v>
      </c>
      <c r="AK365" s="21">
        <v>16788037</v>
      </c>
      <c r="AL365" s="21">
        <v>16655958</v>
      </c>
      <c r="AM365" s="21">
        <v>16655957</v>
      </c>
      <c r="AN365" s="1058">
        <v>16769512</v>
      </c>
      <c r="AO365" s="1058">
        <v>16769511</v>
      </c>
      <c r="AP365" s="1058">
        <v>18081394</v>
      </c>
      <c r="AQ365" s="1058">
        <v>18081392</v>
      </c>
      <c r="AR365" s="1044"/>
      <c r="AS365" s="1044"/>
    </row>
    <row r="366" spans="2:45" hidden="1" outlineLevel="1">
      <c r="B366" s="565">
        <v>10060</v>
      </c>
      <c r="C366" s="816" t="s">
        <v>2</v>
      </c>
      <c r="D366" s="9"/>
      <c r="E366" s="20" t="s">
        <v>180</v>
      </c>
      <c r="F366" s="20"/>
      <c r="G366" s="20"/>
      <c r="H366" s="20"/>
      <c r="I366" s="20"/>
      <c r="J366" s="20"/>
      <c r="K366" s="20"/>
      <c r="L366" s="20"/>
      <c r="M366" s="20"/>
      <c r="N366" s="20"/>
      <c r="O366" s="20"/>
      <c r="P366" s="20"/>
      <c r="Q366" s="20"/>
      <c r="R366" s="20"/>
      <c r="S366" s="20"/>
      <c r="T366" s="20"/>
      <c r="U366" s="20"/>
      <c r="V366" s="20"/>
      <c r="W366" s="20"/>
      <c r="X366" s="20"/>
      <c r="Y366" s="20"/>
      <c r="Z366" s="20"/>
      <c r="AA366" s="20"/>
      <c r="AB366" s="12"/>
      <c r="AC366" s="12"/>
      <c r="AD366" s="12">
        <v>5453123</v>
      </c>
      <c r="AE366" s="12">
        <v>5453123</v>
      </c>
      <c r="AF366" s="12">
        <f>5896854+500000</f>
        <v>6396854</v>
      </c>
      <c r="AG366" s="12">
        <v>5896853</v>
      </c>
      <c r="AH366" s="12">
        <v>5849930</v>
      </c>
      <c r="AI366" s="12">
        <v>5849930</v>
      </c>
      <c r="AJ366" s="21">
        <v>5511466</v>
      </c>
      <c r="AK366" s="21">
        <v>5511466</v>
      </c>
      <c r="AL366" s="21">
        <v>5593616</v>
      </c>
      <c r="AM366" s="21">
        <v>5593614</v>
      </c>
      <c r="AN366" s="1058">
        <v>5594240</v>
      </c>
      <c r="AO366" s="1058">
        <v>5594239</v>
      </c>
      <c r="AP366" s="1058">
        <v>5338450</v>
      </c>
      <c r="AQ366" s="1058">
        <v>5338449</v>
      </c>
      <c r="AR366" s="1044"/>
      <c r="AS366" s="1044"/>
    </row>
    <row r="367" spans="2:45" hidden="1" outlineLevel="1">
      <c r="B367" s="565">
        <v>3662</v>
      </c>
      <c r="C367" s="816" t="s">
        <v>2</v>
      </c>
      <c r="D367" s="9"/>
      <c r="E367" s="20" t="s">
        <v>146</v>
      </c>
      <c r="F367" s="20"/>
      <c r="G367" s="20"/>
      <c r="H367" s="20"/>
      <c r="I367" s="20"/>
      <c r="J367" s="20"/>
      <c r="K367" s="20"/>
      <c r="L367" s="20"/>
      <c r="M367" s="20"/>
      <c r="N367" s="20"/>
      <c r="O367" s="20"/>
      <c r="P367" s="20"/>
      <c r="Q367" s="20"/>
      <c r="R367" s="20"/>
      <c r="S367" s="20"/>
      <c r="T367" s="20"/>
      <c r="U367" s="20"/>
      <c r="V367" s="20"/>
      <c r="W367" s="20"/>
      <c r="X367" s="20"/>
      <c r="Y367" s="20"/>
      <c r="Z367" s="20"/>
      <c r="AA367" s="20"/>
      <c r="AB367" s="12"/>
      <c r="AC367" s="12"/>
      <c r="AD367" s="12">
        <v>6816087</v>
      </c>
      <c r="AE367" s="12">
        <v>6816087</v>
      </c>
      <c r="AF367" s="12">
        <f>6816087</f>
        <v>6816087</v>
      </c>
      <c r="AG367" s="12">
        <v>6816087</v>
      </c>
      <c r="AH367" s="12">
        <v>5882052</v>
      </c>
      <c r="AI367" s="12">
        <v>5882052</v>
      </c>
      <c r="AJ367" s="21">
        <v>6245318</v>
      </c>
      <c r="AK367" s="21">
        <v>6245318</v>
      </c>
      <c r="AL367" s="21">
        <v>5785997</v>
      </c>
      <c r="AM367" s="21">
        <v>5785996</v>
      </c>
      <c r="AN367" s="1058">
        <v>5622722</v>
      </c>
      <c r="AO367" s="1058">
        <v>5622721</v>
      </c>
      <c r="AP367" s="1058">
        <v>5535061</v>
      </c>
      <c r="AQ367" s="1058">
        <v>5535059</v>
      </c>
      <c r="AR367" s="1044"/>
      <c r="AS367" s="1044"/>
    </row>
    <row r="368" spans="2:45" hidden="1" outlineLevel="1">
      <c r="B368" s="565">
        <v>3664</v>
      </c>
      <c r="C368" s="816" t="s">
        <v>2</v>
      </c>
      <c r="D368" s="9"/>
      <c r="E368" s="20" t="s">
        <v>147</v>
      </c>
      <c r="F368" s="20"/>
      <c r="G368" s="20"/>
      <c r="H368" s="20"/>
      <c r="I368" s="20"/>
      <c r="J368" s="20"/>
      <c r="K368" s="20"/>
      <c r="L368" s="20"/>
      <c r="M368" s="20"/>
      <c r="N368" s="20"/>
      <c r="O368" s="20"/>
      <c r="P368" s="20"/>
      <c r="Q368" s="20"/>
      <c r="R368" s="20"/>
      <c r="S368" s="20"/>
      <c r="T368" s="20"/>
      <c r="U368" s="20"/>
      <c r="V368" s="20"/>
      <c r="W368" s="20"/>
      <c r="X368" s="20"/>
      <c r="Y368" s="20"/>
      <c r="Z368" s="20"/>
      <c r="AA368" s="20"/>
      <c r="AB368" s="12"/>
      <c r="AC368" s="12"/>
      <c r="AD368" s="12">
        <v>8234131</v>
      </c>
      <c r="AE368" s="12">
        <v>8234131</v>
      </c>
      <c r="AF368" s="12">
        <f>8234131</f>
        <v>8234131</v>
      </c>
      <c r="AG368" s="12">
        <v>8234129</v>
      </c>
      <c r="AH368" s="12">
        <v>7674508</v>
      </c>
      <c r="AI368" s="12">
        <v>7674508</v>
      </c>
      <c r="AJ368" s="21">
        <v>8199690</v>
      </c>
      <c r="AK368" s="21">
        <v>8199690</v>
      </c>
      <c r="AL368" s="21">
        <v>8996586</v>
      </c>
      <c r="AM368" s="21">
        <v>8996584</v>
      </c>
      <c r="AN368" s="1058">
        <v>8461966</v>
      </c>
      <c r="AO368" s="1058">
        <v>8461965</v>
      </c>
      <c r="AP368" s="1058">
        <v>9059678</v>
      </c>
      <c r="AQ368" s="1058">
        <v>9059678</v>
      </c>
      <c r="AR368" s="1044"/>
      <c r="AS368" s="1044"/>
    </row>
    <row r="369" spans="2:45" hidden="1" outlineLevel="1">
      <c r="B369" s="565">
        <v>9549</v>
      </c>
      <c r="C369" s="816" t="s">
        <v>2</v>
      </c>
      <c r="D369" s="9"/>
      <c r="E369" s="20" t="s">
        <v>148</v>
      </c>
      <c r="F369" s="20"/>
      <c r="G369" s="20"/>
      <c r="H369" s="20"/>
      <c r="I369" s="20"/>
      <c r="J369" s="20"/>
      <c r="K369" s="20"/>
      <c r="L369" s="20"/>
      <c r="M369" s="20"/>
      <c r="N369" s="20"/>
      <c r="O369" s="20"/>
      <c r="P369" s="20"/>
      <c r="Q369" s="20"/>
      <c r="R369" s="20"/>
      <c r="S369" s="20"/>
      <c r="T369" s="20"/>
      <c r="U369" s="20"/>
      <c r="V369" s="20"/>
      <c r="W369" s="20"/>
      <c r="X369" s="20"/>
      <c r="Y369" s="20"/>
      <c r="Z369" s="20"/>
      <c r="AA369" s="20"/>
      <c r="AB369" s="12"/>
      <c r="AC369" s="12"/>
      <c r="AD369" s="12">
        <v>3064009</v>
      </c>
      <c r="AE369" s="12">
        <v>3064009</v>
      </c>
      <c r="AF369" s="12">
        <f>4011746</f>
        <v>4011746</v>
      </c>
      <c r="AG369" s="12">
        <v>4011747</v>
      </c>
      <c r="AH369" s="12">
        <v>3562666</v>
      </c>
      <c r="AI369" s="12">
        <v>3562666</v>
      </c>
      <c r="AJ369" s="21">
        <v>3920992</v>
      </c>
      <c r="AK369" s="21">
        <v>3920992</v>
      </c>
      <c r="AL369" s="21">
        <v>3551091</v>
      </c>
      <c r="AM369" s="21">
        <v>3551090</v>
      </c>
      <c r="AN369" s="1058">
        <v>3885074</v>
      </c>
      <c r="AO369" s="1058">
        <v>3885073</v>
      </c>
      <c r="AP369" s="1058">
        <v>3929862</v>
      </c>
      <c r="AQ369" s="1058">
        <v>3929861</v>
      </c>
      <c r="AR369" s="1044"/>
      <c r="AS369" s="1044"/>
    </row>
    <row r="370" spans="2:45" hidden="1" outlineLevel="1">
      <c r="B370" s="565">
        <v>3668</v>
      </c>
      <c r="C370" s="816" t="s">
        <v>2</v>
      </c>
      <c r="D370" s="9"/>
      <c r="E370" s="20" t="s">
        <v>149</v>
      </c>
      <c r="F370" s="20"/>
      <c r="G370" s="20"/>
      <c r="H370" s="20"/>
      <c r="I370" s="20"/>
      <c r="J370" s="20"/>
      <c r="K370" s="20"/>
      <c r="L370" s="20"/>
      <c r="M370" s="20"/>
      <c r="N370" s="20"/>
      <c r="O370" s="20"/>
      <c r="P370" s="20"/>
      <c r="Q370" s="20"/>
      <c r="R370" s="20"/>
      <c r="S370" s="20"/>
      <c r="T370" s="20"/>
      <c r="U370" s="20"/>
      <c r="V370" s="20"/>
      <c r="W370" s="20"/>
      <c r="X370" s="20"/>
      <c r="Y370" s="20"/>
      <c r="Z370" s="20"/>
      <c r="AA370" s="20"/>
      <c r="AB370" s="12"/>
      <c r="AC370" s="12"/>
      <c r="AD370" s="12">
        <v>8416004</v>
      </c>
      <c r="AE370" s="12">
        <v>8416004</v>
      </c>
      <c r="AF370" s="12">
        <f>8504866</f>
        <v>8504866</v>
      </c>
      <c r="AG370" s="12">
        <v>8504867</v>
      </c>
      <c r="AH370" s="12">
        <v>8523708</v>
      </c>
      <c r="AI370" s="12">
        <v>8523709</v>
      </c>
      <c r="AJ370" s="21">
        <v>9237866</v>
      </c>
      <c r="AK370" s="21">
        <v>9237866</v>
      </c>
      <c r="AL370" s="21">
        <v>9112077</v>
      </c>
      <c r="AM370" s="21">
        <v>9112075</v>
      </c>
      <c r="AN370" s="1058">
        <v>9373136</v>
      </c>
      <c r="AO370" s="1058">
        <v>9373136</v>
      </c>
      <c r="AP370" s="1058">
        <v>9645284</v>
      </c>
      <c r="AQ370" s="1058">
        <v>9645283</v>
      </c>
      <c r="AR370" s="1044"/>
      <c r="AS370" s="1044"/>
    </row>
    <row r="371" spans="2:45" hidden="1" outlineLevel="1">
      <c r="C371" s="816" t="s">
        <v>2</v>
      </c>
      <c r="D371" s="9"/>
      <c r="E371" s="27" t="s">
        <v>150</v>
      </c>
      <c r="F371" s="20"/>
      <c r="G371" s="20"/>
      <c r="H371" s="20"/>
      <c r="I371" s="20"/>
      <c r="J371" s="20"/>
      <c r="K371" s="20"/>
      <c r="L371" s="20"/>
      <c r="M371" s="20"/>
      <c r="N371" s="20"/>
      <c r="O371" s="20"/>
      <c r="P371" s="20"/>
      <c r="Q371" s="20"/>
      <c r="R371" s="20"/>
      <c r="S371" s="20"/>
      <c r="T371" s="20"/>
      <c r="U371" s="20"/>
      <c r="V371" s="20"/>
      <c r="W371" s="20"/>
      <c r="X371" s="20"/>
      <c r="Y371" s="20"/>
      <c r="Z371" s="20"/>
      <c r="AA371" s="20"/>
      <c r="AB371" s="34"/>
      <c r="AC371" s="34"/>
      <c r="AD371" s="34">
        <v>860412423</v>
      </c>
      <c r="AE371" s="34">
        <v>858812422</v>
      </c>
      <c r="AF371" s="34">
        <f>929621578+1905000</f>
        <v>931526578</v>
      </c>
      <c r="AG371" s="34">
        <v>929621580</v>
      </c>
      <c r="AH371" s="34">
        <v>874690361</v>
      </c>
      <c r="AI371" s="34">
        <v>874690362</v>
      </c>
      <c r="AJ371" s="45">
        <v>895759508</v>
      </c>
      <c r="AK371" s="45">
        <v>890759510</v>
      </c>
      <c r="AL371" s="45">
        <f>SUM(AL321:AL370)</f>
        <v>892785312</v>
      </c>
      <c r="AM371" s="45">
        <f>SUM(AM321:AM370)</f>
        <v>885793094</v>
      </c>
      <c r="AN371" s="983">
        <f t="shared" ref="AN371:AQ371" si="17">SUM(AN321:AN370)</f>
        <v>899540045</v>
      </c>
      <c r="AO371" s="983">
        <f t="shared" si="17"/>
        <v>894979998</v>
      </c>
      <c r="AP371" s="983">
        <f t="shared" si="17"/>
        <v>936193916</v>
      </c>
      <c r="AQ371" s="983">
        <f t="shared" si="17"/>
        <v>931497068</v>
      </c>
      <c r="AR371" s="1044"/>
      <c r="AS371" s="1044"/>
    </row>
    <row r="372" spans="2:45" collapsed="1">
      <c r="C372" s="816" t="s">
        <v>151</v>
      </c>
      <c r="D372" s="25"/>
      <c r="E372" s="6"/>
      <c r="F372" s="6"/>
      <c r="G372" s="6"/>
      <c r="H372" s="6"/>
      <c r="I372" s="6"/>
      <c r="J372" s="6"/>
      <c r="K372" s="6"/>
      <c r="L372" s="6"/>
      <c r="M372" s="6"/>
      <c r="N372" s="6"/>
      <c r="O372" s="6"/>
      <c r="P372" s="6"/>
      <c r="Q372" s="6"/>
      <c r="R372" s="6"/>
      <c r="S372" s="6"/>
      <c r="T372" s="6"/>
      <c r="U372" s="6"/>
      <c r="V372" s="6"/>
      <c r="W372" s="6"/>
      <c r="X372" s="6"/>
      <c r="Y372" s="6"/>
      <c r="Z372" s="6"/>
      <c r="AA372" s="6"/>
      <c r="AB372" s="7"/>
      <c r="AC372" s="7"/>
      <c r="AD372" s="7"/>
      <c r="AE372" s="7"/>
      <c r="AF372" s="7"/>
      <c r="AG372" s="7"/>
      <c r="AH372" s="7"/>
      <c r="AI372" s="7"/>
      <c r="AJ372" s="369" t="s">
        <v>1214</v>
      </c>
      <c r="AK372" s="369" t="s">
        <v>1214</v>
      </c>
      <c r="AL372" s="369" t="s">
        <v>1786</v>
      </c>
      <c r="AM372" s="369" t="s">
        <v>1786</v>
      </c>
      <c r="AN372" s="369" t="s">
        <v>1856</v>
      </c>
      <c r="AO372" s="369" t="s">
        <v>1855</v>
      </c>
      <c r="AP372" s="696" t="s">
        <v>2044</v>
      </c>
      <c r="AQ372" s="696" t="s">
        <v>2044</v>
      </c>
      <c r="AR372" s="1044"/>
      <c r="AS372" s="1044"/>
    </row>
    <row r="373" spans="2:45" hidden="1" outlineLevel="1">
      <c r="B373" s="565">
        <v>3607</v>
      </c>
      <c r="C373" s="816" t="s">
        <v>16</v>
      </c>
      <c r="D373" s="9"/>
      <c r="E373" s="20" t="s">
        <v>1407</v>
      </c>
      <c r="F373" s="20"/>
      <c r="G373" s="20"/>
      <c r="H373" s="20"/>
      <c r="I373" s="20"/>
      <c r="J373" s="20"/>
      <c r="K373" s="20"/>
      <c r="L373" s="20"/>
      <c r="M373" s="20"/>
      <c r="N373" s="20"/>
      <c r="O373" s="20"/>
      <c r="P373" s="20"/>
      <c r="Q373" s="20"/>
      <c r="R373" s="20"/>
      <c r="S373" s="20"/>
      <c r="T373" s="20"/>
      <c r="U373" s="20"/>
      <c r="V373" s="20"/>
      <c r="W373" s="20"/>
      <c r="X373" s="20"/>
      <c r="Y373" s="20"/>
      <c r="Z373" s="20"/>
      <c r="AA373" s="20"/>
      <c r="AB373" s="12"/>
      <c r="AC373" s="12"/>
      <c r="AD373" s="12">
        <v>67846696</v>
      </c>
      <c r="AE373" s="12">
        <v>67846696</v>
      </c>
      <c r="AF373" s="12">
        <f>72134191-1187014</f>
        <v>70947177</v>
      </c>
      <c r="AG373" s="12">
        <v>72134192</v>
      </c>
      <c r="AH373" s="12">
        <v>66015450</v>
      </c>
      <c r="AI373" s="12">
        <v>66015450</v>
      </c>
      <c r="AJ373" s="21">
        <v>63440459</v>
      </c>
      <c r="AK373" s="21">
        <v>63440459</v>
      </c>
      <c r="AL373" s="21">
        <v>64400935</v>
      </c>
      <c r="AM373" s="21">
        <v>64400934</v>
      </c>
      <c r="AN373" s="1058">
        <v>63944822</v>
      </c>
      <c r="AO373" s="822">
        <v>63944821</v>
      </c>
      <c r="AP373" s="1058">
        <v>66832870</v>
      </c>
      <c r="AQ373" s="1058">
        <v>66832878</v>
      </c>
      <c r="AR373" s="1044"/>
      <c r="AS373" s="1044"/>
    </row>
    <row r="374" spans="2:45" hidden="1" outlineLevel="1">
      <c r="B374" s="565">
        <v>3539</v>
      </c>
      <c r="C374" s="816" t="s">
        <v>16</v>
      </c>
      <c r="D374" s="9"/>
      <c r="E374" s="20" t="s">
        <v>102</v>
      </c>
      <c r="F374" s="20"/>
      <c r="G374" s="20"/>
      <c r="H374" s="20"/>
      <c r="I374" s="20"/>
      <c r="J374" s="20"/>
      <c r="K374" s="20"/>
      <c r="L374" s="20"/>
      <c r="M374" s="20"/>
      <c r="N374" s="20"/>
      <c r="O374" s="20"/>
      <c r="P374" s="20"/>
      <c r="Q374" s="20"/>
      <c r="R374" s="20"/>
      <c r="S374" s="20"/>
      <c r="T374" s="20"/>
      <c r="U374" s="20"/>
      <c r="V374" s="20"/>
      <c r="W374" s="20"/>
      <c r="X374" s="20"/>
      <c r="Y374" s="20"/>
      <c r="Z374" s="20"/>
      <c r="AA374" s="20"/>
      <c r="AB374" s="12"/>
      <c r="AC374" s="12"/>
      <c r="AD374" s="12">
        <v>8456708</v>
      </c>
      <c r="AE374" s="12">
        <v>8456708</v>
      </c>
      <c r="AF374" s="12">
        <f>8456709-131324</f>
        <v>8325385</v>
      </c>
      <c r="AG374" s="12">
        <v>8456708</v>
      </c>
      <c r="AH374" s="12">
        <v>7364589</v>
      </c>
      <c r="AI374" s="12">
        <v>7364589</v>
      </c>
      <c r="AJ374" s="21">
        <v>7380912</v>
      </c>
      <c r="AK374" s="21">
        <v>7380912</v>
      </c>
      <c r="AL374" s="21">
        <v>7205161</v>
      </c>
      <c r="AM374" s="21">
        <v>7205160</v>
      </c>
      <c r="AN374" s="1058">
        <v>7930936</v>
      </c>
      <c r="AO374" s="822">
        <v>7930934</v>
      </c>
      <c r="AP374" s="1058">
        <v>7772636</v>
      </c>
      <c r="AQ374" s="1058">
        <v>7772636</v>
      </c>
      <c r="AR374" s="1044"/>
      <c r="AS374" s="1044"/>
    </row>
    <row r="375" spans="2:45" hidden="1" outlineLevel="1">
      <c r="B375" s="565">
        <v>3540</v>
      </c>
      <c r="C375" s="816" t="s">
        <v>16</v>
      </c>
      <c r="D375" s="9"/>
      <c r="E375" s="20" t="s">
        <v>103</v>
      </c>
      <c r="F375" s="20"/>
      <c r="G375" s="20"/>
      <c r="H375" s="20"/>
      <c r="I375" s="20"/>
      <c r="J375" s="20"/>
      <c r="K375" s="20"/>
      <c r="L375" s="20"/>
      <c r="M375" s="20"/>
      <c r="N375" s="20"/>
      <c r="O375" s="20"/>
      <c r="P375" s="20"/>
      <c r="Q375" s="20"/>
      <c r="R375" s="20"/>
      <c r="S375" s="20"/>
      <c r="T375" s="20"/>
      <c r="U375" s="20"/>
      <c r="V375" s="20"/>
      <c r="W375" s="20"/>
      <c r="X375" s="20"/>
      <c r="Y375" s="20"/>
      <c r="Z375" s="20"/>
      <c r="AA375" s="20"/>
      <c r="AB375" s="12"/>
      <c r="AC375" s="12"/>
      <c r="AD375" s="12">
        <v>17153266</v>
      </c>
      <c r="AE375" s="12">
        <v>17153266</v>
      </c>
      <c r="AF375" s="12">
        <f>17153266-273269</f>
        <v>16879997</v>
      </c>
      <c r="AG375" s="12">
        <v>17153267</v>
      </c>
      <c r="AH375" s="12">
        <v>15289610</v>
      </c>
      <c r="AI375" s="12">
        <v>15289610</v>
      </c>
      <c r="AJ375" s="21">
        <v>15278458</v>
      </c>
      <c r="AK375" s="21">
        <v>15278458</v>
      </c>
      <c r="AL375" s="21">
        <v>13793779</v>
      </c>
      <c r="AM375" s="21">
        <v>13793777</v>
      </c>
      <c r="AN375" s="1058">
        <v>13518127</v>
      </c>
      <c r="AO375" s="822">
        <v>13518126</v>
      </c>
      <c r="AP375" s="1058">
        <v>14847413</v>
      </c>
      <c r="AQ375" s="1058">
        <v>14847411</v>
      </c>
      <c r="AR375" s="1044"/>
      <c r="AS375" s="1044"/>
    </row>
    <row r="376" spans="2:45" hidden="1" outlineLevel="1">
      <c r="B376" s="565">
        <v>6661</v>
      </c>
      <c r="C376" s="816" t="s">
        <v>16</v>
      </c>
      <c r="D376" s="9"/>
      <c r="E376" s="20" t="s">
        <v>104</v>
      </c>
      <c r="F376" s="20"/>
      <c r="G376" s="20"/>
      <c r="H376" s="20"/>
      <c r="I376" s="20"/>
      <c r="J376" s="20"/>
      <c r="K376" s="20"/>
      <c r="L376" s="20"/>
      <c r="M376" s="20"/>
      <c r="N376" s="20"/>
      <c r="O376" s="20"/>
      <c r="P376" s="20"/>
      <c r="Q376" s="20"/>
      <c r="R376" s="20"/>
      <c r="S376" s="20"/>
      <c r="T376" s="20"/>
      <c r="U376" s="20"/>
      <c r="V376" s="20"/>
      <c r="W376" s="20"/>
      <c r="X376" s="20"/>
      <c r="Y376" s="20"/>
      <c r="Z376" s="20"/>
      <c r="AA376" s="20"/>
      <c r="AB376" s="12"/>
      <c r="AC376" s="12"/>
      <c r="AD376" s="12">
        <v>8407214</v>
      </c>
      <c r="AE376" s="12">
        <v>8407214</v>
      </c>
      <c r="AF376" s="12">
        <f>8407214-129231</f>
        <v>8277983</v>
      </c>
      <c r="AG376" s="12">
        <v>8407215</v>
      </c>
      <c r="AH376" s="12">
        <v>7805624</v>
      </c>
      <c r="AI376" s="12">
        <v>7805624</v>
      </c>
      <c r="AJ376" s="21">
        <v>7610997</v>
      </c>
      <c r="AK376" s="21">
        <v>7610997</v>
      </c>
      <c r="AL376" s="21">
        <v>7385421</v>
      </c>
      <c r="AM376" s="21">
        <v>7385420</v>
      </c>
      <c r="AN376" s="1058">
        <v>7465206</v>
      </c>
      <c r="AO376" s="822">
        <v>7465206</v>
      </c>
      <c r="AP376" s="1058">
        <v>8556451</v>
      </c>
      <c r="AQ376" s="1058">
        <v>8556450</v>
      </c>
      <c r="AR376" s="1044"/>
      <c r="AS376" s="1044"/>
    </row>
    <row r="377" spans="2:45" hidden="1" outlineLevel="1">
      <c r="B377" s="565">
        <v>12015</v>
      </c>
      <c r="C377" s="816" t="s">
        <v>16</v>
      </c>
      <c r="D377" s="9"/>
      <c r="E377" s="20" t="s">
        <v>105</v>
      </c>
      <c r="F377" s="20"/>
      <c r="G377" s="20"/>
      <c r="H377" s="20"/>
      <c r="I377" s="20"/>
      <c r="J377" s="20"/>
      <c r="K377" s="20"/>
      <c r="L377" s="20"/>
      <c r="M377" s="20"/>
      <c r="N377" s="20"/>
      <c r="O377" s="20"/>
      <c r="P377" s="20"/>
      <c r="Q377" s="20"/>
      <c r="R377" s="20"/>
      <c r="S377" s="20"/>
      <c r="T377" s="20"/>
      <c r="U377" s="20"/>
      <c r="V377" s="20"/>
      <c r="W377" s="20"/>
      <c r="X377" s="20"/>
      <c r="Y377" s="20"/>
      <c r="Z377" s="20"/>
      <c r="AA377" s="20"/>
      <c r="AB377" s="12"/>
      <c r="AC377" s="12"/>
      <c r="AD377" s="12">
        <v>42279850</v>
      </c>
      <c r="AE377" s="12">
        <v>42279850</v>
      </c>
      <c r="AF377" s="12">
        <f>47028408-765654</f>
        <v>46262754</v>
      </c>
      <c r="AG377" s="12">
        <v>47028408</v>
      </c>
      <c r="AH377" s="12">
        <v>45388980</v>
      </c>
      <c r="AI377" s="12">
        <v>45388980</v>
      </c>
      <c r="AJ377" s="21">
        <v>51184969</v>
      </c>
      <c r="AK377" s="21">
        <v>46184969</v>
      </c>
      <c r="AL377" s="21">
        <v>49272792</v>
      </c>
      <c r="AM377" s="21">
        <v>44272790</v>
      </c>
      <c r="AN377" s="1058">
        <v>48741932</v>
      </c>
      <c r="AO377" s="822">
        <v>44181931</v>
      </c>
      <c r="AP377" s="1058">
        <v>49927319</v>
      </c>
      <c r="AQ377" s="1058">
        <v>45367318</v>
      </c>
      <c r="AR377" s="1044"/>
      <c r="AS377" s="1044"/>
    </row>
    <row r="378" spans="2:45" hidden="1" outlineLevel="1">
      <c r="B378" s="565">
        <v>3549</v>
      </c>
      <c r="C378" s="816" t="s">
        <v>16</v>
      </c>
      <c r="D378" s="9"/>
      <c r="E378" s="20" t="s">
        <v>106</v>
      </c>
      <c r="F378" s="20"/>
      <c r="G378" s="20"/>
      <c r="H378" s="20"/>
      <c r="I378" s="20"/>
      <c r="J378" s="20"/>
      <c r="K378" s="20"/>
      <c r="L378" s="20"/>
      <c r="M378" s="20"/>
      <c r="N378" s="20"/>
      <c r="O378" s="20"/>
      <c r="P378" s="20"/>
      <c r="Q378" s="20"/>
      <c r="R378" s="20"/>
      <c r="S378" s="20"/>
      <c r="T378" s="20"/>
      <c r="U378" s="20"/>
      <c r="V378" s="20"/>
      <c r="W378" s="20"/>
      <c r="X378" s="20"/>
      <c r="Y378" s="20"/>
      <c r="Z378" s="20"/>
      <c r="AA378" s="20"/>
      <c r="AB378" s="12"/>
      <c r="AC378" s="12"/>
      <c r="AD378" s="12">
        <v>20926227</v>
      </c>
      <c r="AE378" s="12">
        <v>20926227</v>
      </c>
      <c r="AF378" s="12">
        <f>23707162-384254</f>
        <v>23322908</v>
      </c>
      <c r="AG378" s="12">
        <v>23707163</v>
      </c>
      <c r="AH378" s="12">
        <v>20737029</v>
      </c>
      <c r="AI378" s="12">
        <v>20737029</v>
      </c>
      <c r="AJ378" s="21">
        <v>22741440</v>
      </c>
      <c r="AK378" s="21">
        <v>22741440</v>
      </c>
      <c r="AL378" s="21">
        <v>24145565</v>
      </c>
      <c r="AM378" s="21">
        <v>24145563</v>
      </c>
      <c r="AN378" s="1058">
        <v>23618241</v>
      </c>
      <c r="AO378" s="822">
        <v>23618240</v>
      </c>
      <c r="AP378" s="1058">
        <v>24601520</v>
      </c>
      <c r="AQ378" s="1058">
        <v>24464719</v>
      </c>
      <c r="AR378" s="1044"/>
      <c r="AS378" s="1044"/>
    </row>
    <row r="379" spans="2:45" hidden="1" outlineLevel="1">
      <c r="B379" s="565">
        <v>7857</v>
      </c>
      <c r="C379" s="816" t="s">
        <v>16</v>
      </c>
      <c r="D379" s="9"/>
      <c r="E379" s="20" t="s">
        <v>107</v>
      </c>
      <c r="F379" s="20"/>
      <c r="G379" s="20"/>
      <c r="H379" s="20"/>
      <c r="I379" s="20"/>
      <c r="J379" s="20"/>
      <c r="K379" s="20"/>
      <c r="L379" s="20"/>
      <c r="M379" s="20"/>
      <c r="N379" s="20"/>
      <c r="O379" s="20"/>
      <c r="P379" s="20"/>
      <c r="Q379" s="20"/>
      <c r="R379" s="20"/>
      <c r="S379" s="20"/>
      <c r="T379" s="20"/>
      <c r="U379" s="20"/>
      <c r="V379" s="20"/>
      <c r="W379" s="20"/>
      <c r="X379" s="20"/>
      <c r="Y379" s="20"/>
      <c r="Z379" s="20"/>
      <c r="AA379" s="20"/>
      <c r="AB379" s="12"/>
      <c r="AC379" s="12"/>
      <c r="AD379" s="12">
        <v>5997143</v>
      </c>
      <c r="AE379" s="12">
        <v>5797143</v>
      </c>
      <c r="AF379" s="12">
        <f>5850650-83325</f>
        <v>5767325</v>
      </c>
      <c r="AG379" s="12">
        <v>5850651</v>
      </c>
      <c r="AH379" s="12">
        <v>4886769</v>
      </c>
      <c r="AI379" s="12">
        <v>4886769</v>
      </c>
      <c r="AJ379" s="21">
        <v>5777901</v>
      </c>
      <c r="AK379" s="21">
        <v>5777901</v>
      </c>
      <c r="AL379" s="21">
        <v>5742696</v>
      </c>
      <c r="AM379" s="21">
        <v>5742695</v>
      </c>
      <c r="AN379" s="1058">
        <v>5460604</v>
      </c>
      <c r="AO379" s="822">
        <v>5460603</v>
      </c>
      <c r="AP379" s="1058">
        <v>5990395</v>
      </c>
      <c r="AQ379" s="1058">
        <v>5990394</v>
      </c>
      <c r="AR379" s="1044"/>
      <c r="AS379" s="1044"/>
    </row>
    <row r="380" spans="2:45" hidden="1" outlineLevel="1">
      <c r="B380" s="565">
        <v>4003</v>
      </c>
      <c r="C380" s="816" t="s">
        <v>16</v>
      </c>
      <c r="D380" s="9"/>
      <c r="E380" s="20" t="s">
        <v>108</v>
      </c>
      <c r="F380" s="20"/>
      <c r="G380" s="20"/>
      <c r="H380" s="20"/>
      <c r="I380" s="20"/>
      <c r="J380" s="20"/>
      <c r="K380" s="20"/>
      <c r="L380" s="20"/>
      <c r="M380" s="20"/>
      <c r="N380" s="20"/>
      <c r="O380" s="20"/>
      <c r="P380" s="20"/>
      <c r="Q380" s="20"/>
      <c r="R380" s="20"/>
      <c r="S380" s="20"/>
      <c r="T380" s="20"/>
      <c r="U380" s="20"/>
      <c r="V380" s="20"/>
      <c r="W380" s="20"/>
      <c r="X380" s="20"/>
      <c r="Y380" s="20"/>
      <c r="Z380" s="20"/>
      <c r="AA380" s="20"/>
      <c r="AB380" s="12"/>
      <c r="AC380" s="12"/>
      <c r="AD380" s="12">
        <v>20013113</v>
      </c>
      <c r="AE380" s="12">
        <v>20013113</v>
      </c>
      <c r="AF380" s="12">
        <f>21182930-348579</f>
        <v>20834351</v>
      </c>
      <c r="AG380" s="12">
        <v>21182931</v>
      </c>
      <c r="AH380" s="12">
        <v>19825096</v>
      </c>
      <c r="AI380" s="12">
        <v>19825096</v>
      </c>
      <c r="AJ380" s="21">
        <v>20604188</v>
      </c>
      <c r="AK380" s="21">
        <v>20604188</v>
      </c>
      <c r="AL380" s="21">
        <v>18543769</v>
      </c>
      <c r="AM380" s="21">
        <v>18543769</v>
      </c>
      <c r="AN380" s="1058">
        <v>16614884</v>
      </c>
      <c r="AO380" s="822">
        <v>16614883</v>
      </c>
      <c r="AP380" s="1058">
        <v>16380840</v>
      </c>
      <c r="AQ380" s="1058">
        <v>16380839</v>
      </c>
      <c r="AR380" s="1044"/>
      <c r="AS380" s="1044"/>
    </row>
    <row r="381" spans="2:45" hidden="1" outlineLevel="1">
      <c r="B381" s="565">
        <v>3553</v>
      </c>
      <c r="C381" s="816" t="s">
        <v>16</v>
      </c>
      <c r="D381" s="9"/>
      <c r="E381" s="20" t="s">
        <v>1404</v>
      </c>
      <c r="F381" s="20"/>
      <c r="G381" s="20"/>
      <c r="H381" s="20"/>
      <c r="I381" s="20"/>
      <c r="J381" s="20"/>
      <c r="K381" s="20"/>
      <c r="L381" s="20"/>
      <c r="M381" s="20"/>
      <c r="N381" s="20"/>
      <c r="O381" s="20"/>
      <c r="P381" s="20"/>
      <c r="Q381" s="20"/>
      <c r="R381" s="20"/>
      <c r="S381" s="20"/>
      <c r="T381" s="20"/>
      <c r="U381" s="20"/>
      <c r="V381" s="20"/>
      <c r="W381" s="20"/>
      <c r="X381" s="20"/>
      <c r="Y381" s="20"/>
      <c r="Z381" s="20"/>
      <c r="AA381" s="20"/>
      <c r="AB381" s="12"/>
      <c r="AC381" s="12"/>
      <c r="AD381" s="12">
        <v>5483108</v>
      </c>
      <c r="AE381" s="12">
        <v>5483108</v>
      </c>
      <c r="AF381" s="12">
        <f>5637530-92769</f>
        <v>5544761</v>
      </c>
      <c r="AG381" s="12">
        <v>5637530</v>
      </c>
      <c r="AH381" s="12">
        <v>5534898</v>
      </c>
      <c r="AI381" s="12">
        <v>5534898</v>
      </c>
      <c r="AJ381" s="21">
        <v>5264255</v>
      </c>
      <c r="AK381" s="21">
        <v>5264255</v>
      </c>
      <c r="AL381" s="21">
        <v>5179529</v>
      </c>
      <c r="AM381" s="21">
        <v>5179527</v>
      </c>
      <c r="AN381" s="1058">
        <v>4988509</v>
      </c>
      <c r="AO381" s="822">
        <v>4988508</v>
      </c>
      <c r="AP381" s="1058">
        <v>5352835</v>
      </c>
      <c r="AQ381" s="1058">
        <v>5352834</v>
      </c>
      <c r="AR381" s="1044"/>
      <c r="AS381" s="1044"/>
    </row>
    <row r="382" spans="2:45" hidden="1" outlineLevel="1">
      <c r="B382" s="565">
        <v>3554</v>
      </c>
      <c r="C382" s="816" t="s">
        <v>16</v>
      </c>
      <c r="D382" s="9"/>
      <c r="E382" s="20" t="s">
        <v>110</v>
      </c>
      <c r="F382" s="20"/>
      <c r="G382" s="20"/>
      <c r="H382" s="20"/>
      <c r="I382" s="20"/>
      <c r="J382" s="20"/>
      <c r="K382" s="20"/>
      <c r="L382" s="20"/>
      <c r="M382" s="20"/>
      <c r="N382" s="20"/>
      <c r="O382" s="20"/>
      <c r="P382" s="20"/>
      <c r="Q382" s="20"/>
      <c r="R382" s="20"/>
      <c r="S382" s="20"/>
      <c r="T382" s="20"/>
      <c r="U382" s="20"/>
      <c r="V382" s="20"/>
      <c r="W382" s="20"/>
      <c r="X382" s="20"/>
      <c r="Y382" s="20"/>
      <c r="Z382" s="20"/>
      <c r="AA382" s="20"/>
      <c r="AB382" s="12"/>
      <c r="AC382" s="12"/>
      <c r="AD382" s="12">
        <v>2088598</v>
      </c>
      <c r="AE382" s="12">
        <v>2088598</v>
      </c>
      <c r="AF382" s="12">
        <f>2672561-36583</f>
        <v>2635978</v>
      </c>
      <c r="AG382" s="12">
        <v>2672561</v>
      </c>
      <c r="AH382" s="12">
        <v>2553182</v>
      </c>
      <c r="AI382" s="12">
        <v>2553182</v>
      </c>
      <c r="AJ382" s="21">
        <v>2485093</v>
      </c>
      <c r="AK382" s="21">
        <v>2485093</v>
      </c>
      <c r="AL382" s="21">
        <v>2568791</v>
      </c>
      <c r="AM382" s="21">
        <v>2568790</v>
      </c>
      <c r="AN382" s="1058">
        <v>2835381</v>
      </c>
      <c r="AO382" s="822">
        <v>2835380</v>
      </c>
      <c r="AP382" s="1058">
        <v>2933293</v>
      </c>
      <c r="AQ382" s="1058">
        <v>2933292</v>
      </c>
      <c r="AR382" s="1044"/>
      <c r="AS382" s="1044"/>
    </row>
    <row r="383" spans="2:45" hidden="1" outlineLevel="1">
      <c r="B383" s="565">
        <v>3546</v>
      </c>
      <c r="C383" s="816" t="s">
        <v>16</v>
      </c>
      <c r="D383" s="9"/>
      <c r="E383" s="20" t="s">
        <v>167</v>
      </c>
      <c r="F383" s="20"/>
      <c r="G383" s="20"/>
      <c r="H383" s="20"/>
      <c r="I383" s="20"/>
      <c r="J383" s="20"/>
      <c r="K383" s="20"/>
      <c r="L383" s="20"/>
      <c r="M383" s="20"/>
      <c r="N383" s="20"/>
      <c r="O383" s="20"/>
      <c r="P383" s="20"/>
      <c r="Q383" s="20"/>
      <c r="R383" s="20"/>
      <c r="S383" s="20"/>
      <c r="T383" s="20"/>
      <c r="U383" s="20"/>
      <c r="V383" s="20"/>
      <c r="W383" s="20"/>
      <c r="X383" s="20"/>
      <c r="Y383" s="20"/>
      <c r="Z383" s="20"/>
      <c r="AA383" s="20"/>
      <c r="AB383" s="12"/>
      <c r="AC383" s="12"/>
      <c r="AD383" s="12">
        <v>6816009</v>
      </c>
      <c r="AE383" s="12">
        <v>6816009</v>
      </c>
      <c r="AF383" s="12">
        <f>6816008-110953</f>
        <v>6705055</v>
      </c>
      <c r="AG383" s="12">
        <v>6816009</v>
      </c>
      <c r="AH383" s="12">
        <v>6493374</v>
      </c>
      <c r="AI383" s="12">
        <v>6493374</v>
      </c>
      <c r="AJ383" s="21">
        <v>6290718</v>
      </c>
      <c r="AK383" s="21">
        <v>6290718</v>
      </c>
      <c r="AL383" s="21">
        <v>6421423</v>
      </c>
      <c r="AM383" s="21">
        <v>6421423</v>
      </c>
      <c r="AN383" s="1058">
        <v>7162663</v>
      </c>
      <c r="AO383" s="822">
        <v>7162661</v>
      </c>
      <c r="AP383" s="1058">
        <v>6804529</v>
      </c>
      <c r="AQ383" s="1058">
        <v>6804529</v>
      </c>
      <c r="AR383" s="1044"/>
      <c r="AS383" s="1044"/>
    </row>
    <row r="384" spans="2:45" hidden="1" outlineLevel="1">
      <c r="B384" s="565">
        <v>7096</v>
      </c>
      <c r="C384" s="816" t="s">
        <v>16</v>
      </c>
      <c r="D384" s="9"/>
      <c r="E384" s="20" t="s">
        <v>1410</v>
      </c>
      <c r="F384" s="20"/>
      <c r="G384" s="20"/>
      <c r="H384" s="20"/>
      <c r="I384" s="20"/>
      <c r="J384" s="20"/>
      <c r="K384" s="20"/>
      <c r="L384" s="20"/>
      <c r="M384" s="20"/>
      <c r="N384" s="20"/>
      <c r="O384" s="20"/>
      <c r="P384" s="20"/>
      <c r="Q384" s="20"/>
      <c r="R384" s="20"/>
      <c r="S384" s="20"/>
      <c r="T384" s="20"/>
      <c r="U384" s="20"/>
      <c r="V384" s="20"/>
      <c r="W384" s="20"/>
      <c r="X384" s="20"/>
      <c r="Y384" s="20"/>
      <c r="Z384" s="20"/>
      <c r="AA384" s="20"/>
      <c r="AB384" s="12"/>
      <c r="AC384" s="12"/>
      <c r="AD384" s="12">
        <v>6357062</v>
      </c>
      <c r="AE384" s="12">
        <v>6357062</v>
      </c>
      <c r="AF384" s="12">
        <f>6357063-99579</f>
        <v>6257484</v>
      </c>
      <c r="AG384" s="12">
        <v>6357061</v>
      </c>
      <c r="AH384" s="12">
        <v>6019346</v>
      </c>
      <c r="AI384" s="12">
        <v>6019346</v>
      </c>
      <c r="AJ384" s="21">
        <v>6103539</v>
      </c>
      <c r="AK384" s="21">
        <v>6103539</v>
      </c>
      <c r="AL384" s="21">
        <v>5838182</v>
      </c>
      <c r="AM384" s="21">
        <v>5838181</v>
      </c>
      <c r="AN384" s="1058">
        <v>6100118</v>
      </c>
      <c r="AO384" s="822">
        <v>6100117</v>
      </c>
      <c r="AP384" s="1058">
        <v>6533437</v>
      </c>
      <c r="AQ384" s="1058">
        <v>6533436</v>
      </c>
      <c r="AR384" s="1044"/>
      <c r="AS384" s="1044"/>
    </row>
    <row r="385" spans="2:45" hidden="1" outlineLevel="1">
      <c r="B385" s="565">
        <v>23614</v>
      </c>
      <c r="C385" s="816" t="s">
        <v>16</v>
      </c>
      <c r="D385" s="9"/>
      <c r="E385" s="20" t="s">
        <v>885</v>
      </c>
      <c r="F385" s="20"/>
      <c r="G385" s="20"/>
      <c r="H385" s="20"/>
      <c r="I385" s="20"/>
      <c r="J385" s="20"/>
      <c r="K385" s="20"/>
      <c r="L385" s="20"/>
      <c r="M385" s="20"/>
      <c r="N385" s="20"/>
      <c r="O385" s="20"/>
      <c r="P385" s="20"/>
      <c r="Q385" s="20"/>
      <c r="R385" s="20"/>
      <c r="S385" s="20"/>
      <c r="T385" s="20"/>
      <c r="U385" s="20"/>
      <c r="V385" s="20"/>
      <c r="W385" s="20"/>
      <c r="X385" s="20"/>
      <c r="Y385" s="20"/>
      <c r="Z385" s="20"/>
      <c r="AA385" s="20"/>
      <c r="AB385" s="12"/>
      <c r="AC385" s="12"/>
      <c r="AD385" s="12">
        <v>28191440</v>
      </c>
      <c r="AE385" s="12">
        <v>28191440</v>
      </c>
      <c r="AF385" s="12">
        <f>31834408-523855</f>
        <v>31310553</v>
      </c>
      <c r="AG385" s="12">
        <v>31834407</v>
      </c>
      <c r="AH385" s="12">
        <v>30022848</v>
      </c>
      <c r="AI385" s="12">
        <v>30022848</v>
      </c>
      <c r="AJ385" s="21">
        <v>33136075</v>
      </c>
      <c r="AK385" s="21">
        <v>33136075</v>
      </c>
      <c r="AL385" s="21">
        <v>33744731</v>
      </c>
      <c r="AM385" s="21">
        <v>33744729</v>
      </c>
      <c r="AN385" s="1058">
        <v>35500002</v>
      </c>
      <c r="AO385" s="822">
        <v>35500001</v>
      </c>
      <c r="AP385" s="1058">
        <v>39834020</v>
      </c>
      <c r="AQ385" s="1058">
        <v>39834019</v>
      </c>
      <c r="AR385" s="1044"/>
      <c r="AS385" s="1044"/>
    </row>
    <row r="386" spans="2:45" hidden="1" outlineLevel="1">
      <c r="B386" s="565">
        <v>9331</v>
      </c>
      <c r="C386" s="816" t="s">
        <v>16</v>
      </c>
      <c r="D386" s="9"/>
      <c r="E386" s="224" t="s">
        <v>1411</v>
      </c>
      <c r="F386" s="20"/>
      <c r="G386" s="20"/>
      <c r="H386" s="20"/>
      <c r="I386" s="20"/>
      <c r="J386" s="20"/>
      <c r="K386" s="20"/>
      <c r="L386" s="20"/>
      <c r="M386" s="20"/>
      <c r="N386" s="20"/>
      <c r="O386" s="20"/>
      <c r="P386" s="20"/>
      <c r="Q386" s="20"/>
      <c r="R386" s="20"/>
      <c r="S386" s="20"/>
      <c r="T386" s="20"/>
      <c r="U386" s="20"/>
      <c r="V386" s="20"/>
      <c r="W386" s="20"/>
      <c r="X386" s="20"/>
      <c r="Y386" s="20"/>
      <c r="Z386" s="20"/>
      <c r="AA386" s="20"/>
      <c r="AB386" s="12"/>
      <c r="AC386" s="12"/>
      <c r="AD386" s="12">
        <v>91135492</v>
      </c>
      <c r="AE386" s="12">
        <v>91135493</v>
      </c>
      <c r="AF386" s="12">
        <f>99926826-1612555</f>
        <v>98314271</v>
      </c>
      <c r="AG386" s="12">
        <v>99926826</v>
      </c>
      <c r="AH386" s="12">
        <v>91807378</v>
      </c>
      <c r="AI386" s="12">
        <v>91807378</v>
      </c>
      <c r="AJ386" s="21">
        <v>89284325</v>
      </c>
      <c r="AK386" s="21">
        <v>89284326</v>
      </c>
      <c r="AL386" s="21">
        <v>87365906</v>
      </c>
      <c r="AM386" s="21">
        <v>87365904</v>
      </c>
      <c r="AN386" s="1058">
        <v>89650927</v>
      </c>
      <c r="AO386" s="822">
        <v>89650927</v>
      </c>
      <c r="AP386" s="1058">
        <v>96423538</v>
      </c>
      <c r="AQ386" s="1058">
        <v>96423537</v>
      </c>
      <c r="AR386" s="1044"/>
      <c r="AS386" s="1044"/>
    </row>
    <row r="387" spans="2:45" hidden="1" outlineLevel="1">
      <c r="B387" s="565">
        <v>3563</v>
      </c>
      <c r="C387" s="816" t="s">
        <v>16</v>
      </c>
      <c r="D387" s="9"/>
      <c r="E387" s="20" t="s">
        <v>114</v>
      </c>
      <c r="F387" s="20"/>
      <c r="G387" s="20"/>
      <c r="H387" s="20"/>
      <c r="I387" s="20"/>
      <c r="J387" s="20"/>
      <c r="K387" s="20"/>
      <c r="L387" s="20"/>
      <c r="M387" s="20"/>
      <c r="N387" s="20"/>
      <c r="O387" s="20"/>
      <c r="P387" s="20"/>
      <c r="Q387" s="20"/>
      <c r="R387" s="20"/>
      <c r="S387" s="20"/>
      <c r="T387" s="20"/>
      <c r="U387" s="20"/>
      <c r="V387" s="20"/>
      <c r="W387" s="20"/>
      <c r="X387" s="20"/>
      <c r="Y387" s="20"/>
      <c r="Z387" s="20"/>
      <c r="AA387" s="20"/>
      <c r="AB387" s="12"/>
      <c r="AC387" s="12"/>
      <c r="AD387" s="12">
        <v>18658677</v>
      </c>
      <c r="AE387" s="12">
        <v>18658677</v>
      </c>
      <c r="AF387" s="12">
        <f>18658677-305909</f>
        <v>18352768</v>
      </c>
      <c r="AG387" s="12">
        <v>18658677</v>
      </c>
      <c r="AH387" s="12">
        <v>16587948</v>
      </c>
      <c r="AI387" s="12">
        <v>16587948</v>
      </c>
      <c r="AJ387" s="21">
        <v>15193419</v>
      </c>
      <c r="AK387" s="21">
        <v>15193419</v>
      </c>
      <c r="AL387" s="21">
        <v>14536060</v>
      </c>
      <c r="AM387" s="21">
        <v>14536060</v>
      </c>
      <c r="AN387" s="1058">
        <v>15867734</v>
      </c>
      <c r="AO387" s="822">
        <v>15867733</v>
      </c>
      <c r="AP387" s="1058">
        <v>16479471</v>
      </c>
      <c r="AQ387" s="1058">
        <v>16479469</v>
      </c>
      <c r="AR387" s="1044"/>
      <c r="AS387" s="1044"/>
    </row>
    <row r="388" spans="2:45" hidden="1" outlineLevel="1">
      <c r="B388" s="565">
        <v>10387</v>
      </c>
      <c r="C388" s="816" t="s">
        <v>16</v>
      </c>
      <c r="D388" s="9"/>
      <c r="E388" s="20" t="s">
        <v>1412</v>
      </c>
      <c r="F388" s="20"/>
      <c r="G388" s="20"/>
      <c r="H388" s="20"/>
      <c r="I388" s="20"/>
      <c r="J388" s="20"/>
      <c r="K388" s="20"/>
      <c r="L388" s="20"/>
      <c r="M388" s="20"/>
      <c r="N388" s="20"/>
      <c r="O388" s="20"/>
      <c r="P388" s="20"/>
      <c r="Q388" s="20"/>
      <c r="R388" s="20"/>
      <c r="S388" s="20"/>
      <c r="T388" s="20"/>
      <c r="U388" s="20"/>
      <c r="V388" s="20"/>
      <c r="W388" s="20"/>
      <c r="X388" s="20"/>
      <c r="Y388" s="20"/>
      <c r="Z388" s="20"/>
      <c r="AA388" s="20"/>
      <c r="AB388" s="12"/>
      <c r="AC388" s="12"/>
      <c r="AD388" s="12">
        <v>33356211</v>
      </c>
      <c r="AE388" s="12">
        <v>33356211</v>
      </c>
      <c r="AF388" s="12">
        <f>33649172-553718</f>
        <v>33095454</v>
      </c>
      <c r="AG388" s="12">
        <v>33649172</v>
      </c>
      <c r="AH388" s="12">
        <v>31020092</v>
      </c>
      <c r="AI388" s="12">
        <v>31020092</v>
      </c>
      <c r="AJ388" s="21">
        <v>33758308</v>
      </c>
      <c r="AK388" s="21">
        <v>33758308</v>
      </c>
      <c r="AL388" s="21">
        <v>32113304</v>
      </c>
      <c r="AM388" s="21">
        <v>32113303</v>
      </c>
      <c r="AN388" s="1058">
        <v>31794915</v>
      </c>
      <c r="AO388" s="822">
        <v>31794914</v>
      </c>
      <c r="AP388" s="1058">
        <v>32105981</v>
      </c>
      <c r="AQ388" s="1058">
        <v>32105979</v>
      </c>
      <c r="AR388" s="1044"/>
      <c r="AS388" s="1044"/>
    </row>
    <row r="389" spans="2:45" hidden="1" outlineLevel="1">
      <c r="B389" s="565">
        <v>3568</v>
      </c>
      <c r="C389" s="816" t="s">
        <v>16</v>
      </c>
      <c r="D389" s="9"/>
      <c r="E389" s="20" t="s">
        <v>116</v>
      </c>
      <c r="F389" s="20"/>
      <c r="G389" s="20"/>
      <c r="H389" s="20"/>
      <c r="I389" s="20"/>
      <c r="J389" s="20"/>
      <c r="K389" s="20"/>
      <c r="L389" s="20"/>
      <c r="M389" s="20"/>
      <c r="N389" s="20"/>
      <c r="O389" s="20"/>
      <c r="P389" s="20"/>
      <c r="Q389" s="20"/>
      <c r="R389" s="20"/>
      <c r="S389" s="20"/>
      <c r="T389" s="20"/>
      <c r="U389" s="20"/>
      <c r="V389" s="20"/>
      <c r="W389" s="20"/>
      <c r="X389" s="20"/>
      <c r="Y389" s="20"/>
      <c r="Z389" s="20"/>
      <c r="AA389" s="20"/>
      <c r="AB389" s="12"/>
      <c r="AC389" s="12"/>
      <c r="AD389" s="12">
        <v>2715708</v>
      </c>
      <c r="AE389" s="12">
        <v>2715708</v>
      </c>
      <c r="AF389" s="12">
        <f>2844920-40675</f>
        <v>2804245</v>
      </c>
      <c r="AG389" s="12">
        <v>2844920</v>
      </c>
      <c r="AH389" s="12">
        <v>2056921</v>
      </c>
      <c r="AI389" s="12">
        <v>2056921</v>
      </c>
      <c r="AJ389" s="21">
        <v>2280532</v>
      </c>
      <c r="AK389" s="21">
        <v>2280532</v>
      </c>
      <c r="AL389" s="21">
        <v>2444593</v>
      </c>
      <c r="AM389" s="21">
        <v>2444591</v>
      </c>
      <c r="AN389" s="1058">
        <v>2642997</v>
      </c>
      <c r="AO389" s="822">
        <v>2642996</v>
      </c>
      <c r="AP389" s="1058">
        <v>2538541</v>
      </c>
      <c r="AQ389" s="1058">
        <v>2538541</v>
      </c>
      <c r="AR389" s="1044"/>
      <c r="AS389" s="1044"/>
    </row>
    <row r="390" spans="2:45" hidden="1" outlineLevel="1">
      <c r="B390" s="565">
        <v>6662</v>
      </c>
      <c r="C390" s="816" t="s">
        <v>16</v>
      </c>
      <c r="D390" s="9"/>
      <c r="E390" s="20" t="s">
        <v>117</v>
      </c>
      <c r="F390" s="20"/>
      <c r="G390" s="20"/>
      <c r="H390" s="20"/>
      <c r="I390" s="20"/>
      <c r="J390" s="20"/>
      <c r="K390" s="20"/>
      <c r="L390" s="20"/>
      <c r="M390" s="20"/>
      <c r="N390" s="20"/>
      <c r="O390" s="20"/>
      <c r="P390" s="20"/>
      <c r="Q390" s="20"/>
      <c r="R390" s="20"/>
      <c r="S390" s="20"/>
      <c r="T390" s="20"/>
      <c r="U390" s="20"/>
      <c r="V390" s="20"/>
      <c r="W390" s="20"/>
      <c r="X390" s="20"/>
      <c r="Y390" s="20"/>
      <c r="Z390" s="20"/>
      <c r="AA390" s="20"/>
      <c r="AB390" s="12"/>
      <c r="AC390" s="12"/>
      <c r="AD390" s="12">
        <v>4729350</v>
      </c>
      <c r="AE390" s="12">
        <v>4729350</v>
      </c>
      <c r="AF390" s="12">
        <f>4729349-56491</f>
        <v>4672858</v>
      </c>
      <c r="AG390" s="12">
        <v>4729350</v>
      </c>
      <c r="AH390" s="12">
        <v>3365989</v>
      </c>
      <c r="AI390" s="12">
        <v>3365989</v>
      </c>
      <c r="AJ390" s="21">
        <v>3759208</v>
      </c>
      <c r="AK390" s="21">
        <v>3759208</v>
      </c>
      <c r="AL390" s="21">
        <v>3661357</v>
      </c>
      <c r="AM390" s="21">
        <v>3661356</v>
      </c>
      <c r="AN390" s="1058">
        <v>4085599</v>
      </c>
      <c r="AO390" s="822">
        <v>4085598</v>
      </c>
      <c r="AP390" s="1058">
        <v>4608371</v>
      </c>
      <c r="AQ390" s="1058">
        <v>4608370</v>
      </c>
      <c r="AR390" s="1044"/>
      <c r="AS390" s="1044"/>
    </row>
    <row r="391" spans="2:45" hidden="1" outlineLevel="1">
      <c r="B391" s="565">
        <v>3570</v>
      </c>
      <c r="C391" s="816" t="s">
        <v>16</v>
      </c>
      <c r="D391" s="9"/>
      <c r="E391" s="20" t="s">
        <v>1406</v>
      </c>
      <c r="F391" s="20"/>
      <c r="G391" s="20"/>
      <c r="H391" s="20"/>
      <c r="I391" s="20"/>
      <c r="J391" s="20"/>
      <c r="K391" s="20"/>
      <c r="L391" s="20"/>
      <c r="M391" s="20"/>
      <c r="N391" s="20"/>
      <c r="O391" s="20"/>
      <c r="P391" s="20"/>
      <c r="Q391" s="20"/>
      <c r="R391" s="20"/>
      <c r="S391" s="20"/>
      <c r="T391" s="20"/>
      <c r="U391" s="20"/>
      <c r="V391" s="20"/>
      <c r="W391" s="20"/>
      <c r="X391" s="20"/>
      <c r="Y391" s="20"/>
      <c r="Z391" s="20"/>
      <c r="AA391" s="20"/>
      <c r="AB391" s="12"/>
      <c r="AC391" s="12"/>
      <c r="AD391" s="12">
        <v>6955071</v>
      </c>
      <c r="AE391" s="12">
        <v>6955071</v>
      </c>
      <c r="AF391" s="12">
        <f>7440616-122440</f>
        <v>7318176</v>
      </c>
      <c r="AG391" s="12">
        <v>7440616</v>
      </c>
      <c r="AH391" s="12">
        <v>7581417</v>
      </c>
      <c r="AI391" s="12">
        <v>7581417</v>
      </c>
      <c r="AJ391" s="21">
        <v>7501692</v>
      </c>
      <c r="AK391" s="21">
        <v>7501692</v>
      </c>
      <c r="AL391" s="21">
        <v>7578388</v>
      </c>
      <c r="AM391" s="21">
        <v>7578387</v>
      </c>
      <c r="AN391" s="1058">
        <v>7155460</v>
      </c>
      <c r="AO391" s="822">
        <v>7155459</v>
      </c>
      <c r="AP391" s="1058">
        <v>7092138</v>
      </c>
      <c r="AQ391" s="1058">
        <v>7092138</v>
      </c>
      <c r="AR391" s="1044"/>
      <c r="AS391" s="1044"/>
    </row>
    <row r="392" spans="2:45" hidden="1" outlineLevel="1">
      <c r="B392" s="565">
        <v>3573</v>
      </c>
      <c r="C392" s="816" t="s">
        <v>16</v>
      </c>
      <c r="D392" s="9"/>
      <c r="E392" s="20" t="s">
        <v>119</v>
      </c>
      <c r="F392" s="20"/>
      <c r="G392" s="20"/>
      <c r="H392" s="20"/>
      <c r="I392" s="20"/>
      <c r="J392" s="20"/>
      <c r="K392" s="20"/>
      <c r="L392" s="20"/>
      <c r="M392" s="20"/>
      <c r="N392" s="20"/>
      <c r="O392" s="20"/>
      <c r="P392" s="20"/>
      <c r="Q392" s="20"/>
      <c r="R392" s="20"/>
      <c r="S392" s="20"/>
      <c r="T392" s="20"/>
      <c r="U392" s="20"/>
      <c r="V392" s="20"/>
      <c r="W392" s="20"/>
      <c r="X392" s="20"/>
      <c r="Y392" s="20"/>
      <c r="Z392" s="20"/>
      <c r="AA392" s="20"/>
      <c r="AB392" s="12"/>
      <c r="AC392" s="12"/>
      <c r="AD392" s="12">
        <v>6857816</v>
      </c>
      <c r="AE392" s="12">
        <v>6857815</v>
      </c>
      <c r="AF392" s="12">
        <f>7265770-113639</f>
        <v>7152131</v>
      </c>
      <c r="AG392" s="12">
        <v>7265769</v>
      </c>
      <c r="AH392" s="12">
        <v>6948830</v>
      </c>
      <c r="AI392" s="12">
        <v>6948830</v>
      </c>
      <c r="AJ392" s="21">
        <v>7612305</v>
      </c>
      <c r="AK392" s="21">
        <v>7612305</v>
      </c>
      <c r="AL392" s="21">
        <v>6886725</v>
      </c>
      <c r="AM392" s="21">
        <v>6886724</v>
      </c>
      <c r="AN392" s="1058">
        <v>6701917</v>
      </c>
      <c r="AO392" s="822">
        <v>6701915</v>
      </c>
      <c r="AP392" s="1058">
        <v>7091106</v>
      </c>
      <c r="AQ392" s="1058">
        <v>7091105</v>
      </c>
      <c r="AR392" s="1044"/>
      <c r="AS392" s="1044"/>
    </row>
    <row r="393" spans="2:45" hidden="1" outlineLevel="1">
      <c r="B393" s="565">
        <v>10633</v>
      </c>
      <c r="C393" s="816" t="s">
        <v>16</v>
      </c>
      <c r="D393" s="9"/>
      <c r="E393" s="20" t="s">
        <v>120</v>
      </c>
      <c r="F393" s="20"/>
      <c r="G393" s="20"/>
      <c r="H393" s="20"/>
      <c r="I393" s="20"/>
      <c r="J393" s="20"/>
      <c r="K393" s="20"/>
      <c r="L393" s="20"/>
      <c r="M393" s="20"/>
      <c r="N393" s="20"/>
      <c r="O393" s="20"/>
      <c r="P393" s="20"/>
      <c r="Q393" s="20"/>
      <c r="R393" s="20"/>
      <c r="S393" s="20"/>
      <c r="T393" s="20"/>
      <c r="U393" s="20"/>
      <c r="V393" s="20"/>
      <c r="W393" s="20"/>
      <c r="X393" s="20"/>
      <c r="Y393" s="20"/>
      <c r="Z393" s="20"/>
      <c r="AA393" s="20"/>
      <c r="AB393" s="12"/>
      <c r="AC393" s="12"/>
      <c r="AD393" s="12">
        <v>63627433</v>
      </c>
      <c r="AE393" s="12">
        <v>63627433</v>
      </c>
      <c r="AF393" s="12">
        <f>70337112-1157442</f>
        <v>69179670</v>
      </c>
      <c r="AG393" s="12">
        <v>70337113</v>
      </c>
      <c r="AH393" s="12">
        <v>70326504</v>
      </c>
      <c r="AI393" s="12">
        <v>70326504</v>
      </c>
      <c r="AJ393" s="21">
        <v>69148935</v>
      </c>
      <c r="AK393" s="21">
        <v>69148935</v>
      </c>
      <c r="AL393" s="21">
        <v>69995428</v>
      </c>
      <c r="AM393" s="21">
        <v>69995426</v>
      </c>
      <c r="AN393" s="1058">
        <v>68108943</v>
      </c>
      <c r="AO393" s="822">
        <v>68108943</v>
      </c>
      <c r="AP393" s="1058">
        <v>68575955</v>
      </c>
      <c r="AQ393" s="1058">
        <v>68575953</v>
      </c>
      <c r="AR393" s="1044"/>
      <c r="AS393" s="1044"/>
    </row>
    <row r="394" spans="2:45" hidden="1" outlineLevel="1">
      <c r="B394" s="565">
        <v>103574</v>
      </c>
      <c r="C394" s="816" t="s">
        <v>16</v>
      </c>
      <c r="D394" s="9"/>
      <c r="E394" s="20" t="s">
        <v>1415</v>
      </c>
      <c r="F394" s="20"/>
      <c r="G394" s="20"/>
      <c r="H394" s="20"/>
      <c r="I394" s="20"/>
      <c r="J394" s="20"/>
      <c r="K394" s="20"/>
      <c r="L394" s="20"/>
      <c r="M394" s="20"/>
      <c r="N394" s="20"/>
      <c r="O394" s="20"/>
      <c r="P394" s="20"/>
      <c r="Q394" s="20"/>
      <c r="R394" s="20"/>
      <c r="S394" s="20"/>
      <c r="T394" s="20"/>
      <c r="U394" s="20"/>
      <c r="V394" s="20"/>
      <c r="W394" s="20"/>
      <c r="X394" s="20"/>
      <c r="Y394" s="20"/>
      <c r="Z394" s="20"/>
      <c r="AA394" s="20"/>
      <c r="AB394" s="12"/>
      <c r="AC394" s="12"/>
      <c r="AD394" s="12">
        <v>11691060</v>
      </c>
      <c r="AE394" s="12">
        <v>10691060</v>
      </c>
      <c r="AF394" s="12">
        <f>11911795-136150</f>
        <v>11775645</v>
      </c>
      <c r="AG394" s="12">
        <v>11911793</v>
      </c>
      <c r="AH394" s="12">
        <v>10678366</v>
      </c>
      <c r="AI394" s="12">
        <v>10678366</v>
      </c>
      <c r="AJ394" s="21">
        <v>9765534</v>
      </c>
      <c r="AK394" s="21">
        <v>9765534</v>
      </c>
      <c r="AL394" s="21">
        <v>11046268</v>
      </c>
      <c r="AM394" s="21">
        <v>9054110</v>
      </c>
      <c r="AN394" s="1058">
        <v>9686962</v>
      </c>
      <c r="AO394" s="822">
        <v>9686961</v>
      </c>
      <c r="AP394" s="1058">
        <v>10170883</v>
      </c>
      <c r="AQ394" s="1058">
        <v>10170882</v>
      </c>
      <c r="AR394" s="1044"/>
      <c r="AS394" s="1044"/>
    </row>
    <row r="395" spans="2:45" hidden="1" outlineLevel="1">
      <c r="B395" s="565">
        <v>3580</v>
      </c>
      <c r="C395" s="816" t="s">
        <v>16</v>
      </c>
      <c r="D395" s="9"/>
      <c r="E395" s="20" t="s">
        <v>122</v>
      </c>
      <c r="F395" s="20"/>
      <c r="G395" s="20"/>
      <c r="H395" s="20"/>
      <c r="I395" s="20"/>
      <c r="J395" s="20"/>
      <c r="K395" s="20"/>
      <c r="L395" s="20"/>
      <c r="M395" s="20"/>
      <c r="N395" s="20"/>
      <c r="O395" s="20"/>
      <c r="P395" s="20"/>
      <c r="Q395" s="20"/>
      <c r="R395" s="20"/>
      <c r="S395" s="20"/>
      <c r="T395" s="20"/>
      <c r="U395" s="20"/>
      <c r="V395" s="20"/>
      <c r="W395" s="20"/>
      <c r="X395" s="20"/>
      <c r="Y395" s="20"/>
      <c r="Z395" s="20"/>
      <c r="AA395" s="20"/>
      <c r="AB395" s="12"/>
      <c r="AC395" s="12"/>
      <c r="AD395" s="12">
        <v>10183214</v>
      </c>
      <c r="AE395" s="12">
        <v>10183214</v>
      </c>
      <c r="AF395" s="12">
        <f>12569607-206841</f>
        <v>12362766</v>
      </c>
      <c r="AG395" s="12">
        <v>12569607</v>
      </c>
      <c r="AH395" s="12">
        <v>11248691</v>
      </c>
      <c r="AI395" s="12">
        <v>11248691</v>
      </c>
      <c r="AJ395" s="21">
        <v>10583081</v>
      </c>
      <c r="AK395" s="21">
        <v>10583081</v>
      </c>
      <c r="AL395" s="21">
        <v>9980673</v>
      </c>
      <c r="AM395" s="21">
        <v>9980671</v>
      </c>
      <c r="AN395" s="1058">
        <v>9728706</v>
      </c>
      <c r="AO395" s="822">
        <v>9728706</v>
      </c>
      <c r="AP395" s="1058">
        <v>9242271</v>
      </c>
      <c r="AQ395" s="1058">
        <v>9242270</v>
      </c>
      <c r="AR395" s="1044"/>
      <c r="AS395" s="1044"/>
    </row>
    <row r="396" spans="2:45" hidden="1" outlineLevel="1">
      <c r="B396" s="565">
        <v>3582</v>
      </c>
      <c r="C396" s="816" t="s">
        <v>16</v>
      </c>
      <c r="D396" s="9"/>
      <c r="E396" s="20" t="s">
        <v>123</v>
      </c>
      <c r="F396" s="20"/>
      <c r="G396" s="20"/>
      <c r="H396" s="20"/>
      <c r="I396" s="20"/>
      <c r="J396" s="20"/>
      <c r="K396" s="20"/>
      <c r="L396" s="20"/>
      <c r="M396" s="20"/>
      <c r="N396" s="20"/>
      <c r="O396" s="20"/>
      <c r="P396" s="20"/>
      <c r="Q396" s="20"/>
      <c r="R396" s="20"/>
      <c r="S396" s="20"/>
      <c r="T396" s="20"/>
      <c r="U396" s="20"/>
      <c r="V396" s="20"/>
      <c r="W396" s="20"/>
      <c r="X396" s="20"/>
      <c r="Y396" s="20"/>
      <c r="Z396" s="20"/>
      <c r="AA396" s="20"/>
      <c r="AB396" s="12"/>
      <c r="AC396" s="12"/>
      <c r="AD396" s="12">
        <v>12850788</v>
      </c>
      <c r="AE396" s="12">
        <v>12850787</v>
      </c>
      <c r="AF396" s="12">
        <f>12850787-196917</f>
        <v>12653870</v>
      </c>
      <c r="AG396" s="12">
        <v>12850787</v>
      </c>
      <c r="AH396" s="12">
        <v>11054462</v>
      </c>
      <c r="AI396" s="12">
        <v>11054462</v>
      </c>
      <c r="AJ396" s="21">
        <v>11114970</v>
      </c>
      <c r="AK396" s="21">
        <v>11114970</v>
      </c>
      <c r="AL396" s="21">
        <v>10325498</v>
      </c>
      <c r="AM396" s="21">
        <v>10325497</v>
      </c>
      <c r="AN396" s="1058">
        <v>10428672</v>
      </c>
      <c r="AO396" s="822">
        <v>10428671</v>
      </c>
      <c r="AP396" s="1058">
        <v>11496521</v>
      </c>
      <c r="AQ396" s="1058">
        <v>11496520</v>
      </c>
      <c r="AR396" s="1044"/>
      <c r="AS396" s="1044"/>
    </row>
    <row r="397" spans="2:45" hidden="1" outlineLevel="1">
      <c r="B397" s="565">
        <v>3583</v>
      </c>
      <c r="C397" s="816" t="s">
        <v>16</v>
      </c>
      <c r="D397" s="9"/>
      <c r="E397" s="20" t="s">
        <v>174</v>
      </c>
      <c r="F397" s="20"/>
      <c r="G397" s="20"/>
      <c r="H397" s="20"/>
      <c r="I397" s="20"/>
      <c r="J397" s="20"/>
      <c r="K397" s="20"/>
      <c r="L397" s="20"/>
      <c r="M397" s="20"/>
      <c r="N397" s="20"/>
      <c r="O397" s="20"/>
      <c r="P397" s="20"/>
      <c r="Q397" s="20"/>
      <c r="R397" s="20"/>
      <c r="S397" s="20"/>
      <c r="T397" s="20"/>
      <c r="U397" s="20"/>
      <c r="V397" s="20"/>
      <c r="W397" s="20"/>
      <c r="X397" s="20"/>
      <c r="Y397" s="20"/>
      <c r="Z397" s="20"/>
      <c r="AA397" s="20"/>
      <c r="AB397" s="12"/>
      <c r="AC397" s="12"/>
      <c r="AD397" s="12">
        <v>10072007</v>
      </c>
      <c r="AE397" s="12">
        <v>10072007</v>
      </c>
      <c r="AF397" s="12">
        <f>10284700-169241</f>
        <v>10115459</v>
      </c>
      <c r="AG397" s="12">
        <v>10284700</v>
      </c>
      <c r="AH397" s="12">
        <v>9330698</v>
      </c>
      <c r="AI397" s="12">
        <v>9330698</v>
      </c>
      <c r="AJ397" s="21">
        <v>8680108</v>
      </c>
      <c r="AK397" s="21">
        <v>8680108</v>
      </c>
      <c r="AL397" s="21">
        <v>9096119</v>
      </c>
      <c r="AM397" s="21">
        <v>9096118</v>
      </c>
      <c r="AN397" s="1058">
        <v>9919220</v>
      </c>
      <c r="AO397" s="822">
        <v>9919220</v>
      </c>
      <c r="AP397" s="1058">
        <v>10424439</v>
      </c>
      <c r="AQ397" s="1058">
        <v>10424437</v>
      </c>
      <c r="AR397" s="1044"/>
      <c r="AS397" s="1044"/>
    </row>
    <row r="398" spans="2:45" hidden="1" outlineLevel="1">
      <c r="B398" s="565">
        <v>11145</v>
      </c>
      <c r="C398" s="816" t="s">
        <v>16</v>
      </c>
      <c r="D398" s="9"/>
      <c r="E398" s="20" t="s">
        <v>892</v>
      </c>
      <c r="F398" s="20"/>
      <c r="G398" s="20"/>
      <c r="H398" s="20"/>
      <c r="I398" s="20"/>
      <c r="J398" s="20"/>
      <c r="K398" s="20"/>
      <c r="L398" s="20"/>
      <c r="M398" s="20"/>
      <c r="N398" s="20"/>
      <c r="O398" s="20"/>
      <c r="P398" s="20"/>
      <c r="Q398" s="20"/>
      <c r="R398" s="20"/>
      <c r="S398" s="20"/>
      <c r="T398" s="20"/>
      <c r="U398" s="20"/>
      <c r="V398" s="20"/>
      <c r="W398" s="20"/>
      <c r="X398" s="20"/>
      <c r="Y398" s="20"/>
      <c r="Z398" s="20"/>
      <c r="AA398" s="20"/>
      <c r="AB398" s="14"/>
      <c r="AC398" s="14"/>
      <c r="AD398" s="14">
        <v>13803602</v>
      </c>
      <c r="AE398" s="14">
        <v>13803602</v>
      </c>
      <c r="AF398" s="14">
        <f>61615839-1013928</f>
        <v>60601911</v>
      </c>
      <c r="AG398" s="14">
        <v>61615839</v>
      </c>
      <c r="AH398" s="12">
        <v>63235414</v>
      </c>
      <c r="AI398" s="12">
        <v>63235414</v>
      </c>
      <c r="AJ398" s="21">
        <v>72475700</v>
      </c>
      <c r="AK398" s="21">
        <v>72475700</v>
      </c>
      <c r="AL398" s="21">
        <v>74093146</v>
      </c>
      <c r="AM398" s="21">
        <v>74093145</v>
      </c>
      <c r="AN398" s="1058">
        <v>77956615</v>
      </c>
      <c r="AO398" s="822">
        <v>77956614</v>
      </c>
      <c r="AP398" s="1058">
        <v>78657933</v>
      </c>
      <c r="AQ398" s="1058">
        <v>78657932</v>
      </c>
      <c r="AR398" s="1044"/>
      <c r="AS398" s="1044"/>
    </row>
    <row r="399" spans="2:45" hidden="1" outlineLevel="1">
      <c r="B399" s="565">
        <v>3590</v>
      </c>
      <c r="C399" s="816" t="s">
        <v>16</v>
      </c>
      <c r="D399" s="9"/>
      <c r="E399" s="20" t="s">
        <v>126</v>
      </c>
      <c r="F399" s="20"/>
      <c r="G399" s="20"/>
      <c r="H399" s="20"/>
      <c r="I399" s="20"/>
      <c r="J399" s="20"/>
      <c r="K399" s="20"/>
      <c r="L399" s="20"/>
      <c r="M399" s="20"/>
      <c r="N399" s="20"/>
      <c r="O399" s="20"/>
      <c r="P399" s="20"/>
      <c r="Q399" s="20"/>
      <c r="R399" s="20"/>
      <c r="S399" s="20"/>
      <c r="T399" s="20"/>
      <c r="U399" s="20"/>
      <c r="V399" s="20"/>
      <c r="W399" s="20"/>
      <c r="X399" s="20"/>
      <c r="Y399" s="20"/>
      <c r="Z399" s="20"/>
      <c r="AA399" s="20"/>
      <c r="AB399" s="12"/>
      <c r="AC399" s="12"/>
      <c r="AD399" s="12">
        <v>10475571</v>
      </c>
      <c r="AE399" s="12">
        <v>10275572</v>
      </c>
      <c r="AF399" s="12">
        <f>14087663-231821</f>
        <v>13855842</v>
      </c>
      <c r="AG399" s="12">
        <v>14087663</v>
      </c>
      <c r="AH399" s="12">
        <v>13895904</v>
      </c>
      <c r="AI399" s="12">
        <v>13895904</v>
      </c>
      <c r="AJ399" s="21">
        <v>13456451</v>
      </c>
      <c r="AK399" s="21">
        <v>13456451</v>
      </c>
      <c r="AL399" s="21">
        <v>12110807</v>
      </c>
      <c r="AM399" s="21">
        <v>12110805</v>
      </c>
      <c r="AN399" s="1058">
        <v>12343261</v>
      </c>
      <c r="AO399" s="822">
        <v>12343260</v>
      </c>
      <c r="AP399" s="1058">
        <v>12500515</v>
      </c>
      <c r="AQ399" s="1058">
        <v>12500515</v>
      </c>
      <c r="AR399" s="1044"/>
      <c r="AS399" s="1044"/>
    </row>
    <row r="400" spans="2:45" hidden="1" outlineLevel="1">
      <c r="B400" s="565">
        <v>9797</v>
      </c>
      <c r="C400" s="816" t="s">
        <v>16</v>
      </c>
      <c r="D400" s="9"/>
      <c r="E400" s="20" t="s">
        <v>127</v>
      </c>
      <c r="F400" s="20"/>
      <c r="G400" s="20"/>
      <c r="H400" s="20"/>
      <c r="I400" s="20"/>
      <c r="J400" s="20"/>
      <c r="K400" s="20"/>
      <c r="L400" s="20"/>
      <c r="M400" s="20"/>
      <c r="N400" s="20"/>
      <c r="O400" s="20"/>
      <c r="P400" s="20"/>
      <c r="Q400" s="20"/>
      <c r="R400" s="20"/>
      <c r="S400" s="20"/>
      <c r="T400" s="20"/>
      <c r="U400" s="20"/>
      <c r="V400" s="20"/>
      <c r="W400" s="20"/>
      <c r="X400" s="20"/>
      <c r="Y400" s="20"/>
      <c r="Z400" s="20"/>
      <c r="AA400" s="20"/>
      <c r="AB400" s="12"/>
      <c r="AC400" s="12"/>
      <c r="AD400" s="12">
        <v>12124659</v>
      </c>
      <c r="AE400" s="12">
        <v>12124659</v>
      </c>
      <c r="AF400" s="12">
        <f>10292535-157691</f>
        <v>10134844</v>
      </c>
      <c r="AG400" s="12">
        <v>10292534</v>
      </c>
      <c r="AH400" s="12">
        <v>8879891</v>
      </c>
      <c r="AI400" s="12">
        <v>8879891</v>
      </c>
      <c r="AJ400" s="21">
        <v>8869659</v>
      </c>
      <c r="AK400" s="21">
        <v>8869659</v>
      </c>
      <c r="AL400" s="21">
        <v>7998346</v>
      </c>
      <c r="AM400" s="21">
        <v>7998346</v>
      </c>
      <c r="AN400" s="1058">
        <v>8456383</v>
      </c>
      <c r="AO400" s="822">
        <v>8456383</v>
      </c>
      <c r="AP400" s="1058">
        <v>8049768</v>
      </c>
      <c r="AQ400" s="1058">
        <v>8049765</v>
      </c>
      <c r="AR400" s="1044"/>
      <c r="AS400" s="1044"/>
    </row>
    <row r="401" spans="2:45" hidden="1" outlineLevel="1">
      <c r="B401" s="565">
        <v>3593</v>
      </c>
      <c r="C401" s="816" t="s">
        <v>16</v>
      </c>
      <c r="D401" s="9"/>
      <c r="E401" s="20" t="s">
        <v>128</v>
      </c>
      <c r="F401" s="20"/>
      <c r="G401" s="20"/>
      <c r="H401" s="20"/>
      <c r="I401" s="20"/>
      <c r="J401" s="20"/>
      <c r="K401" s="20"/>
      <c r="L401" s="20"/>
      <c r="M401" s="20"/>
      <c r="N401" s="20"/>
      <c r="O401" s="20"/>
      <c r="P401" s="20"/>
      <c r="Q401" s="20"/>
      <c r="R401" s="20"/>
      <c r="S401" s="20"/>
      <c r="T401" s="20"/>
      <c r="U401" s="20"/>
      <c r="V401" s="20"/>
      <c r="W401" s="20"/>
      <c r="X401" s="20"/>
      <c r="Y401" s="20"/>
      <c r="Z401" s="20"/>
      <c r="AA401" s="20"/>
      <c r="AB401" s="12"/>
      <c r="AC401" s="12"/>
      <c r="AD401" s="12">
        <v>9419309</v>
      </c>
      <c r="AE401" s="12">
        <v>9419309</v>
      </c>
      <c r="AF401" s="12">
        <f>15158298-249439</f>
        <v>14908859</v>
      </c>
      <c r="AG401" s="12">
        <v>15158298</v>
      </c>
      <c r="AH401" s="12">
        <v>15609937</v>
      </c>
      <c r="AI401" s="12">
        <v>15609937</v>
      </c>
      <c r="AJ401" s="21">
        <v>16262313</v>
      </c>
      <c r="AK401" s="21">
        <v>16262313</v>
      </c>
      <c r="AL401" s="21">
        <v>15266373</v>
      </c>
      <c r="AM401" s="21">
        <v>15266372</v>
      </c>
      <c r="AN401" s="1058">
        <v>14052371</v>
      </c>
      <c r="AO401" s="822">
        <v>14052370</v>
      </c>
      <c r="AP401" s="1058">
        <v>13362835</v>
      </c>
      <c r="AQ401" s="1058">
        <v>13362833</v>
      </c>
      <c r="AR401" s="1044"/>
      <c r="AS401" s="1044"/>
    </row>
    <row r="402" spans="2:45" hidden="1" outlineLevel="1">
      <c r="B402" s="565">
        <v>3558</v>
      </c>
      <c r="C402" s="816" t="s">
        <v>16</v>
      </c>
      <c r="D402" s="9"/>
      <c r="E402" s="20" t="s">
        <v>1405</v>
      </c>
      <c r="F402" s="20"/>
      <c r="G402" s="20"/>
      <c r="H402" s="20"/>
      <c r="I402" s="20"/>
      <c r="J402" s="20"/>
      <c r="K402" s="20"/>
      <c r="L402" s="20"/>
      <c r="M402" s="20"/>
      <c r="N402" s="20"/>
      <c r="O402" s="20"/>
      <c r="P402" s="20"/>
      <c r="Q402" s="20"/>
      <c r="R402" s="20"/>
      <c r="S402" s="20"/>
      <c r="T402" s="20"/>
      <c r="U402" s="20"/>
      <c r="V402" s="20"/>
      <c r="W402" s="20"/>
      <c r="X402" s="20"/>
      <c r="Y402" s="20"/>
      <c r="Z402" s="20"/>
      <c r="AA402" s="20"/>
      <c r="AB402" s="12"/>
      <c r="AC402" s="12"/>
      <c r="AD402" s="12">
        <v>54856528</v>
      </c>
      <c r="AE402" s="12">
        <v>54856528</v>
      </c>
      <c r="AF402" s="12">
        <f>10509878-172947</f>
        <v>10336931</v>
      </c>
      <c r="AG402" s="12">
        <v>10509879</v>
      </c>
      <c r="AH402" s="12">
        <v>9585132</v>
      </c>
      <c r="AI402" s="12">
        <v>9585132</v>
      </c>
      <c r="AJ402" s="21">
        <v>11319127</v>
      </c>
      <c r="AK402" s="21">
        <v>11319127</v>
      </c>
      <c r="AL402" s="21">
        <v>11216773</v>
      </c>
      <c r="AM402" s="21">
        <v>11216773</v>
      </c>
      <c r="AN402" s="1058">
        <v>10810261</v>
      </c>
      <c r="AO402" s="822">
        <v>10810260</v>
      </c>
      <c r="AP402" s="1058">
        <v>11723836</v>
      </c>
      <c r="AQ402" s="1058">
        <v>11723836</v>
      </c>
      <c r="AR402" s="1044"/>
      <c r="AS402" s="1044"/>
    </row>
    <row r="403" spans="2:45" hidden="1" outlineLevel="1">
      <c r="B403" s="565">
        <v>23154</v>
      </c>
      <c r="C403" s="816" t="s">
        <v>16</v>
      </c>
      <c r="D403" s="9"/>
      <c r="E403" s="20" t="s">
        <v>1413</v>
      </c>
      <c r="F403" s="20"/>
      <c r="G403" s="20"/>
      <c r="H403" s="20"/>
      <c r="I403" s="20"/>
      <c r="J403" s="20"/>
      <c r="K403" s="20"/>
      <c r="L403" s="20"/>
      <c r="M403" s="20"/>
      <c r="N403" s="20"/>
      <c r="O403" s="20"/>
      <c r="P403" s="20"/>
      <c r="Q403" s="20"/>
      <c r="R403" s="20"/>
      <c r="S403" s="20"/>
      <c r="T403" s="20"/>
      <c r="U403" s="20"/>
      <c r="V403" s="20"/>
      <c r="W403" s="20"/>
      <c r="X403" s="20"/>
      <c r="Y403" s="20"/>
      <c r="Z403" s="20"/>
      <c r="AA403" s="20"/>
      <c r="AB403" s="12"/>
      <c r="AC403" s="12"/>
      <c r="AD403" s="12">
        <v>3990216</v>
      </c>
      <c r="AE403" s="12">
        <v>3990216</v>
      </c>
      <c r="AF403" s="12">
        <f>4232007-69640</f>
        <v>4162367</v>
      </c>
      <c r="AG403" s="12">
        <v>4232007</v>
      </c>
      <c r="AH403" s="12">
        <v>4285579</v>
      </c>
      <c r="AI403" s="12">
        <v>4285579</v>
      </c>
      <c r="AJ403" s="21">
        <v>4862118</v>
      </c>
      <c r="AK403" s="21">
        <v>4862118</v>
      </c>
      <c r="AL403" s="21">
        <v>4578180</v>
      </c>
      <c r="AM403" s="21">
        <v>4578178</v>
      </c>
      <c r="AN403" s="1058">
        <v>4732868</v>
      </c>
      <c r="AO403" s="822">
        <v>4732867</v>
      </c>
      <c r="AP403" s="1058">
        <v>4967759</v>
      </c>
      <c r="AQ403" s="1058">
        <v>4967758</v>
      </c>
      <c r="AR403" s="1044"/>
      <c r="AS403" s="1044"/>
    </row>
    <row r="404" spans="2:45" hidden="1" outlineLevel="1">
      <c r="B404" s="565">
        <v>3596</v>
      </c>
      <c r="C404" s="816" t="s">
        <v>16</v>
      </c>
      <c r="D404" s="9"/>
      <c r="E404" s="20" t="s">
        <v>131</v>
      </c>
      <c r="F404" s="20"/>
      <c r="G404" s="20"/>
      <c r="H404" s="20"/>
      <c r="I404" s="20"/>
      <c r="J404" s="20"/>
      <c r="K404" s="20"/>
      <c r="L404" s="20"/>
      <c r="M404" s="20"/>
      <c r="N404" s="20"/>
      <c r="O404" s="20"/>
      <c r="P404" s="20"/>
      <c r="Q404" s="20"/>
      <c r="R404" s="20"/>
      <c r="S404" s="20"/>
      <c r="T404" s="20"/>
      <c r="U404" s="20"/>
      <c r="V404" s="20"/>
      <c r="W404" s="20"/>
      <c r="X404" s="20"/>
      <c r="Y404" s="20"/>
      <c r="Z404" s="20"/>
      <c r="AA404" s="20"/>
      <c r="AB404" s="12"/>
      <c r="AC404" s="12"/>
      <c r="AD404" s="12">
        <v>8473764</v>
      </c>
      <c r="AE404" s="12">
        <v>8473764</v>
      </c>
      <c r="AF404" s="12">
        <f>8473763-126939</f>
        <v>8346824</v>
      </c>
      <c r="AG404" s="12">
        <v>8473764</v>
      </c>
      <c r="AH404" s="12">
        <v>6761399</v>
      </c>
      <c r="AI404" s="12">
        <v>6761399</v>
      </c>
      <c r="AJ404" s="21">
        <v>7351136</v>
      </c>
      <c r="AK404" s="21">
        <v>7351136</v>
      </c>
      <c r="AL404" s="21">
        <v>7613429</v>
      </c>
      <c r="AM404" s="21">
        <v>7613429</v>
      </c>
      <c r="AN404" s="1058">
        <v>8370062</v>
      </c>
      <c r="AO404" s="822">
        <v>8370061</v>
      </c>
      <c r="AP404" s="1058">
        <v>9641570</v>
      </c>
      <c r="AQ404" s="1058">
        <v>9641569</v>
      </c>
      <c r="AR404" s="1044"/>
      <c r="AS404" s="1044"/>
    </row>
    <row r="405" spans="2:45" hidden="1" outlineLevel="1">
      <c r="B405" s="565">
        <v>3600</v>
      </c>
      <c r="C405" s="816" t="s">
        <v>16</v>
      </c>
      <c r="D405" s="9"/>
      <c r="E405" s="20" t="s">
        <v>132</v>
      </c>
      <c r="F405" s="20"/>
      <c r="G405" s="20"/>
      <c r="H405" s="20"/>
      <c r="I405" s="20"/>
      <c r="J405" s="20"/>
      <c r="K405" s="20"/>
      <c r="L405" s="20"/>
      <c r="M405" s="20"/>
      <c r="N405" s="20"/>
      <c r="O405" s="20"/>
      <c r="P405" s="20"/>
      <c r="Q405" s="20"/>
      <c r="R405" s="20"/>
      <c r="S405" s="20"/>
      <c r="T405" s="20"/>
      <c r="U405" s="20"/>
      <c r="V405" s="20"/>
      <c r="W405" s="20"/>
      <c r="X405" s="20"/>
      <c r="Y405" s="20"/>
      <c r="Z405" s="20"/>
      <c r="AA405" s="20"/>
      <c r="AB405" s="12"/>
      <c r="AC405" s="12"/>
      <c r="AD405" s="12">
        <v>3643558</v>
      </c>
      <c r="AE405" s="12">
        <v>3643558</v>
      </c>
      <c r="AF405" s="12">
        <f>3826099-61861</f>
        <v>3764238</v>
      </c>
      <c r="AG405" s="12">
        <v>3826099</v>
      </c>
      <c r="AH405" s="12">
        <v>3383947</v>
      </c>
      <c r="AI405" s="12">
        <v>3383947</v>
      </c>
      <c r="AJ405" s="21">
        <v>4315726</v>
      </c>
      <c r="AK405" s="21">
        <v>4315726</v>
      </c>
      <c r="AL405" s="21">
        <v>4684705</v>
      </c>
      <c r="AM405" s="21">
        <v>4684704</v>
      </c>
      <c r="AN405" s="1058">
        <v>5073688</v>
      </c>
      <c r="AO405" s="822">
        <v>5073686</v>
      </c>
      <c r="AP405" s="1058">
        <v>4861783</v>
      </c>
      <c r="AQ405" s="1058">
        <v>4861782</v>
      </c>
      <c r="AR405" s="1044"/>
      <c r="AS405" s="1044"/>
    </row>
    <row r="406" spans="2:45" hidden="1" outlineLevel="1">
      <c r="B406" s="565">
        <v>3601</v>
      </c>
      <c r="C406" s="816" t="s">
        <v>16</v>
      </c>
      <c r="D406" s="9"/>
      <c r="E406" s="20" t="s">
        <v>133</v>
      </c>
      <c r="F406" s="20"/>
      <c r="G406" s="20"/>
      <c r="H406" s="20"/>
      <c r="I406" s="20"/>
      <c r="J406" s="20"/>
      <c r="K406" s="20"/>
      <c r="L406" s="20"/>
      <c r="M406" s="20"/>
      <c r="N406" s="20"/>
      <c r="O406" s="20"/>
      <c r="P406" s="20"/>
      <c r="Q406" s="20"/>
      <c r="R406" s="20"/>
      <c r="S406" s="20"/>
      <c r="T406" s="20"/>
      <c r="U406" s="20"/>
      <c r="V406" s="20"/>
      <c r="W406" s="20"/>
      <c r="X406" s="20"/>
      <c r="Y406" s="20"/>
      <c r="Z406" s="20"/>
      <c r="AA406" s="20"/>
      <c r="AB406" s="12"/>
      <c r="AC406" s="12"/>
      <c r="AD406" s="12">
        <v>8145155</v>
      </c>
      <c r="AE406" s="12">
        <v>8145155</v>
      </c>
      <c r="AF406" s="12">
        <f>9272406-143684</f>
        <v>9128722</v>
      </c>
      <c r="AG406" s="12">
        <v>9272407</v>
      </c>
      <c r="AH406" s="12">
        <v>8901843</v>
      </c>
      <c r="AI406" s="12">
        <v>8901843</v>
      </c>
      <c r="AJ406" s="21">
        <v>8496387</v>
      </c>
      <c r="AK406" s="21">
        <v>8496387</v>
      </c>
      <c r="AL406" s="21">
        <v>8486838</v>
      </c>
      <c r="AM406" s="21">
        <v>8486837</v>
      </c>
      <c r="AN406" s="1058">
        <v>7813822</v>
      </c>
      <c r="AO406" s="822">
        <v>7813822</v>
      </c>
      <c r="AP406" s="1058">
        <v>7941653</v>
      </c>
      <c r="AQ406" s="1058">
        <v>7941651</v>
      </c>
      <c r="AR406" s="1044"/>
      <c r="AS406" s="1044"/>
    </row>
    <row r="407" spans="2:45" hidden="1" outlineLevel="1">
      <c r="B407" s="565">
        <v>3603</v>
      </c>
      <c r="C407" s="816" t="s">
        <v>16</v>
      </c>
      <c r="D407" s="9"/>
      <c r="E407" s="20" t="s">
        <v>134</v>
      </c>
      <c r="F407" s="20"/>
      <c r="G407" s="20"/>
      <c r="H407" s="20"/>
      <c r="I407" s="20"/>
      <c r="J407" s="20"/>
      <c r="K407" s="20"/>
      <c r="L407" s="20"/>
      <c r="M407" s="20"/>
      <c r="N407" s="20"/>
      <c r="O407" s="20"/>
      <c r="P407" s="20"/>
      <c r="Q407" s="20"/>
      <c r="R407" s="20"/>
      <c r="S407" s="20"/>
      <c r="T407" s="20"/>
      <c r="U407" s="20"/>
      <c r="V407" s="20"/>
      <c r="W407" s="20"/>
      <c r="X407" s="20"/>
      <c r="Y407" s="20"/>
      <c r="Z407" s="20"/>
      <c r="AA407" s="20"/>
      <c r="AB407" s="12"/>
      <c r="AC407" s="12"/>
      <c r="AD407" s="12">
        <v>2089810</v>
      </c>
      <c r="AE407" s="12">
        <v>2089810</v>
      </c>
      <c r="AF407" s="12">
        <f>2089810-24739</f>
        <v>2065071</v>
      </c>
      <c r="AG407" s="12">
        <v>2089810</v>
      </c>
      <c r="AH407" s="12">
        <v>2211668</v>
      </c>
      <c r="AI407" s="12">
        <v>2211668</v>
      </c>
      <c r="AJ407" s="21">
        <v>3354665</v>
      </c>
      <c r="AK407" s="21">
        <v>3354665</v>
      </c>
      <c r="AL407" s="21">
        <v>3582858</v>
      </c>
      <c r="AM407" s="21">
        <v>3582857</v>
      </c>
      <c r="AN407" s="1058">
        <v>3897149</v>
      </c>
      <c r="AO407" s="822">
        <v>3897148</v>
      </c>
      <c r="AP407" s="1058">
        <v>3863091</v>
      </c>
      <c r="AQ407" s="1058">
        <v>3863090</v>
      </c>
      <c r="AR407" s="1044"/>
      <c r="AS407" s="1044"/>
    </row>
    <row r="408" spans="2:45" hidden="1" outlineLevel="1">
      <c r="B408" s="565">
        <v>29137</v>
      </c>
      <c r="C408" s="816" t="s">
        <v>16</v>
      </c>
      <c r="D408" s="9"/>
      <c r="E408" s="20" t="s">
        <v>1414</v>
      </c>
      <c r="F408" s="20"/>
      <c r="G408" s="20"/>
      <c r="H408" s="20"/>
      <c r="I408" s="20"/>
      <c r="J408" s="20"/>
      <c r="K408" s="20"/>
      <c r="L408" s="20"/>
      <c r="M408" s="20"/>
      <c r="N408" s="20"/>
      <c r="O408" s="20"/>
      <c r="P408" s="20"/>
      <c r="Q408" s="20"/>
      <c r="R408" s="20"/>
      <c r="S408" s="20"/>
      <c r="T408" s="20"/>
      <c r="U408" s="20"/>
      <c r="V408" s="20"/>
      <c r="W408" s="20"/>
      <c r="X408" s="20"/>
      <c r="Y408" s="20"/>
      <c r="Z408" s="20"/>
      <c r="AA408" s="20"/>
      <c r="AB408" s="12"/>
      <c r="AC408" s="12"/>
      <c r="AD408" s="12">
        <v>37123012</v>
      </c>
      <c r="AE408" s="12">
        <v>37123012</v>
      </c>
      <c r="AF408" s="12">
        <f>38883496-639853</f>
        <v>38243643</v>
      </c>
      <c r="AG408" s="12">
        <v>38883496</v>
      </c>
      <c r="AH408" s="12">
        <v>36100676</v>
      </c>
      <c r="AI408" s="12">
        <v>36100676</v>
      </c>
      <c r="AJ408" s="21">
        <v>37142853</v>
      </c>
      <c r="AK408" s="21">
        <v>37142853</v>
      </c>
      <c r="AL408" s="21">
        <v>36486414</v>
      </c>
      <c r="AM408" s="21">
        <v>36486412</v>
      </c>
      <c r="AN408" s="1058">
        <v>38785179</v>
      </c>
      <c r="AO408" s="822">
        <v>38785177</v>
      </c>
      <c r="AP408" s="1058">
        <v>42079966</v>
      </c>
      <c r="AQ408" s="1058">
        <v>42079966</v>
      </c>
      <c r="AR408" s="1044"/>
      <c r="AS408" s="1044"/>
    </row>
    <row r="409" spans="2:45" hidden="1" outlineLevel="1">
      <c r="B409" s="565">
        <v>3611</v>
      </c>
      <c r="C409" s="816" t="s">
        <v>16</v>
      </c>
      <c r="D409" s="9"/>
      <c r="E409" s="20" t="s">
        <v>136</v>
      </c>
      <c r="F409" s="20"/>
      <c r="G409" s="20"/>
      <c r="H409" s="20"/>
      <c r="I409" s="20"/>
      <c r="J409" s="20"/>
      <c r="K409" s="20"/>
      <c r="L409" s="20"/>
      <c r="M409" s="20"/>
      <c r="N409" s="20"/>
      <c r="O409" s="20"/>
      <c r="P409" s="20"/>
      <c r="Q409" s="20"/>
      <c r="R409" s="20"/>
      <c r="S409" s="20"/>
      <c r="T409" s="20"/>
      <c r="U409" s="20"/>
      <c r="V409" s="20"/>
      <c r="W409" s="20"/>
      <c r="X409" s="20"/>
      <c r="Y409" s="20"/>
      <c r="Z409" s="20"/>
      <c r="AA409" s="20"/>
      <c r="AB409" s="12"/>
      <c r="AC409" s="12"/>
      <c r="AD409" s="12">
        <v>14512858</v>
      </c>
      <c r="AE409" s="12">
        <v>14512858</v>
      </c>
      <c r="AF409" s="12">
        <f>15110039-248645</f>
        <v>14861394</v>
      </c>
      <c r="AG409" s="12">
        <v>15110040</v>
      </c>
      <c r="AH409" s="12">
        <v>13604870</v>
      </c>
      <c r="AI409" s="12">
        <v>13604870</v>
      </c>
      <c r="AJ409" s="21">
        <v>13398638</v>
      </c>
      <c r="AK409" s="21">
        <v>13398638</v>
      </c>
      <c r="AL409" s="21">
        <v>13947421</v>
      </c>
      <c r="AM409" s="21">
        <v>13947420</v>
      </c>
      <c r="AN409" s="1058">
        <v>13607154</v>
      </c>
      <c r="AO409" s="822">
        <v>13607153</v>
      </c>
      <c r="AP409" s="1058">
        <v>13387699</v>
      </c>
      <c r="AQ409" s="1058">
        <v>13387698</v>
      </c>
      <c r="AR409" s="1044"/>
      <c r="AS409" s="1044"/>
    </row>
    <row r="410" spans="2:45" hidden="1" outlineLevel="1">
      <c r="B410" s="565">
        <v>31034</v>
      </c>
      <c r="C410" s="816" t="s">
        <v>16</v>
      </c>
      <c r="D410" s="9"/>
      <c r="E410" s="20" t="s">
        <v>137</v>
      </c>
      <c r="F410" s="20"/>
      <c r="G410" s="20"/>
      <c r="H410" s="20"/>
      <c r="I410" s="20"/>
      <c r="J410" s="20"/>
      <c r="K410" s="20"/>
      <c r="L410" s="20"/>
      <c r="M410" s="20"/>
      <c r="N410" s="20"/>
      <c r="O410" s="20"/>
      <c r="P410" s="20"/>
      <c r="Q410" s="20"/>
      <c r="R410" s="20"/>
      <c r="S410" s="20"/>
      <c r="T410" s="20"/>
      <c r="U410" s="20"/>
      <c r="V410" s="20"/>
      <c r="W410" s="20"/>
      <c r="X410" s="20"/>
      <c r="Y410" s="20"/>
      <c r="Z410" s="20"/>
      <c r="AA410" s="20"/>
      <c r="AB410" s="12"/>
      <c r="AC410" s="12"/>
      <c r="AD410" s="12">
        <v>25572842</v>
      </c>
      <c r="AE410" s="12">
        <v>25372841</v>
      </c>
      <c r="AF410" s="12">
        <f>30568691-497575</f>
        <v>30071116</v>
      </c>
      <c r="AG410" s="12">
        <v>30568691</v>
      </c>
      <c r="AH410" s="12">
        <v>32241180</v>
      </c>
      <c r="AI410" s="12">
        <v>32241180</v>
      </c>
      <c r="AJ410" s="21">
        <v>35896669</v>
      </c>
      <c r="AK410" s="21">
        <v>35896669</v>
      </c>
      <c r="AL410" s="21">
        <v>38583036</v>
      </c>
      <c r="AM410" s="21">
        <v>38583034</v>
      </c>
      <c r="AN410" s="1058">
        <v>40226013</v>
      </c>
      <c r="AO410" s="822">
        <v>40226012</v>
      </c>
      <c r="AP410" s="1058">
        <v>42172061</v>
      </c>
      <c r="AQ410" s="1058">
        <v>42172059</v>
      </c>
      <c r="AR410" s="1044"/>
      <c r="AS410" s="1044"/>
    </row>
    <row r="411" spans="2:45" hidden="1" outlineLevel="1">
      <c r="B411" s="565">
        <v>3614</v>
      </c>
      <c r="C411" s="816" t="s">
        <v>16</v>
      </c>
      <c r="D411" s="9"/>
      <c r="E411" s="20" t="s">
        <v>138</v>
      </c>
      <c r="F411" s="20"/>
      <c r="G411" s="20"/>
      <c r="H411" s="20"/>
      <c r="I411" s="20"/>
      <c r="J411" s="20"/>
      <c r="K411" s="20"/>
      <c r="L411" s="20"/>
      <c r="M411" s="20"/>
      <c r="N411" s="20"/>
      <c r="O411" s="20"/>
      <c r="P411" s="20"/>
      <c r="Q411" s="20"/>
      <c r="R411" s="20"/>
      <c r="S411" s="20"/>
      <c r="T411" s="20"/>
      <c r="U411" s="20"/>
      <c r="V411" s="20"/>
      <c r="W411" s="20"/>
      <c r="X411" s="20"/>
      <c r="Y411" s="20"/>
      <c r="Z411" s="20"/>
      <c r="AA411" s="20"/>
      <c r="AB411" s="12"/>
      <c r="AC411" s="12"/>
      <c r="AD411" s="12">
        <v>7704532</v>
      </c>
      <c r="AE411" s="12">
        <v>7704532</v>
      </c>
      <c r="AF411" s="12">
        <f>7704532-121726</f>
        <v>7582806</v>
      </c>
      <c r="AG411" s="12">
        <v>7704531</v>
      </c>
      <c r="AH411" s="12">
        <v>7306967</v>
      </c>
      <c r="AI411" s="12">
        <v>7306967</v>
      </c>
      <c r="AJ411" s="21">
        <v>7311744</v>
      </c>
      <c r="AK411" s="21">
        <v>7311744</v>
      </c>
      <c r="AL411" s="21">
        <v>6986904</v>
      </c>
      <c r="AM411" s="21">
        <v>6986903</v>
      </c>
      <c r="AN411" s="1058">
        <v>7467879</v>
      </c>
      <c r="AO411" s="822">
        <v>7467877</v>
      </c>
      <c r="AP411" s="1058">
        <v>8462710</v>
      </c>
      <c r="AQ411" s="1058">
        <v>8462709</v>
      </c>
      <c r="AR411" s="1044"/>
      <c r="AS411" s="1044"/>
    </row>
    <row r="412" spans="2:45" hidden="1" outlineLevel="1">
      <c r="B412" s="565">
        <v>3626</v>
      </c>
      <c r="C412" s="816" t="s">
        <v>16</v>
      </c>
      <c r="D412" s="9"/>
      <c r="E412" s="20" t="s">
        <v>1408</v>
      </c>
      <c r="F412" s="20"/>
      <c r="G412" s="20"/>
      <c r="H412" s="20"/>
      <c r="I412" s="20"/>
      <c r="J412" s="20"/>
      <c r="K412" s="20"/>
      <c r="L412" s="20"/>
      <c r="M412" s="20"/>
      <c r="N412" s="20"/>
      <c r="O412" s="20"/>
      <c r="P412" s="20"/>
      <c r="Q412" s="20"/>
      <c r="R412" s="20"/>
      <c r="S412" s="20"/>
      <c r="T412" s="20"/>
      <c r="U412" s="20"/>
      <c r="V412" s="20"/>
      <c r="W412" s="20"/>
      <c r="X412" s="20"/>
      <c r="Y412" s="20"/>
      <c r="Z412" s="20"/>
      <c r="AA412" s="20"/>
      <c r="AB412" s="12"/>
      <c r="AC412" s="12"/>
      <c r="AD412" s="12">
        <v>45442760</v>
      </c>
      <c r="AE412" s="12">
        <v>45442760</v>
      </c>
      <c r="AF412" s="12">
        <f>52970370-871661</f>
        <v>52098709</v>
      </c>
      <c r="AG412" s="12">
        <v>52970371</v>
      </c>
      <c r="AH412" s="12">
        <v>51753799</v>
      </c>
      <c r="AI412" s="12">
        <v>51753799</v>
      </c>
      <c r="AJ412" s="21">
        <v>54396981</v>
      </c>
      <c r="AK412" s="21">
        <v>54396981</v>
      </c>
      <c r="AL412" s="21">
        <v>56290151</v>
      </c>
      <c r="AM412" s="21">
        <v>56290151</v>
      </c>
      <c r="AN412" s="1058">
        <v>55345475</v>
      </c>
      <c r="AO412" s="822">
        <v>55345474</v>
      </c>
      <c r="AP412" s="1058">
        <v>56831712</v>
      </c>
      <c r="AQ412" s="1058">
        <v>56831711</v>
      </c>
      <c r="AR412" s="1044"/>
      <c r="AS412" s="1044"/>
    </row>
    <row r="413" spans="2:45" hidden="1" outlineLevel="1">
      <c r="B413" s="565">
        <v>3627</v>
      </c>
      <c r="C413" s="816" t="s">
        <v>16</v>
      </c>
      <c r="D413" s="9"/>
      <c r="E413" s="20" t="s">
        <v>1409</v>
      </c>
      <c r="F413" s="20"/>
      <c r="G413" s="20"/>
      <c r="H413" s="20"/>
      <c r="I413" s="20"/>
      <c r="J413" s="20"/>
      <c r="K413" s="20"/>
      <c r="L413" s="20"/>
      <c r="M413" s="20"/>
      <c r="N413" s="20"/>
      <c r="O413" s="20"/>
      <c r="P413" s="20"/>
      <c r="Q413" s="20"/>
      <c r="R413" s="20"/>
      <c r="S413" s="20"/>
      <c r="T413" s="20"/>
      <c r="U413" s="20"/>
      <c r="V413" s="20"/>
      <c r="W413" s="20"/>
      <c r="X413" s="20"/>
      <c r="Y413" s="20"/>
      <c r="Z413" s="20"/>
      <c r="AA413" s="20"/>
      <c r="AB413" s="12"/>
      <c r="AC413" s="12"/>
      <c r="AD413" s="12">
        <v>7050649</v>
      </c>
      <c r="AE413" s="12">
        <v>7050649</v>
      </c>
      <c r="AF413" s="12">
        <f>8275090-136172</f>
        <v>8138918</v>
      </c>
      <c r="AG413" s="12">
        <v>8275089</v>
      </c>
      <c r="AH413" s="12">
        <v>7820691</v>
      </c>
      <c r="AI413" s="12">
        <v>7820691</v>
      </c>
      <c r="AJ413" s="21">
        <v>7854386</v>
      </c>
      <c r="AK413" s="21">
        <v>7854386</v>
      </c>
      <c r="AL413" s="21">
        <v>7646065</v>
      </c>
      <c r="AM413" s="21">
        <v>7646063</v>
      </c>
      <c r="AN413" s="1058">
        <v>7070683</v>
      </c>
      <c r="AO413" s="822">
        <v>7070682</v>
      </c>
      <c r="AP413" s="1058">
        <v>7022460</v>
      </c>
      <c r="AQ413" s="1058">
        <v>7022458</v>
      </c>
      <c r="AR413" s="1044"/>
      <c r="AS413" s="1044"/>
    </row>
    <row r="414" spans="2:45" hidden="1" outlineLevel="1">
      <c r="B414" s="565">
        <v>3628</v>
      </c>
      <c r="C414" s="816" t="s">
        <v>16</v>
      </c>
      <c r="D414" s="9"/>
      <c r="E414" s="20" t="s">
        <v>141</v>
      </c>
      <c r="F414" s="20"/>
      <c r="G414" s="20"/>
      <c r="H414" s="20"/>
      <c r="I414" s="20"/>
      <c r="J414" s="20"/>
      <c r="K414" s="20"/>
      <c r="L414" s="20"/>
      <c r="M414" s="20"/>
      <c r="N414" s="20"/>
      <c r="O414" s="20"/>
      <c r="P414" s="20"/>
      <c r="Q414" s="20"/>
      <c r="R414" s="20"/>
      <c r="S414" s="20"/>
      <c r="T414" s="20"/>
      <c r="U414" s="20"/>
      <c r="V414" s="20"/>
      <c r="W414" s="20"/>
      <c r="X414" s="20"/>
      <c r="Y414" s="20"/>
      <c r="Z414" s="20"/>
      <c r="AA414" s="20"/>
      <c r="AB414" s="12"/>
      <c r="AC414" s="12"/>
      <c r="AD414" s="12">
        <v>9106535</v>
      </c>
      <c r="AE414" s="12">
        <v>9106535</v>
      </c>
      <c r="AF414" s="12">
        <f>9301696-153065</f>
        <v>9148631</v>
      </c>
      <c r="AG414" s="12">
        <v>9301695</v>
      </c>
      <c r="AH414" s="12">
        <v>7682941</v>
      </c>
      <c r="AI414" s="12">
        <v>7682941</v>
      </c>
      <c r="AJ414" s="21">
        <v>6681440</v>
      </c>
      <c r="AK414" s="21">
        <v>6681440</v>
      </c>
      <c r="AL414" s="21">
        <v>6939423</v>
      </c>
      <c r="AM414" s="21">
        <v>6939421</v>
      </c>
      <c r="AN414" s="1058">
        <v>7198828</v>
      </c>
      <c r="AO414" s="822">
        <v>7198827</v>
      </c>
      <c r="AP414" s="1058">
        <v>7484440</v>
      </c>
      <c r="AQ414" s="1058">
        <v>7484438</v>
      </c>
      <c r="AR414" s="1044"/>
      <c r="AS414" s="1044"/>
    </row>
    <row r="415" spans="2:45" hidden="1" outlineLevel="1">
      <c r="B415" s="565">
        <v>3643</v>
      </c>
      <c r="C415" s="816" t="s">
        <v>16</v>
      </c>
      <c r="D415" s="9"/>
      <c r="E415" s="20" t="s">
        <v>142</v>
      </c>
      <c r="F415" s="20"/>
      <c r="G415" s="20"/>
      <c r="H415" s="20"/>
      <c r="I415" s="20"/>
      <c r="J415" s="20"/>
      <c r="K415" s="20"/>
      <c r="L415" s="20"/>
      <c r="M415" s="20"/>
      <c r="N415" s="20"/>
      <c r="O415" s="20"/>
      <c r="P415" s="20"/>
      <c r="Q415" s="20"/>
      <c r="R415" s="20"/>
      <c r="S415" s="20"/>
      <c r="T415" s="20"/>
      <c r="U415" s="20"/>
      <c r="V415" s="20"/>
      <c r="W415" s="20"/>
      <c r="X415" s="20"/>
      <c r="Y415" s="20"/>
      <c r="Z415" s="20"/>
      <c r="AA415" s="20"/>
      <c r="AB415" s="12"/>
      <c r="AC415" s="12"/>
      <c r="AD415" s="12">
        <v>13982821</v>
      </c>
      <c r="AE415" s="12">
        <v>13982821</v>
      </c>
      <c r="AF415" s="12">
        <f>13982821-212439</f>
        <v>13770382</v>
      </c>
      <c r="AG415" s="12">
        <v>13982821</v>
      </c>
      <c r="AH415" s="12">
        <v>11382503</v>
      </c>
      <c r="AI415" s="12">
        <v>11382503</v>
      </c>
      <c r="AJ415" s="21">
        <v>5094234</v>
      </c>
      <c r="AK415" s="21">
        <v>5094235</v>
      </c>
      <c r="AL415" s="21">
        <v>6162261</v>
      </c>
      <c r="AM415" s="21">
        <v>6162261</v>
      </c>
      <c r="AN415" s="1058">
        <v>5237663</v>
      </c>
      <c r="AO415" s="822">
        <v>5237662</v>
      </c>
      <c r="AP415" s="1058">
        <v>7048806</v>
      </c>
      <c r="AQ415" s="1058">
        <v>7048804</v>
      </c>
      <c r="AR415" s="1044"/>
      <c r="AS415" s="1044"/>
    </row>
    <row r="416" spans="2:45" hidden="1" outlineLevel="1">
      <c r="B416" s="565">
        <v>3572</v>
      </c>
      <c r="C416" s="816" t="s">
        <v>16</v>
      </c>
      <c r="D416" s="9"/>
      <c r="E416" s="20" t="s">
        <v>143</v>
      </c>
      <c r="F416" s="20"/>
      <c r="G416" s="20"/>
      <c r="H416" s="20"/>
      <c r="I416" s="20"/>
      <c r="J416" s="20"/>
      <c r="K416" s="20"/>
      <c r="L416" s="20"/>
      <c r="M416" s="20"/>
      <c r="N416" s="20"/>
      <c r="O416" s="20"/>
      <c r="P416" s="20"/>
      <c r="Q416" s="20"/>
      <c r="R416" s="20"/>
      <c r="S416" s="20"/>
      <c r="T416" s="20"/>
      <c r="U416" s="20"/>
      <c r="V416" s="20"/>
      <c r="W416" s="20"/>
      <c r="X416" s="20"/>
      <c r="Y416" s="20"/>
      <c r="Z416" s="20"/>
      <c r="AA416" s="20"/>
      <c r="AB416" s="12"/>
      <c r="AC416" s="12"/>
      <c r="AD416" s="12">
        <v>11574177</v>
      </c>
      <c r="AE416" s="12">
        <v>11574177</v>
      </c>
      <c r="AF416" s="12">
        <f>11937840-196445</f>
        <v>11741395</v>
      </c>
      <c r="AG416" s="12">
        <v>11937841</v>
      </c>
      <c r="AH416" s="12">
        <v>11138009</v>
      </c>
      <c r="AI416" s="12">
        <v>11138009</v>
      </c>
      <c r="AJ416" s="21">
        <v>11334491</v>
      </c>
      <c r="AK416" s="21">
        <v>11334491</v>
      </c>
      <c r="AL416" s="21">
        <v>11143764</v>
      </c>
      <c r="AM416" s="21">
        <v>11143762</v>
      </c>
      <c r="AN416" s="1058">
        <v>11734564</v>
      </c>
      <c r="AO416" s="822">
        <v>11734564</v>
      </c>
      <c r="AP416" s="1058">
        <v>11926817</v>
      </c>
      <c r="AQ416" s="1058">
        <v>11926816</v>
      </c>
      <c r="AR416" s="1044"/>
      <c r="AS416" s="1044"/>
    </row>
    <row r="417" spans="2:45" hidden="1" outlineLevel="1">
      <c r="B417" s="565">
        <v>3648</v>
      </c>
      <c r="C417" s="816" t="s">
        <v>16</v>
      </c>
      <c r="D417" s="9"/>
      <c r="E417" s="20" t="s">
        <v>144</v>
      </c>
      <c r="F417" s="20"/>
      <c r="G417" s="20"/>
      <c r="H417" s="20"/>
      <c r="I417" s="20"/>
      <c r="J417" s="20"/>
      <c r="K417" s="20"/>
      <c r="L417" s="20"/>
      <c r="M417" s="20"/>
      <c r="N417" s="20"/>
      <c r="O417" s="20"/>
      <c r="P417" s="20"/>
      <c r="Q417" s="20"/>
      <c r="R417" s="20"/>
      <c r="S417" s="20"/>
      <c r="T417" s="20"/>
      <c r="U417" s="20"/>
      <c r="V417" s="20"/>
      <c r="W417" s="20"/>
      <c r="X417" s="20"/>
      <c r="Y417" s="20"/>
      <c r="Z417" s="20"/>
      <c r="AA417" s="20"/>
      <c r="AB417" s="12"/>
      <c r="AC417" s="12"/>
      <c r="AD417" s="12">
        <v>16487450</v>
      </c>
      <c r="AE417" s="12">
        <v>16487450</v>
      </c>
      <c r="AF417" s="12">
        <f>18157590-298795</f>
        <v>17858795</v>
      </c>
      <c r="AG417" s="12">
        <v>18157589</v>
      </c>
      <c r="AH417" s="12">
        <v>17471056</v>
      </c>
      <c r="AI417" s="12">
        <v>17471056</v>
      </c>
      <c r="AJ417" s="21">
        <v>16788037</v>
      </c>
      <c r="AK417" s="21">
        <v>16788037</v>
      </c>
      <c r="AL417" s="21">
        <v>16655958</v>
      </c>
      <c r="AM417" s="21">
        <v>16655957</v>
      </c>
      <c r="AN417" s="1058">
        <v>16769512</v>
      </c>
      <c r="AO417" s="822">
        <v>16769511</v>
      </c>
      <c r="AP417" s="1058">
        <v>18081394</v>
      </c>
      <c r="AQ417" s="1058">
        <v>18081392</v>
      </c>
      <c r="AR417" s="1044"/>
      <c r="AS417" s="1044"/>
    </row>
    <row r="418" spans="2:45" hidden="1" outlineLevel="1">
      <c r="B418" s="565">
        <v>10060</v>
      </c>
      <c r="C418" s="816" t="s">
        <v>16</v>
      </c>
      <c r="D418" s="9"/>
      <c r="E418" s="20" t="s">
        <v>180</v>
      </c>
      <c r="F418" s="20"/>
      <c r="G418" s="20"/>
      <c r="H418" s="20"/>
      <c r="I418" s="20"/>
      <c r="J418" s="20"/>
      <c r="K418" s="20"/>
      <c r="L418" s="20"/>
      <c r="M418" s="20"/>
      <c r="N418" s="20"/>
      <c r="O418" s="20"/>
      <c r="P418" s="20"/>
      <c r="Q418" s="20"/>
      <c r="R418" s="20"/>
      <c r="S418" s="20"/>
      <c r="T418" s="20"/>
      <c r="U418" s="20"/>
      <c r="V418" s="20"/>
      <c r="W418" s="20"/>
      <c r="X418" s="20"/>
      <c r="Y418" s="20"/>
      <c r="Z418" s="20"/>
      <c r="AA418" s="20"/>
      <c r="AB418" s="12"/>
      <c r="AC418" s="12"/>
      <c r="AD418" s="12">
        <v>5453123</v>
      </c>
      <c r="AE418" s="12">
        <v>5453123</v>
      </c>
      <c r="AF418" s="12">
        <f>5896854-90811</f>
        <v>5806043</v>
      </c>
      <c r="AG418" s="12">
        <v>5896853</v>
      </c>
      <c r="AH418" s="12">
        <v>5849930</v>
      </c>
      <c r="AI418" s="12">
        <v>5849930</v>
      </c>
      <c r="AJ418" s="21">
        <v>5511466</v>
      </c>
      <c r="AK418" s="21">
        <v>5511466</v>
      </c>
      <c r="AL418" s="21">
        <v>5593616</v>
      </c>
      <c r="AM418" s="21">
        <v>5593614</v>
      </c>
      <c r="AN418" s="1058">
        <v>5594240</v>
      </c>
      <c r="AO418" s="822">
        <v>5594239</v>
      </c>
      <c r="AP418" s="1058">
        <v>5338450</v>
      </c>
      <c r="AQ418" s="1058">
        <v>5338449</v>
      </c>
      <c r="AR418" s="1044"/>
      <c r="AS418" s="1044"/>
    </row>
    <row r="419" spans="2:45" hidden="1" outlineLevel="1">
      <c r="B419" s="565">
        <v>3662</v>
      </c>
      <c r="C419" s="816" t="s">
        <v>16</v>
      </c>
      <c r="D419" s="9"/>
      <c r="E419" s="20" t="s">
        <v>146</v>
      </c>
      <c r="F419" s="20"/>
      <c r="G419" s="20"/>
      <c r="H419" s="20"/>
      <c r="I419" s="20"/>
      <c r="J419" s="20"/>
      <c r="K419" s="20"/>
      <c r="L419" s="20"/>
      <c r="M419" s="20"/>
      <c r="N419" s="20"/>
      <c r="O419" s="20"/>
      <c r="P419" s="20"/>
      <c r="Q419" s="20"/>
      <c r="R419" s="20"/>
      <c r="S419" s="20"/>
      <c r="T419" s="20"/>
      <c r="U419" s="20"/>
      <c r="V419" s="20"/>
      <c r="W419" s="20"/>
      <c r="X419" s="20"/>
      <c r="Y419" s="20"/>
      <c r="Z419" s="20"/>
      <c r="AA419" s="20"/>
      <c r="AB419" s="12"/>
      <c r="AC419" s="12"/>
      <c r="AD419" s="12">
        <v>6816087</v>
      </c>
      <c r="AE419" s="12">
        <v>6816087</v>
      </c>
      <c r="AF419" s="12">
        <f>6816087-107937</f>
        <v>6708150</v>
      </c>
      <c r="AG419" s="12">
        <v>6816087</v>
      </c>
      <c r="AH419" s="12">
        <v>5882052</v>
      </c>
      <c r="AI419" s="12">
        <v>5882052</v>
      </c>
      <c r="AJ419" s="21">
        <v>6245318</v>
      </c>
      <c r="AK419" s="21">
        <v>6245318</v>
      </c>
      <c r="AL419" s="21">
        <v>5785997</v>
      </c>
      <c r="AM419" s="21">
        <v>5785996</v>
      </c>
      <c r="AN419" s="1058">
        <v>5622722</v>
      </c>
      <c r="AO419" s="822">
        <v>5622721</v>
      </c>
      <c r="AP419" s="1058">
        <v>5535061</v>
      </c>
      <c r="AQ419" s="1058">
        <v>5535059</v>
      </c>
      <c r="AR419" s="1044"/>
      <c r="AS419" s="1044"/>
    </row>
    <row r="420" spans="2:45" hidden="1" outlineLevel="1">
      <c r="B420" s="565">
        <v>3664</v>
      </c>
      <c r="C420" s="816" t="s">
        <v>16</v>
      </c>
      <c r="D420" s="9"/>
      <c r="E420" s="20" t="s">
        <v>147</v>
      </c>
      <c r="F420" s="20"/>
      <c r="G420" s="20"/>
      <c r="H420" s="20"/>
      <c r="I420" s="20"/>
      <c r="J420" s="20"/>
      <c r="K420" s="20"/>
      <c r="L420" s="20"/>
      <c r="M420" s="20"/>
      <c r="N420" s="20"/>
      <c r="O420" s="20"/>
      <c r="P420" s="20"/>
      <c r="Q420" s="20"/>
      <c r="R420" s="20"/>
      <c r="S420" s="20"/>
      <c r="T420" s="20"/>
      <c r="U420" s="20"/>
      <c r="V420" s="20"/>
      <c r="W420" s="20"/>
      <c r="X420" s="20"/>
      <c r="Y420" s="20"/>
      <c r="Z420" s="20"/>
      <c r="AA420" s="20"/>
      <c r="AB420" s="12"/>
      <c r="AC420" s="12"/>
      <c r="AD420" s="12">
        <v>8234131</v>
      </c>
      <c r="AE420" s="12">
        <v>8234131</v>
      </c>
      <c r="AF420" s="12">
        <f>8234131-128419</f>
        <v>8105712</v>
      </c>
      <c r="AG420" s="12">
        <v>8234129</v>
      </c>
      <c r="AH420" s="12">
        <v>7674508</v>
      </c>
      <c r="AI420" s="12">
        <v>7674508</v>
      </c>
      <c r="AJ420" s="21">
        <v>8199690</v>
      </c>
      <c r="AK420" s="21">
        <v>8199690</v>
      </c>
      <c r="AL420" s="21">
        <v>8996586</v>
      </c>
      <c r="AM420" s="21">
        <v>8996584</v>
      </c>
      <c r="AN420" s="1058">
        <v>8461966</v>
      </c>
      <c r="AO420" s="822">
        <v>8461965</v>
      </c>
      <c r="AP420" s="1058">
        <v>9059678</v>
      </c>
      <c r="AQ420" s="1058">
        <v>9059678</v>
      </c>
      <c r="AR420" s="1044"/>
      <c r="AS420" s="1044"/>
    </row>
    <row r="421" spans="2:45" hidden="1" outlineLevel="1">
      <c r="B421" s="565">
        <v>9549</v>
      </c>
      <c r="C421" s="816" t="s">
        <v>16</v>
      </c>
      <c r="D421" s="9"/>
      <c r="E421" s="20" t="s">
        <v>148</v>
      </c>
      <c r="F421" s="20"/>
      <c r="G421" s="20"/>
      <c r="H421" s="20"/>
      <c r="I421" s="20"/>
      <c r="J421" s="20"/>
      <c r="K421" s="20"/>
      <c r="L421" s="20"/>
      <c r="M421" s="20"/>
      <c r="N421" s="20"/>
      <c r="O421" s="20"/>
      <c r="P421" s="20"/>
      <c r="Q421" s="20"/>
      <c r="R421" s="20"/>
      <c r="S421" s="20"/>
      <c r="T421" s="20"/>
      <c r="U421" s="20"/>
      <c r="V421" s="20"/>
      <c r="W421" s="20"/>
      <c r="X421" s="20"/>
      <c r="Y421" s="20"/>
      <c r="Z421" s="20"/>
      <c r="AA421" s="20"/>
      <c r="AB421" s="12"/>
      <c r="AC421" s="12"/>
      <c r="AD421" s="12">
        <v>3064009</v>
      </c>
      <c r="AE421" s="12">
        <v>3064009</v>
      </c>
      <c r="AF421" s="12">
        <f>4011746-65408</f>
        <v>3946338</v>
      </c>
      <c r="AG421" s="12">
        <v>4011747</v>
      </c>
      <c r="AH421" s="12">
        <v>3562666</v>
      </c>
      <c r="AI421" s="12">
        <v>3562666</v>
      </c>
      <c r="AJ421" s="21">
        <v>3920992</v>
      </c>
      <c r="AK421" s="21">
        <v>3920992</v>
      </c>
      <c r="AL421" s="21">
        <v>3551091</v>
      </c>
      <c r="AM421" s="21">
        <v>3551090</v>
      </c>
      <c r="AN421" s="1058">
        <v>3885074</v>
      </c>
      <c r="AO421" s="822">
        <v>3885073</v>
      </c>
      <c r="AP421" s="1058">
        <v>3929862</v>
      </c>
      <c r="AQ421" s="1058">
        <v>3929861</v>
      </c>
      <c r="AR421" s="1044"/>
      <c r="AS421" s="1044"/>
    </row>
    <row r="422" spans="2:45" hidden="1" outlineLevel="1">
      <c r="B422" s="565">
        <v>3668</v>
      </c>
      <c r="C422" s="816" t="s">
        <v>16</v>
      </c>
      <c r="D422" s="9"/>
      <c r="E422" s="20" t="s">
        <v>149</v>
      </c>
      <c r="F422" s="20"/>
      <c r="G422" s="20"/>
      <c r="H422" s="20"/>
      <c r="I422" s="20"/>
      <c r="J422" s="20"/>
      <c r="K422" s="20"/>
      <c r="L422" s="20"/>
      <c r="M422" s="20"/>
      <c r="N422" s="20"/>
      <c r="O422" s="20"/>
      <c r="P422" s="20"/>
      <c r="Q422" s="20"/>
      <c r="R422" s="20"/>
      <c r="S422" s="20"/>
      <c r="T422" s="20"/>
      <c r="U422" s="20"/>
      <c r="V422" s="20"/>
      <c r="W422" s="20"/>
      <c r="X422" s="20"/>
      <c r="Y422" s="20"/>
      <c r="Z422" s="20"/>
      <c r="AA422" s="20"/>
      <c r="AB422" s="12"/>
      <c r="AC422" s="12"/>
      <c r="AD422" s="12">
        <v>8416004</v>
      </c>
      <c r="AE422" s="12">
        <v>8416004</v>
      </c>
      <c r="AF422" s="12">
        <f>8504866-139953</f>
        <v>8364913</v>
      </c>
      <c r="AG422" s="12">
        <v>8504867</v>
      </c>
      <c r="AH422" s="12">
        <v>8523708</v>
      </c>
      <c r="AI422" s="12">
        <v>8523709</v>
      </c>
      <c r="AJ422" s="21">
        <v>9237866</v>
      </c>
      <c r="AK422" s="21">
        <v>9237866</v>
      </c>
      <c r="AL422" s="21">
        <v>9112077</v>
      </c>
      <c r="AM422" s="21">
        <v>9112075</v>
      </c>
      <c r="AN422" s="1058">
        <v>9373136</v>
      </c>
      <c r="AO422" s="822">
        <v>9373136</v>
      </c>
      <c r="AP422" s="1058">
        <v>9645284</v>
      </c>
      <c r="AQ422" s="1058">
        <v>9645283</v>
      </c>
      <c r="AR422" s="1044"/>
      <c r="AS422" s="1044"/>
    </row>
    <row r="423" spans="2:45" hidden="1" outlineLevel="1">
      <c r="C423" s="816" t="s">
        <v>16</v>
      </c>
      <c r="D423" s="28"/>
      <c r="E423" s="27" t="s">
        <v>152</v>
      </c>
      <c r="F423" s="27"/>
      <c r="G423" s="27"/>
      <c r="H423" s="27"/>
      <c r="I423" s="27"/>
      <c r="J423" s="27"/>
      <c r="K423" s="27"/>
      <c r="L423" s="27"/>
      <c r="M423" s="27"/>
      <c r="N423" s="27"/>
      <c r="O423" s="27"/>
      <c r="P423" s="27"/>
      <c r="Q423" s="27"/>
      <c r="R423" s="27"/>
      <c r="S423" s="27"/>
      <c r="T423" s="27"/>
      <c r="U423" s="27"/>
      <c r="V423" s="27"/>
      <c r="W423" s="27"/>
      <c r="X423" s="27"/>
      <c r="Y423" s="27"/>
      <c r="Z423" s="27"/>
      <c r="AA423" s="27"/>
      <c r="AB423" s="29"/>
      <c r="AC423" s="29"/>
      <c r="AD423" s="29">
        <v>860412423</v>
      </c>
      <c r="AE423" s="29">
        <v>858812422</v>
      </c>
      <c r="AF423" s="29">
        <f>SUM(AF373:AF422)</f>
        <v>914621578</v>
      </c>
      <c r="AG423" s="29">
        <f>SUM(AG373:AG422)</f>
        <v>929621580</v>
      </c>
      <c r="AH423" s="29">
        <f>SUM(AH373:AH422)</f>
        <v>874690361</v>
      </c>
      <c r="AI423" s="29">
        <f>SUM(AI373:AI422)</f>
        <v>874690362</v>
      </c>
      <c r="AJ423" s="45">
        <v>895759508</v>
      </c>
      <c r="AK423" s="45">
        <v>890759510</v>
      </c>
      <c r="AL423" s="45">
        <f>SUM(AL373:AL422)</f>
        <v>892785312</v>
      </c>
      <c r="AM423" s="45">
        <f>SUM(AM373:AM422)</f>
        <v>885793094</v>
      </c>
      <c r="AN423" s="823">
        <f t="shared" ref="AN423:AQ423" si="18">SUM(AN373:AN422)</f>
        <v>899540045</v>
      </c>
      <c r="AO423" s="823">
        <f t="shared" si="18"/>
        <v>894979998</v>
      </c>
      <c r="AP423" s="983">
        <f t="shared" si="18"/>
        <v>936193916</v>
      </c>
      <c r="AQ423" s="983">
        <f t="shared" si="18"/>
        <v>931497068</v>
      </c>
      <c r="AR423" s="1044"/>
      <c r="AS423" s="1044"/>
    </row>
    <row r="424" spans="2:45" collapsed="1">
      <c r="C424" s="816" t="s">
        <v>1455</v>
      </c>
      <c r="D424" s="25"/>
      <c r="E424" s="6"/>
      <c r="F424" s="6"/>
      <c r="G424" s="6"/>
      <c r="H424" s="6"/>
      <c r="I424" s="6"/>
      <c r="J424" s="6"/>
      <c r="K424" s="6"/>
      <c r="L424" s="6"/>
      <c r="M424" s="6"/>
      <c r="N424" s="6"/>
      <c r="O424" s="6"/>
      <c r="P424" s="6"/>
      <c r="Q424" s="6"/>
      <c r="R424" s="6"/>
      <c r="S424" s="6"/>
      <c r="T424" s="6"/>
      <c r="U424" s="6"/>
      <c r="V424" s="6"/>
      <c r="W424" s="6"/>
      <c r="X424" s="6"/>
      <c r="Y424" s="6"/>
      <c r="Z424" s="6"/>
      <c r="AA424" s="6"/>
      <c r="AB424" s="594"/>
      <c r="AC424" s="594"/>
      <c r="AD424" s="594" t="s">
        <v>1456</v>
      </c>
      <c r="AE424" s="594" t="s">
        <v>1456</v>
      </c>
      <c r="AF424" s="7"/>
      <c r="AG424" s="7"/>
      <c r="AH424" s="1305" t="s">
        <v>153</v>
      </c>
      <c r="AI424" s="1307"/>
      <c r="AJ424" s="8" t="s">
        <v>154</v>
      </c>
      <c r="AK424" s="8" t="s">
        <v>154</v>
      </c>
      <c r="AL424" s="369" t="s">
        <v>1801</v>
      </c>
      <c r="AM424" s="369" t="s">
        <v>1801</v>
      </c>
      <c r="AN424" s="369" t="s">
        <v>1912</v>
      </c>
      <c r="AO424" s="369" t="s">
        <v>1912</v>
      </c>
      <c r="AP424" s="696" t="s">
        <v>2041</v>
      </c>
      <c r="AQ424" s="696" t="s">
        <v>2041</v>
      </c>
      <c r="AR424" s="1044"/>
      <c r="AS424" s="1044"/>
    </row>
    <row r="425" spans="2:45" hidden="1" outlineLevel="1">
      <c r="C425" s="816" t="s">
        <v>2</v>
      </c>
      <c r="D425" s="9"/>
      <c r="E425" s="20" t="s">
        <v>754</v>
      </c>
      <c r="F425" s="20"/>
      <c r="G425" s="20"/>
      <c r="H425" s="20"/>
      <c r="I425" s="20"/>
      <c r="J425" s="20"/>
      <c r="K425" s="20"/>
      <c r="L425" s="20"/>
      <c r="M425" s="20"/>
      <c r="N425" s="20"/>
      <c r="O425" s="20"/>
      <c r="P425" s="20"/>
      <c r="Q425" s="20"/>
      <c r="R425" s="20"/>
      <c r="S425" s="20"/>
      <c r="T425" s="20"/>
      <c r="U425" s="20"/>
      <c r="V425" s="20"/>
      <c r="W425" s="20"/>
      <c r="X425" s="20"/>
      <c r="Y425" s="20"/>
      <c r="Z425" s="20"/>
      <c r="AA425" s="20"/>
      <c r="AB425" s="12"/>
      <c r="AC425" s="12"/>
      <c r="AD425" s="12">
        <v>8715317</v>
      </c>
      <c r="AE425" s="12">
        <v>8715317</v>
      </c>
      <c r="AF425" s="12">
        <v>10785681</v>
      </c>
      <c r="AG425" s="12">
        <v>11519107</v>
      </c>
      <c r="AH425" s="12">
        <v>9792137</v>
      </c>
      <c r="AI425" s="12">
        <v>10322726</v>
      </c>
      <c r="AJ425" s="21">
        <v>11936629</v>
      </c>
      <c r="AK425" s="21">
        <v>12811584</v>
      </c>
      <c r="AL425" s="21">
        <v>13887513</v>
      </c>
      <c r="AM425" s="21">
        <v>14883249</v>
      </c>
      <c r="AN425" s="1058">
        <v>11957136</v>
      </c>
      <c r="AO425" s="1058">
        <v>12502668</v>
      </c>
      <c r="AP425" s="1058">
        <v>12280603</v>
      </c>
      <c r="AQ425" s="1058">
        <v>12280602</v>
      </c>
      <c r="AR425" s="1044"/>
      <c r="AS425" s="1044"/>
    </row>
    <row r="426" spans="2:45" hidden="1" outlineLevel="1">
      <c r="C426" s="816" t="s">
        <v>2</v>
      </c>
      <c r="D426" s="9"/>
      <c r="E426" s="20" t="s">
        <v>749</v>
      </c>
      <c r="F426" s="20"/>
      <c r="G426" s="20"/>
      <c r="H426" s="20"/>
      <c r="I426" s="20"/>
      <c r="J426" s="20"/>
      <c r="K426" s="20"/>
      <c r="L426" s="20"/>
      <c r="M426" s="20"/>
      <c r="N426" s="20"/>
      <c r="O426" s="20"/>
      <c r="P426" s="20"/>
      <c r="Q426" s="20"/>
      <c r="R426" s="20"/>
      <c r="S426" s="20"/>
      <c r="T426" s="20"/>
      <c r="U426" s="20"/>
      <c r="V426" s="20"/>
      <c r="W426" s="20"/>
      <c r="X426" s="20"/>
      <c r="Y426" s="20"/>
      <c r="Z426" s="20"/>
      <c r="AA426" s="20"/>
      <c r="AB426" s="12"/>
      <c r="AC426" s="12"/>
      <c r="AD426" s="12">
        <v>26640223</v>
      </c>
      <c r="AE426" s="12">
        <v>26640223</v>
      </c>
      <c r="AF426" s="12">
        <v>25676486</v>
      </c>
      <c r="AG426" s="12">
        <v>27422487</v>
      </c>
      <c r="AH426" s="12">
        <v>23361945</v>
      </c>
      <c r="AI426" s="12">
        <v>24627816</v>
      </c>
      <c r="AJ426" s="21">
        <v>26424674</v>
      </c>
      <c r="AK426" s="21">
        <v>28361603</v>
      </c>
      <c r="AL426" s="21">
        <v>29584339</v>
      </c>
      <c r="AM426" s="21">
        <v>31705535</v>
      </c>
      <c r="AN426" s="1058">
        <v>28827132</v>
      </c>
      <c r="AO426" s="1058">
        <v>30142343</v>
      </c>
      <c r="AP426" s="1058">
        <v>28143074</v>
      </c>
      <c r="AQ426" s="1058">
        <v>28143075</v>
      </c>
      <c r="AR426" s="1044"/>
      <c r="AS426" s="1044"/>
    </row>
    <row r="427" spans="2:45" hidden="1" outlineLevel="1">
      <c r="C427" s="816" t="s">
        <v>2</v>
      </c>
      <c r="D427" s="9"/>
      <c r="E427" s="20" t="s">
        <v>755</v>
      </c>
      <c r="F427" s="20"/>
      <c r="G427" s="20"/>
      <c r="H427" s="20"/>
      <c r="I427" s="20"/>
      <c r="J427" s="20"/>
      <c r="K427" s="20"/>
      <c r="L427" s="20"/>
      <c r="M427" s="20"/>
      <c r="N427" s="20"/>
      <c r="O427" s="20"/>
      <c r="P427" s="20"/>
      <c r="Q427" s="20"/>
      <c r="R427" s="20"/>
      <c r="S427" s="20"/>
      <c r="T427" s="20"/>
      <c r="U427" s="20"/>
      <c r="V427" s="20"/>
      <c r="W427" s="20"/>
      <c r="X427" s="20"/>
      <c r="Y427" s="20"/>
      <c r="Z427" s="20"/>
      <c r="AA427" s="20"/>
      <c r="AB427" s="12"/>
      <c r="AC427" s="12"/>
      <c r="AD427" s="12">
        <v>5526899</v>
      </c>
      <c r="AE427" s="12">
        <v>5526899</v>
      </c>
      <c r="AF427" s="12">
        <v>6351368</v>
      </c>
      <c r="AG427" s="12">
        <v>6783261</v>
      </c>
      <c r="AH427" s="12">
        <v>6806124</v>
      </c>
      <c r="AI427" s="12">
        <v>7174915</v>
      </c>
      <c r="AJ427" s="21">
        <v>9529945</v>
      </c>
      <c r="AK427" s="21">
        <v>10228490</v>
      </c>
      <c r="AL427" s="21">
        <v>8644380</v>
      </c>
      <c r="AM427" s="21">
        <v>9264181</v>
      </c>
      <c r="AN427" s="1058">
        <v>9114499</v>
      </c>
      <c r="AO427" s="1058">
        <v>9530339</v>
      </c>
      <c r="AP427" s="1058">
        <v>8292174</v>
      </c>
      <c r="AQ427" s="1058">
        <v>8292174</v>
      </c>
      <c r="AR427" s="1044"/>
      <c r="AS427" s="1044"/>
    </row>
    <row r="428" spans="2:45" hidden="1" outlineLevel="1">
      <c r="C428" s="816" t="s">
        <v>2</v>
      </c>
      <c r="D428" s="9"/>
      <c r="E428" s="20" t="s">
        <v>756</v>
      </c>
      <c r="F428" s="20"/>
      <c r="G428" s="20"/>
      <c r="H428" s="20"/>
      <c r="I428" s="20"/>
      <c r="J428" s="20"/>
      <c r="K428" s="20"/>
      <c r="L428" s="20"/>
      <c r="M428" s="20"/>
      <c r="N428" s="20"/>
      <c r="O428" s="20"/>
      <c r="P428" s="20"/>
      <c r="Q428" s="20"/>
      <c r="R428" s="20"/>
      <c r="S428" s="20"/>
      <c r="T428" s="20"/>
      <c r="U428" s="20"/>
      <c r="V428" s="20"/>
      <c r="W428" s="20"/>
      <c r="X428" s="20"/>
      <c r="Y428" s="20"/>
      <c r="Z428" s="20"/>
      <c r="AA428" s="20"/>
      <c r="AB428" s="12"/>
      <c r="AC428" s="12"/>
      <c r="AD428" s="12">
        <v>8787377</v>
      </c>
      <c r="AE428" s="12">
        <v>8787377</v>
      </c>
      <c r="AF428" s="12">
        <v>10228867</v>
      </c>
      <c r="AG428" s="12">
        <v>10924430</v>
      </c>
      <c r="AH428" s="12">
        <v>9989890</v>
      </c>
      <c r="AI428" s="12">
        <v>10531194</v>
      </c>
      <c r="AJ428" s="21">
        <v>12760044</v>
      </c>
      <c r="AK428" s="21">
        <v>13695355</v>
      </c>
      <c r="AL428" s="21">
        <v>15329458</v>
      </c>
      <c r="AM428" s="21">
        <v>16428581</v>
      </c>
      <c r="AN428" s="1058">
        <v>12855610</v>
      </c>
      <c r="AO428" s="1058">
        <v>13442134</v>
      </c>
      <c r="AP428" s="1058">
        <v>14556051</v>
      </c>
      <c r="AQ428" s="1058">
        <v>14556053</v>
      </c>
      <c r="AR428" s="1044"/>
      <c r="AS428" s="1044"/>
    </row>
    <row r="429" spans="2:45" hidden="1" outlineLevel="1">
      <c r="C429" s="816" t="s">
        <v>2</v>
      </c>
      <c r="D429" s="9"/>
      <c r="E429" s="224" t="s">
        <v>1667</v>
      </c>
      <c r="F429" s="20"/>
      <c r="G429" s="20"/>
      <c r="H429" s="20"/>
      <c r="I429" s="20"/>
      <c r="J429" s="20"/>
      <c r="K429" s="20"/>
      <c r="L429" s="20"/>
      <c r="M429" s="20"/>
      <c r="N429" s="20"/>
      <c r="O429" s="20"/>
      <c r="P429" s="20"/>
      <c r="Q429" s="20"/>
      <c r="R429" s="20"/>
      <c r="S429" s="20"/>
      <c r="T429" s="20"/>
      <c r="U429" s="20"/>
      <c r="V429" s="20"/>
      <c r="W429" s="20"/>
      <c r="X429" s="20"/>
      <c r="Y429" s="20"/>
      <c r="Z429" s="20"/>
      <c r="AA429" s="20"/>
      <c r="AB429" s="12"/>
      <c r="AC429" s="12"/>
      <c r="AD429" s="12"/>
      <c r="AE429" s="12"/>
      <c r="AF429" s="12"/>
      <c r="AG429" s="12"/>
      <c r="AH429" s="12"/>
      <c r="AI429" s="12"/>
      <c r="AJ429" s="21"/>
      <c r="AK429" s="21"/>
      <c r="AL429" s="21">
        <v>13030799</v>
      </c>
      <c r="AM429" s="21">
        <v>13965105</v>
      </c>
      <c r="AN429" s="1058">
        <v>15905910</v>
      </c>
      <c r="AO429" s="1058">
        <v>16631600</v>
      </c>
      <c r="AP429" s="1058">
        <v>11768959</v>
      </c>
      <c r="AQ429" s="1058">
        <v>11768959</v>
      </c>
      <c r="AR429" s="1044"/>
      <c r="AS429" s="1044"/>
    </row>
    <row r="430" spans="2:45" hidden="1" outlineLevel="1">
      <c r="C430" s="816" t="s">
        <v>2</v>
      </c>
      <c r="D430" s="9"/>
      <c r="E430" s="20" t="s">
        <v>1356</v>
      </c>
      <c r="F430" s="20"/>
      <c r="G430" s="20"/>
      <c r="H430" s="20"/>
      <c r="I430" s="20"/>
      <c r="J430" s="20"/>
      <c r="K430" s="20"/>
      <c r="L430" s="20"/>
      <c r="M430" s="20"/>
      <c r="N430" s="20"/>
      <c r="O430" s="20"/>
      <c r="P430" s="20"/>
      <c r="Q430" s="20"/>
      <c r="R430" s="20"/>
      <c r="S430" s="20"/>
      <c r="T430" s="20"/>
      <c r="U430" s="20"/>
      <c r="V430" s="20"/>
      <c r="W430" s="20"/>
      <c r="X430" s="20"/>
      <c r="Y430" s="20"/>
      <c r="Z430" s="20"/>
      <c r="AA430" s="20"/>
      <c r="AB430" s="12"/>
      <c r="AC430" s="12"/>
      <c r="AD430" s="12">
        <v>5510664</v>
      </c>
      <c r="AE430" s="12">
        <v>5510664</v>
      </c>
      <c r="AF430" s="12">
        <v>6763497</v>
      </c>
      <c r="AG430" s="12">
        <v>7223415</v>
      </c>
      <c r="AH430" s="12">
        <v>6640149</v>
      </c>
      <c r="AI430" s="12">
        <v>6999947</v>
      </c>
      <c r="AJ430" s="21">
        <v>8343282</v>
      </c>
      <c r="AK430" s="21">
        <v>8954845</v>
      </c>
      <c r="AL430" s="21"/>
      <c r="AM430" s="21"/>
      <c r="AN430" s="1058"/>
      <c r="AO430" s="1058"/>
      <c r="AP430" s="1058"/>
      <c r="AQ430" s="1058"/>
      <c r="AR430" s="1044"/>
      <c r="AS430" s="1044"/>
    </row>
    <row r="431" spans="2:45" hidden="1" outlineLevel="1">
      <c r="C431" s="816" t="s">
        <v>2</v>
      </c>
      <c r="D431" s="9"/>
      <c r="E431" s="20" t="s">
        <v>1357</v>
      </c>
      <c r="F431" s="20"/>
      <c r="G431" s="20"/>
      <c r="H431" s="20"/>
      <c r="I431" s="20"/>
      <c r="J431" s="20"/>
      <c r="K431" s="20"/>
      <c r="L431" s="20"/>
      <c r="M431" s="20"/>
      <c r="N431" s="20"/>
      <c r="O431" s="20"/>
      <c r="P431" s="20"/>
      <c r="Q431" s="20"/>
      <c r="R431" s="20"/>
      <c r="S431" s="20"/>
      <c r="T431" s="20"/>
      <c r="U431" s="20"/>
      <c r="V431" s="20"/>
      <c r="W431" s="20"/>
      <c r="X431" s="20"/>
      <c r="Y431" s="20"/>
      <c r="Z431" s="20"/>
      <c r="AA431" s="20"/>
      <c r="AB431" s="12"/>
      <c r="AC431" s="12"/>
      <c r="AD431" s="12">
        <v>2050844</v>
      </c>
      <c r="AE431" s="12">
        <v>2050844</v>
      </c>
      <c r="AF431" s="12">
        <v>2567493</v>
      </c>
      <c r="AG431" s="12">
        <v>2742083</v>
      </c>
      <c r="AH431" s="12">
        <v>2937785</v>
      </c>
      <c r="AI431" s="12">
        <v>3096970</v>
      </c>
      <c r="AJ431" s="21">
        <v>3703129</v>
      </c>
      <c r="AK431" s="21">
        <v>3974568</v>
      </c>
      <c r="AL431" s="21"/>
      <c r="AM431" s="21"/>
      <c r="AN431" s="1058"/>
      <c r="AO431" s="1058"/>
      <c r="AP431" s="1058"/>
      <c r="AQ431" s="1058"/>
      <c r="AR431" s="1044"/>
      <c r="AS431" s="1044"/>
    </row>
    <row r="432" spans="2:45" hidden="1" outlineLevel="1">
      <c r="C432" s="816" t="s">
        <v>2</v>
      </c>
      <c r="D432" s="9"/>
      <c r="E432" s="20" t="s">
        <v>1358</v>
      </c>
      <c r="F432" s="20"/>
      <c r="G432" s="20"/>
      <c r="H432" s="20"/>
      <c r="I432" s="20"/>
      <c r="J432" s="20"/>
      <c r="K432" s="20"/>
      <c r="L432" s="20"/>
      <c r="M432" s="20"/>
      <c r="N432" s="20"/>
      <c r="O432" s="20"/>
      <c r="P432" s="20"/>
      <c r="Q432" s="20"/>
      <c r="R432" s="20"/>
      <c r="S432" s="20"/>
      <c r="T432" s="20"/>
      <c r="U432" s="20"/>
      <c r="V432" s="20"/>
      <c r="W432" s="20"/>
      <c r="X432" s="20"/>
      <c r="Y432" s="20"/>
      <c r="Z432" s="20"/>
      <c r="AA432" s="20"/>
      <c r="AB432" s="12"/>
      <c r="AC432" s="12"/>
      <c r="AD432" s="12">
        <v>1386049</v>
      </c>
      <c r="AE432" s="12">
        <v>1386049</v>
      </c>
      <c r="AF432" s="12">
        <v>1686919</v>
      </c>
      <c r="AG432" s="12">
        <v>1801629</v>
      </c>
      <c r="AH432" s="12">
        <v>1830784</v>
      </c>
      <c r="AI432" s="12">
        <v>1929985</v>
      </c>
      <c r="AJ432" s="21">
        <v>1953845</v>
      </c>
      <c r="AK432" s="21">
        <v>2097062</v>
      </c>
      <c r="AL432" s="21">
        <v>2040699</v>
      </c>
      <c r="AM432" s="21">
        <v>2187019</v>
      </c>
      <c r="AN432" s="1058">
        <v>2436155</v>
      </c>
      <c r="AO432" s="1058">
        <v>2547303</v>
      </c>
      <c r="AP432" s="1058">
        <v>1873620</v>
      </c>
      <c r="AQ432" s="1058">
        <v>1873620</v>
      </c>
      <c r="AR432" s="1044"/>
      <c r="AS432" s="1044"/>
    </row>
    <row r="433" spans="3:45" hidden="1" outlineLevel="1">
      <c r="C433" s="816" t="s">
        <v>2</v>
      </c>
      <c r="D433" s="9"/>
      <c r="E433" s="20" t="s">
        <v>757</v>
      </c>
      <c r="F433" s="20"/>
      <c r="G433" s="20"/>
      <c r="H433" s="20"/>
      <c r="I433" s="20"/>
      <c r="J433" s="20"/>
      <c r="K433" s="20"/>
      <c r="L433" s="20"/>
      <c r="M433" s="20"/>
      <c r="N433" s="20"/>
      <c r="O433" s="20"/>
      <c r="P433" s="20"/>
      <c r="Q433" s="20"/>
      <c r="R433" s="20"/>
      <c r="S433" s="20"/>
      <c r="T433" s="20"/>
      <c r="U433" s="20"/>
      <c r="V433" s="20"/>
      <c r="W433" s="20"/>
      <c r="X433" s="20"/>
      <c r="Y433" s="20"/>
      <c r="Z433" s="20"/>
      <c r="AA433" s="20"/>
      <c r="AB433" s="12"/>
      <c r="AC433" s="12"/>
      <c r="AD433" s="12">
        <v>8304535</v>
      </c>
      <c r="AE433" s="12">
        <v>8304535</v>
      </c>
      <c r="AF433" s="12">
        <v>9939493</v>
      </c>
      <c r="AG433" s="12">
        <v>10615378</v>
      </c>
      <c r="AH433" s="12">
        <v>10063441</v>
      </c>
      <c r="AI433" s="12">
        <v>10608730</v>
      </c>
      <c r="AJ433" s="21">
        <v>12924537</v>
      </c>
      <c r="AK433" s="21">
        <v>13871905</v>
      </c>
      <c r="AL433" s="21">
        <v>14217996</v>
      </c>
      <c r="AM433" s="21">
        <v>15237428</v>
      </c>
      <c r="AN433" s="1058">
        <v>13672022</v>
      </c>
      <c r="AO433" s="1058">
        <v>14295795</v>
      </c>
      <c r="AP433" s="1058">
        <v>12878929</v>
      </c>
      <c r="AQ433" s="1058">
        <v>12878928</v>
      </c>
      <c r="AR433" s="1044"/>
      <c r="AS433" s="1044"/>
    </row>
    <row r="434" spans="3:45" hidden="1" outlineLevel="1">
      <c r="C434" s="816" t="s">
        <v>2</v>
      </c>
      <c r="D434" s="9"/>
      <c r="E434" s="20" t="s">
        <v>1359</v>
      </c>
      <c r="F434" s="20"/>
      <c r="G434" s="20"/>
      <c r="H434" s="20"/>
      <c r="I434" s="20"/>
      <c r="J434" s="20"/>
      <c r="K434" s="20"/>
      <c r="L434" s="20"/>
      <c r="M434" s="20"/>
      <c r="N434" s="20"/>
      <c r="O434" s="20"/>
      <c r="P434" s="20"/>
      <c r="Q434" s="20"/>
      <c r="R434" s="20"/>
      <c r="S434" s="20"/>
      <c r="T434" s="20"/>
      <c r="U434" s="20"/>
      <c r="V434" s="20"/>
      <c r="W434" s="20"/>
      <c r="X434" s="20"/>
      <c r="Y434" s="20"/>
      <c r="Z434" s="20"/>
      <c r="AA434" s="20"/>
      <c r="AB434" s="12"/>
      <c r="AC434" s="12"/>
      <c r="AD434" s="12">
        <v>2649813</v>
      </c>
      <c r="AE434" s="12">
        <v>2649813</v>
      </c>
      <c r="AF434" s="12">
        <v>3059898</v>
      </c>
      <c r="AG434" s="12">
        <v>3267971</v>
      </c>
      <c r="AH434" s="12">
        <v>3022595</v>
      </c>
      <c r="AI434" s="12">
        <v>3186375</v>
      </c>
      <c r="AJ434" s="21">
        <v>3872292</v>
      </c>
      <c r="AK434" s="21">
        <v>4156131</v>
      </c>
      <c r="AL434" s="21">
        <v>3857541</v>
      </c>
      <c r="AM434" s="21">
        <v>4134127</v>
      </c>
      <c r="AN434" s="1058">
        <v>4708757</v>
      </c>
      <c r="AO434" s="1058">
        <v>4923590</v>
      </c>
      <c r="AP434" s="1058">
        <v>3342639</v>
      </c>
      <c r="AQ434" s="1058">
        <v>3342638</v>
      </c>
      <c r="AR434" s="1044"/>
      <c r="AS434" s="1044"/>
    </row>
    <row r="435" spans="3:45" hidden="1" outlineLevel="1">
      <c r="C435" s="816" t="s">
        <v>2</v>
      </c>
      <c r="D435" s="9"/>
      <c r="E435" s="616" t="s">
        <v>1844</v>
      </c>
      <c r="F435" s="20"/>
      <c r="G435" s="20"/>
      <c r="H435" s="20"/>
      <c r="I435" s="20"/>
      <c r="J435" s="20"/>
      <c r="K435" s="20"/>
      <c r="L435" s="20"/>
      <c r="M435" s="20"/>
      <c r="N435" s="20"/>
      <c r="O435" s="20"/>
      <c r="P435" s="20"/>
      <c r="Q435" s="20"/>
      <c r="R435" s="20"/>
      <c r="S435" s="20"/>
      <c r="T435" s="20"/>
      <c r="U435" s="20"/>
      <c r="V435" s="20"/>
      <c r="W435" s="20"/>
      <c r="X435" s="20"/>
      <c r="Y435" s="20"/>
      <c r="Z435" s="20"/>
      <c r="AA435" s="20"/>
      <c r="AB435" s="12"/>
      <c r="AC435" s="12"/>
      <c r="AD435" s="12">
        <v>9205721</v>
      </c>
      <c r="AE435" s="12">
        <v>9205721</v>
      </c>
      <c r="AF435" s="12">
        <v>12586197</v>
      </c>
      <c r="AG435" s="12">
        <v>13442058</v>
      </c>
      <c r="AH435" s="12">
        <v>12158486</v>
      </c>
      <c r="AI435" s="12">
        <v>12817296</v>
      </c>
      <c r="AJ435" s="21">
        <v>13186711</v>
      </c>
      <c r="AK435" s="21">
        <v>14153297</v>
      </c>
      <c r="AL435" s="21">
        <v>16774666</v>
      </c>
      <c r="AM435" s="21">
        <v>17977409</v>
      </c>
      <c r="AN435" s="1058">
        <v>16367508</v>
      </c>
      <c r="AO435" s="1058">
        <v>17114258</v>
      </c>
      <c r="AP435" s="1058">
        <v>14180288</v>
      </c>
      <c r="AQ435" s="1058">
        <v>14180288</v>
      </c>
      <c r="AR435" s="1044"/>
      <c r="AS435" s="1044"/>
    </row>
    <row r="436" spans="3:45" hidden="1" outlineLevel="1">
      <c r="C436" s="816" t="s">
        <v>2</v>
      </c>
      <c r="D436" s="9"/>
      <c r="E436" s="593" t="s">
        <v>1434</v>
      </c>
      <c r="F436" s="20"/>
      <c r="G436" s="20"/>
      <c r="H436" s="20"/>
      <c r="I436" s="20"/>
      <c r="J436" s="20"/>
      <c r="K436" s="20"/>
      <c r="L436" s="20"/>
      <c r="M436" s="20"/>
      <c r="N436" s="20"/>
      <c r="O436" s="20"/>
      <c r="P436" s="20"/>
      <c r="Q436" s="20"/>
      <c r="R436" s="20"/>
      <c r="S436" s="20"/>
      <c r="T436" s="20"/>
      <c r="U436" s="20"/>
      <c r="V436" s="20"/>
      <c r="W436" s="20"/>
      <c r="X436" s="20"/>
      <c r="Y436" s="20"/>
      <c r="Z436" s="20"/>
      <c r="AA436" s="20"/>
      <c r="AB436" s="12"/>
      <c r="AC436" s="12"/>
      <c r="AD436" s="12">
        <v>34450565</v>
      </c>
      <c r="AE436" s="12">
        <v>34450565</v>
      </c>
      <c r="AF436" s="12">
        <v>39327198</v>
      </c>
      <c r="AG436" s="12">
        <v>42001448</v>
      </c>
      <c r="AH436" s="12">
        <v>39301227</v>
      </c>
      <c r="AI436" s="12">
        <f>41430771-1400437</f>
        <v>40030334</v>
      </c>
      <c r="AJ436" s="21">
        <v>44475876</v>
      </c>
      <c r="AK436" s="21">
        <v>47735958</v>
      </c>
      <c r="AL436" s="21">
        <v>51979150</v>
      </c>
      <c r="AM436" s="21">
        <v>55706055</v>
      </c>
      <c r="AN436" s="1058">
        <v>54405566</v>
      </c>
      <c r="AO436" s="1058">
        <v>56887770</v>
      </c>
      <c r="AP436" s="1058">
        <v>57778532</v>
      </c>
      <c r="AQ436" s="1058">
        <v>57778530</v>
      </c>
      <c r="AR436" s="1044"/>
      <c r="AS436" s="1044"/>
    </row>
    <row r="437" spans="3:45" hidden="1" outlineLevel="1">
      <c r="C437" s="816" t="s">
        <v>2</v>
      </c>
      <c r="D437" s="9"/>
      <c r="E437" s="593" t="s">
        <v>1435</v>
      </c>
      <c r="F437" s="20"/>
      <c r="G437" s="20"/>
      <c r="H437" s="20"/>
      <c r="I437" s="20"/>
      <c r="J437" s="20"/>
      <c r="K437" s="20"/>
      <c r="L437" s="20"/>
      <c r="M437" s="20"/>
      <c r="N437" s="20"/>
      <c r="O437" s="20"/>
      <c r="P437" s="20"/>
      <c r="Q437" s="20"/>
      <c r="R437" s="20"/>
      <c r="S437" s="20"/>
      <c r="T437" s="20"/>
      <c r="U437" s="20"/>
      <c r="V437" s="20"/>
      <c r="W437" s="20"/>
      <c r="X437" s="20"/>
      <c r="Y437" s="20"/>
      <c r="Z437" s="20"/>
      <c r="AA437" s="20"/>
      <c r="AB437" s="12"/>
      <c r="AC437" s="12"/>
      <c r="AD437" s="12">
        <v>11374480</v>
      </c>
      <c r="AE437" s="12">
        <v>11374480</v>
      </c>
      <c r="AF437" s="12">
        <v>12490841</v>
      </c>
      <c r="AG437" s="12">
        <v>13340219</v>
      </c>
      <c r="AH437" s="12">
        <v>15136959</v>
      </c>
      <c r="AI437" s="12">
        <v>15957158</v>
      </c>
      <c r="AJ437" s="21">
        <v>16751222</v>
      </c>
      <c r="AK437" s="21">
        <v>17979086</v>
      </c>
      <c r="AL437" s="21">
        <v>22197576</v>
      </c>
      <c r="AM437" s="21">
        <v>23789140</v>
      </c>
      <c r="AN437" s="1058">
        <v>20636229</v>
      </c>
      <c r="AO437" s="1058">
        <v>21577738</v>
      </c>
      <c r="AP437" s="1058">
        <v>24310015</v>
      </c>
      <c r="AQ437" s="1058">
        <v>24310014</v>
      </c>
      <c r="AR437" s="1044"/>
      <c r="AS437" s="1044"/>
    </row>
    <row r="438" spans="3:45" hidden="1" outlineLevel="1">
      <c r="C438" s="816" t="s">
        <v>2</v>
      </c>
      <c r="D438" s="9"/>
      <c r="E438" s="593" t="s">
        <v>1436</v>
      </c>
      <c r="F438" s="20"/>
      <c r="G438" s="20"/>
      <c r="H438" s="20"/>
      <c r="I438" s="20"/>
      <c r="J438" s="20"/>
      <c r="K438" s="20"/>
      <c r="L438" s="20"/>
      <c r="M438" s="20"/>
      <c r="N438" s="20"/>
      <c r="O438" s="20"/>
      <c r="P438" s="20"/>
      <c r="Q438" s="20"/>
      <c r="R438" s="20"/>
      <c r="S438" s="20"/>
      <c r="T438" s="20"/>
      <c r="U438" s="20"/>
      <c r="V438" s="20"/>
      <c r="W438" s="20"/>
      <c r="X438" s="20"/>
      <c r="Y438" s="20"/>
      <c r="Z438" s="20"/>
      <c r="AA438" s="20"/>
      <c r="AB438" s="12"/>
      <c r="AC438" s="12"/>
      <c r="AD438" s="12">
        <v>15608599</v>
      </c>
      <c r="AE438" s="12">
        <v>15608599</v>
      </c>
      <c r="AF438" s="12">
        <v>15557455</v>
      </c>
      <c r="AG438" s="12">
        <v>16615362</v>
      </c>
      <c r="AH438" s="12">
        <v>14933474</v>
      </c>
      <c r="AI438" s="12">
        <v>15742647</v>
      </c>
      <c r="AJ438" s="21">
        <v>16398900</v>
      </c>
      <c r="AK438" s="21">
        <v>17600940</v>
      </c>
      <c r="AL438" s="21">
        <v>19129638</v>
      </c>
      <c r="AM438" s="21">
        <v>20501233</v>
      </c>
      <c r="AN438" s="1058">
        <v>18896081</v>
      </c>
      <c r="AO438" s="1058">
        <v>19758196</v>
      </c>
      <c r="AP438" s="1058">
        <v>20939282</v>
      </c>
      <c r="AQ438" s="1058">
        <v>20939282</v>
      </c>
      <c r="AR438" s="1044"/>
      <c r="AS438" s="1044"/>
    </row>
    <row r="439" spans="3:45" hidden="1" outlineLevel="1">
      <c r="C439" s="816" t="s">
        <v>2</v>
      </c>
      <c r="D439" s="9"/>
      <c r="E439" s="593" t="s">
        <v>1437</v>
      </c>
      <c r="F439" s="20"/>
      <c r="G439" s="20"/>
      <c r="H439" s="20"/>
      <c r="I439" s="20"/>
      <c r="J439" s="20"/>
      <c r="K439" s="20"/>
      <c r="L439" s="20"/>
      <c r="M439" s="20"/>
      <c r="N439" s="20"/>
      <c r="O439" s="20"/>
      <c r="P439" s="20"/>
      <c r="Q439" s="20"/>
      <c r="R439" s="20"/>
      <c r="S439" s="20"/>
      <c r="T439" s="20"/>
      <c r="U439" s="20"/>
      <c r="V439" s="20"/>
      <c r="W439" s="20"/>
      <c r="X439" s="20"/>
      <c r="Y439" s="20"/>
      <c r="Z439" s="20"/>
      <c r="AA439" s="20"/>
      <c r="AB439" s="12"/>
      <c r="AC439" s="12"/>
      <c r="AD439" s="12">
        <v>6795194</v>
      </c>
      <c r="AE439" s="12">
        <v>6795194</v>
      </c>
      <c r="AF439" s="12">
        <v>6497666</v>
      </c>
      <c r="AG439" s="12">
        <v>6939507</v>
      </c>
      <c r="AH439" s="12">
        <v>5566514</v>
      </c>
      <c r="AI439" s="12">
        <v>5868137</v>
      </c>
      <c r="AJ439" s="21">
        <v>5893375</v>
      </c>
      <c r="AK439" s="21">
        <v>6325359</v>
      </c>
      <c r="AL439" s="21">
        <v>6653048</v>
      </c>
      <c r="AM439" s="21">
        <v>7130071</v>
      </c>
      <c r="AN439" s="1058">
        <v>7616206</v>
      </c>
      <c r="AO439" s="1058">
        <v>7963687</v>
      </c>
      <c r="AP439" s="1058">
        <v>7009502</v>
      </c>
      <c r="AQ439" s="1058">
        <v>7009502</v>
      </c>
      <c r="AR439" s="1044"/>
      <c r="AS439" s="1044"/>
    </row>
    <row r="440" spans="3:45" hidden="1" outlineLevel="1">
      <c r="C440" s="816" t="s">
        <v>2</v>
      </c>
      <c r="D440" s="9"/>
      <c r="E440" s="593" t="s">
        <v>1438</v>
      </c>
      <c r="F440" s="20"/>
      <c r="G440" s="20"/>
      <c r="H440" s="20"/>
      <c r="I440" s="20"/>
      <c r="J440" s="20"/>
      <c r="K440" s="20"/>
      <c r="L440" s="20"/>
      <c r="M440" s="20"/>
      <c r="N440" s="20"/>
      <c r="O440" s="20"/>
      <c r="P440" s="20"/>
      <c r="Q440" s="20"/>
      <c r="R440" s="20"/>
      <c r="S440" s="20"/>
      <c r="T440" s="20"/>
      <c r="U440" s="20"/>
      <c r="V440" s="20"/>
      <c r="W440" s="20"/>
      <c r="X440" s="20"/>
      <c r="Y440" s="20"/>
      <c r="Z440" s="20"/>
      <c r="AA440" s="20"/>
      <c r="AB440" s="12"/>
      <c r="AC440" s="12"/>
      <c r="AD440" s="12">
        <v>2751761</v>
      </c>
      <c r="AE440" s="12">
        <v>2751761</v>
      </c>
      <c r="AF440" s="12">
        <v>2549138</v>
      </c>
      <c r="AG440" s="12">
        <v>2722480</v>
      </c>
      <c r="AH440" s="12">
        <v>2522170</v>
      </c>
      <c r="AI440" s="12">
        <v>2658834</v>
      </c>
      <c r="AJ440" s="21">
        <v>3392031</v>
      </c>
      <c r="AK440" s="21">
        <v>3640666</v>
      </c>
      <c r="AL440" s="21">
        <v>4382195</v>
      </c>
      <c r="AM440" s="21">
        <v>4696399</v>
      </c>
      <c r="AN440" s="1058">
        <v>4369590</v>
      </c>
      <c r="AO440" s="1058">
        <v>4568948</v>
      </c>
      <c r="AP440" s="1058">
        <v>4412027</v>
      </c>
      <c r="AQ440" s="1058">
        <v>4412027</v>
      </c>
      <c r="AR440" s="1044"/>
      <c r="AS440" s="1044"/>
    </row>
    <row r="441" spans="3:45" hidden="1" outlineLevel="1">
      <c r="C441" s="816" t="s">
        <v>2</v>
      </c>
      <c r="D441" s="9"/>
      <c r="E441" s="616" t="s">
        <v>1670</v>
      </c>
      <c r="F441" s="20"/>
      <c r="G441" s="20"/>
      <c r="H441" s="20"/>
      <c r="I441" s="20"/>
      <c r="J441" s="20"/>
      <c r="K441" s="20"/>
      <c r="L441" s="20"/>
      <c r="M441" s="20"/>
      <c r="N441" s="20"/>
      <c r="O441" s="20"/>
      <c r="P441" s="20"/>
      <c r="Q441" s="20"/>
      <c r="R441" s="20"/>
      <c r="S441" s="20"/>
      <c r="T441" s="20"/>
      <c r="U441" s="20"/>
      <c r="V441" s="20"/>
      <c r="W441" s="20"/>
      <c r="X441" s="20"/>
      <c r="Y441" s="20"/>
      <c r="Z441" s="20"/>
      <c r="AA441" s="20"/>
      <c r="AB441" s="12"/>
      <c r="AC441" s="12"/>
      <c r="AD441" s="12"/>
      <c r="AE441" s="12"/>
      <c r="AF441" s="12"/>
      <c r="AG441" s="12"/>
      <c r="AH441" s="12"/>
      <c r="AI441" s="12"/>
      <c r="AJ441" s="21"/>
      <c r="AK441" s="21"/>
      <c r="AL441" s="21"/>
      <c r="AM441" s="21"/>
      <c r="AN441" s="1058"/>
      <c r="AO441" s="1058"/>
      <c r="AP441" s="1058">
        <v>1750151</v>
      </c>
      <c r="AQ441" s="1058">
        <v>1750151</v>
      </c>
      <c r="AR441" s="1044"/>
      <c r="AS441" s="1044"/>
    </row>
    <row r="442" spans="3:45" hidden="1" outlineLevel="1">
      <c r="C442" s="816" t="s">
        <v>2</v>
      </c>
      <c r="D442" s="9"/>
      <c r="E442" s="592" t="s">
        <v>1428</v>
      </c>
      <c r="F442" s="20"/>
      <c r="G442" s="20"/>
      <c r="H442" s="20"/>
      <c r="I442" s="20"/>
      <c r="J442" s="20"/>
      <c r="K442" s="20"/>
      <c r="L442" s="20"/>
      <c r="M442" s="20"/>
      <c r="N442" s="20"/>
      <c r="O442" s="20"/>
      <c r="P442" s="20"/>
      <c r="Q442" s="20"/>
      <c r="R442" s="20"/>
      <c r="S442" s="20"/>
      <c r="T442" s="20"/>
      <c r="U442" s="20"/>
      <c r="V442" s="20"/>
      <c r="W442" s="20"/>
      <c r="X442" s="20"/>
      <c r="Y442" s="20"/>
      <c r="Z442" s="20"/>
      <c r="AA442" s="20"/>
      <c r="AB442" s="12"/>
      <c r="AC442" s="12"/>
      <c r="AD442" s="12">
        <v>55634</v>
      </c>
      <c r="AE442" s="12">
        <v>55634</v>
      </c>
      <c r="AF442" s="12">
        <v>45874</v>
      </c>
      <c r="AG442" s="12">
        <v>48993</v>
      </c>
      <c r="AH442" s="12">
        <v>82973</v>
      </c>
      <c r="AI442" s="12">
        <v>87469</v>
      </c>
      <c r="AJ442" s="21">
        <v>105188</v>
      </c>
      <c r="AK442" s="21">
        <v>112899</v>
      </c>
      <c r="AL442" s="21">
        <v>80580</v>
      </c>
      <c r="AM442" s="21">
        <v>86358</v>
      </c>
      <c r="AN442" s="1058"/>
      <c r="AO442" s="1058"/>
      <c r="AP442" s="1058"/>
      <c r="AQ442" s="1058"/>
      <c r="AR442" s="1044"/>
      <c r="AS442" s="1044"/>
    </row>
    <row r="443" spans="3:45" hidden="1" outlineLevel="1">
      <c r="C443" s="816" t="s">
        <v>2</v>
      </c>
      <c r="D443" s="9"/>
      <c r="E443" s="20" t="s">
        <v>751</v>
      </c>
      <c r="F443" s="20"/>
      <c r="G443" s="20"/>
      <c r="H443" s="20"/>
      <c r="I443" s="20"/>
      <c r="J443" s="20"/>
      <c r="K443" s="20"/>
      <c r="L443" s="20"/>
      <c r="M443" s="20"/>
      <c r="N443" s="20"/>
      <c r="O443" s="20"/>
      <c r="P443" s="20"/>
      <c r="Q443" s="20"/>
      <c r="R443" s="20"/>
      <c r="S443" s="20"/>
      <c r="T443" s="20"/>
      <c r="U443" s="20"/>
      <c r="V443" s="20"/>
      <c r="W443" s="20"/>
      <c r="X443" s="20"/>
      <c r="Y443" s="20"/>
      <c r="Z443" s="20"/>
      <c r="AA443" s="20"/>
      <c r="AB443" s="12"/>
      <c r="AC443" s="12"/>
      <c r="AD443" s="12">
        <v>24548270</v>
      </c>
      <c r="AE443" s="12">
        <v>24548270</v>
      </c>
      <c r="AF443" s="12">
        <v>26302629</v>
      </c>
      <c r="AG443" s="12">
        <v>28091208</v>
      </c>
      <c r="AH443" s="12">
        <v>25637984</v>
      </c>
      <c r="AI443" s="12">
        <v>27027182</v>
      </c>
      <c r="AJ443" s="21">
        <v>26681726</v>
      </c>
      <c r="AK443" s="21">
        <v>28633112</v>
      </c>
      <c r="AL443" s="21">
        <v>35042109</v>
      </c>
      <c r="AM443" s="21">
        <v>37554630</v>
      </c>
      <c r="AN443" s="1058">
        <v>34967681</v>
      </c>
      <c r="AO443" s="1058">
        <v>36563046</v>
      </c>
      <c r="AP443" s="1058">
        <v>39074138</v>
      </c>
      <c r="AQ443" s="1058">
        <v>39074138</v>
      </c>
      <c r="AR443" s="1044"/>
      <c r="AS443" s="1044"/>
    </row>
    <row r="444" spans="3:45" hidden="1" outlineLevel="1">
      <c r="C444" s="816" t="s">
        <v>2</v>
      </c>
      <c r="D444" s="9"/>
      <c r="E444" s="593" t="s">
        <v>1439</v>
      </c>
      <c r="F444" s="20"/>
      <c r="G444" s="20"/>
      <c r="H444" s="20"/>
      <c r="I444" s="20"/>
      <c r="J444" s="20"/>
      <c r="K444" s="20"/>
      <c r="L444" s="20"/>
      <c r="M444" s="20"/>
      <c r="N444" s="20"/>
      <c r="O444" s="20"/>
      <c r="P444" s="20"/>
      <c r="Q444" s="20"/>
      <c r="R444" s="20"/>
      <c r="S444" s="20"/>
      <c r="T444" s="20"/>
      <c r="U444" s="20"/>
      <c r="V444" s="20"/>
      <c r="W444" s="20"/>
      <c r="X444" s="20"/>
      <c r="Y444" s="20"/>
      <c r="Z444" s="20"/>
      <c r="AA444" s="20"/>
      <c r="AB444" s="12"/>
      <c r="AC444" s="12"/>
      <c r="AD444" s="12">
        <v>3756849</v>
      </c>
      <c r="AE444" s="12">
        <v>3756849</v>
      </c>
      <c r="AF444" s="12">
        <v>4978937</v>
      </c>
      <c r="AG444" s="12">
        <v>5317505</v>
      </c>
      <c r="AH444" s="12">
        <v>4904168</v>
      </c>
      <c r="AI444" s="12">
        <v>5169901</v>
      </c>
      <c r="AJ444" s="21">
        <v>6406179</v>
      </c>
      <c r="AK444" s="21">
        <v>6874078</v>
      </c>
      <c r="AL444" s="21">
        <v>8210429</v>
      </c>
      <c r="AM444" s="21">
        <v>8799117</v>
      </c>
      <c r="AN444" s="1058">
        <v>7774793</v>
      </c>
      <c r="AO444" s="1058">
        <v>8129511</v>
      </c>
      <c r="AP444" s="1058">
        <v>8698942</v>
      </c>
      <c r="AQ444" s="1058">
        <v>8698942</v>
      </c>
      <c r="AR444" s="1044"/>
      <c r="AS444" s="1044"/>
    </row>
    <row r="445" spans="3:45" hidden="1" outlineLevel="1">
      <c r="C445" s="816" t="s">
        <v>2</v>
      </c>
      <c r="D445" s="9"/>
      <c r="E445" s="20" t="s">
        <v>876</v>
      </c>
      <c r="F445" s="20"/>
      <c r="G445" s="20"/>
      <c r="H445" s="20"/>
      <c r="I445" s="20"/>
      <c r="J445" s="20"/>
      <c r="K445" s="20"/>
      <c r="L445" s="20"/>
      <c r="M445" s="20"/>
      <c r="N445" s="20"/>
      <c r="O445" s="20"/>
      <c r="P445" s="20"/>
      <c r="Q445" s="20"/>
      <c r="R445" s="20"/>
      <c r="S445" s="20"/>
      <c r="T445" s="20"/>
      <c r="U445" s="20"/>
      <c r="V445" s="20"/>
      <c r="W445" s="20"/>
      <c r="X445" s="20"/>
      <c r="Y445" s="20"/>
      <c r="Z445" s="20"/>
      <c r="AA445" s="20"/>
      <c r="AB445" s="12"/>
      <c r="AC445" s="12"/>
      <c r="AD445" s="12">
        <v>1187887</v>
      </c>
      <c r="AE445" s="12">
        <v>1187887</v>
      </c>
      <c r="AF445" s="12">
        <v>1256582</v>
      </c>
      <c r="AG445" s="12">
        <v>1342030</v>
      </c>
      <c r="AH445" s="12">
        <v>1258583</v>
      </c>
      <c r="AI445" s="12">
        <v>1326779</v>
      </c>
      <c r="AJ445" s="21">
        <v>1560843</v>
      </c>
      <c r="AK445" s="21">
        <v>1674947</v>
      </c>
      <c r="AL445" s="21">
        <v>1704497</v>
      </c>
      <c r="AM445" s="21">
        <v>1826709</v>
      </c>
      <c r="AN445" s="1058">
        <v>1881721</v>
      </c>
      <c r="AO445" s="1058">
        <v>1967573</v>
      </c>
      <c r="AP445" s="1058">
        <v>1911668</v>
      </c>
      <c r="AQ445" s="1058">
        <v>1911668</v>
      </c>
      <c r="AR445" s="1044"/>
      <c r="AS445" s="1044"/>
    </row>
    <row r="446" spans="3:45" hidden="1" outlineLevel="1">
      <c r="C446" s="816" t="s">
        <v>2</v>
      </c>
      <c r="D446" s="9"/>
      <c r="E446" s="20" t="s">
        <v>750</v>
      </c>
      <c r="F446" s="20"/>
      <c r="G446" s="20"/>
      <c r="H446" s="20"/>
      <c r="I446" s="20"/>
      <c r="J446" s="20"/>
      <c r="K446" s="20"/>
      <c r="L446" s="20"/>
      <c r="M446" s="20"/>
      <c r="N446" s="20"/>
      <c r="O446" s="20"/>
      <c r="P446" s="20"/>
      <c r="Q446" s="20"/>
      <c r="R446" s="20"/>
      <c r="S446" s="20"/>
      <c r="T446" s="20"/>
      <c r="U446" s="20"/>
      <c r="V446" s="20"/>
      <c r="W446" s="20"/>
      <c r="X446" s="20"/>
      <c r="Y446" s="20"/>
      <c r="Z446" s="20"/>
      <c r="AA446" s="20"/>
      <c r="AB446" s="12"/>
      <c r="AC446" s="12"/>
      <c r="AD446" s="12">
        <v>4426691</v>
      </c>
      <c r="AE446" s="12">
        <v>4426691</v>
      </c>
      <c r="AF446" s="12">
        <v>4794532</v>
      </c>
      <c r="AG446" s="12">
        <v>5120560</v>
      </c>
      <c r="AH446" s="12">
        <v>4436897</v>
      </c>
      <c r="AI446" s="12">
        <v>4677311</v>
      </c>
      <c r="AJ446" s="21">
        <v>4922127</v>
      </c>
      <c r="AK446" s="21">
        <v>5282247</v>
      </c>
      <c r="AL446" s="21">
        <v>5440564</v>
      </c>
      <c r="AM446" s="21">
        <v>5830654</v>
      </c>
      <c r="AN446" s="1058">
        <v>5343153</v>
      </c>
      <c r="AO446" s="1058">
        <v>5586928</v>
      </c>
      <c r="AP446" s="1058">
        <v>5519098</v>
      </c>
      <c r="AQ446" s="1058">
        <v>5519098</v>
      </c>
      <c r="AR446" s="1044"/>
      <c r="AS446" s="1044"/>
    </row>
    <row r="447" spans="3:45" hidden="1" outlineLevel="1">
      <c r="C447" s="816" t="s">
        <v>2</v>
      </c>
      <c r="D447" s="9"/>
      <c r="E447" s="20" t="s">
        <v>1209</v>
      </c>
      <c r="F447" s="20"/>
      <c r="G447" s="20"/>
      <c r="H447" s="20"/>
      <c r="I447" s="20"/>
      <c r="J447" s="20"/>
      <c r="K447" s="20"/>
      <c r="L447" s="20"/>
      <c r="M447" s="20"/>
      <c r="N447" s="20"/>
      <c r="O447" s="20"/>
      <c r="P447" s="20"/>
      <c r="Q447" s="20"/>
      <c r="R447" s="20"/>
      <c r="S447" s="20"/>
      <c r="T447" s="20"/>
      <c r="U447" s="20"/>
      <c r="V447" s="20"/>
      <c r="W447" s="20"/>
      <c r="X447" s="20"/>
      <c r="Y447" s="20"/>
      <c r="Z447" s="20"/>
      <c r="AA447" s="20"/>
      <c r="AB447" s="12"/>
      <c r="AC447" s="12"/>
      <c r="AD447" s="12">
        <v>3359264</v>
      </c>
      <c r="AE447" s="12">
        <v>3359264</v>
      </c>
      <c r="AF447" s="12">
        <v>3710152</v>
      </c>
      <c r="AG447" s="12">
        <v>3962443</v>
      </c>
      <c r="AH447" s="12">
        <v>3033691</v>
      </c>
      <c r="AI447" s="12">
        <v>3198072</v>
      </c>
      <c r="AJ447" s="21">
        <v>4392827</v>
      </c>
      <c r="AK447" s="21">
        <v>4714009</v>
      </c>
      <c r="AL447" s="21">
        <v>4674584</v>
      </c>
      <c r="AM447" s="21">
        <v>5009751</v>
      </c>
      <c r="AN447" s="1058">
        <v>5056995</v>
      </c>
      <c r="AO447" s="1058">
        <v>5287714</v>
      </c>
      <c r="AP447" s="1058">
        <v>5242887</v>
      </c>
      <c r="AQ447" s="1058">
        <v>5242887</v>
      </c>
      <c r="AR447" s="1044"/>
      <c r="AS447" s="1044"/>
    </row>
    <row r="448" spans="3:45" hidden="1" outlineLevel="1">
      <c r="C448" s="816" t="s">
        <v>2</v>
      </c>
      <c r="D448" s="9"/>
      <c r="E448" s="224" t="s">
        <v>1211</v>
      </c>
      <c r="F448" s="20"/>
      <c r="G448" s="20"/>
      <c r="H448" s="20"/>
      <c r="I448" s="20"/>
      <c r="J448" s="20"/>
      <c r="K448" s="20"/>
      <c r="L448" s="20"/>
      <c r="M448" s="20"/>
      <c r="N448" s="20"/>
      <c r="O448" s="20"/>
      <c r="P448" s="20"/>
      <c r="Q448" s="20"/>
      <c r="R448" s="20"/>
      <c r="S448" s="20"/>
      <c r="T448" s="20"/>
      <c r="U448" s="20"/>
      <c r="V448" s="20"/>
      <c r="W448" s="20"/>
      <c r="X448" s="20"/>
      <c r="Y448" s="20"/>
      <c r="Z448" s="20"/>
      <c r="AA448" s="20"/>
      <c r="AB448" s="12"/>
      <c r="AC448" s="12"/>
      <c r="AD448" s="12">
        <v>3773872</v>
      </c>
      <c r="AE448" s="12">
        <v>3773872</v>
      </c>
      <c r="AF448" s="12">
        <v>3936361</v>
      </c>
      <c r="AG448" s="12">
        <v>4204033</v>
      </c>
      <c r="AH448" s="12">
        <v>3894900</v>
      </c>
      <c r="AI448" s="12">
        <v>4105946</v>
      </c>
      <c r="AJ448" s="21">
        <v>4388029</v>
      </c>
      <c r="AK448" s="21">
        <v>4708157</v>
      </c>
      <c r="AL448" s="21">
        <v>5355265</v>
      </c>
      <c r="AM448" s="21">
        <v>5739237</v>
      </c>
      <c r="AN448" s="1058">
        <v>987085</v>
      </c>
      <c r="AO448" s="1058">
        <v>1032120</v>
      </c>
      <c r="AP448" s="1058">
        <v>5077345</v>
      </c>
      <c r="AQ448" s="1058">
        <v>5077345</v>
      </c>
      <c r="AR448" s="1044"/>
      <c r="AS448" s="1044"/>
    </row>
    <row r="449" spans="2:45" hidden="1" outlineLevel="1">
      <c r="C449" s="816" t="s">
        <v>2</v>
      </c>
      <c r="D449" s="9"/>
      <c r="E449" s="224" t="s">
        <v>1210</v>
      </c>
      <c r="F449" s="20"/>
      <c r="G449" s="20"/>
      <c r="H449" s="20"/>
      <c r="I449" s="20"/>
      <c r="J449" s="20"/>
      <c r="K449" s="20"/>
      <c r="L449" s="20"/>
      <c r="M449" s="20"/>
      <c r="N449" s="20"/>
      <c r="O449" s="20"/>
      <c r="P449" s="20"/>
      <c r="Q449" s="20"/>
      <c r="R449" s="20"/>
      <c r="S449" s="20"/>
      <c r="T449" s="20"/>
      <c r="U449" s="20"/>
      <c r="V449" s="20"/>
      <c r="W449" s="20"/>
      <c r="X449" s="20"/>
      <c r="Y449" s="20"/>
      <c r="Z449" s="20"/>
      <c r="AA449" s="20"/>
      <c r="AB449" s="12"/>
      <c r="AC449" s="12"/>
      <c r="AD449" s="12">
        <v>0</v>
      </c>
      <c r="AE449" s="12">
        <v>0</v>
      </c>
      <c r="AF449" s="12"/>
      <c r="AG449" s="12"/>
      <c r="AH449" s="12">
        <v>542655</v>
      </c>
      <c r="AI449" s="12">
        <v>572059</v>
      </c>
      <c r="AJ449" s="21">
        <v>760219</v>
      </c>
      <c r="AK449" s="21">
        <v>815414</v>
      </c>
      <c r="AL449" s="21">
        <v>803033</v>
      </c>
      <c r="AM449" s="21">
        <v>860611</v>
      </c>
      <c r="AN449" s="1058">
        <v>5001881</v>
      </c>
      <c r="AO449" s="1058">
        <v>5230086</v>
      </c>
      <c r="AP449" s="1058">
        <v>928600</v>
      </c>
      <c r="AQ449" s="1058">
        <v>928600</v>
      </c>
      <c r="AR449" s="1044"/>
      <c r="AS449" s="1044"/>
    </row>
    <row r="450" spans="2:45" hidden="1" outlineLevel="1">
      <c r="C450" s="816" t="s">
        <v>2</v>
      </c>
      <c r="D450" s="9"/>
      <c r="E450" s="224" t="s">
        <v>1213</v>
      </c>
      <c r="F450" s="20"/>
      <c r="G450" s="20"/>
      <c r="H450" s="20"/>
      <c r="I450" s="20"/>
      <c r="J450" s="20"/>
      <c r="K450" s="20"/>
      <c r="L450" s="20"/>
      <c r="M450" s="20"/>
      <c r="N450" s="20"/>
      <c r="O450" s="20"/>
      <c r="P450" s="20"/>
      <c r="Q450" s="20"/>
      <c r="R450" s="20"/>
      <c r="S450" s="20"/>
      <c r="T450" s="20"/>
      <c r="U450" s="20"/>
      <c r="V450" s="20"/>
      <c r="W450" s="20"/>
      <c r="X450" s="20"/>
      <c r="Y450" s="20"/>
      <c r="Z450" s="20"/>
      <c r="AA450" s="20"/>
      <c r="AB450" s="12"/>
      <c r="AC450" s="12"/>
      <c r="AD450" s="12">
        <v>0</v>
      </c>
      <c r="AE450" s="12">
        <v>0</v>
      </c>
      <c r="AF450" s="12"/>
      <c r="AG450" s="12"/>
      <c r="AH450" s="12">
        <v>623251</v>
      </c>
      <c r="AI450" s="12">
        <v>657022</v>
      </c>
      <c r="AJ450" s="21">
        <v>925025</v>
      </c>
      <c r="AK450" s="21">
        <v>992158</v>
      </c>
      <c r="AL450" s="21">
        <v>1336975</v>
      </c>
      <c r="AM450" s="21">
        <v>1432837</v>
      </c>
      <c r="AN450" s="1058">
        <v>1747116</v>
      </c>
      <c r="AO450" s="1058">
        <v>1826826</v>
      </c>
      <c r="AP450" s="1058">
        <v>1933134</v>
      </c>
      <c r="AQ450" s="1058">
        <v>1933134</v>
      </c>
      <c r="AR450" s="1044"/>
      <c r="AS450" s="1044"/>
    </row>
    <row r="451" spans="2:45" hidden="1" outlineLevel="1">
      <c r="C451" s="816" t="s">
        <v>2</v>
      </c>
      <c r="D451" s="9"/>
      <c r="E451" s="224" t="s">
        <v>1212</v>
      </c>
      <c r="F451" s="20"/>
      <c r="G451" s="20"/>
      <c r="H451" s="20"/>
      <c r="I451" s="20"/>
      <c r="J451" s="20"/>
      <c r="K451" s="20"/>
      <c r="L451" s="20"/>
      <c r="M451" s="20"/>
      <c r="N451" s="20"/>
      <c r="O451" s="20"/>
      <c r="P451" s="20"/>
      <c r="Q451" s="20"/>
      <c r="R451" s="20"/>
      <c r="S451" s="20"/>
      <c r="T451" s="20"/>
      <c r="U451" s="20"/>
      <c r="V451" s="20"/>
      <c r="W451" s="20"/>
      <c r="X451" s="20"/>
      <c r="Y451" s="20"/>
      <c r="Z451" s="20"/>
      <c r="AA451" s="20"/>
      <c r="AB451" s="12"/>
      <c r="AC451" s="12"/>
      <c r="AD451" s="12">
        <v>4228942</v>
      </c>
      <c r="AE451" s="12">
        <v>4228942</v>
      </c>
      <c r="AF451" s="12">
        <v>4509339</v>
      </c>
      <c r="AG451" s="12">
        <v>4815974</v>
      </c>
      <c r="AH451" s="12">
        <v>3903403</v>
      </c>
      <c r="AI451" s="12">
        <v>4114910</v>
      </c>
      <c r="AJ451" s="21">
        <v>4346384</v>
      </c>
      <c r="AK451" s="21">
        <v>4663967</v>
      </c>
      <c r="AL451" s="21">
        <v>4617850</v>
      </c>
      <c r="AM451" s="21">
        <v>4948950</v>
      </c>
      <c r="AN451" s="1058">
        <v>4536272</v>
      </c>
      <c r="AO451" s="1058">
        <v>4743235</v>
      </c>
      <c r="AP451" s="1058">
        <v>5195445</v>
      </c>
      <c r="AQ451" s="1058">
        <v>5195445</v>
      </c>
      <c r="AR451" s="1044"/>
      <c r="AS451" s="1044"/>
    </row>
    <row r="452" spans="2:45" hidden="1" outlineLevel="1">
      <c r="C452" s="816" t="s">
        <v>2</v>
      </c>
      <c r="D452" s="9"/>
      <c r="E452" s="20" t="s">
        <v>861</v>
      </c>
      <c r="F452" s="20"/>
      <c r="G452" s="20"/>
      <c r="H452" s="20"/>
      <c r="I452" s="20"/>
      <c r="J452" s="20"/>
      <c r="K452" s="20"/>
      <c r="L452" s="20"/>
      <c r="M452" s="20"/>
      <c r="N452" s="20"/>
      <c r="O452" s="20"/>
      <c r="P452" s="20"/>
      <c r="Q452" s="20"/>
      <c r="R452" s="20"/>
      <c r="S452" s="20"/>
      <c r="T452" s="20"/>
      <c r="U452" s="20"/>
      <c r="V452" s="20"/>
      <c r="W452" s="20"/>
      <c r="X452" s="20"/>
      <c r="Y452" s="20"/>
      <c r="Z452" s="20"/>
      <c r="AA452" s="20"/>
      <c r="AB452" s="12"/>
      <c r="AC452" s="12"/>
      <c r="AD452" s="12">
        <v>1940162</v>
      </c>
      <c r="AE452" s="12">
        <v>1940162</v>
      </c>
      <c r="AF452" s="12">
        <v>2095988</v>
      </c>
      <c r="AG452" s="12">
        <v>2238515</v>
      </c>
      <c r="AH452" s="12">
        <v>2074637</v>
      </c>
      <c r="AI452" s="12">
        <v>2187052</v>
      </c>
      <c r="AJ452" s="21">
        <v>2128024</v>
      </c>
      <c r="AK452" s="21">
        <v>2283589</v>
      </c>
      <c r="AL452" s="21">
        <v>2587625</v>
      </c>
      <c r="AM452" s="21">
        <v>2773157</v>
      </c>
      <c r="AN452" s="1058">
        <v>2793561</v>
      </c>
      <c r="AO452" s="1058">
        <v>2921014</v>
      </c>
      <c r="AP452" s="1058">
        <v>2849655</v>
      </c>
      <c r="AQ452" s="1058">
        <v>2849655</v>
      </c>
      <c r="AR452" s="1044"/>
      <c r="AS452" s="1044"/>
    </row>
    <row r="453" spans="2:45" hidden="1" outlineLevel="1">
      <c r="C453" s="816" t="s">
        <v>2</v>
      </c>
      <c r="D453" s="9"/>
      <c r="E453" s="20" t="s">
        <v>871</v>
      </c>
      <c r="F453" s="20"/>
      <c r="G453" s="20"/>
      <c r="H453" s="20"/>
      <c r="I453" s="20"/>
      <c r="J453" s="20"/>
      <c r="K453" s="20"/>
      <c r="L453" s="20"/>
      <c r="M453" s="20"/>
      <c r="N453" s="20"/>
      <c r="O453" s="20"/>
      <c r="P453" s="20"/>
      <c r="Q453" s="20"/>
      <c r="R453" s="20"/>
      <c r="S453" s="20"/>
      <c r="T453" s="20"/>
      <c r="U453" s="20"/>
      <c r="V453" s="20"/>
      <c r="W453" s="20"/>
      <c r="X453" s="20"/>
      <c r="Y453" s="20"/>
      <c r="Z453" s="20"/>
      <c r="AA453" s="20"/>
      <c r="AB453" s="12"/>
      <c r="AC453" s="12"/>
      <c r="AD453" s="12">
        <v>3733496</v>
      </c>
      <c r="AE453" s="12">
        <v>3733496</v>
      </c>
      <c r="AF453" s="12">
        <v>4013581</v>
      </c>
      <c r="AG453" s="12">
        <v>4286505</v>
      </c>
      <c r="AH453" s="12">
        <v>3863278</v>
      </c>
      <c r="AI453" s="12">
        <v>4072611</v>
      </c>
      <c r="AJ453" s="21">
        <v>3949987</v>
      </c>
      <c r="AK453" s="21">
        <v>4238944</v>
      </c>
      <c r="AL453" s="21">
        <v>4478764</v>
      </c>
      <c r="AM453" s="21">
        <v>4799892</v>
      </c>
      <c r="AN453" s="1058">
        <v>4711387</v>
      </c>
      <c r="AO453" s="1058">
        <v>4926340</v>
      </c>
      <c r="AP453" s="1058">
        <v>4715187</v>
      </c>
      <c r="AQ453" s="1058">
        <v>4715187</v>
      </c>
      <c r="AR453" s="1044"/>
      <c r="AS453" s="1044"/>
    </row>
    <row r="454" spans="2:45" hidden="1" outlineLevel="1">
      <c r="C454" s="816" t="s">
        <v>2</v>
      </c>
      <c r="D454" s="9"/>
      <c r="E454" s="224" t="s">
        <v>1361</v>
      </c>
      <c r="F454" s="20"/>
      <c r="G454" s="20"/>
      <c r="H454" s="20"/>
      <c r="I454" s="20"/>
      <c r="J454" s="20"/>
      <c r="K454" s="20"/>
      <c r="L454" s="20"/>
      <c r="M454" s="20"/>
      <c r="N454" s="20"/>
      <c r="O454" s="20"/>
      <c r="P454" s="20"/>
      <c r="Q454" s="20"/>
      <c r="R454" s="20"/>
      <c r="S454" s="20"/>
      <c r="T454" s="20"/>
      <c r="U454" s="20"/>
      <c r="V454" s="20"/>
      <c r="W454" s="20"/>
      <c r="X454" s="20"/>
      <c r="Y454" s="20"/>
      <c r="Z454" s="20"/>
      <c r="AA454" s="20"/>
      <c r="AB454" s="12"/>
      <c r="AC454" s="12"/>
      <c r="AD454" s="12">
        <v>4281863</v>
      </c>
      <c r="AE454" s="12">
        <v>4281863</v>
      </c>
      <c r="AF454" s="12">
        <v>4401314</v>
      </c>
      <c r="AG454" s="12">
        <v>4700603</v>
      </c>
      <c r="AH454" s="12">
        <v>4188936</v>
      </c>
      <c r="AI454" s="12">
        <v>4415914</v>
      </c>
      <c r="AJ454" s="21">
        <v>5209050</v>
      </c>
      <c r="AK454" s="21">
        <v>5590188</v>
      </c>
      <c r="AL454" s="21">
        <v>6487282</v>
      </c>
      <c r="AM454" s="21">
        <v>6952420</v>
      </c>
      <c r="AN454" s="1058">
        <v>6017441</v>
      </c>
      <c r="AO454" s="1058">
        <v>6291981</v>
      </c>
      <c r="AP454" s="1058">
        <v>6652994</v>
      </c>
      <c r="AQ454" s="1058">
        <v>6652994</v>
      </c>
      <c r="AR454" s="1044"/>
      <c r="AS454" s="1044"/>
    </row>
    <row r="455" spans="2:45" hidden="1" outlineLevel="1">
      <c r="C455" s="816" t="s">
        <v>2</v>
      </c>
      <c r="D455" s="9"/>
      <c r="E455" s="20" t="s">
        <v>1425</v>
      </c>
      <c r="F455" s="20"/>
      <c r="G455" s="20"/>
      <c r="H455" s="20"/>
      <c r="I455" s="20"/>
      <c r="J455" s="20"/>
      <c r="K455" s="20"/>
      <c r="L455" s="20"/>
      <c r="M455" s="20"/>
      <c r="N455" s="20"/>
      <c r="O455" s="20"/>
      <c r="P455" s="20"/>
      <c r="Q455" s="20"/>
      <c r="R455" s="20"/>
      <c r="S455" s="20"/>
      <c r="T455" s="20"/>
      <c r="U455" s="20"/>
      <c r="V455" s="20"/>
      <c r="W455" s="20"/>
      <c r="X455" s="20"/>
      <c r="Y455" s="20"/>
      <c r="Z455" s="20"/>
      <c r="AA455" s="20"/>
      <c r="AB455" s="12"/>
      <c r="AC455" s="12"/>
      <c r="AD455" s="12">
        <v>798988</v>
      </c>
      <c r="AE455" s="12">
        <v>798988</v>
      </c>
      <c r="AF455" s="12">
        <v>898667</v>
      </c>
      <c r="AG455" s="12">
        <v>959776</v>
      </c>
      <c r="AH455" s="12">
        <v>1057272</v>
      </c>
      <c r="AI455" s="12">
        <v>1114560</v>
      </c>
      <c r="AJ455" s="21">
        <v>1293345</v>
      </c>
      <c r="AK455" s="21">
        <v>1387890</v>
      </c>
      <c r="AL455" s="21">
        <v>1626099</v>
      </c>
      <c r="AM455" s="21">
        <v>1742691</v>
      </c>
      <c r="AN455" s="1058">
        <v>1659624</v>
      </c>
      <c r="AO455" s="1058">
        <v>1735345</v>
      </c>
      <c r="AP455" s="1058">
        <v>1839395</v>
      </c>
      <c r="AQ455" s="1058">
        <v>1839395</v>
      </c>
      <c r="AR455" s="1044"/>
      <c r="AS455" s="1044"/>
    </row>
    <row r="456" spans="2:45" hidden="1" outlineLevel="1">
      <c r="C456" s="816" t="s">
        <v>2</v>
      </c>
      <c r="D456" s="9"/>
      <c r="E456" s="20" t="s">
        <v>83</v>
      </c>
      <c r="F456" s="20"/>
      <c r="G456" s="20"/>
      <c r="H456" s="20"/>
      <c r="I456" s="20"/>
      <c r="J456" s="20"/>
      <c r="K456" s="20"/>
      <c r="L456" s="20"/>
      <c r="M456" s="20"/>
      <c r="N456" s="20"/>
      <c r="O456" s="20"/>
      <c r="P456" s="20"/>
      <c r="Q456" s="20"/>
      <c r="R456" s="20"/>
      <c r="S456" s="20"/>
      <c r="T456" s="20"/>
      <c r="U456" s="20"/>
      <c r="V456" s="20"/>
      <c r="W456" s="20"/>
      <c r="X456" s="20"/>
      <c r="Y456" s="20"/>
      <c r="Z456" s="20"/>
      <c r="AA456" s="20"/>
      <c r="AB456" s="12"/>
      <c r="AC456" s="12"/>
      <c r="AD456" s="12">
        <v>6865376</v>
      </c>
      <c r="AE456" s="12">
        <v>6865376</v>
      </c>
      <c r="AF456" s="12">
        <v>7647272</v>
      </c>
      <c r="AG456" s="12">
        <v>8167287</v>
      </c>
      <c r="AH456" s="12">
        <v>7596396</v>
      </c>
      <c r="AI456" s="12">
        <v>8008008</v>
      </c>
      <c r="AJ456" s="21">
        <v>8704683</v>
      </c>
      <c r="AK456" s="21">
        <v>9341523</v>
      </c>
      <c r="AL456" s="21">
        <v>9072932</v>
      </c>
      <c r="AM456" s="21">
        <v>9723461</v>
      </c>
      <c r="AN456" s="1058">
        <v>8854521</v>
      </c>
      <c r="AO456" s="1058">
        <v>9258499</v>
      </c>
      <c r="AP456" s="1058">
        <v>9622317</v>
      </c>
      <c r="AQ456" s="1058">
        <v>9622317</v>
      </c>
      <c r="AR456" s="1044"/>
      <c r="AS456" s="1044"/>
    </row>
    <row r="457" spans="2:45" hidden="1" outlineLevel="1">
      <c r="C457" s="816" t="s">
        <v>2</v>
      </c>
      <c r="D457" s="9"/>
      <c r="E457" s="20" t="s">
        <v>84</v>
      </c>
      <c r="F457" s="20"/>
      <c r="G457" s="20"/>
      <c r="H457" s="20"/>
      <c r="I457" s="20"/>
      <c r="J457" s="20"/>
      <c r="K457" s="20"/>
      <c r="L457" s="20"/>
      <c r="M457" s="20"/>
      <c r="N457" s="20"/>
      <c r="O457" s="20"/>
      <c r="P457" s="20"/>
      <c r="Q457" s="20"/>
      <c r="R457" s="20"/>
      <c r="S457" s="20"/>
      <c r="T457" s="20"/>
      <c r="U457" s="20"/>
      <c r="V457" s="20"/>
      <c r="W457" s="20"/>
      <c r="X457" s="20"/>
      <c r="Y457" s="20"/>
      <c r="Z457" s="20"/>
      <c r="AA457" s="20"/>
      <c r="AB457" s="12"/>
      <c r="AC457" s="12"/>
      <c r="AD457" s="12">
        <v>10428006</v>
      </c>
      <c r="AE457" s="12">
        <v>10428006</v>
      </c>
      <c r="AF457" s="12">
        <v>11353007</v>
      </c>
      <c r="AG457" s="12">
        <v>12125012</v>
      </c>
      <c r="AH457" s="12">
        <v>10415300</v>
      </c>
      <c r="AI457" s="12">
        <v>10979655</v>
      </c>
      <c r="AJ457" s="21">
        <v>12214554</v>
      </c>
      <c r="AK457" s="21">
        <v>13108701</v>
      </c>
      <c r="AL457" s="21">
        <v>15248328</v>
      </c>
      <c r="AM457" s="21">
        <v>16341632</v>
      </c>
      <c r="AN457" s="1058">
        <v>13235285</v>
      </c>
      <c r="AO457" s="1058">
        <v>13839131</v>
      </c>
      <c r="AP457" s="1058">
        <v>14226158</v>
      </c>
      <c r="AQ457" s="1058">
        <v>14226158</v>
      </c>
      <c r="AR457" s="1044"/>
      <c r="AS457" s="1044"/>
    </row>
    <row r="458" spans="2:45" hidden="1" outlineLevel="1">
      <c r="C458" s="816" t="s">
        <v>2</v>
      </c>
      <c r="D458" s="9"/>
      <c r="E458" s="20" t="s">
        <v>85</v>
      </c>
      <c r="F458" s="20"/>
      <c r="G458" s="20"/>
      <c r="H458" s="20"/>
      <c r="I458" s="20"/>
      <c r="J458" s="20"/>
      <c r="K458" s="20"/>
      <c r="L458" s="20"/>
      <c r="M458" s="20"/>
      <c r="N458" s="20"/>
      <c r="O458" s="20"/>
      <c r="P458" s="20"/>
      <c r="Q458" s="20"/>
      <c r="R458" s="20"/>
      <c r="S458" s="20"/>
      <c r="T458" s="20"/>
      <c r="U458" s="20"/>
      <c r="V458" s="20"/>
      <c r="W458" s="20"/>
      <c r="X458" s="20"/>
      <c r="Y458" s="20"/>
      <c r="Z458" s="20"/>
      <c r="AA458" s="20"/>
      <c r="AB458" s="12"/>
      <c r="AC458" s="12"/>
      <c r="AD458" s="12">
        <v>1759776</v>
      </c>
      <c r="AE458" s="12">
        <v>1759776</v>
      </c>
      <c r="AF458" s="12">
        <v>1844812</v>
      </c>
      <c r="AG458" s="12">
        <v>1970259</v>
      </c>
      <c r="AH458" s="12">
        <v>1678186</v>
      </c>
      <c r="AI458" s="12">
        <v>1769119</v>
      </c>
      <c r="AJ458" s="21">
        <v>2032729</v>
      </c>
      <c r="AK458" s="21">
        <v>2181232</v>
      </c>
      <c r="AL458" s="21">
        <v>2386186</v>
      </c>
      <c r="AM458" s="21">
        <v>2557276</v>
      </c>
      <c r="AN458" s="1058">
        <v>2250239</v>
      </c>
      <c r="AO458" s="1058">
        <v>2352904</v>
      </c>
      <c r="AP458" s="1058">
        <v>2650481</v>
      </c>
      <c r="AQ458" s="1058">
        <v>2650481</v>
      </c>
      <c r="AR458" s="1044"/>
      <c r="AS458" s="1044"/>
    </row>
    <row r="459" spans="2:45" hidden="1" outlineLevel="1">
      <c r="C459" s="816" t="s">
        <v>2</v>
      </c>
      <c r="D459" s="9"/>
      <c r="E459" s="20" t="s">
        <v>86</v>
      </c>
      <c r="F459" s="20"/>
      <c r="G459" s="20"/>
      <c r="H459" s="20"/>
      <c r="I459" s="20"/>
      <c r="J459" s="20"/>
      <c r="K459" s="20"/>
      <c r="L459" s="20"/>
      <c r="M459" s="20"/>
      <c r="N459" s="20"/>
      <c r="O459" s="20"/>
      <c r="P459" s="20"/>
      <c r="Q459" s="20"/>
      <c r="R459" s="20"/>
      <c r="S459" s="20"/>
      <c r="T459" s="20"/>
      <c r="U459" s="20"/>
      <c r="V459" s="20"/>
      <c r="W459" s="20"/>
      <c r="X459" s="20"/>
      <c r="Y459" s="20"/>
      <c r="Z459" s="20"/>
      <c r="AA459" s="20"/>
      <c r="AB459" s="36"/>
      <c r="AC459" s="36"/>
      <c r="AD459" s="36">
        <v>569101</v>
      </c>
      <c r="AE459" s="36">
        <v>569101</v>
      </c>
      <c r="AF459" s="385">
        <v>639559</v>
      </c>
      <c r="AG459" s="385">
        <v>683049</v>
      </c>
      <c r="AH459" s="12">
        <v>683982</v>
      </c>
      <c r="AI459" s="12">
        <v>721044</v>
      </c>
      <c r="AJ459" s="21">
        <v>782842</v>
      </c>
      <c r="AK459" s="21">
        <v>840105</v>
      </c>
      <c r="AL459" s="21">
        <v>1176910</v>
      </c>
      <c r="AM459" s="21">
        <v>1261295</v>
      </c>
      <c r="AN459" s="1058">
        <v>1132267</v>
      </c>
      <c r="AO459" s="1058">
        <v>1183925</v>
      </c>
      <c r="AP459" s="1058">
        <v>1730687</v>
      </c>
      <c r="AQ459" s="1058">
        <v>1730687</v>
      </c>
      <c r="AR459" s="1044"/>
      <c r="AS459" s="1044"/>
    </row>
    <row r="460" spans="2:45" hidden="1" outlineLevel="1">
      <c r="C460" s="816" t="s">
        <v>2</v>
      </c>
      <c r="D460" s="9"/>
      <c r="E460" s="20" t="s">
        <v>87</v>
      </c>
      <c r="F460" s="20"/>
      <c r="G460" s="20"/>
      <c r="H460" s="20"/>
      <c r="I460" s="20"/>
      <c r="J460" s="20"/>
      <c r="K460" s="20"/>
      <c r="L460" s="20"/>
      <c r="M460" s="20"/>
      <c r="N460" s="20"/>
      <c r="O460" s="20"/>
      <c r="P460" s="20"/>
      <c r="Q460" s="20"/>
      <c r="R460" s="20"/>
      <c r="S460" s="20"/>
      <c r="T460" s="20"/>
      <c r="U460" s="20"/>
      <c r="V460" s="20"/>
      <c r="W460" s="20"/>
      <c r="X460" s="20"/>
      <c r="Y460" s="20"/>
      <c r="Z460" s="20"/>
      <c r="AA460" s="20"/>
      <c r="AB460" s="12"/>
      <c r="AC460" s="12"/>
      <c r="AD460" s="12">
        <v>331309</v>
      </c>
      <c r="AE460" s="12">
        <v>331309</v>
      </c>
      <c r="AF460" s="12">
        <v>317691</v>
      </c>
      <c r="AG460" s="12">
        <v>339294</v>
      </c>
      <c r="AH460" s="12">
        <v>279174</v>
      </c>
      <c r="AI460" s="12">
        <v>294301</v>
      </c>
      <c r="AJ460" s="21">
        <v>315480</v>
      </c>
      <c r="AK460" s="21">
        <v>338464</v>
      </c>
      <c r="AL460" s="21">
        <v>618092</v>
      </c>
      <c r="AM460" s="21">
        <v>662410</v>
      </c>
      <c r="AN460" s="1058">
        <v>3796242</v>
      </c>
      <c r="AO460" s="1058">
        <v>3969443</v>
      </c>
      <c r="AP460" s="1058">
        <v>633204</v>
      </c>
      <c r="AQ460" s="1058">
        <v>633204</v>
      </c>
      <c r="AR460" s="1044"/>
      <c r="AS460" s="1044"/>
    </row>
    <row r="461" spans="2:45" hidden="1" outlineLevel="1">
      <c r="C461" s="816" t="s">
        <v>2</v>
      </c>
      <c r="D461" s="9"/>
      <c r="E461" s="20" t="s">
        <v>88</v>
      </c>
      <c r="F461" s="20"/>
      <c r="G461" s="20"/>
      <c r="H461" s="20"/>
      <c r="I461" s="20"/>
      <c r="J461" s="20"/>
      <c r="K461" s="20"/>
      <c r="L461" s="20"/>
      <c r="M461" s="20"/>
      <c r="N461" s="20"/>
      <c r="O461" s="20"/>
      <c r="P461" s="20"/>
      <c r="Q461" s="20"/>
      <c r="R461" s="20"/>
      <c r="S461" s="20"/>
      <c r="T461" s="20"/>
      <c r="U461" s="20"/>
      <c r="V461" s="20"/>
      <c r="W461" s="20"/>
      <c r="X461" s="20"/>
      <c r="Y461" s="20"/>
      <c r="Z461" s="20"/>
      <c r="AA461" s="20"/>
      <c r="AB461" s="12"/>
      <c r="AC461" s="12"/>
      <c r="AD461" s="12">
        <v>2448796</v>
      </c>
      <c r="AE461" s="12">
        <v>2448796</v>
      </c>
      <c r="AF461" s="12">
        <v>2638718</v>
      </c>
      <c r="AG461" s="12">
        <v>2818150</v>
      </c>
      <c r="AH461" s="12">
        <v>2176488</v>
      </c>
      <c r="AI461" s="12">
        <v>2294421</v>
      </c>
      <c r="AJ461" s="21">
        <v>2745353</v>
      </c>
      <c r="AK461" s="21">
        <v>2946153</v>
      </c>
      <c r="AL461" s="21">
        <v>3877491</v>
      </c>
      <c r="AM461" s="21">
        <v>4155507</v>
      </c>
      <c r="AN461" s="1058">
        <v>3885336</v>
      </c>
      <c r="AO461" s="1058">
        <v>4062601</v>
      </c>
      <c r="AP461" s="1058">
        <v>4153278</v>
      </c>
      <c r="AQ461" s="1058">
        <v>4153278</v>
      </c>
      <c r="AR461" s="1044"/>
      <c r="AS461" s="1044"/>
    </row>
    <row r="462" spans="2:45" hidden="1" outlineLevel="1">
      <c r="C462" s="816" t="s">
        <v>2</v>
      </c>
      <c r="D462" s="9"/>
      <c r="E462" s="20" t="s">
        <v>89</v>
      </c>
      <c r="F462" s="20"/>
      <c r="G462" s="20"/>
      <c r="H462" s="20"/>
      <c r="I462" s="20"/>
      <c r="J462" s="20"/>
      <c r="K462" s="20"/>
      <c r="L462" s="20"/>
      <c r="M462" s="20"/>
      <c r="N462" s="20"/>
      <c r="O462" s="20"/>
      <c r="P462" s="20"/>
      <c r="Q462" s="20"/>
      <c r="R462" s="20"/>
      <c r="S462" s="20"/>
      <c r="T462" s="20"/>
      <c r="U462" s="20"/>
      <c r="V462" s="20"/>
      <c r="W462" s="20"/>
      <c r="X462" s="20"/>
      <c r="Y462" s="20"/>
      <c r="Z462" s="20"/>
      <c r="AA462" s="20"/>
      <c r="AB462" s="12"/>
      <c r="AC462" s="12"/>
      <c r="AD462" s="12">
        <v>483526</v>
      </c>
      <c r="AE462" s="12">
        <v>483526</v>
      </c>
      <c r="AF462" s="12">
        <v>516981</v>
      </c>
      <c r="AG462" s="12">
        <v>552135</v>
      </c>
      <c r="AH462" s="12">
        <v>403346</v>
      </c>
      <c r="AI462" s="12">
        <v>425202</v>
      </c>
      <c r="AJ462" s="21">
        <v>462970</v>
      </c>
      <c r="AK462" s="21">
        <v>496763</v>
      </c>
      <c r="AL462" s="21">
        <v>576627</v>
      </c>
      <c r="AM462" s="21">
        <v>617971</v>
      </c>
      <c r="AN462" s="1058">
        <v>476163</v>
      </c>
      <c r="AO462" s="1058">
        <v>497887</v>
      </c>
      <c r="AP462" s="1058">
        <v>505450</v>
      </c>
      <c r="AQ462" s="1058">
        <v>505450</v>
      </c>
      <c r="AR462" s="1044"/>
      <c r="AS462" s="1044"/>
    </row>
    <row r="463" spans="2:45" s="1044" customFormat="1" hidden="1" outlineLevel="1">
      <c r="B463" s="1045"/>
      <c r="C463" s="1053" t="s">
        <v>2</v>
      </c>
      <c r="D463" s="1030"/>
      <c r="E463" s="1054" t="s">
        <v>2040</v>
      </c>
      <c r="F463" s="1047"/>
      <c r="G463" s="1047"/>
      <c r="H463" s="1047"/>
      <c r="I463" s="1047"/>
      <c r="J463" s="1047"/>
      <c r="K463" s="1047"/>
      <c r="L463" s="1047"/>
      <c r="M463" s="1047"/>
      <c r="N463" s="1047"/>
      <c r="O463" s="1047"/>
      <c r="P463" s="1047"/>
      <c r="Q463" s="1047"/>
      <c r="R463" s="1047"/>
      <c r="S463" s="1047"/>
      <c r="T463" s="1047"/>
      <c r="U463" s="1047"/>
      <c r="V463" s="1047"/>
      <c r="W463" s="1047"/>
      <c r="X463" s="1047"/>
      <c r="Y463" s="1047"/>
      <c r="Z463" s="1047"/>
      <c r="AA463" s="1047"/>
      <c r="AB463" s="1070"/>
      <c r="AC463" s="1070"/>
      <c r="AD463" s="1070"/>
      <c r="AE463" s="1070"/>
      <c r="AF463" s="1070"/>
      <c r="AG463" s="1070"/>
      <c r="AH463" s="1070"/>
      <c r="AI463" s="1070"/>
      <c r="AJ463" s="1058"/>
      <c r="AK463" s="1058"/>
      <c r="AL463" s="1058"/>
      <c r="AM463" s="1058"/>
      <c r="AN463" s="1058"/>
      <c r="AO463" s="1058"/>
      <c r="AP463" s="1058">
        <v>1196545</v>
      </c>
      <c r="AQ463" s="1058">
        <v>1196545</v>
      </c>
    </row>
    <row r="464" spans="2:45" hidden="1" outlineLevel="1">
      <c r="C464" s="816" t="s">
        <v>2</v>
      </c>
      <c r="D464" s="9"/>
      <c r="E464" s="592" t="s">
        <v>1429</v>
      </c>
      <c r="F464" s="20"/>
      <c r="G464" s="20"/>
      <c r="H464" s="20"/>
      <c r="I464" s="20"/>
      <c r="J464" s="20"/>
      <c r="K464" s="20"/>
      <c r="L464" s="20"/>
      <c r="M464" s="20"/>
      <c r="N464" s="20"/>
      <c r="O464" s="20"/>
      <c r="P464" s="20"/>
      <c r="Q464" s="20"/>
      <c r="R464" s="20"/>
      <c r="S464" s="20"/>
      <c r="T464" s="20"/>
      <c r="U464" s="20"/>
      <c r="V464" s="20"/>
      <c r="W464" s="20"/>
      <c r="X464" s="20"/>
      <c r="Y464" s="20"/>
      <c r="Z464" s="20"/>
      <c r="AA464" s="20"/>
      <c r="AB464" s="12"/>
      <c r="AC464" s="12"/>
      <c r="AD464" s="12">
        <v>28905</v>
      </c>
      <c r="AE464" s="12">
        <v>28905</v>
      </c>
      <c r="AF464" s="12">
        <v>146416</v>
      </c>
      <c r="AG464" s="12">
        <v>156372</v>
      </c>
      <c r="AH464" s="12">
        <v>73468</v>
      </c>
      <c r="AI464" s="12">
        <v>77449</v>
      </c>
      <c r="AJ464" s="21">
        <v>41818</v>
      </c>
      <c r="AK464" s="21">
        <v>44878</v>
      </c>
      <c r="AL464" s="21">
        <v>57795</v>
      </c>
      <c r="AM464" s="21">
        <v>61939</v>
      </c>
      <c r="AN464" s="1058"/>
      <c r="AO464" s="1058"/>
      <c r="AP464" s="1058"/>
      <c r="AQ464" s="1058"/>
      <c r="AR464" s="1044"/>
      <c r="AS464" s="1044"/>
    </row>
    <row r="465" spans="3:45" hidden="1" outlineLevel="1">
      <c r="C465" s="816" t="s">
        <v>2</v>
      </c>
      <c r="D465" s="9"/>
      <c r="E465" s="20" t="s">
        <v>726</v>
      </c>
      <c r="F465" s="20"/>
      <c r="G465" s="20"/>
      <c r="H465" s="20"/>
      <c r="I465" s="20"/>
      <c r="J465" s="20"/>
      <c r="K465" s="20"/>
      <c r="L465" s="20"/>
      <c r="M465" s="20"/>
      <c r="N465" s="20"/>
      <c r="O465" s="20"/>
      <c r="P465" s="20"/>
      <c r="Q465" s="20"/>
      <c r="R465" s="20"/>
      <c r="S465" s="20"/>
      <c r="T465" s="20"/>
      <c r="U465" s="20"/>
      <c r="V465" s="20"/>
      <c r="W465" s="20"/>
      <c r="X465" s="20"/>
      <c r="Y465" s="20"/>
      <c r="Z465" s="20"/>
      <c r="AA465" s="20"/>
      <c r="AB465" s="12"/>
      <c r="AC465" s="12"/>
      <c r="AD465" s="12">
        <v>13265538</v>
      </c>
      <c r="AE465" s="12">
        <v>13265538</v>
      </c>
      <c r="AF465" s="12">
        <v>13878160</v>
      </c>
      <c r="AG465" s="12">
        <v>14821875</v>
      </c>
      <c r="AH465" s="12">
        <v>14229386</v>
      </c>
      <c r="AI465" s="12">
        <v>15000408</v>
      </c>
      <c r="AJ465" s="21">
        <v>15248001</v>
      </c>
      <c r="AK465" s="21">
        <v>16365087</v>
      </c>
      <c r="AL465" s="21">
        <v>17498272</v>
      </c>
      <c r="AM465" s="21">
        <v>18752223</v>
      </c>
      <c r="AN465" s="1058">
        <v>15860002</v>
      </c>
      <c r="AO465" s="1058">
        <v>16583263</v>
      </c>
      <c r="AP465" s="1058">
        <v>16934867</v>
      </c>
      <c r="AQ465" s="1058">
        <v>16934867</v>
      </c>
      <c r="AR465" s="1044"/>
      <c r="AS465" s="1044"/>
    </row>
    <row r="466" spans="3:45" hidden="1" outlineLevel="1">
      <c r="C466" s="816" t="s">
        <v>2</v>
      </c>
      <c r="D466" s="9"/>
      <c r="E466" s="20" t="s">
        <v>1363</v>
      </c>
      <c r="F466" s="20"/>
      <c r="G466" s="20"/>
      <c r="H466" s="20"/>
      <c r="I466" s="20"/>
      <c r="J466" s="20"/>
      <c r="K466" s="20"/>
      <c r="L466" s="20"/>
      <c r="M466" s="20"/>
      <c r="N466" s="20"/>
      <c r="O466" s="20"/>
      <c r="P466" s="20"/>
      <c r="Q466" s="20"/>
      <c r="R466" s="20"/>
      <c r="S466" s="20"/>
      <c r="T466" s="20"/>
      <c r="U466" s="20"/>
      <c r="V466" s="20"/>
      <c r="W466" s="20"/>
      <c r="X466" s="20"/>
      <c r="Y466" s="20"/>
      <c r="Z466" s="20"/>
      <c r="AA466" s="20"/>
      <c r="AB466" s="12"/>
      <c r="AC466" s="12"/>
      <c r="AD466" s="12">
        <v>2485893</v>
      </c>
      <c r="AE466" s="12">
        <v>2485893</v>
      </c>
      <c r="AF466" s="12">
        <v>2724656</v>
      </c>
      <c r="AG466" s="12">
        <v>2909933</v>
      </c>
      <c r="AH466" s="12">
        <v>2657098</v>
      </c>
      <c r="AI466" s="12">
        <v>2801073</v>
      </c>
      <c r="AJ466" s="21">
        <v>3235529</v>
      </c>
      <c r="AK466" s="21">
        <v>3472693</v>
      </c>
      <c r="AL466" s="21">
        <v>3675646</v>
      </c>
      <c r="AM466" s="21">
        <v>3939118</v>
      </c>
      <c r="AN466" s="1058">
        <v>3664491</v>
      </c>
      <c r="AO466" s="1058">
        <v>3831549</v>
      </c>
      <c r="AP466" s="1058">
        <v>3819432</v>
      </c>
      <c r="AQ466" s="1058">
        <v>3819432</v>
      </c>
      <c r="AR466" s="1044"/>
      <c r="AS466" s="1044"/>
    </row>
    <row r="467" spans="3:45" hidden="1" outlineLevel="1">
      <c r="C467" s="816" t="s">
        <v>2</v>
      </c>
      <c r="D467" s="9"/>
      <c r="E467" s="20" t="s">
        <v>1364</v>
      </c>
      <c r="F467" s="20"/>
      <c r="G467" s="20"/>
      <c r="H467" s="20"/>
      <c r="I467" s="20"/>
      <c r="J467" s="20"/>
      <c r="K467" s="20"/>
      <c r="L467" s="20"/>
      <c r="M467" s="20"/>
      <c r="N467" s="20"/>
      <c r="O467" s="20"/>
      <c r="P467" s="20"/>
      <c r="Q467" s="20"/>
      <c r="R467" s="20"/>
      <c r="S467" s="20"/>
      <c r="T467" s="20"/>
      <c r="U467" s="20"/>
      <c r="V467" s="20"/>
      <c r="W467" s="20"/>
      <c r="X467" s="20"/>
      <c r="Y467" s="20"/>
      <c r="Z467" s="20"/>
      <c r="AA467" s="20"/>
      <c r="AB467" s="12"/>
      <c r="AC467" s="12"/>
      <c r="AD467" s="12">
        <v>2054446</v>
      </c>
      <c r="AE467" s="12">
        <v>2054446</v>
      </c>
      <c r="AF467" s="12">
        <v>2349806</v>
      </c>
      <c r="AG467" s="12">
        <v>2509593</v>
      </c>
      <c r="AH467" s="12">
        <v>2173661</v>
      </c>
      <c r="AI467" s="12">
        <v>2291441</v>
      </c>
      <c r="AJ467" s="21">
        <v>2540687</v>
      </c>
      <c r="AK467" s="21">
        <v>2726680</v>
      </c>
      <c r="AL467" s="21">
        <v>3018598</v>
      </c>
      <c r="AM467" s="21">
        <v>3234392</v>
      </c>
      <c r="AN467" s="1058">
        <v>3057491</v>
      </c>
      <c r="AO467" s="1058">
        <v>3196816</v>
      </c>
      <c r="AP467" s="1058">
        <v>3432459</v>
      </c>
      <c r="AQ467" s="1058">
        <v>3432459</v>
      </c>
      <c r="AR467" s="1044"/>
      <c r="AS467" s="1044"/>
    </row>
    <row r="468" spans="3:45" hidden="1" outlineLevel="1">
      <c r="C468" s="816" t="s">
        <v>2</v>
      </c>
      <c r="D468" s="9"/>
      <c r="E468" s="20" t="s">
        <v>1365</v>
      </c>
      <c r="F468" s="20"/>
      <c r="G468" s="20"/>
      <c r="H468" s="20"/>
      <c r="I468" s="20"/>
      <c r="J468" s="20"/>
      <c r="K468" s="20"/>
      <c r="L468" s="20"/>
      <c r="M468" s="20"/>
      <c r="N468" s="20"/>
      <c r="O468" s="20"/>
      <c r="P468" s="20"/>
      <c r="Q468" s="20"/>
      <c r="R468" s="20"/>
      <c r="S468" s="20"/>
      <c r="T468" s="20"/>
      <c r="U468" s="20"/>
      <c r="V468" s="20"/>
      <c r="W468" s="20"/>
      <c r="X468" s="20"/>
      <c r="Y468" s="20"/>
      <c r="Z468" s="20"/>
      <c r="AA468" s="20"/>
      <c r="AB468" s="12"/>
      <c r="AC468" s="12"/>
      <c r="AD468" s="12">
        <v>1254405</v>
      </c>
      <c r="AE468" s="12">
        <v>1254405</v>
      </c>
      <c r="AF468" s="12">
        <v>1141298</v>
      </c>
      <c r="AG468" s="12">
        <v>1218906</v>
      </c>
      <c r="AH468" s="12">
        <v>1262762</v>
      </c>
      <c r="AI468" s="12">
        <v>1331186</v>
      </c>
      <c r="AJ468" s="21">
        <v>1644847</v>
      </c>
      <c r="AK468" s="21">
        <v>1765354</v>
      </c>
      <c r="AL468" s="21">
        <v>2026350</v>
      </c>
      <c r="AM468" s="21">
        <v>2171580</v>
      </c>
      <c r="AN468" s="1058">
        <v>1996398</v>
      </c>
      <c r="AO468" s="1058">
        <v>2087401</v>
      </c>
      <c r="AP468" s="1058">
        <v>1810849</v>
      </c>
      <c r="AQ468" s="1058">
        <v>1810849</v>
      </c>
      <c r="AR468" s="1044"/>
      <c r="AS468" s="1044"/>
    </row>
    <row r="469" spans="3:45" hidden="1" outlineLevel="1">
      <c r="C469" s="816" t="s">
        <v>2</v>
      </c>
      <c r="D469" s="9"/>
      <c r="E469" s="592" t="s">
        <v>1430</v>
      </c>
      <c r="F469" s="20"/>
      <c r="G469" s="20"/>
      <c r="H469" s="20"/>
      <c r="I469" s="20"/>
      <c r="J469" s="20"/>
      <c r="K469" s="20"/>
      <c r="L469" s="20"/>
      <c r="M469" s="20"/>
      <c r="N469" s="20"/>
      <c r="O469" s="20"/>
      <c r="P469" s="20"/>
      <c r="Q469" s="20"/>
      <c r="R469" s="20"/>
      <c r="S469" s="20"/>
      <c r="T469" s="20"/>
      <c r="U469" s="20"/>
      <c r="V469" s="20"/>
      <c r="W469" s="20"/>
      <c r="X469" s="20"/>
      <c r="Y469" s="20"/>
      <c r="Z469" s="20"/>
      <c r="AA469" s="20"/>
      <c r="AB469" s="12"/>
      <c r="AC469" s="12"/>
      <c r="AD469" s="12">
        <v>573884</v>
      </c>
      <c r="AE469" s="12">
        <v>573884</v>
      </c>
      <c r="AF469" s="12">
        <v>553837</v>
      </c>
      <c r="AG469" s="12">
        <v>591498</v>
      </c>
      <c r="AH469" s="12">
        <v>608901</v>
      </c>
      <c r="AI469" s="12">
        <v>641895</v>
      </c>
      <c r="AJ469" s="21">
        <v>550508</v>
      </c>
      <c r="AK469" s="21">
        <v>590807</v>
      </c>
      <c r="AL469" s="21">
        <v>331060</v>
      </c>
      <c r="AM469" s="21">
        <v>354796</v>
      </c>
      <c r="AN469" s="1058">
        <v>482915</v>
      </c>
      <c r="AO469" s="1058">
        <v>504948</v>
      </c>
      <c r="AP469" s="1058">
        <v>266848</v>
      </c>
      <c r="AQ469" s="1058">
        <v>266848</v>
      </c>
      <c r="AR469" s="1044"/>
      <c r="AS469" s="1044"/>
    </row>
    <row r="470" spans="3:45" hidden="1" outlineLevel="1">
      <c r="C470" s="816" t="s">
        <v>2</v>
      </c>
      <c r="D470" s="9"/>
      <c r="E470" s="20" t="s">
        <v>738</v>
      </c>
      <c r="F470" s="20"/>
      <c r="G470" s="20"/>
      <c r="H470" s="20"/>
      <c r="I470" s="20"/>
      <c r="J470" s="20"/>
      <c r="K470" s="20"/>
      <c r="L470" s="20"/>
      <c r="M470" s="20"/>
      <c r="N470" s="20"/>
      <c r="O470" s="20"/>
      <c r="P470" s="20"/>
      <c r="Q470" s="20"/>
      <c r="R470" s="20"/>
      <c r="S470" s="20"/>
      <c r="T470" s="20"/>
      <c r="U470" s="20"/>
      <c r="V470" s="20"/>
      <c r="W470" s="20"/>
      <c r="X470" s="20"/>
      <c r="Y470" s="20"/>
      <c r="Z470" s="20"/>
      <c r="AA470" s="20"/>
      <c r="AB470" s="12"/>
      <c r="AC470" s="12"/>
      <c r="AD470" s="12">
        <v>4809653</v>
      </c>
      <c r="AE470" s="12">
        <v>4809653</v>
      </c>
      <c r="AF470" s="12">
        <v>5491680</v>
      </c>
      <c r="AG470" s="12">
        <v>5865114</v>
      </c>
      <c r="AH470" s="12">
        <v>5767312</v>
      </c>
      <c r="AI470" s="12">
        <v>6079815</v>
      </c>
      <c r="AJ470" s="21">
        <v>6323712</v>
      </c>
      <c r="AK470" s="21">
        <v>6787139</v>
      </c>
      <c r="AL470" s="21">
        <v>8400781</v>
      </c>
      <c r="AM470" s="21">
        <v>9003001</v>
      </c>
      <c r="AN470" s="1058">
        <v>8523877</v>
      </c>
      <c r="AO470" s="1058">
        <v>8912745</v>
      </c>
      <c r="AP470" s="1058">
        <v>8192093</v>
      </c>
      <c r="AQ470" s="1058">
        <v>8192093</v>
      </c>
      <c r="AR470" s="1044"/>
      <c r="AS470" s="1044"/>
    </row>
    <row r="471" spans="3:45" hidden="1" outlineLevel="1">
      <c r="C471" s="816" t="s">
        <v>2</v>
      </c>
      <c r="D471" s="9"/>
      <c r="E471" s="20" t="s">
        <v>1446</v>
      </c>
      <c r="F471" s="20"/>
      <c r="G471" s="20"/>
      <c r="H471" s="20"/>
      <c r="I471" s="20"/>
      <c r="J471" s="20"/>
      <c r="K471" s="20"/>
      <c r="L471" s="20"/>
      <c r="M471" s="20"/>
      <c r="N471" s="20"/>
      <c r="O471" s="20"/>
      <c r="P471" s="20"/>
      <c r="Q471" s="20"/>
      <c r="R471" s="20"/>
      <c r="S471" s="20"/>
      <c r="T471" s="20"/>
      <c r="U471" s="20"/>
      <c r="V471" s="20"/>
      <c r="W471" s="20"/>
      <c r="X471" s="20"/>
      <c r="Y471" s="20"/>
      <c r="Z471" s="20"/>
      <c r="AA471" s="20"/>
      <c r="AB471" s="12"/>
      <c r="AC471" s="12"/>
      <c r="AD471" s="12">
        <v>709699</v>
      </c>
      <c r="AE471" s="12">
        <v>709699</v>
      </c>
      <c r="AF471" s="12">
        <v>808569</v>
      </c>
      <c r="AG471" s="12">
        <v>863552</v>
      </c>
      <c r="AH471" s="12">
        <v>848137</v>
      </c>
      <c r="AI471" s="12">
        <v>894094</v>
      </c>
      <c r="AJ471" s="21">
        <v>978375</v>
      </c>
      <c r="AK471" s="21">
        <v>1050008</v>
      </c>
      <c r="AL471" s="21">
        <v>1143082</v>
      </c>
      <c r="AM471" s="21">
        <v>1224923</v>
      </c>
      <c r="AN471" s="1058">
        <v>1346229</v>
      </c>
      <c r="AO471" s="1058">
        <v>1407623</v>
      </c>
      <c r="AP471" s="1058">
        <v>1368070</v>
      </c>
      <c r="AQ471" s="1058">
        <v>1368070</v>
      </c>
      <c r="AR471" s="1044"/>
      <c r="AS471" s="1044"/>
    </row>
    <row r="472" spans="3:45" hidden="1" outlineLevel="1">
      <c r="C472" s="816" t="s">
        <v>2</v>
      </c>
      <c r="D472" s="9"/>
      <c r="E472" s="20" t="s">
        <v>1447</v>
      </c>
      <c r="F472" s="20"/>
      <c r="G472" s="20"/>
      <c r="H472" s="20"/>
      <c r="I472" s="20"/>
      <c r="J472" s="20"/>
      <c r="K472" s="20"/>
      <c r="L472" s="20"/>
      <c r="M472" s="20"/>
      <c r="N472" s="20"/>
      <c r="O472" s="20"/>
      <c r="P472" s="20"/>
      <c r="Q472" s="20"/>
      <c r="R472" s="20"/>
      <c r="S472" s="20"/>
      <c r="T472" s="20"/>
      <c r="U472" s="20"/>
      <c r="V472" s="20"/>
      <c r="W472" s="20"/>
      <c r="X472" s="20"/>
      <c r="Y472" s="20"/>
      <c r="Z472" s="20"/>
      <c r="AA472" s="20"/>
      <c r="AB472" s="12"/>
      <c r="AC472" s="12"/>
      <c r="AD472" s="12">
        <v>678723</v>
      </c>
      <c r="AE472" s="12">
        <v>678723</v>
      </c>
      <c r="AF472" s="12">
        <v>698138</v>
      </c>
      <c r="AG472" s="12">
        <v>745612</v>
      </c>
      <c r="AH472" s="12">
        <v>660597</v>
      </c>
      <c r="AI472" s="12">
        <v>696391</v>
      </c>
      <c r="AJ472" s="21">
        <v>849980</v>
      </c>
      <c r="AK472" s="21">
        <v>912140</v>
      </c>
      <c r="AL472" s="21">
        <v>1066016</v>
      </c>
      <c r="AM472" s="21">
        <v>1142304</v>
      </c>
      <c r="AN472" s="1058">
        <v>1019762</v>
      </c>
      <c r="AO472" s="1058">
        <v>1066206</v>
      </c>
      <c r="AP472" s="1058">
        <v>1131300</v>
      </c>
      <c r="AQ472" s="1058">
        <v>1131300</v>
      </c>
      <c r="AR472" s="1044"/>
      <c r="AS472" s="1044"/>
    </row>
    <row r="473" spans="3:45" hidden="1" outlineLevel="1">
      <c r="C473" s="816" t="s">
        <v>2</v>
      </c>
      <c r="D473" s="9"/>
      <c r="E473" s="20" t="s">
        <v>1448</v>
      </c>
      <c r="F473" s="20"/>
      <c r="G473" s="20"/>
      <c r="H473" s="20"/>
      <c r="I473" s="20"/>
      <c r="J473" s="20"/>
      <c r="K473" s="20"/>
      <c r="L473" s="20"/>
      <c r="M473" s="20"/>
      <c r="N473" s="20"/>
      <c r="O473" s="20"/>
      <c r="P473" s="20"/>
      <c r="Q473" s="20"/>
      <c r="R473" s="20"/>
      <c r="S473" s="20"/>
      <c r="T473" s="20"/>
      <c r="U473" s="20"/>
      <c r="V473" s="20"/>
      <c r="W473" s="20"/>
      <c r="X473" s="20"/>
      <c r="Y473" s="20"/>
      <c r="Z473" s="20"/>
      <c r="AA473" s="20"/>
      <c r="AB473" s="12"/>
      <c r="AC473" s="12"/>
      <c r="AD473" s="12">
        <v>1277899</v>
      </c>
      <c r="AE473" s="12">
        <v>1277899</v>
      </c>
      <c r="AF473" s="12">
        <v>1119249</v>
      </c>
      <c r="AG473" s="12">
        <v>1195358</v>
      </c>
      <c r="AH473" s="12">
        <v>876373</v>
      </c>
      <c r="AI473" s="12">
        <v>923859</v>
      </c>
      <c r="AJ473" s="21">
        <v>1202858</v>
      </c>
      <c r="AK473" s="21">
        <v>1290903</v>
      </c>
      <c r="AL473" s="21">
        <v>1627883</v>
      </c>
      <c r="AM473" s="21">
        <v>1744465</v>
      </c>
      <c r="AN473" s="1058">
        <v>1361382</v>
      </c>
      <c r="AO473" s="1058">
        <v>1423436</v>
      </c>
      <c r="AP473" s="1058">
        <v>1335184</v>
      </c>
      <c r="AQ473" s="1058">
        <v>1335184</v>
      </c>
      <c r="AR473" s="1044"/>
      <c r="AS473" s="1044"/>
    </row>
    <row r="474" spans="3:45" hidden="1" outlineLevel="1">
      <c r="C474" s="816" t="s">
        <v>2</v>
      </c>
      <c r="D474" s="9"/>
      <c r="E474" s="20" t="s">
        <v>855</v>
      </c>
      <c r="F474" s="20"/>
      <c r="G474" s="20"/>
      <c r="H474" s="20"/>
      <c r="I474" s="20"/>
      <c r="J474" s="20"/>
      <c r="K474" s="20"/>
      <c r="L474" s="20"/>
      <c r="M474" s="20"/>
      <c r="N474" s="20"/>
      <c r="O474" s="20"/>
      <c r="P474" s="20"/>
      <c r="Q474" s="20"/>
      <c r="R474" s="20"/>
      <c r="S474" s="20"/>
      <c r="T474" s="20"/>
      <c r="U474" s="20"/>
      <c r="V474" s="20"/>
      <c r="W474" s="20"/>
      <c r="X474" s="20"/>
      <c r="Y474" s="20"/>
      <c r="Z474" s="20"/>
      <c r="AA474" s="20"/>
      <c r="AB474" s="12"/>
      <c r="AC474" s="12"/>
      <c r="AD474" s="12">
        <v>2844757</v>
      </c>
      <c r="AE474" s="12">
        <v>2844757</v>
      </c>
      <c r="AF474" s="12">
        <v>4221985</v>
      </c>
      <c r="AG474" s="12">
        <v>4509080</v>
      </c>
      <c r="AH474" s="12">
        <v>3385691</v>
      </c>
      <c r="AI474" s="12">
        <v>3569146</v>
      </c>
      <c r="AJ474" s="21">
        <v>3943661</v>
      </c>
      <c r="AK474" s="21">
        <v>4232458</v>
      </c>
      <c r="AL474" s="21">
        <v>5126716</v>
      </c>
      <c r="AM474" s="21">
        <v>5494079</v>
      </c>
      <c r="AN474" s="1058">
        <v>4894772</v>
      </c>
      <c r="AO474" s="1058">
        <v>5117891</v>
      </c>
      <c r="AP474" s="1058">
        <v>5122498</v>
      </c>
      <c r="AQ474" s="1058">
        <v>5122498</v>
      </c>
      <c r="AR474" s="1044"/>
      <c r="AS474" s="1044"/>
    </row>
    <row r="475" spans="3:45" hidden="1" outlineLevel="1">
      <c r="C475" s="816" t="s">
        <v>2</v>
      </c>
      <c r="D475" s="9"/>
      <c r="E475" s="20" t="s">
        <v>1367</v>
      </c>
      <c r="F475" s="20"/>
      <c r="G475" s="20"/>
      <c r="H475" s="20"/>
      <c r="I475" s="20"/>
      <c r="J475" s="20"/>
      <c r="K475" s="20"/>
      <c r="L475" s="20"/>
      <c r="M475" s="20"/>
      <c r="N475" s="20"/>
      <c r="O475" s="20"/>
      <c r="P475" s="20"/>
      <c r="Q475" s="20"/>
      <c r="R475" s="20"/>
      <c r="S475" s="20"/>
      <c r="T475" s="20"/>
      <c r="U475" s="20"/>
      <c r="V475" s="20"/>
      <c r="W475" s="20"/>
      <c r="X475" s="20"/>
      <c r="Y475" s="20"/>
      <c r="Z475" s="20"/>
      <c r="AA475" s="20"/>
      <c r="AB475" s="12"/>
      <c r="AC475" s="12"/>
      <c r="AD475" s="12">
        <v>5776682</v>
      </c>
      <c r="AE475" s="12">
        <v>5776682</v>
      </c>
      <c r="AF475" s="12">
        <v>6553662</v>
      </c>
      <c r="AG475" s="12">
        <v>6999311</v>
      </c>
      <c r="AH475" s="12">
        <v>5729872</v>
      </c>
      <c r="AI475" s="12">
        <v>6040346</v>
      </c>
      <c r="AJ475" s="21">
        <v>6023760</v>
      </c>
      <c r="AK475" s="21">
        <v>6465010</v>
      </c>
      <c r="AL475" s="21">
        <v>8449863</v>
      </c>
      <c r="AM475" s="21">
        <v>9055468</v>
      </c>
      <c r="AN475" s="1058">
        <v>7551924</v>
      </c>
      <c r="AO475" s="1058">
        <v>7896306</v>
      </c>
      <c r="AP475" s="1058">
        <v>9127925</v>
      </c>
      <c r="AQ475" s="1058">
        <v>9127925</v>
      </c>
      <c r="AR475" s="1044"/>
      <c r="AS475" s="1044"/>
    </row>
    <row r="476" spans="3:45" hidden="1" outlineLevel="1">
      <c r="C476" s="816" t="s">
        <v>2</v>
      </c>
      <c r="D476" s="9"/>
      <c r="E476" s="224" t="s">
        <v>1094</v>
      </c>
      <c r="F476" s="20"/>
      <c r="G476" s="20"/>
      <c r="H476" s="20"/>
      <c r="I476" s="20"/>
      <c r="J476" s="20"/>
      <c r="K476" s="20"/>
      <c r="L476" s="20"/>
      <c r="M476" s="20"/>
      <c r="N476" s="20"/>
      <c r="O476" s="20"/>
      <c r="P476" s="20"/>
      <c r="Q476" s="20"/>
      <c r="R476" s="20"/>
      <c r="S476" s="20"/>
      <c r="T476" s="20"/>
      <c r="U476" s="20"/>
      <c r="V476" s="20"/>
      <c r="W476" s="20"/>
      <c r="X476" s="20"/>
      <c r="Y476" s="20"/>
      <c r="Z476" s="20"/>
      <c r="AA476" s="20"/>
      <c r="AB476" s="12"/>
      <c r="AC476" s="12"/>
      <c r="AD476" s="12">
        <v>8145828</v>
      </c>
      <c r="AE476" s="12">
        <v>8145828</v>
      </c>
      <c r="AF476" s="12">
        <v>9645991</v>
      </c>
      <c r="AG476" s="12">
        <v>10301918</v>
      </c>
      <c r="AH476" s="12">
        <v>9561472</v>
      </c>
      <c r="AI476" s="12">
        <v>10079562</v>
      </c>
      <c r="AJ476" s="21">
        <v>12309952</v>
      </c>
      <c r="AK476" s="21">
        <v>13211880</v>
      </c>
      <c r="AL476" s="21">
        <v>14422886</v>
      </c>
      <c r="AM476" s="21">
        <v>15456257</v>
      </c>
      <c r="AN476" s="1058">
        <v>13088675</v>
      </c>
      <c r="AO476" s="1058">
        <v>13685176</v>
      </c>
      <c r="AP476" s="1058">
        <v>14519107</v>
      </c>
      <c r="AQ476" s="1058">
        <v>14519107</v>
      </c>
      <c r="AR476" s="1044"/>
      <c r="AS476" s="1044"/>
    </row>
    <row r="477" spans="3:45" hidden="1" outlineLevel="1">
      <c r="C477" s="816" t="s">
        <v>2</v>
      </c>
      <c r="D477" s="9"/>
      <c r="E477" s="20" t="s">
        <v>859</v>
      </c>
      <c r="F477" s="20"/>
      <c r="G477" s="20"/>
      <c r="H477" s="20"/>
      <c r="I477" s="20"/>
      <c r="J477" s="20"/>
      <c r="K477" s="20"/>
      <c r="L477" s="20"/>
      <c r="M477" s="20"/>
      <c r="N477" s="20"/>
      <c r="O477" s="20"/>
      <c r="P477" s="20"/>
      <c r="Q477" s="20"/>
      <c r="R477" s="20"/>
      <c r="S477" s="20"/>
      <c r="T477" s="20"/>
      <c r="U477" s="20"/>
      <c r="V477" s="20"/>
      <c r="W477" s="20"/>
      <c r="X477" s="20"/>
      <c r="Y477" s="20"/>
      <c r="Z477" s="20"/>
      <c r="AA477" s="20"/>
      <c r="AB477" s="12"/>
      <c r="AC477" s="12"/>
      <c r="AD477" s="12">
        <v>1820226</v>
      </c>
      <c r="AE477" s="12">
        <v>1820226</v>
      </c>
      <c r="AF477" s="12">
        <v>1817448</v>
      </c>
      <c r="AG477" s="12">
        <v>1941035</v>
      </c>
      <c r="AH477" s="12">
        <v>1784687</v>
      </c>
      <c r="AI477" s="12">
        <v>1881390</v>
      </c>
      <c r="AJ477" s="21">
        <v>2187090</v>
      </c>
      <c r="AK477" s="21">
        <v>2347316</v>
      </c>
      <c r="AL477" s="21">
        <v>2692248</v>
      </c>
      <c r="AM477" s="21">
        <v>2885122</v>
      </c>
      <c r="AN477" s="1058">
        <v>2517305</v>
      </c>
      <c r="AO477" s="1058">
        <v>2632096</v>
      </c>
      <c r="AP477" s="1058">
        <v>2502470</v>
      </c>
      <c r="AQ477" s="1058">
        <v>2502470</v>
      </c>
      <c r="AR477" s="1044"/>
      <c r="AS477" s="1044"/>
    </row>
    <row r="478" spans="3:45" hidden="1" outlineLevel="1">
      <c r="C478" s="816" t="s">
        <v>2</v>
      </c>
      <c r="D478" s="9"/>
      <c r="E478" s="20" t="s">
        <v>1427</v>
      </c>
      <c r="F478" s="20"/>
      <c r="G478" s="20"/>
      <c r="H478" s="20"/>
      <c r="I478" s="20"/>
      <c r="J478" s="20"/>
      <c r="K478" s="20"/>
      <c r="L478" s="20"/>
      <c r="M478" s="20"/>
      <c r="N478" s="20"/>
      <c r="O478" s="20"/>
      <c r="P478" s="20"/>
      <c r="Q478" s="20"/>
      <c r="R478" s="20"/>
      <c r="S478" s="20"/>
      <c r="T478" s="20"/>
      <c r="U478" s="20"/>
      <c r="V478" s="20"/>
      <c r="W478" s="20"/>
      <c r="X478" s="20"/>
      <c r="Y478" s="20"/>
      <c r="Z478" s="20"/>
      <c r="AA478" s="20"/>
      <c r="AB478" s="12"/>
      <c r="AC478" s="12"/>
      <c r="AD478" s="12">
        <v>313744</v>
      </c>
      <c r="AE478" s="12">
        <v>313744</v>
      </c>
      <c r="AF478" s="12">
        <v>335585</v>
      </c>
      <c r="AG478" s="12">
        <v>358405</v>
      </c>
      <c r="AH478" s="12">
        <v>267345</v>
      </c>
      <c r="AI478" s="12">
        <v>281831</v>
      </c>
      <c r="AJ478" s="21">
        <v>290200</v>
      </c>
      <c r="AK478" s="21">
        <v>311472</v>
      </c>
      <c r="AL478" s="21">
        <v>351842</v>
      </c>
      <c r="AM478" s="21">
        <v>377024</v>
      </c>
      <c r="AN478" s="1058">
        <v>350882</v>
      </c>
      <c r="AO478" s="1058">
        <v>366861</v>
      </c>
      <c r="AP478" s="1058">
        <v>310383</v>
      </c>
      <c r="AQ478" s="1058">
        <v>310383</v>
      </c>
      <c r="AR478" s="1044"/>
      <c r="AS478" s="1044"/>
    </row>
    <row r="479" spans="3:45" hidden="1" outlineLevel="1">
      <c r="C479" s="816" t="s">
        <v>2</v>
      </c>
      <c r="D479" s="9"/>
      <c r="E479" s="592" t="s">
        <v>60</v>
      </c>
      <c r="F479" s="20"/>
      <c r="G479" s="20"/>
      <c r="H479" s="20"/>
      <c r="I479" s="20"/>
      <c r="J479" s="20"/>
      <c r="K479" s="20"/>
      <c r="L479" s="20"/>
      <c r="M479" s="20"/>
      <c r="N479" s="20"/>
      <c r="O479" s="20"/>
      <c r="P479" s="20"/>
      <c r="Q479" s="20"/>
      <c r="R479" s="20"/>
      <c r="S479" s="20"/>
      <c r="T479" s="20"/>
      <c r="U479" s="20"/>
      <c r="V479" s="20"/>
      <c r="W479" s="20"/>
      <c r="X479" s="20"/>
      <c r="Y479" s="20"/>
      <c r="Z479" s="20"/>
      <c r="AA479" s="20"/>
      <c r="AB479" s="12"/>
      <c r="AC479" s="12"/>
      <c r="AD479" s="12">
        <v>85853</v>
      </c>
      <c r="AE479" s="12">
        <v>85853</v>
      </c>
      <c r="AF479" s="12">
        <v>126065</v>
      </c>
      <c r="AG479" s="12">
        <v>134637</v>
      </c>
      <c r="AH479" s="12">
        <v>128340</v>
      </c>
      <c r="AI479" s="12">
        <v>135294</v>
      </c>
      <c r="AJ479" s="21">
        <v>183524</v>
      </c>
      <c r="AK479" s="21">
        <v>196976</v>
      </c>
      <c r="AL479" s="21">
        <v>123210</v>
      </c>
      <c r="AM479" s="21">
        <v>132044</v>
      </c>
      <c r="AN479" s="1058">
        <v>113399</v>
      </c>
      <c r="AO479" s="1058">
        <v>118574</v>
      </c>
      <c r="AP479" s="1058">
        <v>263127</v>
      </c>
      <c r="AQ479" s="1058">
        <v>263127</v>
      </c>
      <c r="AR479" s="1044"/>
      <c r="AS479" s="1044"/>
    </row>
    <row r="480" spans="3:45" hidden="1" outlineLevel="1">
      <c r="C480" s="816" t="s">
        <v>2</v>
      </c>
      <c r="D480" s="9"/>
      <c r="E480" s="20" t="s">
        <v>730</v>
      </c>
      <c r="F480" s="20"/>
      <c r="G480" s="20"/>
      <c r="H480" s="20"/>
      <c r="I480" s="20"/>
      <c r="J480" s="20"/>
      <c r="K480" s="20"/>
      <c r="L480" s="20"/>
      <c r="M480" s="20"/>
      <c r="N480" s="20"/>
      <c r="O480" s="20"/>
      <c r="P480" s="20"/>
      <c r="Q480" s="20"/>
      <c r="R480" s="20"/>
      <c r="S480" s="20"/>
      <c r="T480" s="20"/>
      <c r="U480" s="20"/>
      <c r="V480" s="20"/>
      <c r="W480" s="20"/>
      <c r="X480" s="20"/>
      <c r="Y480" s="20"/>
      <c r="Z480" s="20"/>
      <c r="AA480" s="20"/>
      <c r="AB480" s="12"/>
      <c r="AC480" s="12"/>
      <c r="AD480" s="12">
        <v>2438445</v>
      </c>
      <c r="AE480" s="12">
        <v>2438445</v>
      </c>
      <c r="AF480" s="12">
        <v>2506783</v>
      </c>
      <c r="AG480" s="12">
        <v>2677244</v>
      </c>
      <c r="AH480" s="12">
        <v>2424265</v>
      </c>
      <c r="AI480" s="12">
        <v>2555624</v>
      </c>
      <c r="AJ480" s="21">
        <v>2927907</v>
      </c>
      <c r="AK480" s="21">
        <v>3142284</v>
      </c>
      <c r="AL480" s="21">
        <v>3451880</v>
      </c>
      <c r="AM480" s="21">
        <v>3699302</v>
      </c>
      <c r="AN480" s="1058">
        <v>3336070</v>
      </c>
      <c r="AO480" s="1058">
        <v>3488172</v>
      </c>
      <c r="AP480" s="1058">
        <v>3629695</v>
      </c>
      <c r="AQ480" s="1058">
        <v>3629695</v>
      </c>
      <c r="AR480" s="1044"/>
      <c r="AS480" s="1044"/>
    </row>
    <row r="481" spans="2:45" hidden="1" outlineLevel="1">
      <c r="C481" s="816" t="s">
        <v>2</v>
      </c>
      <c r="D481" s="9"/>
      <c r="E481" s="20" t="s">
        <v>731</v>
      </c>
      <c r="F481" s="20"/>
      <c r="G481" s="20"/>
      <c r="H481" s="20"/>
      <c r="I481" s="20"/>
      <c r="J481" s="20"/>
      <c r="K481" s="20"/>
      <c r="L481" s="20"/>
      <c r="M481" s="20"/>
      <c r="N481" s="20"/>
      <c r="O481" s="20"/>
      <c r="P481" s="20"/>
      <c r="Q481" s="20"/>
      <c r="R481" s="20"/>
      <c r="S481" s="20"/>
      <c r="T481" s="20"/>
      <c r="U481" s="20"/>
      <c r="V481" s="20"/>
      <c r="W481" s="20"/>
      <c r="X481" s="20"/>
      <c r="Y481" s="20"/>
      <c r="Z481" s="20"/>
      <c r="AA481" s="20"/>
      <c r="AB481" s="12"/>
      <c r="AC481" s="12"/>
      <c r="AD481" s="12">
        <v>12615865</v>
      </c>
      <c r="AE481" s="12">
        <v>12615865</v>
      </c>
      <c r="AF481" s="12">
        <v>15141839</v>
      </c>
      <c r="AG481" s="12">
        <v>16171484</v>
      </c>
      <c r="AH481" s="12">
        <v>16635634</v>
      </c>
      <c r="AI481" s="12">
        <v>17537039</v>
      </c>
      <c r="AJ481" s="21">
        <v>20005338</v>
      </c>
      <c r="AK481" s="21">
        <v>21471334</v>
      </c>
      <c r="AL481" s="21">
        <v>15344258</v>
      </c>
      <c r="AM481" s="21">
        <v>16444157</v>
      </c>
      <c r="AN481" s="1058">
        <v>14764651</v>
      </c>
      <c r="AO481" s="1058">
        <v>15437711</v>
      </c>
      <c r="AP481" s="1058">
        <v>14845281</v>
      </c>
      <c r="AQ481" s="1058">
        <v>14845281</v>
      </c>
      <c r="AR481" s="1044"/>
      <c r="AS481" s="1044"/>
    </row>
    <row r="482" spans="2:45" hidden="1" outlineLevel="1">
      <c r="C482" s="816" t="s">
        <v>2</v>
      </c>
      <c r="D482" s="9"/>
      <c r="E482" s="224" t="s">
        <v>1453</v>
      </c>
      <c r="F482" s="20"/>
      <c r="G482" s="20"/>
      <c r="H482" s="20"/>
      <c r="I482" s="20"/>
      <c r="J482" s="20"/>
      <c r="K482" s="20"/>
      <c r="L482" s="20"/>
      <c r="M482" s="20"/>
      <c r="N482" s="20"/>
      <c r="O482" s="20"/>
      <c r="P482" s="20"/>
      <c r="Q482" s="20"/>
      <c r="R482" s="20"/>
      <c r="S482" s="20"/>
      <c r="T482" s="20"/>
      <c r="U482" s="20"/>
      <c r="V482" s="20"/>
      <c r="W482" s="20"/>
      <c r="X482" s="20"/>
      <c r="Y482" s="20"/>
      <c r="Z482" s="20"/>
      <c r="AA482" s="20"/>
      <c r="AB482" s="12"/>
      <c r="AC482" s="12"/>
      <c r="AD482" s="12">
        <v>0</v>
      </c>
      <c r="AE482" s="12">
        <v>0</v>
      </c>
      <c r="AF482" s="12"/>
      <c r="AG482" s="12"/>
      <c r="AH482" s="12">
        <v>455195</v>
      </c>
      <c r="AI482" s="12">
        <v>479860</v>
      </c>
      <c r="AJ482" s="21">
        <v>775263</v>
      </c>
      <c r="AK482" s="21">
        <v>832043</v>
      </c>
      <c r="AL482" s="21">
        <v>968388</v>
      </c>
      <c r="AM482" s="21">
        <v>1037690</v>
      </c>
      <c r="AN482" s="1058">
        <v>1418266</v>
      </c>
      <c r="AO482" s="1058">
        <v>1482862</v>
      </c>
      <c r="AP482" s="1058">
        <v>1499997</v>
      </c>
      <c r="AQ482" s="1058">
        <v>1499997</v>
      </c>
      <c r="AR482" s="1044"/>
      <c r="AS482" s="1044"/>
    </row>
    <row r="483" spans="2:45" hidden="1" outlineLevel="1">
      <c r="C483" s="816" t="s">
        <v>2</v>
      </c>
      <c r="D483" s="9"/>
      <c r="E483" s="593" t="s">
        <v>1440</v>
      </c>
      <c r="F483" s="20"/>
      <c r="G483" s="20"/>
      <c r="H483" s="20"/>
      <c r="I483" s="20"/>
      <c r="J483" s="20"/>
      <c r="K483" s="20"/>
      <c r="L483" s="20"/>
      <c r="M483" s="20"/>
      <c r="N483" s="20"/>
      <c r="O483" s="20"/>
      <c r="P483" s="20"/>
      <c r="Q483" s="20"/>
      <c r="R483" s="20"/>
      <c r="S483" s="20"/>
      <c r="T483" s="20"/>
      <c r="U483" s="20"/>
      <c r="V483" s="20"/>
      <c r="W483" s="20"/>
      <c r="X483" s="20"/>
      <c r="Y483" s="20"/>
      <c r="Z483" s="20"/>
      <c r="AA483" s="20"/>
      <c r="AB483" s="12"/>
      <c r="AC483" s="12"/>
      <c r="AD483" s="12">
        <v>3755162</v>
      </c>
      <c r="AE483" s="12">
        <v>3755162</v>
      </c>
      <c r="AF483" s="12">
        <v>4249266</v>
      </c>
      <c r="AG483" s="12">
        <v>4538216</v>
      </c>
      <c r="AH483" s="12">
        <v>4080585</v>
      </c>
      <c r="AI483" s="12">
        <v>4301692</v>
      </c>
      <c r="AJ483" s="21">
        <v>4810579</v>
      </c>
      <c r="AK483" s="21">
        <v>5162819</v>
      </c>
      <c r="AL483" s="21">
        <v>6813892</v>
      </c>
      <c r="AM483" s="21">
        <v>7301983</v>
      </c>
      <c r="AN483" s="1058">
        <v>6557580</v>
      </c>
      <c r="AO483" s="1058">
        <v>6856488</v>
      </c>
      <c r="AP483" s="1058">
        <v>6501213</v>
      </c>
      <c r="AQ483" s="1058">
        <v>6501213</v>
      </c>
      <c r="AR483" s="1044"/>
      <c r="AS483" s="1044"/>
    </row>
    <row r="484" spans="2:45" hidden="1" outlineLevel="1">
      <c r="C484" s="816" t="s">
        <v>2</v>
      </c>
      <c r="D484" s="9"/>
      <c r="E484" s="20" t="s">
        <v>1426</v>
      </c>
      <c r="F484" s="20"/>
      <c r="G484" s="20"/>
      <c r="H484" s="20"/>
      <c r="I484" s="20"/>
      <c r="J484" s="20"/>
      <c r="K484" s="20"/>
      <c r="L484" s="20"/>
      <c r="M484" s="20"/>
      <c r="N484" s="20"/>
      <c r="O484" s="20"/>
      <c r="P484" s="20"/>
      <c r="Q484" s="20"/>
      <c r="R484" s="20"/>
      <c r="S484" s="20"/>
      <c r="T484" s="20"/>
      <c r="U484" s="20"/>
      <c r="V484" s="20"/>
      <c r="W484" s="20"/>
      <c r="X484" s="20"/>
      <c r="Y484" s="20"/>
      <c r="Z484" s="20"/>
      <c r="AA484" s="20"/>
      <c r="AB484" s="12"/>
      <c r="AC484" s="12"/>
      <c r="AD484" s="12">
        <v>5508131</v>
      </c>
      <c r="AE484" s="12">
        <v>5508131</v>
      </c>
      <c r="AF484" s="12">
        <v>6287327</v>
      </c>
      <c r="AG484" s="12">
        <v>6714866</v>
      </c>
      <c r="AH484" s="12">
        <v>6265593</v>
      </c>
      <c r="AI484" s="12">
        <v>6605095</v>
      </c>
      <c r="AJ484" s="21">
        <v>7670757</v>
      </c>
      <c r="AK484" s="21">
        <v>8232966</v>
      </c>
      <c r="AL484" s="21">
        <v>7116346</v>
      </c>
      <c r="AM484" s="21">
        <v>7626550</v>
      </c>
      <c r="AN484" s="1058">
        <v>6723092</v>
      </c>
      <c r="AO484" s="1058">
        <v>7029778</v>
      </c>
      <c r="AP484" s="1058">
        <v>6423580</v>
      </c>
      <c r="AQ484" s="1058">
        <v>6423580</v>
      </c>
      <c r="AR484" s="1044"/>
      <c r="AS484" s="1044"/>
    </row>
    <row r="485" spans="2:45" hidden="1" outlineLevel="1">
      <c r="C485" s="816" t="s">
        <v>2</v>
      </c>
      <c r="D485" s="9"/>
      <c r="E485" s="20" t="s">
        <v>733</v>
      </c>
      <c r="F485" s="20"/>
      <c r="G485" s="20"/>
      <c r="H485" s="20"/>
      <c r="I485" s="20"/>
      <c r="J485" s="20"/>
      <c r="K485" s="20"/>
      <c r="L485" s="20"/>
      <c r="M485" s="20"/>
      <c r="N485" s="20"/>
      <c r="O485" s="20"/>
      <c r="P485" s="20"/>
      <c r="Q485" s="20"/>
      <c r="R485" s="20"/>
      <c r="S485" s="20"/>
      <c r="T485" s="20"/>
      <c r="U485" s="20"/>
      <c r="V485" s="20"/>
      <c r="W485" s="20"/>
      <c r="X485" s="20"/>
      <c r="Y485" s="20"/>
      <c r="Z485" s="20"/>
      <c r="AA485" s="20"/>
      <c r="AB485" s="12"/>
      <c r="AC485" s="12"/>
      <c r="AD485" s="12">
        <v>3876050</v>
      </c>
      <c r="AE485" s="12">
        <v>3876050</v>
      </c>
      <c r="AF485" s="12">
        <v>4409873</v>
      </c>
      <c r="AG485" s="12">
        <v>4709744</v>
      </c>
      <c r="AH485" s="12">
        <v>3751544</v>
      </c>
      <c r="AI485" s="12">
        <v>3954821</v>
      </c>
      <c r="AJ485" s="21">
        <v>4806302</v>
      </c>
      <c r="AK485" s="21">
        <v>5158532</v>
      </c>
      <c r="AL485" s="21">
        <v>5467165</v>
      </c>
      <c r="AM485" s="21">
        <v>5859125</v>
      </c>
      <c r="AN485" s="1058">
        <v>5284927</v>
      </c>
      <c r="AO485" s="1058">
        <v>5525980</v>
      </c>
      <c r="AP485" s="1058">
        <v>5310788</v>
      </c>
      <c r="AQ485" s="1058">
        <v>5310788</v>
      </c>
      <c r="AR485" s="1044"/>
      <c r="AS485" s="1044"/>
    </row>
    <row r="486" spans="2:45" hidden="1" outlineLevel="1">
      <c r="C486" s="816" t="s">
        <v>2</v>
      </c>
      <c r="D486" s="9"/>
      <c r="E486" s="20" t="s">
        <v>735</v>
      </c>
      <c r="F486" s="20"/>
      <c r="G486" s="20"/>
      <c r="H486" s="20"/>
      <c r="I486" s="20"/>
      <c r="J486" s="20"/>
      <c r="K486" s="20"/>
      <c r="L486" s="20"/>
      <c r="M486" s="20"/>
      <c r="N486" s="20"/>
      <c r="O486" s="20"/>
      <c r="P486" s="20"/>
      <c r="Q486" s="20"/>
      <c r="R486" s="20"/>
      <c r="S486" s="20"/>
      <c r="T486" s="20"/>
      <c r="U486" s="20"/>
      <c r="V486" s="20"/>
      <c r="W486" s="20"/>
      <c r="X486" s="20"/>
      <c r="Y486" s="20"/>
      <c r="Z486" s="20"/>
      <c r="AA486" s="20"/>
      <c r="AB486" s="12"/>
      <c r="AC486" s="12"/>
      <c r="AD486" s="12">
        <v>14124693</v>
      </c>
      <c r="AE486" s="12">
        <v>14124693</v>
      </c>
      <c r="AF486" s="12">
        <v>15188237</v>
      </c>
      <c r="AG486" s="12">
        <v>16221037</v>
      </c>
      <c r="AH486" s="12">
        <v>14566101</v>
      </c>
      <c r="AI486" s="12">
        <v>15355368</v>
      </c>
      <c r="AJ486" s="21">
        <v>15963338</v>
      </c>
      <c r="AK486" s="21">
        <v>17133037</v>
      </c>
      <c r="AL486" s="21">
        <v>19949056</v>
      </c>
      <c r="AM486" s="21">
        <v>21378752</v>
      </c>
      <c r="AN486" s="1058">
        <v>19899290</v>
      </c>
      <c r="AO486" s="1058">
        <v>20806698</v>
      </c>
      <c r="AP486" s="1058">
        <v>21387701</v>
      </c>
      <c r="AQ486" s="1058">
        <v>21387701</v>
      </c>
      <c r="AR486" s="1044"/>
      <c r="AS486" s="1044"/>
    </row>
    <row r="487" spans="2:45" hidden="1" outlineLevel="1">
      <c r="C487" s="816" t="s">
        <v>2</v>
      </c>
      <c r="D487" s="9"/>
      <c r="E487" s="593" t="s">
        <v>942</v>
      </c>
      <c r="F487" s="20"/>
      <c r="G487" s="20"/>
      <c r="H487" s="20"/>
      <c r="I487" s="20"/>
      <c r="J487" s="20"/>
      <c r="K487" s="20"/>
      <c r="L487" s="20"/>
      <c r="M487" s="20"/>
      <c r="N487" s="20"/>
      <c r="O487" s="20"/>
      <c r="P487" s="20"/>
      <c r="Q487" s="20"/>
      <c r="R487" s="20"/>
      <c r="S487" s="20"/>
      <c r="T487" s="20"/>
      <c r="U487" s="20"/>
      <c r="V487" s="20"/>
      <c r="W487" s="20"/>
      <c r="X487" s="20"/>
      <c r="Y487" s="20"/>
      <c r="Z487" s="20"/>
      <c r="AA487" s="20"/>
      <c r="AB487" s="12"/>
      <c r="AC487" s="12"/>
      <c r="AD487" s="12">
        <v>14487642</v>
      </c>
      <c r="AE487" s="12">
        <v>14487642</v>
      </c>
      <c r="AF487" s="12">
        <v>16740051</v>
      </c>
      <c r="AG487" s="12">
        <v>17878376</v>
      </c>
      <c r="AH487" s="12">
        <v>15246251</v>
      </c>
      <c r="AI487" s="12">
        <v>16072371</v>
      </c>
      <c r="AJ487" s="21">
        <v>17989293</v>
      </c>
      <c r="AK487" s="21">
        <v>19306985</v>
      </c>
      <c r="AL487" s="21">
        <v>17934922</v>
      </c>
      <c r="AM487" s="21">
        <v>19220441</v>
      </c>
      <c r="AN487" s="1058">
        <v>18424166</v>
      </c>
      <c r="AO487" s="1058">
        <v>19264069</v>
      </c>
      <c r="AP487" s="1058">
        <v>19150856</v>
      </c>
      <c r="AQ487" s="1058">
        <v>19150856</v>
      </c>
      <c r="AR487" s="1044"/>
      <c r="AS487" s="1044"/>
    </row>
    <row r="488" spans="2:45" hidden="1" outlineLevel="1">
      <c r="C488" s="816" t="s">
        <v>2</v>
      </c>
      <c r="D488" s="9"/>
      <c r="E488" s="616" t="s">
        <v>1556</v>
      </c>
      <c r="F488" s="20"/>
      <c r="G488" s="20"/>
      <c r="H488" s="20"/>
      <c r="I488" s="20"/>
      <c r="J488" s="20"/>
      <c r="K488" s="20"/>
      <c r="L488" s="20"/>
      <c r="M488" s="20"/>
      <c r="N488" s="20"/>
      <c r="O488" s="20"/>
      <c r="P488" s="20"/>
      <c r="Q488" s="20"/>
      <c r="R488" s="20"/>
      <c r="S488" s="20"/>
      <c r="T488" s="20"/>
      <c r="U488" s="20"/>
      <c r="V488" s="20"/>
      <c r="W488" s="20"/>
      <c r="X488" s="20"/>
      <c r="Y488" s="20"/>
      <c r="Z488" s="20"/>
      <c r="AA488" s="20"/>
      <c r="AB488" s="12"/>
      <c r="AC488" s="12"/>
      <c r="AD488" s="12"/>
      <c r="AE488" s="12"/>
      <c r="AF488" s="12"/>
      <c r="AG488" s="12"/>
      <c r="AH488" s="12"/>
      <c r="AI488" s="12"/>
      <c r="AJ488" s="21"/>
      <c r="AK488" s="21"/>
      <c r="AL488" s="21">
        <v>4507047</v>
      </c>
      <c r="AM488" s="21">
        <v>4830052</v>
      </c>
      <c r="AN488" s="1058">
        <v>4799108</v>
      </c>
      <c r="AO488" s="1058">
        <v>5017793</v>
      </c>
      <c r="AP488" s="1058">
        <v>4990564</v>
      </c>
      <c r="AQ488" s="1058">
        <v>4990564</v>
      </c>
      <c r="AR488" s="1044"/>
      <c r="AS488" s="1044"/>
    </row>
    <row r="489" spans="2:45" hidden="1" outlineLevel="1">
      <c r="C489" s="816" t="s">
        <v>2</v>
      </c>
      <c r="D489" s="9"/>
      <c r="E489" s="20" t="s">
        <v>737</v>
      </c>
      <c r="F489" s="20"/>
      <c r="G489" s="20"/>
      <c r="H489" s="20"/>
      <c r="I489" s="20"/>
      <c r="J489" s="20"/>
      <c r="K489" s="20"/>
      <c r="L489" s="20"/>
      <c r="M489" s="20"/>
      <c r="N489" s="20"/>
      <c r="O489" s="20"/>
      <c r="P489" s="20"/>
      <c r="Q489" s="20"/>
      <c r="R489" s="20"/>
      <c r="S489" s="20"/>
      <c r="T489" s="20"/>
      <c r="U489" s="20"/>
      <c r="V489" s="20"/>
      <c r="W489" s="20"/>
      <c r="X489" s="20"/>
      <c r="Y489" s="20"/>
      <c r="Z489" s="20"/>
      <c r="AA489" s="20"/>
      <c r="AB489" s="12"/>
      <c r="AC489" s="12"/>
      <c r="AD489" s="12">
        <v>5188363</v>
      </c>
      <c r="AE489" s="12">
        <v>5188363</v>
      </c>
      <c r="AF489" s="12">
        <v>5802825</v>
      </c>
      <c r="AG489" s="12">
        <v>6197418</v>
      </c>
      <c r="AH489" s="12">
        <v>5577494</v>
      </c>
      <c r="AI489" s="12">
        <v>5879711</v>
      </c>
      <c r="AJ489" s="21">
        <v>6495223</v>
      </c>
      <c r="AK489" s="21">
        <v>6971055</v>
      </c>
      <c r="AL489" s="21">
        <v>7756438</v>
      </c>
      <c r="AM489" s="21">
        <v>8312114</v>
      </c>
      <c r="AN489" s="1058">
        <v>7110548</v>
      </c>
      <c r="AO489" s="1058">
        <v>7434616</v>
      </c>
      <c r="AP489" s="1058">
        <v>7133320</v>
      </c>
      <c r="AQ489" s="1058">
        <v>7133320</v>
      </c>
      <c r="AR489" s="1044"/>
      <c r="AS489" s="1044"/>
    </row>
    <row r="490" spans="2:45" hidden="1" outlineLevel="1">
      <c r="C490" s="816" t="s">
        <v>2</v>
      </c>
      <c r="D490" s="9"/>
      <c r="E490" s="20" t="s">
        <v>1442</v>
      </c>
      <c r="F490" s="20"/>
      <c r="G490" s="20"/>
      <c r="H490" s="20"/>
      <c r="I490" s="20"/>
      <c r="J490" s="20"/>
      <c r="K490" s="20"/>
      <c r="L490" s="20"/>
      <c r="M490" s="20"/>
      <c r="N490" s="20"/>
      <c r="O490" s="20"/>
      <c r="P490" s="20"/>
      <c r="Q490" s="20"/>
      <c r="R490" s="20"/>
      <c r="S490" s="20"/>
      <c r="T490" s="20"/>
      <c r="U490" s="20"/>
      <c r="V490" s="20"/>
      <c r="W490" s="20"/>
      <c r="X490" s="20"/>
      <c r="Y490" s="20"/>
      <c r="Z490" s="20"/>
      <c r="AA490" s="20"/>
      <c r="AB490" s="12"/>
      <c r="AC490" s="12"/>
      <c r="AD490" s="12">
        <v>1785834</v>
      </c>
      <c r="AE490" s="12">
        <v>1785834</v>
      </c>
      <c r="AF490" s="12">
        <v>1885398</v>
      </c>
      <c r="AG490" s="12">
        <v>2013605</v>
      </c>
      <c r="AH490" s="12">
        <v>1629307</v>
      </c>
      <c r="AI490" s="12">
        <v>1717591</v>
      </c>
      <c r="AJ490" s="21">
        <v>1987068</v>
      </c>
      <c r="AK490" s="21">
        <v>2132682</v>
      </c>
      <c r="AL490" s="21">
        <v>1142369</v>
      </c>
      <c r="AM490" s="21">
        <v>1224233</v>
      </c>
      <c r="AN490" s="1058">
        <v>2445448</v>
      </c>
      <c r="AO490" s="1058">
        <v>2556937</v>
      </c>
      <c r="AP490" s="1058">
        <v>2808206</v>
      </c>
      <c r="AQ490" s="1058">
        <v>2808206</v>
      </c>
      <c r="AR490" s="1044"/>
      <c r="AS490" s="1044"/>
    </row>
    <row r="491" spans="2:45" hidden="1" outlineLevel="1">
      <c r="C491" s="816" t="s">
        <v>2</v>
      </c>
      <c r="D491" s="9"/>
      <c r="E491" s="20" t="s">
        <v>1443</v>
      </c>
      <c r="F491" s="20"/>
      <c r="G491" s="20"/>
      <c r="H491" s="20"/>
      <c r="I491" s="20"/>
      <c r="J491" s="20"/>
      <c r="K491" s="20"/>
      <c r="L491" s="20"/>
      <c r="M491" s="20"/>
      <c r="N491" s="20"/>
      <c r="O491" s="20"/>
      <c r="P491" s="20"/>
      <c r="Q491" s="20"/>
      <c r="R491" s="20"/>
      <c r="S491" s="20"/>
      <c r="T491" s="20"/>
      <c r="U491" s="20"/>
      <c r="V491" s="20"/>
      <c r="W491" s="20"/>
      <c r="X491" s="20"/>
      <c r="Y491" s="20"/>
      <c r="Z491" s="20"/>
      <c r="AA491" s="20"/>
      <c r="AB491" s="12"/>
      <c r="AC491" s="12"/>
      <c r="AD491" s="12">
        <v>1104330</v>
      </c>
      <c r="AE491" s="12">
        <v>1104330</v>
      </c>
      <c r="AF491" s="12">
        <v>1177972</v>
      </c>
      <c r="AG491" s="12">
        <v>1258074</v>
      </c>
      <c r="AH491" s="12">
        <v>1086553</v>
      </c>
      <c r="AI491" s="12">
        <v>1145428</v>
      </c>
      <c r="AJ491" s="21">
        <v>1155284</v>
      </c>
      <c r="AK491" s="21">
        <v>1239920</v>
      </c>
      <c r="AL491" s="21">
        <v>3124827</v>
      </c>
      <c r="AM491" s="21">
        <v>3348463</v>
      </c>
      <c r="AN491" s="1058">
        <v>1104598</v>
      </c>
      <c r="AO491" s="1058">
        <v>1154942</v>
      </c>
      <c r="AP491" s="1058">
        <v>1330224</v>
      </c>
      <c r="AQ491" s="1058">
        <v>1330224</v>
      </c>
      <c r="AR491" s="1044"/>
      <c r="AS491" s="1044"/>
    </row>
    <row r="492" spans="2:45" hidden="1" outlineLevel="1">
      <c r="C492" s="816" t="s">
        <v>2</v>
      </c>
      <c r="D492" s="9"/>
      <c r="E492" s="20" t="s">
        <v>1445</v>
      </c>
      <c r="F492" s="20"/>
      <c r="G492" s="20"/>
      <c r="H492" s="20"/>
      <c r="I492" s="20"/>
      <c r="J492" s="20"/>
      <c r="K492" s="20"/>
      <c r="L492" s="20"/>
      <c r="M492" s="20"/>
      <c r="N492" s="20"/>
      <c r="O492" s="20"/>
      <c r="P492" s="20"/>
      <c r="Q492" s="20"/>
      <c r="R492" s="20"/>
      <c r="S492" s="20"/>
      <c r="T492" s="20"/>
      <c r="U492" s="20"/>
      <c r="V492" s="20"/>
      <c r="W492" s="20"/>
      <c r="X492" s="20"/>
      <c r="Y492" s="20"/>
      <c r="Z492" s="20"/>
      <c r="AA492" s="20"/>
      <c r="AB492" s="12"/>
      <c r="AC492" s="12"/>
      <c r="AD492" s="12">
        <v>2437158</v>
      </c>
      <c r="AE492" s="12">
        <v>2437158</v>
      </c>
      <c r="AF492" s="12">
        <v>2583047</v>
      </c>
      <c r="AG492" s="12">
        <v>2758694</v>
      </c>
      <c r="AH492" s="12">
        <v>2258338</v>
      </c>
      <c r="AI492" s="12">
        <v>2380707</v>
      </c>
      <c r="AJ492" s="21">
        <v>2719497</v>
      </c>
      <c r="AK492" s="21">
        <v>2918757</v>
      </c>
      <c r="AL492" s="21">
        <v>4424830</v>
      </c>
      <c r="AM492" s="21">
        <v>4741989</v>
      </c>
      <c r="AN492" s="1058">
        <v>3042400</v>
      </c>
      <c r="AO492" s="1058">
        <v>3180828</v>
      </c>
      <c r="AP492" s="1058">
        <v>3392035</v>
      </c>
      <c r="AQ492" s="1058">
        <v>3392035</v>
      </c>
      <c r="AR492" s="1044"/>
      <c r="AS492" s="1044"/>
    </row>
    <row r="493" spans="2:45" hidden="1" outlineLevel="1">
      <c r="C493" s="816" t="s">
        <v>2</v>
      </c>
      <c r="D493" s="9"/>
      <c r="E493" s="20" t="s">
        <v>1444</v>
      </c>
      <c r="F493" s="20"/>
      <c r="G493" s="20"/>
      <c r="H493" s="20"/>
      <c r="I493" s="20"/>
      <c r="J493" s="20"/>
      <c r="K493" s="20"/>
      <c r="L493" s="20"/>
      <c r="M493" s="20"/>
      <c r="N493" s="20"/>
      <c r="O493" s="20"/>
      <c r="P493" s="20"/>
      <c r="Q493" s="20"/>
      <c r="R493" s="20"/>
      <c r="S493" s="20"/>
      <c r="T493" s="20"/>
      <c r="U493" s="20"/>
      <c r="V493" s="20"/>
      <c r="W493" s="20"/>
      <c r="X493" s="20"/>
      <c r="Y493" s="20"/>
      <c r="Z493" s="20"/>
      <c r="AA493" s="20"/>
      <c r="AB493" s="12"/>
      <c r="AC493" s="12"/>
      <c r="AD493" s="12">
        <v>375982</v>
      </c>
      <c r="AE493" s="12">
        <v>375982</v>
      </c>
      <c r="AF493" s="12">
        <v>389495</v>
      </c>
      <c r="AG493" s="12">
        <v>415981</v>
      </c>
      <c r="AH493" s="12">
        <v>405574</v>
      </c>
      <c r="AI493" s="12">
        <v>427550</v>
      </c>
      <c r="AJ493" s="21">
        <v>426047</v>
      </c>
      <c r="AK493" s="21">
        <v>457235</v>
      </c>
      <c r="AL493" s="21">
        <v>673215</v>
      </c>
      <c r="AM493" s="21">
        <v>721485</v>
      </c>
      <c r="AN493" s="1058">
        <v>483836</v>
      </c>
      <c r="AO493" s="1058">
        <v>505910</v>
      </c>
      <c r="AP493" s="1058">
        <v>551937</v>
      </c>
      <c r="AQ493" s="1058">
        <v>551937</v>
      </c>
      <c r="AR493" s="1044"/>
      <c r="AS493" s="1044"/>
    </row>
    <row r="494" spans="2:45" s="817" customFormat="1" hidden="1" outlineLevel="1">
      <c r="B494" s="818"/>
      <c r="C494" s="824" t="s">
        <v>2</v>
      </c>
      <c r="D494" s="819"/>
      <c r="E494" s="825" t="s">
        <v>1852</v>
      </c>
      <c r="F494" s="821"/>
      <c r="G494" s="821"/>
      <c r="H494" s="821"/>
      <c r="I494" s="821"/>
      <c r="J494" s="821"/>
      <c r="K494" s="821"/>
      <c r="L494" s="821"/>
      <c r="M494" s="821"/>
      <c r="N494" s="821"/>
      <c r="O494" s="821"/>
      <c r="P494" s="821"/>
      <c r="Q494" s="821"/>
      <c r="R494" s="821"/>
      <c r="S494" s="821"/>
      <c r="T494" s="821"/>
      <c r="U494" s="821"/>
      <c r="V494" s="821"/>
      <c r="W494" s="821"/>
      <c r="X494" s="821"/>
      <c r="Y494" s="821"/>
      <c r="Z494" s="821"/>
      <c r="AA494" s="821"/>
      <c r="AB494" s="820"/>
      <c r="AC494" s="820"/>
      <c r="AD494" s="820"/>
      <c r="AE494" s="820"/>
      <c r="AF494" s="820"/>
      <c r="AG494" s="820"/>
      <c r="AH494" s="820"/>
      <c r="AI494" s="820"/>
      <c r="AJ494" s="822"/>
      <c r="AK494" s="822"/>
      <c r="AL494" s="822"/>
      <c r="AM494" s="822"/>
      <c r="AN494" s="1058">
        <v>218791</v>
      </c>
      <c r="AO494" s="1058">
        <v>228775</v>
      </c>
      <c r="AP494" s="1058">
        <v>361312</v>
      </c>
      <c r="AQ494" s="1058">
        <v>361312</v>
      </c>
      <c r="AR494" s="1044"/>
      <c r="AS494" s="1044"/>
    </row>
    <row r="495" spans="2:45" s="817" customFormat="1" ht="13.5" hidden="1" customHeight="1" outlineLevel="1">
      <c r="B495" s="818"/>
      <c r="C495" s="824" t="s">
        <v>2</v>
      </c>
      <c r="D495" s="819"/>
      <c r="E495" s="825" t="s">
        <v>1853</v>
      </c>
      <c r="F495" s="821"/>
      <c r="G495" s="821"/>
      <c r="H495" s="821"/>
      <c r="I495" s="821"/>
      <c r="J495" s="821"/>
      <c r="K495" s="821"/>
      <c r="L495" s="821"/>
      <c r="M495" s="821"/>
      <c r="N495" s="821"/>
      <c r="O495" s="821"/>
      <c r="P495" s="821"/>
      <c r="Q495" s="821"/>
      <c r="R495" s="821"/>
      <c r="S495" s="821"/>
      <c r="T495" s="821"/>
      <c r="U495" s="821"/>
      <c r="V495" s="821"/>
      <c r="W495" s="821"/>
      <c r="X495" s="821"/>
      <c r="Y495" s="821"/>
      <c r="Z495" s="821"/>
      <c r="AA495" s="821"/>
      <c r="AB495" s="820"/>
      <c r="AC495" s="820"/>
      <c r="AD495" s="820"/>
      <c r="AE495" s="820"/>
      <c r="AF495" s="820"/>
      <c r="AG495" s="820"/>
      <c r="AH495" s="820"/>
      <c r="AI495" s="820"/>
      <c r="AJ495" s="822"/>
      <c r="AK495" s="822"/>
      <c r="AL495" s="822"/>
      <c r="AM495" s="822"/>
      <c r="AN495" s="1058">
        <v>177003</v>
      </c>
      <c r="AO495" s="1058">
        <v>185026</v>
      </c>
      <c r="AP495" s="1058">
        <v>254770</v>
      </c>
      <c r="AQ495" s="1058">
        <v>254770</v>
      </c>
      <c r="AR495" s="1044"/>
      <c r="AS495" s="1044"/>
    </row>
    <row r="496" spans="2:45" hidden="1" outlineLevel="1">
      <c r="C496" s="816" t="s">
        <v>2</v>
      </c>
      <c r="D496" s="9"/>
      <c r="E496" s="20" t="s">
        <v>1441</v>
      </c>
      <c r="F496" s="20"/>
      <c r="G496" s="20"/>
      <c r="H496" s="20"/>
      <c r="I496" s="20"/>
      <c r="J496" s="20"/>
      <c r="K496" s="20"/>
      <c r="L496" s="20"/>
      <c r="M496" s="20"/>
      <c r="N496" s="20"/>
      <c r="O496" s="20"/>
      <c r="P496" s="20"/>
      <c r="Q496" s="20"/>
      <c r="R496" s="20"/>
      <c r="S496" s="20"/>
      <c r="T496" s="20"/>
      <c r="U496" s="20"/>
      <c r="V496" s="20"/>
      <c r="W496" s="20"/>
      <c r="X496" s="20"/>
      <c r="Y496" s="20"/>
      <c r="Z496" s="20"/>
      <c r="AA496" s="20"/>
      <c r="AB496" s="12"/>
      <c r="AC496" s="12"/>
      <c r="AD496" s="12">
        <v>2686042</v>
      </c>
      <c r="AE496" s="12">
        <v>2686042</v>
      </c>
      <c r="AF496" s="12">
        <v>2975795</v>
      </c>
      <c r="AG496" s="12">
        <v>3178149</v>
      </c>
      <c r="AH496" s="12">
        <v>2843826</v>
      </c>
      <c r="AI496" s="12">
        <v>2997919</v>
      </c>
      <c r="AJ496" s="21">
        <v>3640555</v>
      </c>
      <c r="AK496" s="21">
        <v>3907408</v>
      </c>
      <c r="AL496" s="21">
        <v>2287224</v>
      </c>
      <c r="AM496" s="21">
        <v>2451106</v>
      </c>
      <c r="AN496" s="1058">
        <v>8057878</v>
      </c>
      <c r="AO496" s="1058">
        <v>8425485</v>
      </c>
      <c r="AP496" s="1058">
        <v>5465338</v>
      </c>
      <c r="AQ496" s="1058">
        <v>5465338</v>
      </c>
      <c r="AR496" s="1044"/>
      <c r="AS496" s="1044"/>
    </row>
    <row r="497" spans="3:45" hidden="1" outlineLevel="1">
      <c r="C497" s="816" t="s">
        <v>2</v>
      </c>
      <c r="D497" s="9"/>
      <c r="E497" s="592" t="s">
        <v>1431</v>
      </c>
      <c r="F497" s="20"/>
      <c r="G497" s="20"/>
      <c r="H497" s="20"/>
      <c r="I497" s="20"/>
      <c r="J497" s="20"/>
      <c r="K497" s="20"/>
      <c r="L497" s="20"/>
      <c r="M497" s="20"/>
      <c r="N497" s="20"/>
      <c r="O497" s="20"/>
      <c r="P497" s="20"/>
      <c r="Q497" s="20"/>
      <c r="R497" s="20"/>
      <c r="S497" s="20"/>
      <c r="T497" s="20"/>
      <c r="U497" s="20"/>
      <c r="V497" s="20"/>
      <c r="W497" s="20"/>
      <c r="X497" s="20"/>
      <c r="Y497" s="20"/>
      <c r="Z497" s="20"/>
      <c r="AA497" s="20"/>
      <c r="AB497" s="12"/>
      <c r="AC497" s="12"/>
      <c r="AD497" s="12">
        <v>497486</v>
      </c>
      <c r="AE497" s="12">
        <v>497486</v>
      </c>
      <c r="AF497" s="12">
        <v>762899</v>
      </c>
      <c r="AG497" s="12">
        <v>814776</v>
      </c>
      <c r="AH497" s="12">
        <v>467595</v>
      </c>
      <c r="AI497" s="12">
        <v>492932</v>
      </c>
      <c r="AJ497" s="24">
        <v>1994536</v>
      </c>
      <c r="AK497" s="24">
        <v>2140630</v>
      </c>
      <c r="AL497" s="24">
        <v>2408152</v>
      </c>
      <c r="AM497" s="24">
        <v>2580610</v>
      </c>
      <c r="AN497" s="1061">
        <v>3710601</v>
      </c>
      <c r="AO497" s="1058">
        <v>3879565</v>
      </c>
      <c r="AP497" s="1058">
        <v>1052832</v>
      </c>
      <c r="AQ497" s="1058">
        <v>1052832</v>
      </c>
      <c r="AR497" s="1044"/>
      <c r="AS497" s="1044"/>
    </row>
    <row r="498" spans="3:45" hidden="1" outlineLevel="1">
      <c r="C498" s="816" t="s">
        <v>2</v>
      </c>
      <c r="D498" s="9"/>
      <c r="E498" s="592" t="s">
        <v>1432</v>
      </c>
      <c r="F498" s="20"/>
      <c r="G498" s="20"/>
      <c r="H498" s="20"/>
      <c r="I498" s="20"/>
      <c r="J498" s="20"/>
      <c r="K498" s="20"/>
      <c r="L498" s="20"/>
      <c r="M498" s="20"/>
      <c r="N498" s="20"/>
      <c r="O498" s="20"/>
      <c r="P498" s="20"/>
      <c r="Q498" s="20"/>
      <c r="R498" s="20"/>
      <c r="S498" s="20"/>
      <c r="T498" s="20"/>
      <c r="U498" s="20"/>
      <c r="V498" s="20"/>
      <c r="W498" s="20"/>
      <c r="X498" s="20"/>
      <c r="Y498" s="20"/>
      <c r="Z498" s="20"/>
      <c r="AA498" s="20"/>
      <c r="AB498" s="12"/>
      <c r="AC498" s="12"/>
      <c r="AD498" s="12">
        <v>498829</v>
      </c>
      <c r="AE498" s="12">
        <v>498829</v>
      </c>
      <c r="AF498" s="12">
        <v>656132</v>
      </c>
      <c r="AG498" s="12">
        <v>700749</v>
      </c>
      <c r="AH498" s="12">
        <v>610756</v>
      </c>
      <c r="AI498" s="12">
        <v>643850</v>
      </c>
      <c r="AJ498" s="394">
        <f>560260+3</f>
        <v>560263</v>
      </c>
      <c r="AK498" s="394">
        <f>601327-1</f>
        <v>601326</v>
      </c>
      <c r="AL498" s="394">
        <v>705147</v>
      </c>
      <c r="AM498" s="394">
        <v>755705</v>
      </c>
      <c r="AN498" s="859">
        <v>703537</v>
      </c>
      <c r="AO498" s="859">
        <v>735634</v>
      </c>
      <c r="AP498" s="859">
        <v>742381</v>
      </c>
      <c r="AQ498" s="859">
        <v>742381</v>
      </c>
      <c r="AR498" s="1044"/>
      <c r="AS498" s="1044"/>
    </row>
    <row r="499" spans="3:45" hidden="1" outlineLevel="1">
      <c r="C499" s="816" t="s">
        <v>2</v>
      </c>
      <c r="D499" s="9"/>
      <c r="E499" s="226" t="s">
        <v>77</v>
      </c>
      <c r="F499" s="23"/>
      <c r="G499" s="23"/>
      <c r="H499" s="23"/>
      <c r="I499" s="23"/>
      <c r="J499" s="23"/>
      <c r="K499" s="23"/>
      <c r="L499" s="23"/>
      <c r="M499" s="23"/>
      <c r="N499" s="23"/>
      <c r="O499" s="23"/>
      <c r="P499" s="23"/>
      <c r="Q499" s="23"/>
      <c r="R499" s="23"/>
      <c r="S499" s="23"/>
      <c r="T499" s="23"/>
      <c r="U499" s="23"/>
      <c r="V499" s="23"/>
      <c r="W499" s="23"/>
      <c r="X499" s="23"/>
      <c r="Y499" s="23"/>
      <c r="Z499" s="23"/>
      <c r="AA499" s="23"/>
      <c r="AB499" s="34"/>
      <c r="AC499" s="34"/>
      <c r="AD499" s="34">
        <v>156504258</v>
      </c>
      <c r="AE499" s="34">
        <v>2524459</v>
      </c>
      <c r="AF499" s="34">
        <f>156290646+2489341</f>
        <v>158779987</v>
      </c>
      <c r="AG499" s="34">
        <f>166918409+2658616</f>
        <v>169577025</v>
      </c>
      <c r="AH499" s="34">
        <f>95089990+1492481</f>
        <v>96582471</v>
      </c>
      <c r="AI499" s="34">
        <f>100242458+1573351</f>
        <v>101815809</v>
      </c>
      <c r="AJ499" s="230">
        <f>136322615+1663990</f>
        <v>137986605</v>
      </c>
      <c r="AK499" s="230">
        <f>146315063+1785965</f>
        <v>148101028</v>
      </c>
      <c r="AL499" s="230">
        <v>153911789</v>
      </c>
      <c r="AM499" s="230">
        <v>164932067</v>
      </c>
      <c r="AN499" s="920">
        <v>178406837</v>
      </c>
      <c r="AO499" s="920">
        <v>186532234</v>
      </c>
      <c r="AP499" s="920">
        <v>184094737</v>
      </c>
      <c r="AQ499" s="920">
        <v>184094737</v>
      </c>
      <c r="AR499" s="1044"/>
      <c r="AS499" s="1044"/>
    </row>
    <row r="500" spans="3:45" hidden="1" outlineLevel="1">
      <c r="C500" s="816" t="s">
        <v>2</v>
      </c>
      <c r="D500" s="9"/>
      <c r="E500" s="20" t="s">
        <v>155</v>
      </c>
      <c r="F500" s="20"/>
      <c r="G500" s="20"/>
      <c r="H500" s="20"/>
      <c r="I500" s="20"/>
      <c r="J500" s="20"/>
      <c r="K500" s="20"/>
      <c r="L500" s="20"/>
      <c r="M500" s="20"/>
      <c r="N500" s="20"/>
      <c r="O500" s="20"/>
      <c r="P500" s="20"/>
      <c r="Q500" s="20"/>
      <c r="R500" s="20"/>
      <c r="S500" s="20"/>
      <c r="T500" s="20"/>
      <c r="U500" s="20"/>
      <c r="V500" s="20"/>
      <c r="W500" s="20"/>
      <c r="X500" s="20"/>
      <c r="Y500" s="20"/>
      <c r="Z500" s="20"/>
      <c r="AA500" s="20"/>
      <c r="AB500" s="12"/>
      <c r="AC500" s="12"/>
      <c r="AD500" s="12">
        <v>722150</v>
      </c>
      <c r="AE500" s="12">
        <v>729372</v>
      </c>
      <c r="AF500" s="12">
        <v>500000</v>
      </c>
      <c r="AG500" s="12">
        <v>500000</v>
      </c>
      <c r="AH500" s="12">
        <v>0</v>
      </c>
      <c r="AI500" s="12">
        <v>0</v>
      </c>
      <c r="AJ500" s="21">
        <v>0</v>
      </c>
      <c r="AK500" s="21">
        <v>0</v>
      </c>
      <c r="AL500" s="21">
        <v>0</v>
      </c>
      <c r="AM500" s="21">
        <v>0</v>
      </c>
      <c r="AN500" s="831">
        <v>0</v>
      </c>
      <c r="AO500" s="831">
        <v>0</v>
      </c>
      <c r="AP500" s="1058"/>
      <c r="AQ500" s="1058"/>
      <c r="AR500" s="1044"/>
      <c r="AS500" s="1044"/>
    </row>
    <row r="501" spans="3:45" hidden="1" outlineLevel="1">
      <c r="C501" s="816" t="s">
        <v>2</v>
      </c>
      <c r="D501" s="9"/>
      <c r="E501" s="20" t="s">
        <v>156</v>
      </c>
      <c r="F501" s="20"/>
      <c r="G501" s="20"/>
      <c r="H501" s="20"/>
      <c r="I501" s="20"/>
      <c r="J501" s="20"/>
      <c r="K501" s="20"/>
      <c r="L501" s="20"/>
      <c r="M501" s="20"/>
      <c r="N501" s="20"/>
      <c r="O501" s="20"/>
      <c r="P501" s="20"/>
      <c r="Q501" s="20"/>
      <c r="R501" s="20"/>
      <c r="S501" s="20"/>
      <c r="T501" s="20"/>
      <c r="U501" s="20"/>
      <c r="V501" s="20"/>
      <c r="W501" s="20"/>
      <c r="X501" s="20"/>
      <c r="Y501" s="20"/>
      <c r="Z501" s="20"/>
      <c r="AA501" s="20"/>
      <c r="AB501" s="12"/>
      <c r="AC501" s="12"/>
      <c r="AD501" s="12">
        <v>0</v>
      </c>
      <c r="AE501" s="12">
        <v>0</v>
      </c>
      <c r="AF501" s="12">
        <v>108734</v>
      </c>
      <c r="AG501" s="12">
        <v>108734</v>
      </c>
      <c r="AH501" s="12">
        <v>0</v>
      </c>
      <c r="AI501" s="12">
        <v>0</v>
      </c>
      <c r="AJ501" s="21">
        <v>0</v>
      </c>
      <c r="AK501" s="21">
        <v>0</v>
      </c>
      <c r="AL501" s="21">
        <v>0</v>
      </c>
      <c r="AM501" s="21">
        <v>0</v>
      </c>
      <c r="AN501" s="831">
        <v>0</v>
      </c>
      <c r="AO501" s="831">
        <v>0</v>
      </c>
      <c r="AP501" s="1058"/>
      <c r="AQ501" s="1058"/>
      <c r="AR501" s="1044"/>
      <c r="AS501" s="1044"/>
    </row>
    <row r="502" spans="3:45" hidden="1" outlineLevel="1">
      <c r="C502" s="816" t="s">
        <v>2</v>
      </c>
      <c r="D502" s="9"/>
      <c r="E502" s="27" t="s">
        <v>157</v>
      </c>
      <c r="F502" s="27"/>
      <c r="G502" s="27"/>
      <c r="H502" s="27"/>
      <c r="I502" s="27"/>
      <c r="J502" s="27"/>
      <c r="K502" s="27"/>
      <c r="L502" s="27"/>
      <c r="M502" s="27"/>
      <c r="N502" s="27"/>
      <c r="O502" s="27"/>
      <c r="P502" s="27"/>
      <c r="Q502" s="27"/>
      <c r="R502" s="27"/>
      <c r="S502" s="27"/>
      <c r="T502" s="27"/>
      <c r="U502" s="27"/>
      <c r="V502" s="27"/>
      <c r="W502" s="27"/>
      <c r="X502" s="27"/>
      <c r="Y502" s="27"/>
      <c r="Z502" s="27"/>
      <c r="AA502" s="27"/>
      <c r="AB502" s="34"/>
      <c r="AC502" s="34"/>
      <c r="AD502" s="34">
        <v>503468404</v>
      </c>
      <c r="AE502" s="34">
        <v>349495827</v>
      </c>
      <c r="AF502" s="34">
        <v>543728398</v>
      </c>
      <c r="AG502" s="34">
        <v>580660537</v>
      </c>
      <c r="AH502" s="34">
        <v>471701364</v>
      </c>
      <c r="AI502" s="34">
        <f>497260586-1400437</f>
        <v>495860149</v>
      </c>
      <c r="AJ502" s="45">
        <f>575342413</f>
        <v>575342413</v>
      </c>
      <c r="AK502" s="45">
        <f>617492231</f>
        <v>617492231</v>
      </c>
      <c r="AL502" s="45">
        <f t="shared" ref="AL502:AQ502" si="19">SUM(AL425:AL501)</f>
        <v>665110413</v>
      </c>
      <c r="AM502" s="45">
        <f t="shared" si="19"/>
        <v>712776657</v>
      </c>
      <c r="AN502" s="832">
        <f t="shared" si="19"/>
        <v>690375295</v>
      </c>
      <c r="AO502" s="832">
        <f t="shared" si="19"/>
        <v>721852872</v>
      </c>
      <c r="AP502" s="983">
        <f t="shared" si="19"/>
        <v>708935833</v>
      </c>
      <c r="AQ502" s="983">
        <f t="shared" si="19"/>
        <v>708935830</v>
      </c>
      <c r="AR502" s="1044"/>
      <c r="AS502" s="1044"/>
    </row>
    <row r="503" spans="3:45" hidden="1" outlineLevel="1">
      <c r="C503" s="816"/>
      <c r="D503" s="9"/>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12"/>
      <c r="AC503" s="12"/>
      <c r="AD503" s="12"/>
      <c r="AE503" s="12"/>
      <c r="AF503" s="12"/>
      <c r="AG503" s="12"/>
      <c r="AH503" s="12"/>
      <c r="AI503" s="12"/>
      <c r="AJ503" s="21"/>
      <c r="AK503" s="21"/>
      <c r="AL503" s="21"/>
      <c r="AM503" s="21"/>
      <c r="AP503" s="1044"/>
      <c r="AR503" s="1044"/>
      <c r="AS503" s="1044"/>
    </row>
    <row r="504" spans="3:45" collapsed="1">
      <c r="C504" s="816" t="s">
        <v>1939</v>
      </c>
      <c r="D504" s="25"/>
      <c r="E504" s="6"/>
      <c r="F504" s="30"/>
      <c r="G504" s="30"/>
      <c r="H504" s="30"/>
      <c r="I504" s="30"/>
      <c r="J504" s="30"/>
      <c r="K504" s="30"/>
      <c r="L504" s="30"/>
      <c r="M504" s="30"/>
      <c r="N504" s="30"/>
      <c r="O504" s="30"/>
      <c r="P504" s="30"/>
      <c r="Q504" s="30"/>
      <c r="R504" s="30"/>
      <c r="S504" s="30"/>
      <c r="T504" s="30"/>
      <c r="U504" s="30"/>
      <c r="V504" s="30"/>
      <c r="W504" s="30"/>
      <c r="X504" s="1311" t="s">
        <v>1653</v>
      </c>
      <c r="Y504" s="1312"/>
      <c r="Z504" s="30"/>
      <c r="AA504" s="30"/>
      <c r="AB504" s="30"/>
      <c r="AC504" s="30"/>
      <c r="AD504" s="1300" t="s">
        <v>159</v>
      </c>
      <c r="AE504" s="1314"/>
      <c r="AF504" s="1300" t="s">
        <v>159</v>
      </c>
      <c r="AG504" s="1314"/>
      <c r="AH504" s="1300" t="s">
        <v>159</v>
      </c>
      <c r="AI504" s="1314"/>
      <c r="AJ504" s="1300" t="s">
        <v>159</v>
      </c>
      <c r="AK504" s="1314"/>
      <c r="AL504" s="1300" t="s">
        <v>159</v>
      </c>
      <c r="AM504" s="1314"/>
      <c r="AN504" s="1300" t="s">
        <v>159</v>
      </c>
      <c r="AO504" s="1314"/>
      <c r="AP504" s="1302" t="s">
        <v>159</v>
      </c>
      <c r="AQ504" s="1303"/>
      <c r="AR504" s="1044"/>
      <c r="AS504" s="1044"/>
    </row>
    <row r="505" spans="3:45" hidden="1" outlineLevel="1">
      <c r="C505" s="9" t="s">
        <v>16</v>
      </c>
      <c r="D505" s="9"/>
      <c r="E505" s="32" t="s">
        <v>160</v>
      </c>
      <c r="F505" s="32"/>
      <c r="G505" s="32"/>
      <c r="H505" s="32"/>
      <c r="I505" s="32"/>
      <c r="J505" s="32"/>
      <c r="K505" s="32"/>
      <c r="L505" s="32"/>
      <c r="M505" s="32"/>
      <c r="N505" s="32"/>
      <c r="O505" s="32"/>
      <c r="P505" s="32"/>
      <c r="Q505" s="32"/>
      <c r="R505" s="32"/>
      <c r="S505" s="32"/>
      <c r="T505" s="32"/>
      <c r="U505" s="32"/>
      <c r="V505" s="32"/>
      <c r="W505" s="32"/>
      <c r="X505" s="32"/>
      <c r="Y505" s="32"/>
      <c r="Z505" s="32"/>
      <c r="AA505" s="32"/>
      <c r="AB505" s="12"/>
      <c r="AC505" s="12"/>
      <c r="AD505" s="12">
        <v>784528</v>
      </c>
      <c r="AE505" s="12">
        <v>796642</v>
      </c>
      <c r="AF505" s="12">
        <v>809830</v>
      </c>
      <c r="AG505" s="12">
        <v>821977</v>
      </c>
      <c r="AH505" s="12">
        <v>1009141</v>
      </c>
      <c r="AI505" s="12">
        <v>1090670</v>
      </c>
      <c r="AJ505" s="33">
        <v>958948</v>
      </c>
      <c r="AK505" s="33">
        <v>1092050</v>
      </c>
      <c r="AL505" s="33">
        <v>996863</v>
      </c>
      <c r="AM505" s="33">
        <v>1001848</v>
      </c>
      <c r="AN505" s="838">
        <v>1356830</v>
      </c>
      <c r="AO505" s="838">
        <v>1356830</v>
      </c>
      <c r="AP505" s="876">
        <v>1422421</v>
      </c>
      <c r="AQ505" s="876">
        <v>1429533</v>
      </c>
      <c r="AR505" s="1044"/>
      <c r="AS505" s="1044"/>
    </row>
    <row r="506" spans="3:45" hidden="1" outlineLevel="1">
      <c r="C506" s="9" t="s">
        <v>16</v>
      </c>
      <c r="D506" s="223" t="s">
        <v>958</v>
      </c>
      <c r="E506" s="592" t="s">
        <v>1428</v>
      </c>
      <c r="F506" s="20"/>
      <c r="G506" s="20"/>
      <c r="H506" s="20"/>
      <c r="I506" s="20"/>
      <c r="J506" s="20"/>
      <c r="K506" s="20"/>
      <c r="L506" s="20"/>
      <c r="M506" s="20"/>
      <c r="N506" s="20"/>
      <c r="O506" s="20"/>
      <c r="P506" s="20"/>
      <c r="Q506" s="20"/>
      <c r="R506" s="20"/>
      <c r="S506" s="20"/>
      <c r="T506" s="20"/>
      <c r="U506" s="20"/>
      <c r="V506" s="20"/>
      <c r="W506" s="20"/>
      <c r="X506" s="20"/>
      <c r="Y506" s="20"/>
      <c r="Z506" s="20"/>
      <c r="AA506" s="20"/>
      <c r="AB506" s="12"/>
      <c r="AC506" s="12"/>
      <c r="AD506" s="12">
        <v>1435005</v>
      </c>
      <c r="AE506" s="12">
        <v>1486829</v>
      </c>
      <c r="AF506" s="12">
        <v>515043</v>
      </c>
      <c r="AG506" s="12">
        <v>530494</v>
      </c>
      <c r="AH506" s="12">
        <v>488010</v>
      </c>
      <c r="AI506" s="12">
        <v>514830</v>
      </c>
      <c r="AJ506" s="21">
        <v>967474</v>
      </c>
      <c r="AK506" s="21">
        <v>1006463</v>
      </c>
      <c r="AL506" s="21">
        <v>1536200</v>
      </c>
      <c r="AM506" s="21">
        <v>1597647</v>
      </c>
      <c r="AN506" s="837">
        <v>590993</v>
      </c>
      <c r="AO506" s="837">
        <v>647780</v>
      </c>
      <c r="AP506" s="1058">
        <v>0</v>
      </c>
      <c r="AQ506" s="1058">
        <v>0</v>
      </c>
      <c r="AR506" s="1044"/>
      <c r="AS506" s="1044"/>
    </row>
    <row r="507" spans="3:45" hidden="1" outlineLevel="1">
      <c r="C507" s="9" t="s">
        <v>16</v>
      </c>
      <c r="D507" s="223" t="s">
        <v>836</v>
      </c>
      <c r="E507" s="20" t="s">
        <v>754</v>
      </c>
      <c r="F507" s="20"/>
      <c r="G507" s="20"/>
      <c r="H507" s="20"/>
      <c r="I507" s="20"/>
      <c r="J507" s="20"/>
      <c r="K507" s="20"/>
      <c r="L507" s="20"/>
      <c r="M507" s="20"/>
      <c r="N507" s="20"/>
      <c r="O507" s="20"/>
      <c r="P507" s="20"/>
      <c r="Q507" s="20"/>
      <c r="R507" s="20"/>
      <c r="S507" s="20"/>
      <c r="T507" s="20"/>
      <c r="U507" s="20"/>
      <c r="V507" s="20"/>
      <c r="W507" s="20"/>
      <c r="X507" s="20"/>
      <c r="Y507" s="20"/>
      <c r="Z507" s="20"/>
      <c r="AA507" s="20"/>
      <c r="AB507" s="12"/>
      <c r="AC507" s="12"/>
      <c r="AD507" s="12">
        <v>7452012</v>
      </c>
      <c r="AE507" s="12">
        <v>7713154</v>
      </c>
      <c r="AF507" s="12">
        <v>7627885</v>
      </c>
      <c r="AG507" s="12">
        <v>7997492</v>
      </c>
      <c r="AH507" s="12">
        <v>6815531</v>
      </c>
      <c r="AI507" s="12">
        <v>7190093</v>
      </c>
      <c r="AJ507" s="21">
        <v>7933804</v>
      </c>
      <c r="AK507" s="21">
        <v>8367995</v>
      </c>
      <c r="AL507" s="21">
        <v>8854885</v>
      </c>
      <c r="AM507" s="21">
        <v>9120532</v>
      </c>
      <c r="AN507" s="837">
        <v>7732918</v>
      </c>
      <c r="AO507" s="837">
        <v>7884210</v>
      </c>
      <c r="AP507" s="1058">
        <v>9658509</v>
      </c>
      <c r="AQ507" s="1058">
        <v>9871388</v>
      </c>
      <c r="AR507" s="1044"/>
      <c r="AS507" s="1044"/>
    </row>
    <row r="508" spans="3:45" hidden="1" outlineLevel="1">
      <c r="C508" s="9" t="s">
        <v>16</v>
      </c>
      <c r="D508" s="223" t="s">
        <v>836</v>
      </c>
      <c r="E508" s="224" t="s">
        <v>749</v>
      </c>
      <c r="F508" s="20"/>
      <c r="G508" s="20"/>
      <c r="H508" s="20"/>
      <c r="I508" s="20"/>
      <c r="J508" s="20"/>
      <c r="K508" s="20"/>
      <c r="L508" s="20"/>
      <c r="M508" s="20"/>
      <c r="N508" s="20"/>
      <c r="O508" s="20"/>
      <c r="P508" s="20"/>
      <c r="Q508" s="20"/>
      <c r="R508" s="20"/>
      <c r="S508" s="20"/>
      <c r="T508" s="20"/>
      <c r="U508" s="20"/>
      <c r="V508" s="20"/>
      <c r="W508" s="20"/>
      <c r="X508" s="20"/>
      <c r="Y508" s="20"/>
      <c r="Z508" s="20"/>
      <c r="AA508" s="20"/>
      <c r="AB508" s="12"/>
      <c r="AC508" s="12"/>
      <c r="AD508" s="12">
        <v>39324747</v>
      </c>
      <c r="AE508" s="12">
        <v>40742927</v>
      </c>
      <c r="AF508" s="12">
        <v>25892998</v>
      </c>
      <c r="AG508" s="12">
        <v>27207676</v>
      </c>
      <c r="AH508" s="12">
        <v>20389514</v>
      </c>
      <c r="AI508" s="12">
        <v>21510063</v>
      </c>
      <c r="AJ508" s="21">
        <v>23374041</v>
      </c>
      <c r="AK508" s="21">
        <v>24486111</v>
      </c>
      <c r="AL508" s="21">
        <v>16930134</v>
      </c>
      <c r="AM508" s="21">
        <v>17097134</v>
      </c>
      <c r="AN508" s="837">
        <v>24505552</v>
      </c>
      <c r="AO508" s="837">
        <v>24593720</v>
      </c>
      <c r="AP508" s="1058">
        <v>18312376</v>
      </c>
      <c r="AQ508" s="1058">
        <v>18513828</v>
      </c>
      <c r="AR508" s="1044"/>
      <c r="AS508" s="1044"/>
    </row>
    <row r="509" spans="3:45" hidden="1" outlineLevel="1">
      <c r="C509" s="9" t="s">
        <v>16</v>
      </c>
      <c r="D509" s="223" t="s">
        <v>836</v>
      </c>
      <c r="E509" s="20" t="s">
        <v>755</v>
      </c>
      <c r="F509" s="20"/>
      <c r="G509" s="20"/>
      <c r="H509" s="20"/>
      <c r="I509" s="20"/>
      <c r="J509" s="20"/>
      <c r="K509" s="20"/>
      <c r="L509" s="20"/>
      <c r="M509" s="20"/>
      <c r="N509" s="20"/>
      <c r="O509" s="20"/>
      <c r="P509" s="20"/>
      <c r="Q509" s="20"/>
      <c r="R509" s="20"/>
      <c r="S509" s="20"/>
      <c r="T509" s="20"/>
      <c r="U509" s="20"/>
      <c r="V509" s="20"/>
      <c r="W509" s="20"/>
      <c r="X509" s="20"/>
      <c r="Y509" s="20"/>
      <c r="Z509" s="20"/>
      <c r="AA509" s="20"/>
      <c r="AB509" s="12"/>
      <c r="AC509" s="12"/>
      <c r="AD509" s="12">
        <v>5750591</v>
      </c>
      <c r="AE509" s="12">
        <v>5949932</v>
      </c>
      <c r="AF509" s="12">
        <v>5919486</v>
      </c>
      <c r="AG509" s="12">
        <v>6195668</v>
      </c>
      <c r="AH509" s="12">
        <v>5411136</v>
      </c>
      <c r="AI509" s="12">
        <v>5708516</v>
      </c>
      <c r="AJ509" s="21">
        <v>6751510</v>
      </c>
      <c r="AK509" s="21">
        <v>7098294</v>
      </c>
      <c r="AL509" s="21">
        <v>8250809</v>
      </c>
      <c r="AM509" s="21">
        <v>8415825</v>
      </c>
      <c r="AN509" s="837">
        <v>9039219</v>
      </c>
      <c r="AO509" s="837">
        <v>9158974</v>
      </c>
      <c r="AP509" s="1058">
        <v>9019585</v>
      </c>
      <c r="AQ509" s="1058">
        <v>9234505</v>
      </c>
      <c r="AR509" s="1044"/>
      <c r="AS509" s="1044"/>
    </row>
    <row r="510" spans="3:45" hidden="1" outlineLevel="1">
      <c r="C510" s="9" t="s">
        <v>16</v>
      </c>
      <c r="D510" s="223" t="s">
        <v>836</v>
      </c>
      <c r="E510" s="20" t="s">
        <v>756</v>
      </c>
      <c r="F510" s="20"/>
      <c r="G510" s="20"/>
      <c r="H510" s="20"/>
      <c r="I510" s="20"/>
      <c r="J510" s="20"/>
      <c r="K510" s="20"/>
      <c r="L510" s="20"/>
      <c r="M510" s="20"/>
      <c r="N510" s="20"/>
      <c r="O510" s="20"/>
      <c r="P510" s="20"/>
      <c r="Q510" s="20"/>
      <c r="R510" s="20"/>
      <c r="S510" s="20"/>
      <c r="T510" s="20"/>
      <c r="U510" s="20"/>
      <c r="V510" s="20"/>
      <c r="W510" s="20"/>
      <c r="X510" s="20"/>
      <c r="Y510" s="20"/>
      <c r="Z510" s="20"/>
      <c r="AA510" s="20"/>
      <c r="AB510" s="12"/>
      <c r="AC510" s="12"/>
      <c r="AD510" s="12">
        <v>5181581</v>
      </c>
      <c r="AE510" s="12">
        <v>5365818</v>
      </c>
      <c r="AF510" s="12">
        <v>5589664</v>
      </c>
      <c r="AG510" s="12">
        <v>5867215</v>
      </c>
      <c r="AH510" s="12">
        <v>5330664</v>
      </c>
      <c r="AI510" s="12">
        <v>5623622</v>
      </c>
      <c r="AJ510" s="21">
        <v>6148336</v>
      </c>
      <c r="AK510" s="21">
        <v>6495268</v>
      </c>
      <c r="AL510" s="21">
        <v>6784794</v>
      </c>
      <c r="AM510" s="21">
        <v>6954414</v>
      </c>
      <c r="AN510" s="837">
        <v>7895854</v>
      </c>
      <c r="AO510" s="837">
        <v>7911596</v>
      </c>
      <c r="AP510" s="1058">
        <v>7231527</v>
      </c>
      <c r="AQ510" s="1058">
        <v>7346669</v>
      </c>
      <c r="AR510" s="1044"/>
      <c r="AS510" s="1044"/>
    </row>
    <row r="511" spans="3:45" hidden="1" outlineLevel="1">
      <c r="C511" s="9" t="s">
        <v>16</v>
      </c>
      <c r="D511" s="223" t="s">
        <v>836</v>
      </c>
      <c r="E511" s="224" t="s">
        <v>1667</v>
      </c>
      <c r="F511" s="20"/>
      <c r="G511" s="20"/>
      <c r="H511" s="20"/>
      <c r="I511" s="20"/>
      <c r="J511" s="20"/>
      <c r="K511" s="20"/>
      <c r="L511" s="20"/>
      <c r="M511" s="20"/>
      <c r="N511" s="20"/>
      <c r="O511" s="20"/>
      <c r="P511" s="20"/>
      <c r="Q511" s="20"/>
      <c r="R511" s="20"/>
      <c r="S511" s="20"/>
      <c r="T511" s="20"/>
      <c r="U511" s="20"/>
      <c r="V511" s="20"/>
      <c r="W511" s="20"/>
      <c r="X511" s="20"/>
      <c r="Y511" s="20"/>
      <c r="Z511" s="20"/>
      <c r="AA511" s="20"/>
      <c r="AB511" s="12"/>
      <c r="AC511" s="12"/>
      <c r="AD511" s="12"/>
      <c r="AE511" s="12"/>
      <c r="AF511" s="12"/>
      <c r="AG511" s="12"/>
      <c r="AH511" s="12"/>
      <c r="AI511" s="12"/>
      <c r="AJ511" s="21"/>
      <c r="AK511" s="21"/>
      <c r="AL511" s="21">
        <v>6359411</v>
      </c>
      <c r="AM511" s="21">
        <v>6359411</v>
      </c>
      <c r="AN511" s="837">
        <v>8247009</v>
      </c>
      <c r="AO511" s="837">
        <v>8338904</v>
      </c>
      <c r="AP511" s="1058">
        <v>6290411</v>
      </c>
      <c r="AQ511" s="1058">
        <v>6434813</v>
      </c>
      <c r="AR511" s="1044"/>
      <c r="AS511" s="1044"/>
    </row>
    <row r="512" spans="3:45" hidden="1" outlineLevel="1">
      <c r="C512" s="9" t="s">
        <v>16</v>
      </c>
      <c r="D512" s="223" t="s">
        <v>836</v>
      </c>
      <c r="E512" s="20" t="s">
        <v>1356</v>
      </c>
      <c r="F512" s="20"/>
      <c r="G512" s="20"/>
      <c r="H512" s="20"/>
      <c r="I512" s="20"/>
      <c r="J512" s="20"/>
      <c r="K512" s="20"/>
      <c r="L512" s="20"/>
      <c r="M512" s="20"/>
      <c r="N512" s="20"/>
      <c r="O512" s="20"/>
      <c r="P512" s="20"/>
      <c r="Q512" s="20"/>
      <c r="R512" s="20"/>
      <c r="S512" s="20"/>
      <c r="T512" s="20"/>
      <c r="U512" s="20"/>
      <c r="V512" s="20"/>
      <c r="W512" s="20"/>
      <c r="X512" s="20"/>
      <c r="Y512" s="20"/>
      <c r="Z512" s="20"/>
      <c r="AA512" s="20"/>
      <c r="AB512" s="12"/>
      <c r="AC512" s="12"/>
      <c r="AD512" s="12">
        <v>4560526</v>
      </c>
      <c r="AE512" s="12">
        <v>4721492</v>
      </c>
      <c r="AF512" s="12">
        <v>4251500</v>
      </c>
      <c r="AG512" s="12">
        <v>4468992</v>
      </c>
      <c r="AH512" s="12">
        <v>4025616</v>
      </c>
      <c r="AI512" s="12">
        <v>4246853</v>
      </c>
      <c r="AJ512" s="21">
        <v>4222791</v>
      </c>
      <c r="AK512" s="21">
        <v>4459250</v>
      </c>
      <c r="AL512" s="21"/>
      <c r="AM512" s="21"/>
      <c r="AN512" s="837"/>
      <c r="AO512" s="837"/>
      <c r="AP512" s="1058"/>
      <c r="AQ512" s="1058"/>
      <c r="AR512" s="1044"/>
      <c r="AS512" s="1044"/>
    </row>
    <row r="513" spans="3:45" hidden="1" outlineLevel="1">
      <c r="C513" s="9" t="s">
        <v>16</v>
      </c>
      <c r="D513" s="223" t="s">
        <v>836</v>
      </c>
      <c r="E513" s="20" t="s">
        <v>1357</v>
      </c>
      <c r="F513" s="20"/>
      <c r="G513" s="20"/>
      <c r="H513" s="20"/>
      <c r="I513" s="20"/>
      <c r="J513" s="20"/>
      <c r="K513" s="20"/>
      <c r="L513" s="20"/>
      <c r="M513" s="20"/>
      <c r="N513" s="20"/>
      <c r="O513" s="20"/>
      <c r="P513" s="20"/>
      <c r="Q513" s="20"/>
      <c r="R513" s="20"/>
      <c r="S513" s="20"/>
      <c r="T513" s="20"/>
      <c r="U513" s="20"/>
      <c r="V513" s="20"/>
      <c r="W513" s="20"/>
      <c r="X513" s="20"/>
      <c r="Y513" s="20"/>
      <c r="Z513" s="20"/>
      <c r="AA513" s="20"/>
      <c r="AB513" s="12"/>
      <c r="AC513" s="12"/>
      <c r="AD513" s="12">
        <v>2647738</v>
      </c>
      <c r="AE513" s="12">
        <v>2741524</v>
      </c>
      <c r="AF513" s="12">
        <v>3197091</v>
      </c>
      <c r="AG513" s="12">
        <v>3369540</v>
      </c>
      <c r="AH513" s="12">
        <v>3088244</v>
      </c>
      <c r="AI513" s="12">
        <v>3257965</v>
      </c>
      <c r="AJ513" s="21">
        <v>2991611</v>
      </c>
      <c r="AK513" s="21">
        <v>3241092</v>
      </c>
      <c r="AL513" s="21"/>
      <c r="AM513" s="21"/>
      <c r="AN513" s="837"/>
      <c r="AO513" s="837"/>
      <c r="AP513" s="1058"/>
      <c r="AQ513" s="1058"/>
      <c r="AR513" s="1044"/>
      <c r="AS513" s="1044"/>
    </row>
    <row r="514" spans="3:45" hidden="1" outlineLevel="1">
      <c r="C514" s="9" t="s">
        <v>16</v>
      </c>
      <c r="D514" s="223" t="s">
        <v>836</v>
      </c>
      <c r="E514" s="20" t="s">
        <v>1358</v>
      </c>
      <c r="F514" s="20"/>
      <c r="G514" s="20"/>
      <c r="H514" s="20"/>
      <c r="I514" s="20"/>
      <c r="J514" s="20"/>
      <c r="K514" s="20"/>
      <c r="L514" s="20"/>
      <c r="M514" s="20"/>
      <c r="N514" s="20"/>
      <c r="O514" s="20"/>
      <c r="P514" s="20"/>
      <c r="Q514" s="20"/>
      <c r="R514" s="20"/>
      <c r="S514" s="20"/>
      <c r="T514" s="20"/>
      <c r="U514" s="20"/>
      <c r="V514" s="20"/>
      <c r="W514" s="20"/>
      <c r="X514" s="20"/>
      <c r="Y514" s="20"/>
      <c r="Z514" s="20"/>
      <c r="AA514" s="20"/>
      <c r="AB514" s="12"/>
      <c r="AC514" s="12"/>
      <c r="AD514" s="12">
        <v>824662</v>
      </c>
      <c r="AE514" s="12">
        <v>853011</v>
      </c>
      <c r="AF514" s="12">
        <v>925238</v>
      </c>
      <c r="AG514" s="12">
        <v>972916</v>
      </c>
      <c r="AH514" s="12">
        <v>927896</v>
      </c>
      <c r="AI514" s="12">
        <v>978890</v>
      </c>
      <c r="AJ514" s="21">
        <v>1047233</v>
      </c>
      <c r="AK514" s="21">
        <v>1117238</v>
      </c>
      <c r="AL514" s="21">
        <v>1616738</v>
      </c>
      <c r="AM514" s="21">
        <v>1620077</v>
      </c>
      <c r="AN514" s="837">
        <v>1509799</v>
      </c>
      <c r="AO514" s="837">
        <v>1514188</v>
      </c>
      <c r="AP514" s="1058">
        <v>1306498</v>
      </c>
      <c r="AQ514" s="1058">
        <v>1332989</v>
      </c>
      <c r="AR514" s="1044"/>
      <c r="AS514" s="1044"/>
    </row>
    <row r="515" spans="3:45" hidden="1" outlineLevel="1">
      <c r="C515" s="9" t="s">
        <v>16</v>
      </c>
      <c r="D515" s="223" t="s">
        <v>836</v>
      </c>
      <c r="E515" s="20" t="s">
        <v>757</v>
      </c>
      <c r="F515" s="20"/>
      <c r="G515" s="20"/>
      <c r="H515" s="20"/>
      <c r="I515" s="20"/>
      <c r="J515" s="20"/>
      <c r="K515" s="20"/>
      <c r="L515" s="20"/>
      <c r="M515" s="20"/>
      <c r="N515" s="20"/>
      <c r="O515" s="20"/>
      <c r="P515" s="20"/>
      <c r="Q515" s="20"/>
      <c r="R515" s="20"/>
      <c r="S515" s="20"/>
      <c r="T515" s="20"/>
      <c r="U515" s="20"/>
      <c r="V515" s="20"/>
      <c r="W515" s="20"/>
      <c r="X515" s="20"/>
      <c r="Y515" s="20"/>
      <c r="Z515" s="20"/>
      <c r="AA515" s="20"/>
      <c r="AB515" s="12"/>
      <c r="AC515" s="12"/>
      <c r="AD515" s="12">
        <v>6590385</v>
      </c>
      <c r="AE515" s="12">
        <v>6831660</v>
      </c>
      <c r="AF515" s="12">
        <v>6518688</v>
      </c>
      <c r="AG515" s="12">
        <v>6879773</v>
      </c>
      <c r="AH515" s="12">
        <v>6254081</v>
      </c>
      <c r="AI515" s="12">
        <v>6597788</v>
      </c>
      <c r="AJ515" s="21">
        <v>7916227</v>
      </c>
      <c r="AK515" s="21">
        <v>8478716</v>
      </c>
      <c r="AL515" s="21">
        <v>9536701</v>
      </c>
      <c r="AM515" s="21">
        <v>9825663</v>
      </c>
      <c r="AN515" s="837">
        <v>7827553</v>
      </c>
      <c r="AO515" s="837">
        <v>7989517</v>
      </c>
      <c r="AP515" s="1058">
        <v>8960872</v>
      </c>
      <c r="AQ515" s="1058">
        <v>9137291</v>
      </c>
      <c r="AR515" s="1044"/>
      <c r="AS515" s="1044"/>
    </row>
    <row r="516" spans="3:45" hidden="1" outlineLevel="1">
      <c r="C516" s="9" t="s">
        <v>16</v>
      </c>
      <c r="D516" s="223" t="s">
        <v>836</v>
      </c>
      <c r="E516" s="20" t="s">
        <v>1359</v>
      </c>
      <c r="F516" s="20"/>
      <c r="G516" s="20"/>
      <c r="H516" s="20"/>
      <c r="I516" s="20"/>
      <c r="J516" s="20"/>
      <c r="K516" s="20"/>
      <c r="L516" s="20"/>
      <c r="M516" s="20"/>
      <c r="N516" s="20"/>
      <c r="O516" s="20"/>
      <c r="P516" s="20"/>
      <c r="Q516" s="20"/>
      <c r="R516" s="20"/>
      <c r="S516" s="20"/>
      <c r="T516" s="20"/>
      <c r="U516" s="20"/>
      <c r="V516" s="20"/>
      <c r="W516" s="20"/>
      <c r="X516" s="20"/>
      <c r="Y516" s="20"/>
      <c r="Z516" s="20"/>
      <c r="AA516" s="20"/>
      <c r="AB516" s="12"/>
      <c r="AC516" s="12"/>
      <c r="AD516" s="12">
        <v>1461914</v>
      </c>
      <c r="AE516" s="12">
        <v>1511872</v>
      </c>
      <c r="AF516" s="12">
        <v>1572943</v>
      </c>
      <c r="AG516" s="12">
        <v>1650975</v>
      </c>
      <c r="AH516" s="12">
        <v>1577748</v>
      </c>
      <c r="AI516" s="12">
        <v>1664456</v>
      </c>
      <c r="AJ516" s="21">
        <v>1788038</v>
      </c>
      <c r="AK516" s="21">
        <v>1899410</v>
      </c>
      <c r="AL516" s="21">
        <v>2076495</v>
      </c>
      <c r="AM516" s="21">
        <v>2138790</v>
      </c>
      <c r="AN516" s="837">
        <v>2294217</v>
      </c>
      <c r="AO516" s="837">
        <v>2325090</v>
      </c>
      <c r="AP516" s="1058">
        <v>2834902</v>
      </c>
      <c r="AQ516" s="1058">
        <v>2897337</v>
      </c>
      <c r="AR516" s="1044"/>
      <c r="AS516" s="1044"/>
    </row>
    <row r="517" spans="3:45" hidden="1" outlineLevel="1">
      <c r="C517" s="9" t="s">
        <v>16</v>
      </c>
      <c r="D517" s="223" t="s">
        <v>958</v>
      </c>
      <c r="E517" s="592" t="s">
        <v>1429</v>
      </c>
      <c r="F517" s="20"/>
      <c r="G517" s="20"/>
      <c r="H517" s="20"/>
      <c r="I517" s="20"/>
      <c r="J517" s="20"/>
      <c r="K517" s="20"/>
      <c r="L517" s="20"/>
      <c r="M517" s="20"/>
      <c r="N517" s="20"/>
      <c r="O517" s="20"/>
      <c r="P517" s="20"/>
      <c r="Q517" s="20"/>
      <c r="R517" s="20"/>
      <c r="S517" s="20"/>
      <c r="T517" s="20"/>
      <c r="U517" s="20"/>
      <c r="V517" s="20"/>
      <c r="W517" s="20"/>
      <c r="X517" s="20"/>
      <c r="Y517" s="20"/>
      <c r="Z517" s="20"/>
      <c r="AA517" s="20"/>
      <c r="AB517" s="12"/>
      <c r="AC517" s="12"/>
      <c r="AD517" s="12">
        <v>787748</v>
      </c>
      <c r="AE517" s="12">
        <v>819333</v>
      </c>
      <c r="AF517" s="12">
        <v>384237</v>
      </c>
      <c r="AG517" s="12">
        <v>407117</v>
      </c>
      <c r="AH517" s="12">
        <v>84070</v>
      </c>
      <c r="AI517" s="12">
        <v>88690</v>
      </c>
      <c r="AJ517" s="21">
        <v>188037</v>
      </c>
      <c r="AK517" s="21">
        <v>207194</v>
      </c>
      <c r="AL517" s="21">
        <v>59839</v>
      </c>
      <c r="AM517" s="21">
        <v>59839</v>
      </c>
      <c r="AN517" s="837">
        <v>62868</v>
      </c>
      <c r="AO517" s="837">
        <v>64440</v>
      </c>
      <c r="AP517" s="1058">
        <v>0</v>
      </c>
      <c r="AQ517" s="1058">
        <v>0</v>
      </c>
      <c r="AR517" s="1044"/>
      <c r="AS517" s="1044"/>
    </row>
    <row r="518" spans="3:45" hidden="1" outlineLevel="1">
      <c r="C518" s="9" t="s">
        <v>16</v>
      </c>
      <c r="D518" s="223" t="s">
        <v>836</v>
      </c>
      <c r="E518" s="20" t="s">
        <v>751</v>
      </c>
      <c r="F518" s="20"/>
      <c r="G518" s="20"/>
      <c r="H518" s="20"/>
      <c r="I518" s="20"/>
      <c r="J518" s="20"/>
      <c r="K518" s="20"/>
      <c r="L518" s="20"/>
      <c r="M518" s="20"/>
      <c r="N518" s="20"/>
      <c r="O518" s="20"/>
      <c r="P518" s="20"/>
      <c r="Q518" s="20"/>
      <c r="R518" s="20"/>
      <c r="S518" s="20"/>
      <c r="T518" s="20"/>
      <c r="U518" s="20"/>
      <c r="V518" s="20"/>
      <c r="W518" s="20"/>
      <c r="X518" s="20"/>
      <c r="Y518" s="20"/>
      <c r="Z518" s="20"/>
      <c r="AA518" s="20"/>
      <c r="AB518" s="12"/>
      <c r="AC518" s="12"/>
      <c r="AD518" s="12">
        <v>21685214</v>
      </c>
      <c r="AE518" s="12">
        <v>22444463</v>
      </c>
      <c r="AF518" s="12">
        <v>19690275</v>
      </c>
      <c r="AG518" s="12">
        <v>20603481</v>
      </c>
      <c r="AH518" s="12">
        <v>15952747</v>
      </c>
      <c r="AI518" s="12">
        <v>16829464</v>
      </c>
      <c r="AJ518" s="21">
        <v>15240264</v>
      </c>
      <c r="AK518" s="21">
        <v>15913512</v>
      </c>
      <c r="AL518" s="21">
        <v>19968651</v>
      </c>
      <c r="AM518" s="21">
        <v>20567713</v>
      </c>
      <c r="AN518" s="837">
        <v>20979564</v>
      </c>
      <c r="AO518" s="837">
        <v>21504053</v>
      </c>
      <c r="AP518" s="1058">
        <v>27149928</v>
      </c>
      <c r="AQ518" s="1058">
        <v>27648965</v>
      </c>
      <c r="AR518" s="1044"/>
      <c r="AS518" s="1044"/>
    </row>
    <row r="519" spans="3:45" hidden="1" outlineLevel="1">
      <c r="C519" s="9" t="s">
        <v>16</v>
      </c>
      <c r="D519" s="223" t="s">
        <v>836</v>
      </c>
      <c r="E519" s="20" t="s">
        <v>876</v>
      </c>
      <c r="F519" s="20"/>
      <c r="G519" s="20"/>
      <c r="H519" s="20"/>
      <c r="I519" s="20"/>
      <c r="J519" s="20"/>
      <c r="K519" s="20"/>
      <c r="L519" s="20"/>
      <c r="M519" s="20"/>
      <c r="N519" s="20"/>
      <c r="O519" s="20"/>
      <c r="P519" s="20"/>
      <c r="Q519" s="20"/>
      <c r="R519" s="20"/>
      <c r="S519" s="20"/>
      <c r="T519" s="20"/>
      <c r="U519" s="20"/>
      <c r="V519" s="20"/>
      <c r="W519" s="20"/>
      <c r="X519" s="20"/>
      <c r="Y519" s="20"/>
      <c r="Z519" s="20"/>
      <c r="AA519" s="20"/>
      <c r="AB519" s="12"/>
      <c r="AC519" s="12"/>
      <c r="AD519" s="12">
        <v>824997</v>
      </c>
      <c r="AE519" s="12">
        <v>854084</v>
      </c>
      <c r="AF519" s="12">
        <v>847241</v>
      </c>
      <c r="AG519" s="12">
        <v>889170</v>
      </c>
      <c r="AH519" s="12">
        <v>742461</v>
      </c>
      <c r="AI519" s="12">
        <v>783264</v>
      </c>
      <c r="AJ519" s="21">
        <v>582180</v>
      </c>
      <c r="AK519" s="21">
        <v>898598</v>
      </c>
      <c r="AL519" s="21">
        <v>919064</v>
      </c>
      <c r="AM519" s="21">
        <v>946637</v>
      </c>
      <c r="AN519" s="837">
        <v>965592</v>
      </c>
      <c r="AO519" s="837">
        <v>989731</v>
      </c>
      <c r="AP519" s="1058">
        <v>1081622</v>
      </c>
      <c r="AQ519" s="1058">
        <v>1108537</v>
      </c>
      <c r="AR519" s="1044"/>
      <c r="AS519" s="1044"/>
    </row>
    <row r="520" spans="3:45" hidden="1" outlineLevel="1">
      <c r="C520" s="9" t="s">
        <v>16</v>
      </c>
      <c r="D520" s="223" t="s">
        <v>836</v>
      </c>
      <c r="E520" s="20" t="s">
        <v>750</v>
      </c>
      <c r="F520" s="20"/>
      <c r="G520" s="20"/>
      <c r="H520" s="20"/>
      <c r="I520" s="20"/>
      <c r="J520" s="20"/>
      <c r="K520" s="20"/>
      <c r="L520" s="20"/>
      <c r="M520" s="20"/>
      <c r="N520" s="20"/>
      <c r="O520" s="20"/>
      <c r="P520" s="20"/>
      <c r="Q520" s="20"/>
      <c r="R520" s="20"/>
      <c r="S520" s="20"/>
      <c r="T520" s="20"/>
      <c r="U520" s="20"/>
      <c r="V520" s="20"/>
      <c r="W520" s="20"/>
      <c r="X520" s="20"/>
      <c r="Y520" s="20"/>
      <c r="Z520" s="20"/>
      <c r="AA520" s="20"/>
      <c r="AB520" s="12"/>
      <c r="AC520" s="12"/>
      <c r="AD520" s="12">
        <v>3024495</v>
      </c>
      <c r="AE520" s="12">
        <v>3132006</v>
      </c>
      <c r="AF520" s="12">
        <v>2977153</v>
      </c>
      <c r="AG520" s="12">
        <v>3136213</v>
      </c>
      <c r="AH520" s="12">
        <v>2598197</v>
      </c>
      <c r="AI520" s="12">
        <v>2740986</v>
      </c>
      <c r="AJ520" s="21">
        <v>2914637</v>
      </c>
      <c r="AK520" s="21">
        <v>3124496</v>
      </c>
      <c r="AL520" s="21">
        <v>2793141</v>
      </c>
      <c r="AM520" s="21">
        <v>2815799</v>
      </c>
      <c r="AN520" s="837">
        <v>2934544</v>
      </c>
      <c r="AO520" s="837">
        <v>3007907</v>
      </c>
      <c r="AP520" s="1058">
        <v>2946116</v>
      </c>
      <c r="AQ520" s="1058">
        <v>3022924</v>
      </c>
      <c r="AR520" s="1044"/>
      <c r="AS520" s="1044"/>
    </row>
    <row r="521" spans="3:45" hidden="1" outlineLevel="1">
      <c r="C521" s="9" t="s">
        <v>16</v>
      </c>
      <c r="D521" s="223" t="s">
        <v>836</v>
      </c>
      <c r="E521" s="20" t="s">
        <v>1209</v>
      </c>
      <c r="F521" s="20"/>
      <c r="G521" s="20"/>
      <c r="H521" s="20"/>
      <c r="I521" s="20"/>
      <c r="J521" s="20"/>
      <c r="K521" s="20"/>
      <c r="L521" s="20"/>
      <c r="M521" s="20"/>
      <c r="N521" s="20"/>
      <c r="O521" s="20"/>
      <c r="P521" s="20"/>
      <c r="Q521" s="20"/>
      <c r="R521" s="20"/>
      <c r="S521" s="20"/>
      <c r="T521" s="20"/>
      <c r="U521" s="20"/>
      <c r="V521" s="20"/>
      <c r="W521" s="20"/>
      <c r="X521" s="20"/>
      <c r="Y521" s="20"/>
      <c r="Z521" s="20"/>
      <c r="AA521" s="20"/>
      <c r="AB521" s="12"/>
      <c r="AC521" s="12"/>
      <c r="AD521" s="12">
        <v>2365094</v>
      </c>
      <c r="AE521" s="12">
        <v>2448730</v>
      </c>
      <c r="AF521" s="12">
        <v>2463493</v>
      </c>
      <c r="AG521" s="12">
        <v>2588045</v>
      </c>
      <c r="AH521" s="12">
        <v>1879318</v>
      </c>
      <c r="AI521" s="12">
        <v>1982599</v>
      </c>
      <c r="AJ521" s="21">
        <v>2183879</v>
      </c>
      <c r="AK521" s="21">
        <v>2316811</v>
      </c>
      <c r="AL521" s="21">
        <v>2459753</v>
      </c>
      <c r="AM521" s="21">
        <v>2533545</v>
      </c>
      <c r="AN521" s="837">
        <v>2934544</v>
      </c>
      <c r="AO521" s="837">
        <v>3007907</v>
      </c>
      <c r="AP521" s="1058">
        <v>3037607</v>
      </c>
      <c r="AQ521" s="1058">
        <v>3122439</v>
      </c>
      <c r="AR521" s="1044"/>
      <c r="AS521" s="1044"/>
    </row>
    <row r="522" spans="3:45" hidden="1" outlineLevel="1">
      <c r="C522" s="9" t="s">
        <v>16</v>
      </c>
      <c r="D522" s="223" t="s">
        <v>836</v>
      </c>
      <c r="E522" s="224" t="s">
        <v>1210</v>
      </c>
      <c r="F522" s="20"/>
      <c r="G522" s="20"/>
      <c r="H522" s="20"/>
      <c r="I522" s="20"/>
      <c r="J522" s="20"/>
      <c r="K522" s="20"/>
      <c r="L522" s="20"/>
      <c r="M522" s="20"/>
      <c r="N522" s="20"/>
      <c r="O522" s="20"/>
      <c r="P522" s="20"/>
      <c r="Q522" s="20"/>
      <c r="R522" s="20"/>
      <c r="S522" s="20"/>
      <c r="T522" s="20"/>
      <c r="U522" s="20"/>
      <c r="V522" s="20"/>
      <c r="W522" s="20"/>
      <c r="X522" s="20"/>
      <c r="Y522" s="20"/>
      <c r="Z522" s="20"/>
      <c r="AA522" s="20"/>
      <c r="AB522" s="12"/>
      <c r="AC522" s="12"/>
      <c r="AD522" s="12">
        <v>0</v>
      </c>
      <c r="AE522" s="12">
        <v>0</v>
      </c>
      <c r="AF522" s="12">
        <v>0</v>
      </c>
      <c r="AG522" s="12">
        <v>0</v>
      </c>
      <c r="AH522" s="12">
        <v>346651</v>
      </c>
      <c r="AI522" s="12">
        <v>365702</v>
      </c>
      <c r="AJ522" s="21">
        <v>503344</v>
      </c>
      <c r="AK522" s="21">
        <v>538398</v>
      </c>
      <c r="AL522" s="21">
        <v>631350</v>
      </c>
      <c r="AM522" s="21">
        <v>636604</v>
      </c>
      <c r="AN522" s="837">
        <v>663312</v>
      </c>
      <c r="AO522" s="837">
        <v>679895</v>
      </c>
      <c r="AP522" s="1058">
        <v>652322</v>
      </c>
      <c r="AQ522" s="1058">
        <v>669730</v>
      </c>
      <c r="AR522" s="1044"/>
      <c r="AS522" s="1044"/>
    </row>
    <row r="523" spans="3:45" hidden="1" outlineLevel="1">
      <c r="C523" s="9" t="s">
        <v>16</v>
      </c>
      <c r="D523" s="223" t="s">
        <v>836</v>
      </c>
      <c r="E523" s="224" t="s">
        <v>1211</v>
      </c>
      <c r="F523" s="20"/>
      <c r="G523" s="20"/>
      <c r="H523" s="20"/>
      <c r="I523" s="20"/>
      <c r="J523" s="20"/>
      <c r="K523" s="20"/>
      <c r="L523" s="20"/>
      <c r="M523" s="20"/>
      <c r="N523" s="20"/>
      <c r="O523" s="20"/>
      <c r="P523" s="20"/>
      <c r="Q523" s="20"/>
      <c r="R523" s="20"/>
      <c r="S523" s="20"/>
      <c r="T523" s="20"/>
      <c r="U523" s="20"/>
      <c r="V523" s="20"/>
      <c r="W523" s="20"/>
      <c r="X523" s="20"/>
      <c r="Y523" s="20"/>
      <c r="Z523" s="20"/>
      <c r="AA523" s="20"/>
      <c r="AB523" s="12"/>
      <c r="AC523" s="12"/>
      <c r="AD523" s="12">
        <v>2642568</v>
      </c>
      <c r="AE523" s="12">
        <v>2736260</v>
      </c>
      <c r="AF523" s="12">
        <v>2475743</v>
      </c>
      <c r="AG523" s="12">
        <v>2599677</v>
      </c>
      <c r="AH523" s="12">
        <v>2242764</v>
      </c>
      <c r="AI523" s="12">
        <v>2366019</v>
      </c>
      <c r="AJ523" s="21">
        <v>2452417</v>
      </c>
      <c r="AK523" s="21">
        <v>2602907</v>
      </c>
      <c r="AL523" s="21">
        <v>2952331</v>
      </c>
      <c r="AM523" s="21">
        <v>3011375</v>
      </c>
      <c r="AN523" s="837">
        <v>3101793</v>
      </c>
      <c r="AO523" s="837">
        <v>3179338</v>
      </c>
      <c r="AP523" s="1058">
        <v>3158853</v>
      </c>
      <c r="AQ523" s="1058">
        <v>3233460</v>
      </c>
      <c r="AR523" s="1044"/>
      <c r="AS523" s="1044"/>
    </row>
    <row r="524" spans="3:45" hidden="1" outlineLevel="1">
      <c r="C524" s="9" t="s">
        <v>16</v>
      </c>
      <c r="D524" s="223" t="s">
        <v>836</v>
      </c>
      <c r="E524" s="224" t="s">
        <v>1212</v>
      </c>
      <c r="F524" s="20"/>
      <c r="G524" s="20"/>
      <c r="H524" s="20"/>
      <c r="I524" s="20"/>
      <c r="J524" s="20"/>
      <c r="K524" s="20"/>
      <c r="L524" s="20"/>
      <c r="M524" s="20"/>
      <c r="N524" s="20"/>
      <c r="O524" s="20"/>
      <c r="P524" s="20"/>
      <c r="Q524" s="20"/>
      <c r="R524" s="20"/>
      <c r="S524" s="20"/>
      <c r="T524" s="20"/>
      <c r="U524" s="20"/>
      <c r="V524" s="20"/>
      <c r="W524" s="20"/>
      <c r="X524" s="20"/>
      <c r="Y524" s="20"/>
      <c r="Z524" s="20"/>
      <c r="AA524" s="20"/>
      <c r="AB524" s="12"/>
      <c r="AC524" s="12"/>
      <c r="AD524" s="12">
        <v>2299839</v>
      </c>
      <c r="AE524" s="12">
        <v>2380870</v>
      </c>
      <c r="AF524" s="12">
        <v>2454141</v>
      </c>
      <c r="AG524" s="12">
        <v>2582238</v>
      </c>
      <c r="AH524" s="12">
        <v>2114165</v>
      </c>
      <c r="AI524" s="12">
        <v>2230353</v>
      </c>
      <c r="AJ524" s="21">
        <v>2054661</v>
      </c>
      <c r="AK524" s="21">
        <v>2184775</v>
      </c>
      <c r="AL524" s="21">
        <v>2396300</v>
      </c>
      <c r="AM524" s="21">
        <v>2421600</v>
      </c>
      <c r="AN524" s="837">
        <v>2517613</v>
      </c>
      <c r="AO524" s="837">
        <v>2580553</v>
      </c>
      <c r="AP524" s="1058">
        <v>3398551</v>
      </c>
      <c r="AQ524" s="1058">
        <v>3492081</v>
      </c>
      <c r="AR524" s="1044"/>
      <c r="AS524" s="1044"/>
    </row>
    <row r="525" spans="3:45" hidden="1" outlineLevel="1">
      <c r="C525" s="9" t="s">
        <v>16</v>
      </c>
      <c r="D525" s="223" t="s">
        <v>836</v>
      </c>
      <c r="E525" s="224" t="s">
        <v>1213</v>
      </c>
      <c r="F525" s="20"/>
      <c r="G525" s="20"/>
      <c r="H525" s="20"/>
      <c r="I525" s="20"/>
      <c r="J525" s="20"/>
      <c r="K525" s="20"/>
      <c r="L525" s="20"/>
      <c r="M525" s="20"/>
      <c r="N525" s="20"/>
      <c r="O525" s="20"/>
      <c r="P525" s="20"/>
      <c r="Q525" s="20"/>
      <c r="R525" s="20"/>
      <c r="S525" s="20"/>
      <c r="T525" s="20"/>
      <c r="U525" s="20"/>
      <c r="V525" s="20"/>
      <c r="W525" s="20"/>
      <c r="X525" s="20"/>
      <c r="Y525" s="20"/>
      <c r="Z525" s="20"/>
      <c r="AA525" s="20"/>
      <c r="AB525" s="12"/>
      <c r="AC525" s="12"/>
      <c r="AD525" s="12">
        <v>0</v>
      </c>
      <c r="AE525" s="12">
        <v>0</v>
      </c>
      <c r="AF525" s="12">
        <v>0</v>
      </c>
      <c r="AG525" s="12">
        <v>0</v>
      </c>
      <c r="AH525" s="12">
        <v>461850</v>
      </c>
      <c r="AI525" s="12">
        <v>487232</v>
      </c>
      <c r="AJ525" s="21">
        <v>790421</v>
      </c>
      <c r="AK525" s="21">
        <v>855963</v>
      </c>
      <c r="AL525" s="21">
        <v>1156793</v>
      </c>
      <c r="AM525" s="21">
        <v>1208849</v>
      </c>
      <c r="AN525" s="837">
        <v>1215356</v>
      </c>
      <c r="AO525" s="837">
        <v>1245740</v>
      </c>
      <c r="AP525" s="1058">
        <v>1484824</v>
      </c>
      <c r="AQ525" s="1058">
        <v>1532095</v>
      </c>
      <c r="AR525" s="1044"/>
      <c r="AS525" s="1044"/>
    </row>
    <row r="526" spans="3:45" hidden="1" outlineLevel="1">
      <c r="C526" s="9" t="s">
        <v>16</v>
      </c>
      <c r="D526" s="223" t="s">
        <v>836</v>
      </c>
      <c r="E526" s="20" t="s">
        <v>861</v>
      </c>
      <c r="F526" s="20"/>
      <c r="G526" s="20"/>
      <c r="H526" s="20"/>
      <c r="I526" s="20"/>
      <c r="J526" s="20"/>
      <c r="K526" s="20"/>
      <c r="L526" s="20"/>
      <c r="M526" s="20"/>
      <c r="N526" s="20"/>
      <c r="O526" s="20"/>
      <c r="P526" s="20"/>
      <c r="Q526" s="20"/>
      <c r="R526" s="20"/>
      <c r="S526" s="20"/>
      <c r="T526" s="20"/>
      <c r="U526" s="20"/>
      <c r="V526" s="20"/>
      <c r="W526" s="20"/>
      <c r="X526" s="20"/>
      <c r="Y526" s="20"/>
      <c r="Z526" s="20"/>
      <c r="AA526" s="20"/>
      <c r="AB526" s="12"/>
      <c r="AC526" s="12"/>
      <c r="AD526" s="12">
        <v>1424762</v>
      </c>
      <c r="AE526" s="12">
        <v>1475981</v>
      </c>
      <c r="AF526" s="12">
        <v>1532703</v>
      </c>
      <c r="AG526" s="12">
        <v>1617271</v>
      </c>
      <c r="AH526" s="12">
        <v>1419870</v>
      </c>
      <c r="AI526" s="12">
        <v>1497902</v>
      </c>
      <c r="AJ526" s="21">
        <v>1593689</v>
      </c>
      <c r="AK526" s="21">
        <v>1696981</v>
      </c>
      <c r="AL526" s="21">
        <v>1614360</v>
      </c>
      <c r="AM526" s="21">
        <v>1615167</v>
      </c>
      <c r="AN526" s="837">
        <v>1696087</v>
      </c>
      <c r="AO526" s="837">
        <v>1738489</v>
      </c>
      <c r="AP526" s="1058">
        <v>2055320</v>
      </c>
      <c r="AQ526" s="1058">
        <v>2106628</v>
      </c>
      <c r="AR526" s="1044"/>
      <c r="AS526" s="1044"/>
    </row>
    <row r="527" spans="3:45" hidden="1" outlineLevel="1">
      <c r="C527" s="9" t="s">
        <v>16</v>
      </c>
      <c r="D527" s="223" t="s">
        <v>836</v>
      </c>
      <c r="E527" s="20" t="s">
        <v>871</v>
      </c>
      <c r="F527" s="20"/>
      <c r="G527" s="20"/>
      <c r="H527" s="20"/>
      <c r="I527" s="20"/>
      <c r="J527" s="20"/>
      <c r="K527" s="20"/>
      <c r="L527" s="20"/>
      <c r="M527" s="20"/>
      <c r="N527" s="20"/>
      <c r="O527" s="20"/>
      <c r="P527" s="20"/>
      <c r="Q527" s="20"/>
      <c r="R527" s="20"/>
      <c r="S527" s="20"/>
      <c r="T527" s="20"/>
      <c r="U527" s="20"/>
      <c r="V527" s="20"/>
      <c r="W527" s="20"/>
      <c r="X527" s="20"/>
      <c r="Y527" s="20"/>
      <c r="Z527" s="20"/>
      <c r="AA527" s="20"/>
      <c r="AB527" s="12"/>
      <c r="AC527" s="12"/>
      <c r="AD527" s="12">
        <v>1954478</v>
      </c>
      <c r="AE527" s="12">
        <v>2022851</v>
      </c>
      <c r="AF527" s="12">
        <v>1800325</v>
      </c>
      <c r="AG527" s="12">
        <v>1889134</v>
      </c>
      <c r="AH527" s="12">
        <v>1650028</v>
      </c>
      <c r="AI527" s="12">
        <v>1740709</v>
      </c>
      <c r="AJ527" s="21">
        <v>1823426</v>
      </c>
      <c r="AK527" s="21">
        <v>1910490</v>
      </c>
      <c r="AL527" s="21">
        <v>2049823</v>
      </c>
      <c r="AM527" s="21">
        <v>2090819</v>
      </c>
      <c r="AN527" s="837">
        <v>2153595</v>
      </c>
      <c r="AO527" s="837">
        <v>2207435</v>
      </c>
      <c r="AP527" s="1058">
        <v>2489874</v>
      </c>
      <c r="AQ527" s="1058">
        <v>2543707</v>
      </c>
      <c r="AR527" s="1044"/>
      <c r="AS527" s="1044"/>
    </row>
    <row r="528" spans="3:45" hidden="1" outlineLevel="1">
      <c r="C528" s="9" t="s">
        <v>16</v>
      </c>
      <c r="D528" s="223" t="s">
        <v>836</v>
      </c>
      <c r="E528" s="224" t="s">
        <v>1361</v>
      </c>
      <c r="F528" s="20"/>
      <c r="G528" s="20"/>
      <c r="H528" s="20"/>
      <c r="I528" s="20"/>
      <c r="J528" s="20"/>
      <c r="K528" s="20"/>
      <c r="L528" s="20"/>
      <c r="M528" s="20"/>
      <c r="N528" s="20"/>
      <c r="O528" s="20"/>
      <c r="P528" s="20"/>
      <c r="Q528" s="20"/>
      <c r="R528" s="20"/>
      <c r="S528" s="20"/>
      <c r="T528" s="20"/>
      <c r="U528" s="20"/>
      <c r="V528" s="20"/>
      <c r="W528" s="20"/>
      <c r="X528" s="20"/>
      <c r="Y528" s="20"/>
      <c r="Z528" s="20"/>
      <c r="AA528" s="20"/>
      <c r="AB528" s="12"/>
      <c r="AC528" s="12"/>
      <c r="AD528" s="12">
        <v>2087775</v>
      </c>
      <c r="AE528" s="12">
        <v>2162700</v>
      </c>
      <c r="AF528" s="12">
        <v>2307182</v>
      </c>
      <c r="AG528" s="12">
        <v>2433027</v>
      </c>
      <c r="AH528" s="12">
        <v>2077833</v>
      </c>
      <c r="AI528" s="12">
        <v>2192024</v>
      </c>
      <c r="AJ528" s="21">
        <v>2529596</v>
      </c>
      <c r="AK528" s="21">
        <v>2712276</v>
      </c>
      <c r="AL528" s="21">
        <v>2738902</v>
      </c>
      <c r="AM528" s="21">
        <v>2738902</v>
      </c>
      <c r="AN528" s="837">
        <v>2877559</v>
      </c>
      <c r="AO528" s="837">
        <v>2949498</v>
      </c>
      <c r="AP528" s="1058">
        <v>2974187</v>
      </c>
      <c r="AQ528" s="1058">
        <v>3057459</v>
      </c>
      <c r="AR528" s="1044"/>
      <c r="AS528" s="1044"/>
    </row>
    <row r="529" spans="3:45" hidden="1" outlineLevel="1">
      <c r="C529" s="9" t="s">
        <v>16</v>
      </c>
      <c r="D529" s="223" t="s">
        <v>836</v>
      </c>
      <c r="E529" s="20" t="s">
        <v>1425</v>
      </c>
      <c r="F529" s="20"/>
      <c r="G529" s="20"/>
      <c r="H529" s="20"/>
      <c r="I529" s="20"/>
      <c r="J529" s="20"/>
      <c r="K529" s="20"/>
      <c r="L529" s="20"/>
      <c r="M529" s="20"/>
      <c r="N529" s="20"/>
      <c r="O529" s="20"/>
      <c r="P529" s="20"/>
      <c r="Q529" s="20"/>
      <c r="R529" s="20"/>
      <c r="S529" s="20"/>
      <c r="T529" s="20"/>
      <c r="U529" s="20"/>
      <c r="V529" s="20"/>
      <c r="W529" s="20"/>
      <c r="X529" s="20"/>
      <c r="Y529" s="20"/>
      <c r="Z529" s="20"/>
      <c r="AA529" s="20"/>
      <c r="AB529" s="12"/>
      <c r="AC529" s="12"/>
      <c r="AD529" s="12">
        <v>478789</v>
      </c>
      <c r="AE529" s="12">
        <v>494962</v>
      </c>
      <c r="AF529" s="12">
        <v>583501</v>
      </c>
      <c r="AG529" s="12">
        <v>613506</v>
      </c>
      <c r="AH529" s="12">
        <v>508359</v>
      </c>
      <c r="AI529" s="12">
        <v>536297</v>
      </c>
      <c r="AJ529" s="21">
        <v>642592</v>
      </c>
      <c r="AK529" s="21">
        <v>689364</v>
      </c>
      <c r="AL529" s="21">
        <v>768474</v>
      </c>
      <c r="AM529" s="21">
        <v>783843</v>
      </c>
      <c r="AN529" s="837">
        <v>807378</v>
      </c>
      <c r="AO529" s="837">
        <v>827562</v>
      </c>
      <c r="AP529" s="1058">
        <v>883858</v>
      </c>
      <c r="AQ529" s="1058">
        <v>909841</v>
      </c>
      <c r="AR529" s="1044"/>
      <c r="AS529" s="1044"/>
    </row>
    <row r="530" spans="3:45" hidden="1" outlineLevel="1">
      <c r="C530" s="9" t="s">
        <v>16</v>
      </c>
      <c r="D530" s="223" t="s">
        <v>958</v>
      </c>
      <c r="E530" s="592" t="s">
        <v>1430</v>
      </c>
      <c r="F530" s="20"/>
      <c r="G530" s="20"/>
      <c r="H530" s="20"/>
      <c r="I530" s="20"/>
      <c r="J530" s="20"/>
      <c r="K530" s="20"/>
      <c r="L530" s="20"/>
      <c r="M530" s="20"/>
      <c r="N530" s="20"/>
      <c r="O530" s="20"/>
      <c r="P530" s="20"/>
      <c r="Q530" s="20"/>
      <c r="R530" s="20"/>
      <c r="S530" s="20"/>
      <c r="T530" s="20"/>
      <c r="U530" s="20"/>
      <c r="V530" s="20"/>
      <c r="W530" s="20"/>
      <c r="X530" s="20"/>
      <c r="Y530" s="20"/>
      <c r="Z530" s="20"/>
      <c r="AA530" s="20"/>
      <c r="AB530" s="12"/>
      <c r="AC530" s="12"/>
      <c r="AD530" s="12">
        <v>363887</v>
      </c>
      <c r="AE530" s="12">
        <v>376562</v>
      </c>
      <c r="AF530" s="12">
        <v>367974</v>
      </c>
      <c r="AG530" s="12">
        <v>386232</v>
      </c>
      <c r="AH530" s="12">
        <v>314184</v>
      </c>
      <c r="AI530" s="12">
        <v>331450</v>
      </c>
      <c r="AJ530" s="21">
        <v>278916</v>
      </c>
      <c r="AK530" s="21">
        <v>296157</v>
      </c>
      <c r="AL530" s="21">
        <v>389917</v>
      </c>
      <c r="AM530" s="21">
        <v>389917</v>
      </c>
      <c r="AN530" s="837">
        <v>409657</v>
      </c>
      <c r="AO530" s="837">
        <v>419898</v>
      </c>
      <c r="AP530" s="1058">
        <v>86458</v>
      </c>
      <c r="AQ530" s="1058">
        <v>90161</v>
      </c>
      <c r="AR530" s="1044"/>
      <c r="AS530" s="1044"/>
    </row>
    <row r="531" spans="3:45" hidden="1" outlineLevel="1">
      <c r="C531" s="9" t="s">
        <v>16</v>
      </c>
      <c r="D531" s="223" t="s">
        <v>836</v>
      </c>
      <c r="E531" s="20" t="s">
        <v>726</v>
      </c>
      <c r="F531" s="20"/>
      <c r="G531" s="20"/>
      <c r="H531" s="20"/>
      <c r="I531" s="20"/>
      <c r="J531" s="20"/>
      <c r="K531" s="20"/>
      <c r="L531" s="20"/>
      <c r="M531" s="20"/>
      <c r="N531" s="20"/>
      <c r="O531" s="20"/>
      <c r="P531" s="20"/>
      <c r="Q531" s="20"/>
      <c r="R531" s="20"/>
      <c r="S531" s="20"/>
      <c r="T531" s="20"/>
      <c r="U531" s="20"/>
      <c r="V531" s="20"/>
      <c r="W531" s="20"/>
      <c r="X531" s="20"/>
      <c r="Y531" s="20"/>
      <c r="Z531" s="20"/>
      <c r="AA531" s="20"/>
      <c r="AB531" s="12"/>
      <c r="AC531" s="12"/>
      <c r="AD531" s="12">
        <v>13329283</v>
      </c>
      <c r="AE531" s="12">
        <v>13797950</v>
      </c>
      <c r="AF531" s="12">
        <v>12738302</v>
      </c>
      <c r="AG531" s="12">
        <v>13370336</v>
      </c>
      <c r="AH531" s="12">
        <v>10329503</v>
      </c>
      <c r="AI531" s="12">
        <v>10897183</v>
      </c>
      <c r="AJ531" s="21">
        <v>11919834</v>
      </c>
      <c r="AK531" s="21">
        <v>12548580</v>
      </c>
      <c r="AL531" s="21">
        <v>12073547</v>
      </c>
      <c r="AM531" s="21">
        <v>12073547</v>
      </c>
      <c r="AN531" s="837">
        <v>12442960</v>
      </c>
      <c r="AO531" s="837">
        <v>12532094</v>
      </c>
      <c r="AP531" s="1058">
        <v>12649434</v>
      </c>
      <c r="AQ531" s="1058">
        <v>12914383</v>
      </c>
      <c r="AR531" s="1044"/>
      <c r="AS531" s="1044"/>
    </row>
    <row r="532" spans="3:45" hidden="1" outlineLevel="1">
      <c r="C532" s="9" t="s">
        <v>16</v>
      </c>
      <c r="D532" s="223" t="s">
        <v>836</v>
      </c>
      <c r="E532" s="20" t="s">
        <v>1363</v>
      </c>
      <c r="F532" s="20"/>
      <c r="G532" s="20"/>
      <c r="H532" s="20"/>
      <c r="I532" s="20"/>
      <c r="J532" s="20"/>
      <c r="K532" s="20"/>
      <c r="L532" s="20"/>
      <c r="M532" s="20"/>
      <c r="N532" s="20"/>
      <c r="O532" s="20"/>
      <c r="P532" s="20"/>
      <c r="Q532" s="20"/>
      <c r="R532" s="20"/>
      <c r="S532" s="20"/>
      <c r="T532" s="20"/>
      <c r="U532" s="20"/>
      <c r="V532" s="20"/>
      <c r="W532" s="20"/>
      <c r="X532" s="20"/>
      <c r="Y532" s="20"/>
      <c r="Z532" s="20"/>
      <c r="AA532" s="20"/>
      <c r="AB532" s="12"/>
      <c r="AC532" s="12"/>
      <c r="AD532" s="12">
        <v>2469317</v>
      </c>
      <c r="AE532" s="12">
        <v>2556726</v>
      </c>
      <c r="AF532" s="12">
        <v>2360157</v>
      </c>
      <c r="AG532" s="12">
        <v>2477261</v>
      </c>
      <c r="AH532" s="12">
        <v>2001597</v>
      </c>
      <c r="AI532" s="12">
        <v>2111599</v>
      </c>
      <c r="AJ532" s="21">
        <v>2263334</v>
      </c>
      <c r="AK532" s="21">
        <v>2390834</v>
      </c>
      <c r="AL532" s="21">
        <v>2132293</v>
      </c>
      <c r="AM532" s="21">
        <v>2143273</v>
      </c>
      <c r="AN532" s="837">
        <v>2240240</v>
      </c>
      <c r="AO532" s="837">
        <v>2296246</v>
      </c>
      <c r="AP532" s="1058">
        <v>2421700</v>
      </c>
      <c r="AQ532" s="1058">
        <v>2474150</v>
      </c>
      <c r="AR532" s="1044"/>
      <c r="AS532" s="1044"/>
    </row>
    <row r="533" spans="3:45" hidden="1" outlineLevel="1">
      <c r="C533" s="9" t="s">
        <v>16</v>
      </c>
      <c r="D533" s="223" t="s">
        <v>836</v>
      </c>
      <c r="E533" s="20" t="s">
        <v>1364</v>
      </c>
      <c r="F533" s="20"/>
      <c r="G533" s="20"/>
      <c r="H533" s="20"/>
      <c r="I533" s="20"/>
      <c r="J533" s="20"/>
      <c r="K533" s="20"/>
      <c r="L533" s="20"/>
      <c r="M533" s="20"/>
      <c r="N533" s="20"/>
      <c r="O533" s="20"/>
      <c r="P533" s="20"/>
      <c r="Q533" s="20"/>
      <c r="R533" s="20"/>
      <c r="S533" s="20"/>
      <c r="T533" s="20"/>
      <c r="U533" s="20"/>
      <c r="V533" s="20"/>
      <c r="W533" s="20"/>
      <c r="X533" s="20"/>
      <c r="Y533" s="20"/>
      <c r="Z533" s="20"/>
      <c r="AA533" s="20"/>
      <c r="AB533" s="12"/>
      <c r="AC533" s="12"/>
      <c r="AD533" s="12">
        <v>2019899</v>
      </c>
      <c r="AE533" s="12">
        <v>2091819</v>
      </c>
      <c r="AF533" s="12">
        <v>1849697</v>
      </c>
      <c r="AG533" s="12">
        <v>1941473</v>
      </c>
      <c r="AH533" s="12">
        <v>1927716</v>
      </c>
      <c r="AI533" s="12">
        <v>2033658</v>
      </c>
      <c r="AJ533" s="21">
        <v>1932367</v>
      </c>
      <c r="AK533" s="21">
        <v>2045296</v>
      </c>
      <c r="AL533" s="21">
        <v>1963500</v>
      </c>
      <c r="AM533" s="21">
        <v>2002770</v>
      </c>
      <c r="AN533" s="837">
        <v>2062902</v>
      </c>
      <c r="AO533" s="837">
        <v>2114478</v>
      </c>
      <c r="AP533" s="1058">
        <v>2474566</v>
      </c>
      <c r="AQ533" s="1058">
        <v>2539215</v>
      </c>
      <c r="AR533" s="1044"/>
      <c r="AS533" s="1044"/>
    </row>
    <row r="534" spans="3:45" hidden="1" outlineLevel="1">
      <c r="C534" s="9" t="s">
        <v>16</v>
      </c>
      <c r="D534" s="223" t="s">
        <v>836</v>
      </c>
      <c r="E534" s="20" t="s">
        <v>1365</v>
      </c>
      <c r="F534" s="20"/>
      <c r="G534" s="20"/>
      <c r="H534" s="20"/>
      <c r="I534" s="20"/>
      <c r="J534" s="20"/>
      <c r="K534" s="20"/>
      <c r="L534" s="20"/>
      <c r="M534" s="20"/>
      <c r="N534" s="20"/>
      <c r="O534" s="20"/>
      <c r="P534" s="20"/>
      <c r="Q534" s="20"/>
      <c r="R534" s="20"/>
      <c r="S534" s="20"/>
      <c r="T534" s="20"/>
      <c r="U534" s="20"/>
      <c r="V534" s="20"/>
      <c r="W534" s="20"/>
      <c r="X534" s="20"/>
      <c r="Y534" s="20"/>
      <c r="Z534" s="20"/>
      <c r="AA534" s="20"/>
      <c r="AB534" s="12"/>
      <c r="AC534" s="12"/>
      <c r="AD534" s="12">
        <v>919683</v>
      </c>
      <c r="AE534" s="12">
        <v>952760</v>
      </c>
      <c r="AF534" s="12">
        <v>797756</v>
      </c>
      <c r="AG534" s="12">
        <v>837338</v>
      </c>
      <c r="AH534" s="12">
        <v>841287</v>
      </c>
      <c r="AI534" s="12">
        <v>887522</v>
      </c>
      <c r="AJ534" s="21">
        <v>1085064</v>
      </c>
      <c r="AK534" s="21">
        <v>1155485</v>
      </c>
      <c r="AL534" s="21">
        <v>1297173</v>
      </c>
      <c r="AM534" s="21">
        <v>1297173</v>
      </c>
      <c r="AN534" s="837">
        <v>1362842</v>
      </c>
      <c r="AO534" s="837">
        <v>1396913</v>
      </c>
      <c r="AP534" s="1058">
        <v>1199986</v>
      </c>
      <c r="AQ534" s="1058">
        <v>1231860</v>
      </c>
      <c r="AR534" s="1044"/>
      <c r="AS534" s="1044"/>
    </row>
    <row r="535" spans="3:45" hidden="1" outlineLevel="1">
      <c r="C535" s="9" t="s">
        <v>16</v>
      </c>
      <c r="D535" s="223" t="s">
        <v>836</v>
      </c>
      <c r="E535" s="20" t="s">
        <v>730</v>
      </c>
      <c r="F535" s="20"/>
      <c r="G535" s="20"/>
      <c r="H535" s="20"/>
      <c r="I535" s="20"/>
      <c r="J535" s="20"/>
      <c r="K535" s="20"/>
      <c r="L535" s="20"/>
      <c r="M535" s="20"/>
      <c r="N535" s="20"/>
      <c r="O535" s="20"/>
      <c r="P535" s="20"/>
      <c r="Q535" s="20"/>
      <c r="R535" s="20"/>
      <c r="S535" s="20"/>
      <c r="T535" s="20"/>
      <c r="U535" s="20"/>
      <c r="V535" s="20"/>
      <c r="W535" s="20"/>
      <c r="X535" s="20"/>
      <c r="Y535" s="20"/>
      <c r="Z535" s="20"/>
      <c r="AA535" s="20"/>
      <c r="AB535" s="12"/>
      <c r="AC535" s="12"/>
      <c r="AD535" s="12">
        <v>1541524</v>
      </c>
      <c r="AE535" s="12">
        <v>1594508</v>
      </c>
      <c r="AF535" s="12">
        <v>1440104</v>
      </c>
      <c r="AG535" s="12">
        <v>1507652</v>
      </c>
      <c r="AH535" s="12">
        <v>1300658</v>
      </c>
      <c r="AI535" s="12">
        <v>1372138</v>
      </c>
      <c r="AJ535" s="21">
        <v>1273931</v>
      </c>
      <c r="AK535" s="21">
        <v>1335194</v>
      </c>
      <c r="AL535" s="21">
        <v>1344186</v>
      </c>
      <c r="AM535" s="21">
        <v>1353658</v>
      </c>
      <c r="AN535" s="837">
        <v>1253479</v>
      </c>
      <c r="AO535" s="837">
        <v>1265706</v>
      </c>
      <c r="AP535" s="1058">
        <v>1323145</v>
      </c>
      <c r="AQ535" s="1058">
        <v>1348556</v>
      </c>
      <c r="AR535" s="1044"/>
      <c r="AS535" s="1044"/>
    </row>
    <row r="536" spans="3:45" hidden="1" outlineLevel="1">
      <c r="C536" s="9" t="s">
        <v>16</v>
      </c>
      <c r="D536" s="223" t="s">
        <v>958</v>
      </c>
      <c r="E536" s="592" t="s">
        <v>1431</v>
      </c>
      <c r="F536" s="20"/>
      <c r="G536" s="20"/>
      <c r="H536" s="20"/>
      <c r="I536" s="20"/>
      <c r="J536" s="20"/>
      <c r="K536" s="20"/>
      <c r="L536" s="20"/>
      <c r="M536" s="20"/>
      <c r="N536" s="20"/>
      <c r="O536" s="20"/>
      <c r="P536" s="20"/>
      <c r="Q536" s="20"/>
      <c r="R536" s="20"/>
      <c r="S536" s="20"/>
      <c r="T536" s="20"/>
      <c r="U536" s="20"/>
      <c r="V536" s="20"/>
      <c r="W536" s="20"/>
      <c r="X536" s="20"/>
      <c r="Y536" s="20"/>
      <c r="Z536" s="20"/>
      <c r="AA536" s="20"/>
      <c r="AB536" s="12"/>
      <c r="AC536" s="12"/>
      <c r="AD536" s="12">
        <v>280528</v>
      </c>
      <c r="AE536" s="12">
        <v>290605</v>
      </c>
      <c r="AF536" s="12">
        <v>521921</v>
      </c>
      <c r="AG536" s="12">
        <v>550503</v>
      </c>
      <c r="AH536" s="12">
        <v>593088</v>
      </c>
      <c r="AI536" s="12">
        <v>625682</v>
      </c>
      <c r="AJ536" s="21">
        <v>727229</v>
      </c>
      <c r="AK536" s="21">
        <v>790164</v>
      </c>
      <c r="AL536" s="21">
        <v>786571</v>
      </c>
      <c r="AM536" s="21">
        <v>818034</v>
      </c>
      <c r="AN536" s="837">
        <v>508372</v>
      </c>
      <c r="AO536" s="837">
        <v>511816</v>
      </c>
      <c r="AP536" s="1058">
        <v>513948</v>
      </c>
      <c r="AQ536" s="1058">
        <v>534734</v>
      </c>
      <c r="AR536" s="1044"/>
      <c r="AS536" s="1044"/>
    </row>
    <row r="537" spans="3:45" hidden="1" outlineLevel="1">
      <c r="C537" s="9" t="s">
        <v>16</v>
      </c>
      <c r="D537" s="223" t="s">
        <v>836</v>
      </c>
      <c r="E537" s="20" t="s">
        <v>731</v>
      </c>
      <c r="F537" s="20"/>
      <c r="G537" s="20"/>
      <c r="H537" s="20"/>
      <c r="I537" s="20"/>
      <c r="J537" s="20"/>
      <c r="K537" s="20"/>
      <c r="L537" s="20"/>
      <c r="M537" s="20"/>
      <c r="N537" s="20"/>
      <c r="O537" s="20"/>
      <c r="P537" s="20"/>
      <c r="Q537" s="20"/>
      <c r="R537" s="20"/>
      <c r="S537" s="20"/>
      <c r="T537" s="20"/>
      <c r="U537" s="20"/>
      <c r="V537" s="20"/>
      <c r="W537" s="20"/>
      <c r="X537" s="20"/>
      <c r="Y537" s="20"/>
      <c r="Z537" s="20"/>
      <c r="AA537" s="20"/>
      <c r="AB537" s="12"/>
      <c r="AC537" s="12"/>
      <c r="AD537" s="12">
        <v>9327812</v>
      </c>
      <c r="AE537" s="12">
        <v>9657401</v>
      </c>
      <c r="AF537" s="12">
        <v>9938645</v>
      </c>
      <c r="AG537" s="12">
        <v>10442511</v>
      </c>
      <c r="AH537" s="12">
        <v>9467950</v>
      </c>
      <c r="AI537" s="12">
        <v>9988281</v>
      </c>
      <c r="AJ537" s="21">
        <v>9170105</v>
      </c>
      <c r="AK537" s="21">
        <v>9836391</v>
      </c>
      <c r="AL537" s="21">
        <v>4957176</v>
      </c>
      <c r="AM537" s="21">
        <v>5081106</v>
      </c>
      <c r="AN537" s="837">
        <v>6676533</v>
      </c>
      <c r="AO537" s="837">
        <v>6752502</v>
      </c>
      <c r="AP537" s="1058">
        <v>8994405</v>
      </c>
      <c r="AQ537" s="1058">
        <v>9221475</v>
      </c>
      <c r="AR537" s="1044"/>
      <c r="AS537" s="1044"/>
    </row>
    <row r="538" spans="3:45" hidden="1" outlineLevel="1">
      <c r="C538" s="9" t="s">
        <v>16</v>
      </c>
      <c r="D538" s="223" t="s">
        <v>836</v>
      </c>
      <c r="E538" s="224" t="s">
        <v>1453</v>
      </c>
      <c r="F538" s="20"/>
      <c r="G538" s="20"/>
      <c r="H538" s="20"/>
      <c r="I538" s="20"/>
      <c r="J538" s="20"/>
      <c r="K538" s="20"/>
      <c r="L538" s="20"/>
      <c r="M538" s="20"/>
      <c r="N538" s="20"/>
      <c r="O538" s="20"/>
      <c r="P538" s="20"/>
      <c r="Q538" s="20"/>
      <c r="R538" s="20"/>
      <c r="S538" s="20"/>
      <c r="T538" s="20"/>
      <c r="U538" s="20"/>
      <c r="V538" s="20"/>
      <c r="W538" s="20"/>
      <c r="X538" s="20"/>
      <c r="Y538" s="20"/>
      <c r="Z538" s="20"/>
      <c r="AA538" s="20"/>
      <c r="AB538" s="12"/>
      <c r="AC538" s="12"/>
      <c r="AD538" s="12">
        <v>0</v>
      </c>
      <c r="AE538" s="12">
        <v>0</v>
      </c>
      <c r="AF538" s="12">
        <v>0</v>
      </c>
      <c r="AG538" s="12">
        <v>0</v>
      </c>
      <c r="AH538" s="12">
        <v>321641</v>
      </c>
      <c r="AI538" s="12">
        <v>339318</v>
      </c>
      <c r="AJ538" s="21">
        <v>607551</v>
      </c>
      <c r="AK538" s="21">
        <v>654134</v>
      </c>
      <c r="AL538" s="21">
        <v>666821</v>
      </c>
      <c r="AM538" s="21">
        <v>686825</v>
      </c>
      <c r="AN538" s="837">
        <v>848430</v>
      </c>
      <c r="AO538" s="837">
        <v>853559</v>
      </c>
      <c r="AP538" s="1058">
        <v>1175313</v>
      </c>
      <c r="AQ538" s="1058">
        <v>1215707</v>
      </c>
      <c r="AR538" s="1044"/>
      <c r="AS538" s="1044"/>
    </row>
    <row r="539" spans="3:45" hidden="1" outlineLevel="1">
      <c r="C539" s="9" t="s">
        <v>16</v>
      </c>
      <c r="D539" s="223" t="s">
        <v>836</v>
      </c>
      <c r="E539" s="20" t="s">
        <v>1426</v>
      </c>
      <c r="F539" s="20"/>
      <c r="G539" s="20"/>
      <c r="H539" s="20"/>
      <c r="I539" s="20"/>
      <c r="J539" s="20"/>
      <c r="K539" s="20"/>
      <c r="L539" s="20"/>
      <c r="M539" s="20"/>
      <c r="N539" s="20"/>
      <c r="O539" s="20"/>
      <c r="P539" s="20"/>
      <c r="Q539" s="20"/>
      <c r="R539" s="20"/>
      <c r="S539" s="20"/>
      <c r="T539" s="20"/>
      <c r="U539" s="20"/>
      <c r="V539" s="20"/>
      <c r="W539" s="20"/>
      <c r="X539" s="20"/>
      <c r="Y539" s="20"/>
      <c r="Z539" s="20"/>
      <c r="AA539" s="20"/>
      <c r="AB539" s="12"/>
      <c r="AC539" s="12"/>
      <c r="AD539" s="12">
        <v>3366630</v>
      </c>
      <c r="AE539" s="12">
        <v>3484655</v>
      </c>
      <c r="AF539" s="12">
        <v>3533256</v>
      </c>
      <c r="AG539" s="12">
        <v>3713983</v>
      </c>
      <c r="AH539" s="12">
        <v>3254605</v>
      </c>
      <c r="AI539" s="12">
        <v>3433468</v>
      </c>
      <c r="AJ539" s="21">
        <v>3806427</v>
      </c>
      <c r="AK539" s="21">
        <v>4050644</v>
      </c>
      <c r="AL539" s="21">
        <v>3795602</v>
      </c>
      <c r="AM539" s="21">
        <v>3795602</v>
      </c>
      <c r="AN539" s="837">
        <v>2912244</v>
      </c>
      <c r="AO539" s="837">
        <v>2944272</v>
      </c>
      <c r="AP539" s="1058">
        <v>3042203</v>
      </c>
      <c r="AQ539" s="1058">
        <v>3109904</v>
      </c>
      <c r="AR539" s="1044"/>
      <c r="AS539" s="1044"/>
    </row>
    <row r="540" spans="3:45" hidden="1" outlineLevel="1">
      <c r="C540" s="9" t="s">
        <v>16</v>
      </c>
      <c r="D540" s="223" t="s">
        <v>836</v>
      </c>
      <c r="E540" s="20" t="s">
        <v>733</v>
      </c>
      <c r="F540" s="20"/>
      <c r="G540" s="20"/>
      <c r="H540" s="20"/>
      <c r="I540" s="20"/>
      <c r="J540" s="20"/>
      <c r="K540" s="20"/>
      <c r="L540" s="20"/>
      <c r="M540" s="20"/>
      <c r="N540" s="20"/>
      <c r="O540" s="20"/>
      <c r="P540" s="20"/>
      <c r="Q540" s="20"/>
      <c r="R540" s="20"/>
      <c r="S540" s="20"/>
      <c r="T540" s="20"/>
      <c r="U540" s="20"/>
      <c r="V540" s="20"/>
      <c r="W540" s="20"/>
      <c r="X540" s="20"/>
      <c r="Y540" s="20"/>
      <c r="Z540" s="20"/>
      <c r="AA540" s="20"/>
      <c r="AB540" s="12"/>
      <c r="AC540" s="12"/>
      <c r="AD540" s="12">
        <v>3762745</v>
      </c>
      <c r="AE540" s="12">
        <v>3897257</v>
      </c>
      <c r="AF540" s="12">
        <v>3388645</v>
      </c>
      <c r="AG540" s="12">
        <v>3561925</v>
      </c>
      <c r="AH540" s="12">
        <v>3269692</v>
      </c>
      <c r="AI540" s="12">
        <v>3449384</v>
      </c>
      <c r="AJ540" s="21">
        <v>3918972</v>
      </c>
      <c r="AK540" s="21">
        <v>4154486</v>
      </c>
      <c r="AL540" s="21">
        <v>3470869</v>
      </c>
      <c r="AM540" s="21">
        <v>3470869</v>
      </c>
      <c r="AN540" s="837">
        <v>3086944</v>
      </c>
      <c r="AO540" s="837">
        <v>3124293</v>
      </c>
      <c r="AP540" s="1058">
        <v>3523535</v>
      </c>
      <c r="AQ540" s="1058">
        <v>3615083</v>
      </c>
      <c r="AR540" s="1044"/>
      <c r="AS540" s="1044"/>
    </row>
    <row r="541" spans="3:45" hidden="1" outlineLevel="1">
      <c r="C541" s="9" t="s">
        <v>16</v>
      </c>
      <c r="D541" s="223" t="s">
        <v>958</v>
      </c>
      <c r="E541" s="592" t="s">
        <v>1432</v>
      </c>
      <c r="F541" s="20"/>
      <c r="G541" s="20"/>
      <c r="H541" s="20"/>
      <c r="I541" s="20"/>
      <c r="J541" s="20"/>
      <c r="K541" s="20"/>
      <c r="L541" s="20"/>
      <c r="M541" s="20"/>
      <c r="N541" s="20"/>
      <c r="O541" s="20"/>
      <c r="P541" s="20"/>
      <c r="Q541" s="20"/>
      <c r="R541" s="20"/>
      <c r="S541" s="20"/>
      <c r="T541" s="20"/>
      <c r="U541" s="20"/>
      <c r="V541" s="20"/>
      <c r="W541" s="20"/>
      <c r="X541" s="20"/>
      <c r="Y541" s="20"/>
      <c r="Z541" s="20"/>
      <c r="AA541" s="20"/>
      <c r="AB541" s="12"/>
      <c r="AC541" s="12"/>
      <c r="AD541" s="12">
        <v>545249</v>
      </c>
      <c r="AE541" s="12">
        <v>566136</v>
      </c>
      <c r="AF541" s="12">
        <v>126049</v>
      </c>
      <c r="AG541" s="12">
        <v>129830</v>
      </c>
      <c r="AH541" s="12">
        <v>281927</v>
      </c>
      <c r="AI541" s="12">
        <v>297421</v>
      </c>
      <c r="AJ541" s="21">
        <v>279869</v>
      </c>
      <c r="AK541" s="21">
        <v>300139</v>
      </c>
      <c r="AL541" s="21">
        <v>320107</v>
      </c>
      <c r="AM541" s="21">
        <v>320107</v>
      </c>
      <c r="AN541" s="837">
        <v>722951</v>
      </c>
      <c r="AO541" s="837">
        <v>755901</v>
      </c>
      <c r="AP541" s="1058">
        <v>350518</v>
      </c>
      <c r="AQ541" s="1058">
        <v>362518</v>
      </c>
      <c r="AR541" s="1044"/>
      <c r="AS541" s="1044"/>
    </row>
    <row r="542" spans="3:45" hidden="1" outlineLevel="1">
      <c r="C542" s="9" t="s">
        <v>16</v>
      </c>
      <c r="D542" s="223" t="s">
        <v>836</v>
      </c>
      <c r="E542" s="20" t="s">
        <v>735</v>
      </c>
      <c r="F542" s="20"/>
      <c r="G542" s="20"/>
      <c r="H542" s="20"/>
      <c r="I542" s="20"/>
      <c r="J542" s="20"/>
      <c r="K542" s="20"/>
      <c r="L542" s="20"/>
      <c r="M542" s="20"/>
      <c r="N542" s="20"/>
      <c r="O542" s="20"/>
      <c r="P542" s="20"/>
      <c r="Q542" s="20"/>
      <c r="R542" s="20"/>
      <c r="S542" s="20"/>
      <c r="T542" s="20"/>
      <c r="U542" s="20"/>
      <c r="V542" s="20"/>
      <c r="W542" s="20"/>
      <c r="X542" s="20"/>
      <c r="Y542" s="20"/>
      <c r="Z542" s="20"/>
      <c r="AA542" s="20"/>
      <c r="AB542" s="12"/>
      <c r="AC542" s="12"/>
      <c r="AD542" s="12">
        <v>12813780</v>
      </c>
      <c r="AE542" s="12">
        <v>13280376</v>
      </c>
      <c r="AF542" s="12">
        <v>9801345</v>
      </c>
      <c r="AG542" s="12">
        <v>10290616</v>
      </c>
      <c r="AH542" s="12">
        <v>9404246</v>
      </c>
      <c r="AI542" s="12">
        <v>9921076</v>
      </c>
      <c r="AJ542" s="21">
        <v>10736958</v>
      </c>
      <c r="AK542" s="21">
        <v>11376406</v>
      </c>
      <c r="AL542" s="21">
        <v>10095920</v>
      </c>
      <c r="AM542" s="21">
        <v>10095920</v>
      </c>
      <c r="AN542" s="837">
        <v>17801391</v>
      </c>
      <c r="AO542" s="837">
        <v>17963018</v>
      </c>
      <c r="AP542" s="1058">
        <v>11640581</v>
      </c>
      <c r="AQ542" s="1058">
        <v>11882616</v>
      </c>
      <c r="AR542" s="1044"/>
      <c r="AS542" s="1044"/>
    </row>
    <row r="543" spans="3:45" hidden="1" outlineLevel="1">
      <c r="C543" s="9" t="s">
        <v>16</v>
      </c>
      <c r="D543" s="223" t="s">
        <v>836</v>
      </c>
      <c r="E543" s="20" t="s">
        <v>855</v>
      </c>
      <c r="F543" s="20"/>
      <c r="G543" s="20"/>
      <c r="H543" s="20"/>
      <c r="I543" s="20"/>
      <c r="J543" s="20"/>
      <c r="K543" s="20"/>
      <c r="L543" s="20"/>
      <c r="M543" s="20"/>
      <c r="N543" s="20"/>
      <c r="O543" s="20"/>
      <c r="P543" s="20"/>
      <c r="Q543" s="20"/>
      <c r="R543" s="20"/>
      <c r="S543" s="20"/>
      <c r="T543" s="20"/>
      <c r="U543" s="20"/>
      <c r="V543" s="20"/>
      <c r="W543" s="20"/>
      <c r="X543" s="20"/>
      <c r="Y543" s="20"/>
      <c r="Z543" s="20"/>
      <c r="AA543" s="20"/>
      <c r="AB543" s="12"/>
      <c r="AC543" s="12"/>
      <c r="AD543" s="12">
        <v>1706210</v>
      </c>
      <c r="AE543" s="12">
        <v>1764934</v>
      </c>
      <c r="AF543" s="12">
        <v>1770647</v>
      </c>
      <c r="AG543" s="12">
        <v>1854150</v>
      </c>
      <c r="AH543" s="12">
        <v>1639756</v>
      </c>
      <c r="AI543" s="12">
        <v>1729873</v>
      </c>
      <c r="AJ543" s="21">
        <v>1816144</v>
      </c>
      <c r="AK543" s="21">
        <v>1904875</v>
      </c>
      <c r="AL543" s="21">
        <v>1787236</v>
      </c>
      <c r="AM543" s="21">
        <v>1783819</v>
      </c>
      <c r="AN543" s="837">
        <v>1782109</v>
      </c>
      <c r="AO543" s="837">
        <v>1794333</v>
      </c>
      <c r="AP543" s="1058">
        <v>2090339</v>
      </c>
      <c r="AQ543" s="1058">
        <v>2141084</v>
      </c>
      <c r="AR543" s="1044"/>
      <c r="AS543" s="1044"/>
    </row>
    <row r="544" spans="3:45" hidden="1" outlineLevel="1">
      <c r="C544" s="9" t="s">
        <v>16</v>
      </c>
      <c r="D544" s="223" t="s">
        <v>836</v>
      </c>
      <c r="E544" s="20" t="s">
        <v>737</v>
      </c>
      <c r="F544" s="20"/>
      <c r="G544" s="20"/>
      <c r="H544" s="20"/>
      <c r="I544" s="20"/>
      <c r="J544" s="20"/>
      <c r="K544" s="20"/>
      <c r="L544" s="20"/>
      <c r="M544" s="20"/>
      <c r="N544" s="20"/>
      <c r="O544" s="20"/>
      <c r="P544" s="20"/>
      <c r="Q544" s="20"/>
      <c r="R544" s="20"/>
      <c r="S544" s="20"/>
      <c r="T544" s="20"/>
      <c r="U544" s="20"/>
      <c r="V544" s="20"/>
      <c r="W544" s="20"/>
      <c r="X544" s="20"/>
      <c r="Y544" s="20"/>
      <c r="Z544" s="20"/>
      <c r="AA544" s="20"/>
      <c r="AB544" s="12"/>
      <c r="AC544" s="12"/>
      <c r="AD544" s="12">
        <v>3178508</v>
      </c>
      <c r="AE544" s="12">
        <v>3291872</v>
      </c>
      <c r="AF544" s="12">
        <v>3321230</v>
      </c>
      <c r="AG544" s="12">
        <v>3496006</v>
      </c>
      <c r="AH544" s="12">
        <v>2976083</v>
      </c>
      <c r="AI544" s="12">
        <v>3139640</v>
      </c>
      <c r="AJ544" s="21">
        <v>3389928</v>
      </c>
      <c r="AK544" s="21">
        <v>3615580</v>
      </c>
      <c r="AL544" s="21">
        <v>3720547</v>
      </c>
      <c r="AM544" s="21">
        <v>3906575</v>
      </c>
      <c r="AN544" s="837">
        <v>3407221</v>
      </c>
      <c r="AO544" s="837">
        <v>3442770</v>
      </c>
      <c r="AP544" s="1058">
        <v>4158779</v>
      </c>
      <c r="AQ544" s="1058">
        <v>4278938</v>
      </c>
      <c r="AR544" s="1044"/>
      <c r="AS544" s="1044"/>
    </row>
    <row r="545" spans="3:45" hidden="1" outlineLevel="1">
      <c r="C545" s="9" t="s">
        <v>16</v>
      </c>
      <c r="D545" s="223" t="s">
        <v>958</v>
      </c>
      <c r="E545" s="592" t="s">
        <v>60</v>
      </c>
      <c r="F545" s="20"/>
      <c r="G545" s="20"/>
      <c r="H545" s="20"/>
      <c r="I545" s="20"/>
      <c r="J545" s="20"/>
      <c r="K545" s="20"/>
      <c r="L545" s="20"/>
      <c r="M545" s="20"/>
      <c r="N545" s="20"/>
      <c r="O545" s="20"/>
      <c r="P545" s="20"/>
      <c r="Q545" s="20"/>
      <c r="R545" s="20"/>
      <c r="S545" s="20"/>
      <c r="T545" s="20"/>
      <c r="U545" s="20"/>
      <c r="V545" s="20"/>
      <c r="W545" s="20"/>
      <c r="X545" s="20"/>
      <c r="Y545" s="20"/>
      <c r="Z545" s="20"/>
      <c r="AA545" s="20"/>
      <c r="AB545" s="12"/>
      <c r="AC545" s="12"/>
      <c r="AD545" s="12">
        <v>93069</v>
      </c>
      <c r="AE545" s="12">
        <v>96207</v>
      </c>
      <c r="AF545" s="12">
        <v>129857</v>
      </c>
      <c r="AG545" s="12">
        <v>136665</v>
      </c>
      <c r="AH545" s="12">
        <v>132451</v>
      </c>
      <c r="AI545" s="12">
        <v>139730</v>
      </c>
      <c r="AJ545" s="21">
        <v>205106</v>
      </c>
      <c r="AK545" s="21">
        <v>221191</v>
      </c>
      <c r="AL545" s="21">
        <v>93036</v>
      </c>
      <c r="AM545" s="21">
        <v>93036</v>
      </c>
      <c r="AN545" s="837">
        <v>100610</v>
      </c>
      <c r="AO545" s="837">
        <v>101190</v>
      </c>
      <c r="AP545" s="1058">
        <v>90763</v>
      </c>
      <c r="AQ545" s="1058">
        <v>94650</v>
      </c>
      <c r="AR545" s="1044"/>
      <c r="AS545" s="1044"/>
    </row>
    <row r="546" spans="3:45" hidden="1" outlineLevel="1">
      <c r="C546" s="9" t="s">
        <v>16</v>
      </c>
      <c r="D546" s="223" t="s">
        <v>836</v>
      </c>
      <c r="E546" s="20" t="s">
        <v>738</v>
      </c>
      <c r="F546" s="20"/>
      <c r="G546" s="20"/>
      <c r="H546" s="20"/>
      <c r="I546" s="20"/>
      <c r="J546" s="20"/>
      <c r="K546" s="20"/>
      <c r="L546" s="20"/>
      <c r="M546" s="20"/>
      <c r="N546" s="20"/>
      <c r="O546" s="20"/>
      <c r="P546" s="20"/>
      <c r="Q546" s="20"/>
      <c r="R546" s="20"/>
      <c r="S546" s="20"/>
      <c r="T546" s="20"/>
      <c r="U546" s="20"/>
      <c r="V546" s="20"/>
      <c r="W546" s="20"/>
      <c r="X546" s="20"/>
      <c r="Y546" s="20"/>
      <c r="Z546" s="20"/>
      <c r="AA546" s="20"/>
      <c r="AB546" s="12"/>
      <c r="AC546" s="12"/>
      <c r="AD546" s="12">
        <v>2602730</v>
      </c>
      <c r="AE546" s="12">
        <v>2694196</v>
      </c>
      <c r="AF546" s="12">
        <v>3043900</v>
      </c>
      <c r="AG546" s="12">
        <v>3200473</v>
      </c>
      <c r="AH546" s="12">
        <v>2938949</v>
      </c>
      <c r="AI546" s="12">
        <v>3100465</v>
      </c>
      <c r="AJ546" s="21">
        <v>3385679</v>
      </c>
      <c r="AK546" s="21">
        <v>3576690</v>
      </c>
      <c r="AL546" s="21">
        <v>2918191</v>
      </c>
      <c r="AM546" s="21">
        <v>2976554</v>
      </c>
      <c r="AN546" s="837">
        <v>4495957</v>
      </c>
      <c r="AO546" s="837">
        <v>4520567</v>
      </c>
      <c r="AP546" s="1058">
        <v>2821602</v>
      </c>
      <c r="AQ546" s="1058">
        <v>2879941</v>
      </c>
      <c r="AR546" s="1044"/>
      <c r="AS546" s="1044"/>
    </row>
    <row r="547" spans="3:45" hidden="1" outlineLevel="1">
      <c r="C547" s="9" t="s">
        <v>16</v>
      </c>
      <c r="D547" s="223" t="s">
        <v>2115</v>
      </c>
      <c r="E547" s="20" t="s">
        <v>1446</v>
      </c>
      <c r="F547" s="20"/>
      <c r="G547" s="20"/>
      <c r="H547" s="20"/>
      <c r="I547" s="20"/>
      <c r="J547" s="20"/>
      <c r="K547" s="20"/>
      <c r="L547" s="20"/>
      <c r="M547" s="20"/>
      <c r="N547" s="20"/>
      <c r="O547" s="20"/>
      <c r="P547" s="20"/>
      <c r="Q547" s="20"/>
      <c r="R547" s="20"/>
      <c r="S547" s="20"/>
      <c r="T547" s="20"/>
      <c r="U547" s="20"/>
      <c r="V547" s="20"/>
      <c r="W547" s="20"/>
      <c r="X547" s="20"/>
      <c r="Y547" s="20"/>
      <c r="Z547" s="20"/>
      <c r="AA547" s="20"/>
      <c r="AB547" s="12"/>
      <c r="AC547" s="12"/>
      <c r="AD547" s="12">
        <v>446773</v>
      </c>
      <c r="AE547" s="12">
        <v>462263</v>
      </c>
      <c r="AF547" s="12">
        <v>532332</v>
      </c>
      <c r="AG547" s="12">
        <v>559073</v>
      </c>
      <c r="AH547" s="12">
        <v>498014</v>
      </c>
      <c r="AI547" s="12">
        <v>525384</v>
      </c>
      <c r="AJ547" s="21">
        <v>625749</v>
      </c>
      <c r="AK547" s="21">
        <v>667411</v>
      </c>
      <c r="AL547" s="21">
        <v>541356</v>
      </c>
      <c r="AM547" s="21">
        <v>552186</v>
      </c>
      <c r="AN547" s="837">
        <v>536854</v>
      </c>
      <c r="AO547" s="837">
        <v>540956</v>
      </c>
      <c r="AP547" s="1058">
        <v>575796</v>
      </c>
      <c r="AQ547" s="1058">
        <v>594563</v>
      </c>
      <c r="AR547" s="1044"/>
      <c r="AS547" s="1044"/>
    </row>
    <row r="548" spans="3:45" hidden="1" outlineLevel="1">
      <c r="C548" s="9" t="s">
        <v>16</v>
      </c>
      <c r="D548" s="1051" t="s">
        <v>2115</v>
      </c>
      <c r="E548" s="20" t="s">
        <v>1447</v>
      </c>
      <c r="F548" s="20"/>
      <c r="G548" s="20"/>
      <c r="H548" s="20"/>
      <c r="I548" s="20"/>
      <c r="J548" s="20"/>
      <c r="K548" s="20"/>
      <c r="L548" s="20"/>
      <c r="M548" s="20"/>
      <c r="N548" s="20"/>
      <c r="O548" s="20"/>
      <c r="P548" s="20"/>
      <c r="Q548" s="20"/>
      <c r="R548" s="20"/>
      <c r="S548" s="20"/>
      <c r="T548" s="20"/>
      <c r="U548" s="20"/>
      <c r="V548" s="20"/>
      <c r="W548" s="20"/>
      <c r="X548" s="20"/>
      <c r="Y548" s="20"/>
      <c r="Z548" s="20"/>
      <c r="AA548" s="20"/>
      <c r="AB548" s="12"/>
      <c r="AC548" s="12"/>
      <c r="AD548" s="12">
        <v>367421</v>
      </c>
      <c r="AE548" s="12">
        <v>380666</v>
      </c>
      <c r="AF548" s="12">
        <v>397824</v>
      </c>
      <c r="AG548" s="12">
        <v>419985</v>
      </c>
      <c r="AH548" s="12">
        <v>365610</v>
      </c>
      <c r="AI548" s="12">
        <v>385703</v>
      </c>
      <c r="AJ548" s="21">
        <v>454358</v>
      </c>
      <c r="AK548" s="21">
        <v>487413</v>
      </c>
      <c r="AL548" s="21">
        <v>42000</v>
      </c>
      <c r="AM548" s="21">
        <v>420000</v>
      </c>
      <c r="AN548" s="837">
        <v>423799</v>
      </c>
      <c r="AO548" s="837">
        <v>426875</v>
      </c>
      <c r="AP548" s="1058">
        <v>511452</v>
      </c>
      <c r="AQ548" s="1058">
        <v>525402</v>
      </c>
      <c r="AR548" s="1044"/>
      <c r="AS548" s="1044"/>
    </row>
    <row r="549" spans="3:45" hidden="1" outlineLevel="1">
      <c r="C549" s="9" t="s">
        <v>16</v>
      </c>
      <c r="D549" s="1051" t="s">
        <v>2115</v>
      </c>
      <c r="E549" s="20" t="s">
        <v>1448</v>
      </c>
      <c r="F549" s="20"/>
      <c r="G549" s="20"/>
      <c r="H549" s="20"/>
      <c r="I549" s="20"/>
      <c r="J549" s="20"/>
      <c r="K549" s="20"/>
      <c r="L549" s="20"/>
      <c r="M549" s="20"/>
      <c r="N549" s="20"/>
      <c r="O549" s="20"/>
      <c r="P549" s="20"/>
      <c r="Q549" s="20"/>
      <c r="R549" s="20"/>
      <c r="S549" s="20"/>
      <c r="T549" s="20"/>
      <c r="U549" s="20"/>
      <c r="V549" s="20"/>
      <c r="W549" s="20"/>
      <c r="X549" s="20"/>
      <c r="Y549" s="20"/>
      <c r="Z549" s="20"/>
      <c r="AA549" s="20"/>
      <c r="AB549" s="12"/>
      <c r="AC549" s="12"/>
      <c r="AD549" s="12">
        <v>573993</v>
      </c>
      <c r="AE549" s="12">
        <v>594483</v>
      </c>
      <c r="AF549" s="12">
        <v>636724</v>
      </c>
      <c r="AG549" s="12">
        <v>671743</v>
      </c>
      <c r="AH549" s="12">
        <v>489963</v>
      </c>
      <c r="AI549" s="12">
        <v>516890</v>
      </c>
      <c r="AJ549" s="21">
        <v>588709</v>
      </c>
      <c r="AK549" s="21">
        <v>633632</v>
      </c>
      <c r="AL549" s="21">
        <v>657108</v>
      </c>
      <c r="AM549" s="21">
        <v>657108</v>
      </c>
      <c r="AN549" s="837">
        <v>505236</v>
      </c>
      <c r="AO549" s="837">
        <v>209730</v>
      </c>
      <c r="AP549" s="1058">
        <v>528036</v>
      </c>
      <c r="AQ549" s="1058">
        <v>543964</v>
      </c>
      <c r="AR549" s="1044"/>
      <c r="AS549" s="1044"/>
    </row>
    <row r="550" spans="3:45" hidden="1" outlineLevel="1">
      <c r="C550" s="9" t="s">
        <v>16</v>
      </c>
      <c r="D550" s="223" t="s">
        <v>836</v>
      </c>
      <c r="E550" s="20" t="s">
        <v>1367</v>
      </c>
      <c r="F550" s="20"/>
      <c r="G550" s="20"/>
      <c r="H550" s="20"/>
      <c r="I550" s="20"/>
      <c r="J550" s="20"/>
      <c r="K550" s="20"/>
      <c r="L550" s="20"/>
      <c r="M550" s="20"/>
      <c r="N550" s="20"/>
      <c r="O550" s="20"/>
      <c r="P550" s="20"/>
      <c r="Q550" s="20"/>
      <c r="R550" s="20"/>
      <c r="S550" s="20"/>
      <c r="T550" s="20"/>
      <c r="U550" s="20"/>
      <c r="V550" s="20"/>
      <c r="W550" s="20"/>
      <c r="X550" s="20"/>
      <c r="Y550" s="20"/>
      <c r="Z550" s="20"/>
      <c r="AA550" s="20"/>
      <c r="AB550" s="12"/>
      <c r="AC550" s="12"/>
      <c r="AD550" s="12">
        <v>3905538</v>
      </c>
      <c r="AE550" s="12">
        <v>4043047</v>
      </c>
      <c r="AF550" s="12">
        <v>4110387</v>
      </c>
      <c r="AG550" s="12">
        <v>4311489</v>
      </c>
      <c r="AH550" s="12">
        <v>3262270</v>
      </c>
      <c r="AI550" s="12">
        <v>3441555</v>
      </c>
      <c r="AJ550" s="21">
        <v>4083209</v>
      </c>
      <c r="AK550" s="21">
        <v>4327008</v>
      </c>
      <c r="AL550" s="21">
        <v>3402938</v>
      </c>
      <c r="AM550" s="21">
        <v>3402938</v>
      </c>
      <c r="AN550" s="837">
        <v>4413100</v>
      </c>
      <c r="AO550" s="837">
        <v>4455158</v>
      </c>
      <c r="AP550" s="1058">
        <v>5811601</v>
      </c>
      <c r="AQ550" s="1058">
        <v>5968593</v>
      </c>
      <c r="AR550" s="1044"/>
      <c r="AS550" s="1044"/>
    </row>
    <row r="551" spans="3:45" hidden="1" outlineLevel="1">
      <c r="C551" s="9" t="s">
        <v>16</v>
      </c>
      <c r="D551" s="223" t="s">
        <v>836</v>
      </c>
      <c r="E551" s="224" t="s">
        <v>1094</v>
      </c>
      <c r="F551" s="20"/>
      <c r="G551" s="20"/>
      <c r="H551" s="20"/>
      <c r="I551" s="20"/>
      <c r="J551" s="20"/>
      <c r="K551" s="20"/>
      <c r="L551" s="20"/>
      <c r="M551" s="20"/>
      <c r="N551" s="20"/>
      <c r="O551" s="20"/>
      <c r="P551" s="20"/>
      <c r="Q551" s="20"/>
      <c r="R551" s="20"/>
      <c r="S551" s="20"/>
      <c r="T551" s="20"/>
      <c r="U551" s="20"/>
      <c r="V551" s="20"/>
      <c r="W551" s="20"/>
      <c r="X551" s="20"/>
      <c r="Y551" s="20"/>
      <c r="Z551" s="20"/>
      <c r="AA551" s="20"/>
      <c r="AB551" s="12"/>
      <c r="AC551" s="12"/>
      <c r="AD551" s="12">
        <v>7308874</v>
      </c>
      <c r="AE551" s="12">
        <v>7567601</v>
      </c>
      <c r="AF551" s="12">
        <v>7357731</v>
      </c>
      <c r="AG551" s="12">
        <v>7747615</v>
      </c>
      <c r="AH551" s="12">
        <v>7890877</v>
      </c>
      <c r="AI551" s="12">
        <v>8324536</v>
      </c>
      <c r="AJ551" s="21">
        <v>9247910</v>
      </c>
      <c r="AK551" s="21">
        <v>9918174</v>
      </c>
      <c r="AL551" s="21">
        <v>6606627</v>
      </c>
      <c r="AM551" s="21">
        <v>6838682</v>
      </c>
      <c r="AN551" s="837">
        <v>8989994</v>
      </c>
      <c r="AO551" s="837">
        <v>9169813</v>
      </c>
      <c r="AP551" s="1058">
        <v>8516657</v>
      </c>
      <c r="AQ551" s="1058">
        <v>8719788</v>
      </c>
      <c r="AR551" s="1044"/>
      <c r="AS551" s="1044"/>
    </row>
    <row r="552" spans="3:45" hidden="1" outlineLevel="1">
      <c r="C552" s="9" t="s">
        <v>16</v>
      </c>
      <c r="D552" s="223" t="s">
        <v>836</v>
      </c>
      <c r="E552" s="20" t="s">
        <v>859</v>
      </c>
      <c r="F552" s="20"/>
      <c r="G552" s="20"/>
      <c r="H552" s="20"/>
      <c r="I552" s="20"/>
      <c r="J552" s="20"/>
      <c r="K552" s="20"/>
      <c r="L552" s="20"/>
      <c r="M552" s="20"/>
      <c r="N552" s="20"/>
      <c r="O552" s="20"/>
      <c r="P552" s="20"/>
      <c r="Q552" s="20"/>
      <c r="R552" s="20"/>
      <c r="S552" s="20"/>
      <c r="T552" s="20"/>
      <c r="U552" s="20"/>
      <c r="V552" s="20"/>
      <c r="W552" s="20"/>
      <c r="X552" s="20"/>
      <c r="Y552" s="20"/>
      <c r="Z552" s="20"/>
      <c r="AA552" s="20"/>
      <c r="AB552" s="12"/>
      <c r="AC552" s="12"/>
      <c r="AD552" s="12">
        <v>840456</v>
      </c>
      <c r="AE552" s="12">
        <v>870181</v>
      </c>
      <c r="AF552" s="12">
        <v>863984</v>
      </c>
      <c r="AG552" s="12">
        <v>908626</v>
      </c>
      <c r="AH552" s="12">
        <v>426167</v>
      </c>
      <c r="AI552" s="12">
        <v>449588</v>
      </c>
      <c r="AJ552" s="21">
        <v>655942</v>
      </c>
      <c r="AK552" s="21">
        <v>703836</v>
      </c>
      <c r="AL552" s="21">
        <v>696612</v>
      </c>
      <c r="AM552" s="21">
        <v>696612</v>
      </c>
      <c r="AN552" s="837">
        <v>763238</v>
      </c>
      <c r="AO552" s="837">
        <v>767798</v>
      </c>
      <c r="AP552" s="1058">
        <v>793166</v>
      </c>
      <c r="AQ552" s="1058">
        <v>813240</v>
      </c>
      <c r="AR552" s="1044"/>
      <c r="AS552" s="1044"/>
    </row>
    <row r="553" spans="3:45" hidden="1" outlineLevel="1">
      <c r="C553" s="9" t="s">
        <v>16</v>
      </c>
      <c r="D553" s="223" t="s">
        <v>836</v>
      </c>
      <c r="E553" s="20" t="s">
        <v>1427</v>
      </c>
      <c r="F553" s="20"/>
      <c r="G553" s="20"/>
      <c r="H553" s="20"/>
      <c r="I553" s="20"/>
      <c r="J553" s="20"/>
      <c r="K553" s="20"/>
      <c r="L553" s="20"/>
      <c r="M553" s="20"/>
      <c r="N553" s="20"/>
      <c r="O553" s="20"/>
      <c r="P553" s="20"/>
      <c r="Q553" s="20"/>
      <c r="R553" s="20"/>
      <c r="S553" s="20"/>
      <c r="T553" s="20"/>
      <c r="U553" s="20"/>
      <c r="V553" s="20"/>
      <c r="W553" s="20"/>
      <c r="X553" s="20"/>
      <c r="Y553" s="20"/>
      <c r="Z553" s="20"/>
      <c r="AA553" s="20"/>
      <c r="AB553" s="12"/>
      <c r="AC553" s="12"/>
      <c r="AD553" s="12">
        <v>203022</v>
      </c>
      <c r="AE553" s="12">
        <v>210202</v>
      </c>
      <c r="AF553" s="12">
        <v>216657</v>
      </c>
      <c r="AG553" s="12">
        <v>227851</v>
      </c>
      <c r="AH553" s="12">
        <v>468794</v>
      </c>
      <c r="AI553" s="12">
        <v>494558</v>
      </c>
      <c r="AJ553" s="21">
        <v>157474</v>
      </c>
      <c r="AK553" s="21">
        <v>168972</v>
      </c>
      <c r="AL553" s="21">
        <v>173440</v>
      </c>
      <c r="AM553" s="21">
        <v>173440</v>
      </c>
      <c r="AN553" s="837">
        <v>160824</v>
      </c>
      <c r="AO553" s="837">
        <v>161785</v>
      </c>
      <c r="AP553" s="1058">
        <v>134923</v>
      </c>
      <c r="AQ553" s="1058">
        <v>138408</v>
      </c>
      <c r="AR553" s="1044"/>
      <c r="AS553" s="1044"/>
    </row>
    <row r="554" spans="3:45" hidden="1" outlineLevel="1">
      <c r="C554" s="9" t="s">
        <v>16</v>
      </c>
      <c r="D554" s="223" t="s">
        <v>1498</v>
      </c>
      <c r="E554" s="616" t="s">
        <v>1844</v>
      </c>
      <c r="F554" s="20"/>
      <c r="G554" s="20"/>
      <c r="H554" s="20"/>
      <c r="I554" s="20"/>
      <c r="J554" s="20"/>
      <c r="K554" s="20"/>
      <c r="L554" s="20"/>
      <c r="M554" s="20"/>
      <c r="N554" s="20"/>
      <c r="O554" s="20"/>
      <c r="P554" s="20"/>
      <c r="Q554" s="20"/>
      <c r="R554" s="20"/>
      <c r="S554" s="20"/>
      <c r="T554" s="20"/>
      <c r="U554" s="20"/>
      <c r="V554" s="20"/>
      <c r="W554" s="20"/>
      <c r="X554" s="20"/>
      <c r="Y554" s="20"/>
      <c r="Z554" s="20"/>
      <c r="AA554" s="20"/>
      <c r="AB554" s="12"/>
      <c r="AC554" s="12"/>
      <c r="AD554" s="12">
        <v>22917123</v>
      </c>
      <c r="AE554" s="12">
        <v>23810813</v>
      </c>
      <c r="AF554" s="12">
        <v>9519570</v>
      </c>
      <c r="AG554" s="12">
        <v>10056933</v>
      </c>
      <c r="AH554" s="12">
        <v>7974629</v>
      </c>
      <c r="AI554" s="12">
        <v>8412892</v>
      </c>
      <c r="AJ554" s="21">
        <v>7169141</v>
      </c>
      <c r="AK554" s="21">
        <v>7686708</v>
      </c>
      <c r="AL554" s="21">
        <v>9722885</v>
      </c>
      <c r="AM554" s="21">
        <v>10014575</v>
      </c>
      <c r="AN554" s="837">
        <v>8933457</v>
      </c>
      <c r="AO554" s="837">
        <v>8944676</v>
      </c>
      <c r="AP554" s="1058">
        <v>9310808</v>
      </c>
      <c r="AQ554" s="1058">
        <v>9513659</v>
      </c>
      <c r="AR554" s="1044"/>
      <c r="AS554" s="1044"/>
    </row>
    <row r="555" spans="3:45" hidden="1" outlineLevel="1">
      <c r="C555" s="9" t="s">
        <v>16</v>
      </c>
      <c r="D555" s="223" t="s">
        <v>1498</v>
      </c>
      <c r="E555" s="593" t="s">
        <v>1434</v>
      </c>
      <c r="F555" s="20"/>
      <c r="G555" s="20"/>
      <c r="H555" s="20"/>
      <c r="I555" s="20"/>
      <c r="J555" s="20"/>
      <c r="K555" s="20"/>
      <c r="L555" s="20"/>
      <c r="M555" s="20"/>
      <c r="N555" s="20"/>
      <c r="O555" s="20"/>
      <c r="P555" s="20"/>
      <c r="Q555" s="20"/>
      <c r="R555" s="20"/>
      <c r="S555" s="20"/>
      <c r="T555" s="20"/>
      <c r="U555" s="20"/>
      <c r="V555" s="20"/>
      <c r="W555" s="20"/>
      <c r="X555" s="20"/>
      <c r="Y555" s="20"/>
      <c r="Z555" s="20"/>
      <c r="AA555" s="20"/>
      <c r="AB555" s="12"/>
      <c r="AC555" s="12"/>
      <c r="AD555" s="12">
        <v>33898367</v>
      </c>
      <c r="AE555" s="12">
        <v>35188918</v>
      </c>
      <c r="AF555" s="12">
        <v>1062095</v>
      </c>
      <c r="AG555" s="12">
        <v>1078027</v>
      </c>
      <c r="AH555" s="12">
        <v>27089090</v>
      </c>
      <c r="AI555" s="12">
        <v>28599653</v>
      </c>
      <c r="AJ555" s="21">
        <v>30850637</v>
      </c>
      <c r="AK555" s="21">
        <v>34083928</v>
      </c>
      <c r="AL555" s="21">
        <v>8755510</v>
      </c>
      <c r="AM555" s="21">
        <v>8797837</v>
      </c>
      <c r="AN555" s="837">
        <v>32633302</v>
      </c>
      <c r="AO555" s="837">
        <v>33378687</v>
      </c>
      <c r="AP555" s="1058">
        <v>8686561</v>
      </c>
      <c r="AQ555" s="1058">
        <v>8973851</v>
      </c>
      <c r="AR555" s="1044"/>
      <c r="AS555" s="1044"/>
    </row>
    <row r="556" spans="3:45" hidden="1" outlineLevel="1">
      <c r="C556" s="9" t="s">
        <v>16</v>
      </c>
      <c r="D556" s="223" t="s">
        <v>1498</v>
      </c>
      <c r="E556" s="593" t="s">
        <v>1435</v>
      </c>
      <c r="F556" s="20"/>
      <c r="G556" s="20"/>
      <c r="H556" s="20"/>
      <c r="I556" s="20"/>
      <c r="J556" s="20"/>
      <c r="K556" s="20"/>
      <c r="L556" s="20"/>
      <c r="M556" s="20"/>
      <c r="N556" s="20"/>
      <c r="O556" s="20"/>
      <c r="P556" s="20"/>
      <c r="Q556" s="20"/>
      <c r="R556" s="20"/>
      <c r="S556" s="20"/>
      <c r="T556" s="20"/>
      <c r="U556" s="20"/>
      <c r="V556" s="20"/>
      <c r="W556" s="20"/>
      <c r="X556" s="20"/>
      <c r="Y556" s="20"/>
      <c r="Z556" s="20"/>
      <c r="AA556" s="20"/>
      <c r="AB556" s="12"/>
      <c r="AC556" s="12"/>
      <c r="AD556" s="12">
        <v>10541351</v>
      </c>
      <c r="AE556" s="12">
        <v>10940469</v>
      </c>
      <c r="AF556" s="12">
        <v>8690301</v>
      </c>
      <c r="AG556" s="12">
        <v>9187313</v>
      </c>
      <c r="AH556" s="12">
        <v>7533407</v>
      </c>
      <c r="AI556" s="12">
        <v>7947422</v>
      </c>
      <c r="AJ556" s="21">
        <v>9848391</v>
      </c>
      <c r="AK556" s="21">
        <v>10546633</v>
      </c>
      <c r="AL556" s="21">
        <v>10165594</v>
      </c>
      <c r="AM556" s="21">
        <v>10193618</v>
      </c>
      <c r="AN556" s="837">
        <v>10489787</v>
      </c>
      <c r="AO556" s="837">
        <v>10639587</v>
      </c>
      <c r="AP556" s="1058">
        <v>10359475</v>
      </c>
      <c r="AQ556" s="1058">
        <v>10641982</v>
      </c>
      <c r="AR556" s="1044"/>
      <c r="AS556" s="1044"/>
    </row>
    <row r="557" spans="3:45" hidden="1" outlineLevel="1">
      <c r="C557" s="9" t="s">
        <v>16</v>
      </c>
      <c r="D557" s="223" t="s">
        <v>1498</v>
      </c>
      <c r="E557" s="593" t="s">
        <v>1436</v>
      </c>
      <c r="F557" s="20"/>
      <c r="G557" s="20"/>
      <c r="H557" s="20"/>
      <c r="I557" s="20"/>
      <c r="J557" s="20"/>
      <c r="K557" s="20"/>
      <c r="L557" s="20"/>
      <c r="M557" s="20"/>
      <c r="N557" s="20"/>
      <c r="O557" s="20"/>
      <c r="P557" s="20"/>
      <c r="Q557" s="20"/>
      <c r="R557" s="20"/>
      <c r="S557" s="20"/>
      <c r="T557" s="20"/>
      <c r="U557" s="20"/>
      <c r="V557" s="20"/>
      <c r="W557" s="20"/>
      <c r="X557" s="20"/>
      <c r="Y557" s="20"/>
      <c r="Z557" s="20"/>
      <c r="AA557" s="20"/>
      <c r="AB557" s="12"/>
      <c r="AC557" s="12"/>
      <c r="AD557" s="12">
        <v>10454672</v>
      </c>
      <c r="AE557" s="12">
        <v>10842565</v>
      </c>
      <c r="AF557" s="12">
        <v>7797163</v>
      </c>
      <c r="AG557" s="12">
        <v>8070063</v>
      </c>
      <c r="AH557" s="12">
        <v>6973570</v>
      </c>
      <c r="AI557" s="12">
        <v>7356817</v>
      </c>
      <c r="AJ557" s="21">
        <v>7809366</v>
      </c>
      <c r="AK557" s="21">
        <v>8361446</v>
      </c>
      <c r="AL557" s="21">
        <v>8242230</v>
      </c>
      <c r="AM557" s="21">
        <v>8247903</v>
      </c>
      <c r="AN557" s="837">
        <v>8704990</v>
      </c>
      <c r="AO557" s="837">
        <v>8735212</v>
      </c>
      <c r="AP557" s="1058">
        <v>8041582</v>
      </c>
      <c r="AQ557" s="1058">
        <v>8226565</v>
      </c>
      <c r="AR557" s="1044"/>
      <c r="AS557" s="1044"/>
    </row>
    <row r="558" spans="3:45" hidden="1" outlineLevel="1">
      <c r="C558" s="9" t="s">
        <v>16</v>
      </c>
      <c r="D558" s="223" t="s">
        <v>1498</v>
      </c>
      <c r="E558" s="616" t="s">
        <v>1668</v>
      </c>
      <c r="F558" s="20"/>
      <c r="G558" s="20"/>
      <c r="H558" s="20"/>
      <c r="I558" s="20"/>
      <c r="J558" s="20"/>
      <c r="K558" s="20"/>
      <c r="L558" s="20"/>
      <c r="M558" s="20"/>
      <c r="N558" s="20"/>
      <c r="O558" s="20"/>
      <c r="P558" s="20"/>
      <c r="Q558" s="20"/>
      <c r="R558" s="20"/>
      <c r="S558" s="20"/>
      <c r="T558" s="20"/>
      <c r="U558" s="20"/>
      <c r="V558" s="20"/>
      <c r="W558" s="20"/>
      <c r="X558" s="20"/>
      <c r="Y558" s="20"/>
      <c r="Z558" s="20"/>
      <c r="AA558" s="20"/>
      <c r="AB558" s="12"/>
      <c r="AC558" s="12"/>
      <c r="AD558" s="12"/>
      <c r="AE558" s="12"/>
      <c r="AF558" s="12"/>
      <c r="AG558" s="12"/>
      <c r="AH558" s="12"/>
      <c r="AI558" s="12"/>
      <c r="AJ558" s="21"/>
      <c r="AK558" s="21"/>
      <c r="AL558" s="21"/>
      <c r="AM558" s="21"/>
      <c r="AN558" s="837"/>
      <c r="AO558" s="837"/>
      <c r="AP558" s="1058">
        <v>898415</v>
      </c>
      <c r="AQ558" s="1058">
        <v>906591</v>
      </c>
      <c r="AR558" s="1044"/>
      <c r="AS558" s="1044"/>
    </row>
    <row r="559" spans="3:45" hidden="1" outlineLevel="1">
      <c r="C559" s="9" t="s">
        <v>16</v>
      </c>
      <c r="D559" s="223" t="s">
        <v>1498</v>
      </c>
      <c r="E559" s="593" t="s">
        <v>1437</v>
      </c>
      <c r="F559" s="20"/>
      <c r="G559" s="20"/>
      <c r="H559" s="20"/>
      <c r="I559" s="20"/>
      <c r="J559" s="20"/>
      <c r="K559" s="20"/>
      <c r="L559" s="20"/>
      <c r="M559" s="20"/>
      <c r="N559" s="20"/>
      <c r="O559" s="20"/>
      <c r="P559" s="20"/>
      <c r="Q559" s="20"/>
      <c r="R559" s="20"/>
      <c r="S559" s="20"/>
      <c r="T559" s="20"/>
      <c r="U559" s="20"/>
      <c r="V559" s="20"/>
      <c r="W559" s="20"/>
      <c r="X559" s="20"/>
      <c r="Y559" s="20"/>
      <c r="Z559" s="20"/>
      <c r="AA559" s="20"/>
      <c r="AB559" s="12"/>
      <c r="AC559" s="12"/>
      <c r="AD559" s="12">
        <v>44560124</v>
      </c>
      <c r="AE559" s="12">
        <v>46339056</v>
      </c>
      <c r="AF559" s="12">
        <v>50392327</v>
      </c>
      <c r="AG559" s="12">
        <v>53884376</v>
      </c>
      <c r="AH559" s="12">
        <v>41894923</v>
      </c>
      <c r="AI559" s="12">
        <v>44197347</v>
      </c>
      <c r="AJ559" s="21">
        <v>53815984</v>
      </c>
      <c r="AK559" s="21">
        <v>59886982</v>
      </c>
      <c r="AL559" s="21">
        <v>18475061</v>
      </c>
      <c r="AM559" s="21">
        <v>21459131</v>
      </c>
      <c r="AN559" s="837">
        <v>35880943</v>
      </c>
      <c r="AO559" s="837">
        <v>38158711</v>
      </c>
      <c r="AP559" s="1058">
        <v>4056507</v>
      </c>
      <c r="AQ559" s="1058">
        <v>4192752</v>
      </c>
      <c r="AR559" s="1044"/>
      <c r="AS559" s="1044"/>
    </row>
    <row r="560" spans="3:45" hidden="1" outlineLevel="1">
      <c r="C560" s="9" t="s">
        <v>16</v>
      </c>
      <c r="D560" s="223" t="s">
        <v>1498</v>
      </c>
      <c r="E560" s="593" t="s">
        <v>1438</v>
      </c>
      <c r="F560" s="20"/>
      <c r="G560" s="20"/>
      <c r="H560" s="20"/>
      <c r="I560" s="20"/>
      <c r="J560" s="20"/>
      <c r="K560" s="20"/>
      <c r="L560" s="20"/>
      <c r="M560" s="20"/>
      <c r="N560" s="20"/>
      <c r="O560" s="20"/>
      <c r="P560" s="20"/>
      <c r="Q560" s="20"/>
      <c r="R560" s="20"/>
      <c r="S560" s="20"/>
      <c r="T560" s="20"/>
      <c r="U560" s="20"/>
      <c r="V560" s="20"/>
      <c r="W560" s="20"/>
      <c r="X560" s="20"/>
      <c r="Y560" s="20"/>
      <c r="Z560" s="20"/>
      <c r="AA560" s="20"/>
      <c r="AB560" s="12"/>
      <c r="AC560" s="12"/>
      <c r="AD560" s="12">
        <v>2670215</v>
      </c>
      <c r="AE560" s="12">
        <v>2773492</v>
      </c>
      <c r="AF560" s="12">
        <v>2392633</v>
      </c>
      <c r="AG560" s="12">
        <v>2545165</v>
      </c>
      <c r="AH560" s="12">
        <v>2174960</v>
      </c>
      <c r="AI560" s="12">
        <v>2294489</v>
      </c>
      <c r="AJ560" s="21">
        <v>2899340</v>
      </c>
      <c r="AK560" s="21">
        <v>3168589</v>
      </c>
      <c r="AL560" s="21">
        <v>837615</v>
      </c>
      <c r="AM560" s="21">
        <v>842527</v>
      </c>
      <c r="AN560" s="837">
        <v>3223991</v>
      </c>
      <c r="AO560" s="837">
        <v>3289398</v>
      </c>
      <c r="AP560" s="1058">
        <v>2468616</v>
      </c>
      <c r="AQ560" s="1058">
        <v>2540531</v>
      </c>
      <c r="AR560" s="1044"/>
      <c r="AS560" s="1044"/>
    </row>
    <row r="561" spans="2:45" hidden="1" outlineLevel="1">
      <c r="C561" s="9" t="s">
        <v>16</v>
      </c>
      <c r="D561" s="223" t="s">
        <v>1498</v>
      </c>
      <c r="E561" s="593" t="s">
        <v>1439</v>
      </c>
      <c r="F561" s="20"/>
      <c r="G561" s="20"/>
      <c r="H561" s="20"/>
      <c r="I561" s="20"/>
      <c r="J561" s="20"/>
      <c r="K561" s="20"/>
      <c r="L561" s="20"/>
      <c r="M561" s="20"/>
      <c r="N561" s="20"/>
      <c r="O561" s="20"/>
      <c r="P561" s="20"/>
      <c r="Q561" s="20"/>
      <c r="R561" s="20"/>
      <c r="S561" s="20"/>
      <c r="T561" s="20"/>
      <c r="U561" s="20"/>
      <c r="V561" s="20"/>
      <c r="W561" s="20"/>
      <c r="X561" s="20"/>
      <c r="Y561" s="20"/>
      <c r="Z561" s="20"/>
      <c r="AA561" s="20"/>
      <c r="AB561" s="12"/>
      <c r="AC561" s="12"/>
      <c r="AD561" s="12">
        <v>3212013</v>
      </c>
      <c r="AE561" s="12">
        <v>3324343</v>
      </c>
      <c r="AF561" s="12">
        <v>3812675</v>
      </c>
      <c r="AG561" s="12">
        <v>4002179</v>
      </c>
      <c r="AH561" s="12">
        <v>3727191</v>
      </c>
      <c r="AI561" s="12">
        <v>3932027</v>
      </c>
      <c r="AJ561" s="21">
        <v>4673514</v>
      </c>
      <c r="AK561" s="21">
        <v>4958852</v>
      </c>
      <c r="AL561" s="21">
        <v>5602073</v>
      </c>
      <c r="AM561" s="21">
        <v>5658094</v>
      </c>
      <c r="AN561" s="837">
        <v>5885678</v>
      </c>
      <c r="AO561" s="837">
        <v>6032820</v>
      </c>
      <c r="AP561" s="1058">
        <v>6051046</v>
      </c>
      <c r="AQ561" s="1058">
        <v>6189654</v>
      </c>
      <c r="AR561" s="1044"/>
      <c r="AS561" s="1044"/>
    </row>
    <row r="562" spans="2:45" hidden="1" outlineLevel="1">
      <c r="C562" s="9" t="s">
        <v>16</v>
      </c>
      <c r="D562" s="223" t="s">
        <v>1498</v>
      </c>
      <c r="E562" s="593" t="s">
        <v>1440</v>
      </c>
      <c r="F562" s="20"/>
      <c r="G562" s="20"/>
      <c r="H562" s="20"/>
      <c r="I562" s="20"/>
      <c r="J562" s="20"/>
      <c r="K562" s="20"/>
      <c r="L562" s="20"/>
      <c r="M562" s="20"/>
      <c r="N562" s="20"/>
      <c r="O562" s="20"/>
      <c r="P562" s="20"/>
      <c r="Q562" s="20"/>
      <c r="R562" s="20"/>
      <c r="S562" s="20"/>
      <c r="T562" s="20"/>
      <c r="U562" s="20"/>
      <c r="V562" s="20"/>
      <c r="W562" s="20"/>
      <c r="X562" s="20"/>
      <c r="Y562" s="20"/>
      <c r="Z562" s="20"/>
      <c r="AA562" s="20"/>
      <c r="AB562" s="12"/>
      <c r="AC562" s="12"/>
      <c r="AD562" s="12">
        <v>3225550</v>
      </c>
      <c r="AE562" s="12">
        <v>3342695</v>
      </c>
      <c r="AF562" s="12">
        <v>3041496</v>
      </c>
      <c r="AG562" s="12">
        <v>3201405</v>
      </c>
      <c r="AH562" s="12">
        <v>2587146</v>
      </c>
      <c r="AI562" s="12">
        <v>2729328</v>
      </c>
      <c r="AJ562" s="21">
        <v>3005738</v>
      </c>
      <c r="AK562" s="21">
        <v>2104912</v>
      </c>
      <c r="AL562" s="21">
        <v>3930547</v>
      </c>
      <c r="AM562" s="21">
        <v>3930547</v>
      </c>
      <c r="AN562" s="837">
        <v>3882086</v>
      </c>
      <c r="AO562" s="837">
        <v>3895448</v>
      </c>
      <c r="AP562" s="1058">
        <v>4334521</v>
      </c>
      <c r="AQ562" s="1058">
        <v>4449171</v>
      </c>
      <c r="AR562" s="1044"/>
      <c r="AS562" s="1044"/>
    </row>
    <row r="563" spans="2:45" hidden="1" outlineLevel="1">
      <c r="C563" s="9" t="s">
        <v>16</v>
      </c>
      <c r="D563" s="223" t="s">
        <v>1498</v>
      </c>
      <c r="E563" s="593" t="s">
        <v>942</v>
      </c>
      <c r="F563" s="20"/>
      <c r="G563" s="20"/>
      <c r="H563" s="20"/>
      <c r="I563" s="20"/>
      <c r="J563" s="20"/>
      <c r="K563" s="20"/>
      <c r="L563" s="20"/>
      <c r="M563" s="20"/>
      <c r="N563" s="20"/>
      <c r="O563" s="20"/>
      <c r="P563" s="20"/>
      <c r="Q563" s="20"/>
      <c r="R563" s="20"/>
      <c r="S563" s="20"/>
      <c r="T563" s="20"/>
      <c r="U563" s="20"/>
      <c r="V563" s="20"/>
      <c r="W563" s="20"/>
      <c r="X563" s="20"/>
      <c r="Y563" s="20"/>
      <c r="Z563" s="20"/>
      <c r="AA563" s="20"/>
      <c r="AB563" s="12"/>
      <c r="AC563" s="12"/>
      <c r="AD563" s="12">
        <v>7587388</v>
      </c>
      <c r="AE563" s="12">
        <v>7856999</v>
      </c>
      <c r="AF563" s="12">
        <v>9222605</v>
      </c>
      <c r="AG563" s="12">
        <v>9682986</v>
      </c>
      <c r="AH563" s="12">
        <v>7054400</v>
      </c>
      <c r="AI563" s="12">
        <v>7442090</v>
      </c>
      <c r="AJ563" s="21">
        <v>7753866</v>
      </c>
      <c r="AK563" s="21">
        <v>8209379</v>
      </c>
      <c r="AL563" s="21">
        <v>6602842</v>
      </c>
      <c r="AM563" s="21">
        <v>6734899</v>
      </c>
      <c r="AN563" s="837">
        <v>6937111</v>
      </c>
      <c r="AO563" s="837">
        <v>7110539</v>
      </c>
      <c r="AP563" s="1058">
        <v>7334402</v>
      </c>
      <c r="AQ563" s="1058">
        <v>7481328</v>
      </c>
      <c r="AR563" s="1044"/>
      <c r="AS563" s="1044"/>
    </row>
    <row r="564" spans="2:45" hidden="1" outlineLevel="1">
      <c r="C564" s="9" t="s">
        <v>16</v>
      </c>
      <c r="D564" s="223" t="s">
        <v>1498</v>
      </c>
      <c r="E564" s="616" t="s">
        <v>1556</v>
      </c>
      <c r="F564" s="20"/>
      <c r="G564" s="20"/>
      <c r="H564" s="20"/>
      <c r="I564" s="20"/>
      <c r="J564" s="20"/>
      <c r="K564" s="20"/>
      <c r="L564" s="20"/>
      <c r="M564" s="20"/>
      <c r="N564" s="20"/>
      <c r="O564" s="20"/>
      <c r="P564" s="20"/>
      <c r="Q564" s="20"/>
      <c r="R564" s="20"/>
      <c r="S564" s="20"/>
      <c r="T564" s="20"/>
      <c r="U564" s="20"/>
      <c r="V564" s="20"/>
      <c r="W564" s="20"/>
      <c r="X564" s="20"/>
      <c r="Y564" s="20"/>
      <c r="Z564" s="20"/>
      <c r="AA564" s="20"/>
      <c r="AB564" s="12"/>
      <c r="AC564" s="12"/>
      <c r="AD564" s="12"/>
      <c r="AE564" s="12"/>
      <c r="AF564" s="12"/>
      <c r="AG564" s="12"/>
      <c r="AH564" s="12"/>
      <c r="AI564" s="12"/>
      <c r="AJ564" s="21"/>
      <c r="AK564" s="21"/>
      <c r="AL564" s="21">
        <v>3009979</v>
      </c>
      <c r="AM564" s="21">
        <v>3070178</v>
      </c>
      <c r="AN564" s="837">
        <v>3162359</v>
      </c>
      <c r="AO564" s="837">
        <v>3241418</v>
      </c>
      <c r="AP564" s="1058">
        <v>3021255</v>
      </c>
      <c r="AQ564" s="1058">
        <v>3082000</v>
      </c>
      <c r="AR564" s="1044"/>
      <c r="AS564" s="1044"/>
    </row>
    <row r="565" spans="2:45" s="1044" customFormat="1" hidden="1" outlineLevel="1">
      <c r="B565" s="1045"/>
      <c r="C565" s="1030" t="s">
        <v>16</v>
      </c>
      <c r="D565" s="1051" t="s">
        <v>1498</v>
      </c>
      <c r="E565" s="616" t="s">
        <v>1843</v>
      </c>
      <c r="F565" s="1047"/>
      <c r="G565" s="1047"/>
      <c r="H565" s="1047"/>
      <c r="I565" s="1047"/>
      <c r="J565" s="1047"/>
      <c r="K565" s="1047"/>
      <c r="L565" s="1047"/>
      <c r="M565" s="1047"/>
      <c r="N565" s="1047"/>
      <c r="O565" s="1047"/>
      <c r="P565" s="1047"/>
      <c r="Q565" s="1047"/>
      <c r="R565" s="1047"/>
      <c r="S565" s="1047"/>
      <c r="T565" s="1047"/>
      <c r="U565" s="1047"/>
      <c r="V565" s="1047"/>
      <c r="W565" s="1047"/>
      <c r="X565" s="1047"/>
      <c r="Y565" s="1047"/>
      <c r="Z565" s="1047"/>
      <c r="AA565" s="1047"/>
      <c r="AB565" s="1070"/>
      <c r="AC565" s="1070"/>
      <c r="AD565" s="1070"/>
      <c r="AE565" s="1070"/>
      <c r="AF565" s="1070"/>
      <c r="AG565" s="1070"/>
      <c r="AH565" s="1070"/>
      <c r="AI565" s="1070"/>
      <c r="AJ565" s="1058"/>
      <c r="AK565" s="1058"/>
      <c r="AL565" s="1058"/>
      <c r="AM565" s="1058"/>
      <c r="AN565" s="1058"/>
      <c r="AO565" s="1058"/>
      <c r="AP565" s="1058"/>
      <c r="AQ565" s="1058"/>
    </row>
    <row r="566" spans="2:45" hidden="1" outlineLevel="1">
      <c r="C566" s="9" t="s">
        <v>16</v>
      </c>
      <c r="D566" s="223" t="s">
        <v>1542</v>
      </c>
      <c r="E566" s="20" t="s">
        <v>1441</v>
      </c>
      <c r="F566" s="20"/>
      <c r="G566" s="20"/>
      <c r="H566" s="20"/>
      <c r="I566" s="20"/>
      <c r="J566" s="20"/>
      <c r="K566" s="20"/>
      <c r="L566" s="20"/>
      <c r="M566" s="20"/>
      <c r="N566" s="20"/>
      <c r="O566" s="20"/>
      <c r="P566" s="20"/>
      <c r="Q566" s="20"/>
      <c r="R566" s="20"/>
      <c r="S566" s="20"/>
      <c r="T566" s="20"/>
      <c r="U566" s="20"/>
      <c r="V566" s="20"/>
      <c r="W566" s="20"/>
      <c r="X566" s="20"/>
      <c r="Y566" s="20"/>
      <c r="Z566" s="20"/>
      <c r="AA566" s="20"/>
      <c r="AB566" s="12"/>
      <c r="AC566" s="12"/>
      <c r="AD566" s="12">
        <v>120906</v>
      </c>
      <c r="AE566" s="12">
        <v>125172</v>
      </c>
      <c r="AF566" s="12">
        <v>159918</v>
      </c>
      <c r="AG566" s="12">
        <v>168730</v>
      </c>
      <c r="AH566" s="12">
        <v>131455</v>
      </c>
      <c r="AI566" s="12">
        <v>138680</v>
      </c>
      <c r="AJ566" s="21">
        <v>130517</v>
      </c>
      <c r="AK566" s="21">
        <v>140659</v>
      </c>
      <c r="AL566" s="21">
        <v>346401</v>
      </c>
      <c r="AM566" s="21">
        <v>346401</v>
      </c>
      <c r="AN566" s="837">
        <v>76885</v>
      </c>
      <c r="AO566" s="837">
        <v>77914</v>
      </c>
      <c r="AP566" s="1058">
        <v>373848</v>
      </c>
      <c r="AQ566" s="1058">
        <v>388533</v>
      </c>
      <c r="AR566" s="1044"/>
      <c r="AS566" s="1044"/>
    </row>
    <row r="567" spans="2:45" hidden="1" outlineLevel="1">
      <c r="C567" s="9" t="s">
        <v>16</v>
      </c>
      <c r="D567" s="223" t="s">
        <v>2100</v>
      </c>
      <c r="E567" s="20" t="s">
        <v>1442</v>
      </c>
      <c r="F567" s="20"/>
      <c r="G567" s="20"/>
      <c r="H567" s="20"/>
      <c r="I567" s="20"/>
      <c r="J567" s="20"/>
      <c r="K567" s="20"/>
      <c r="L567" s="20"/>
      <c r="M567" s="20"/>
      <c r="N567" s="20"/>
      <c r="O567" s="20"/>
      <c r="P567" s="20"/>
      <c r="Q567" s="20"/>
      <c r="R567" s="20"/>
      <c r="S567" s="20"/>
      <c r="T567" s="20"/>
      <c r="U567" s="20"/>
      <c r="V567" s="20"/>
      <c r="W567" s="20"/>
      <c r="X567" s="20"/>
      <c r="Y567" s="20"/>
      <c r="Z567" s="20"/>
      <c r="AA567" s="20"/>
      <c r="AB567" s="12"/>
      <c r="AC567" s="12"/>
      <c r="AD567" s="12">
        <v>1082036</v>
      </c>
      <c r="AE567" s="12">
        <v>1120210</v>
      </c>
      <c r="AF567" s="12">
        <v>1279345</v>
      </c>
      <c r="AG567" s="12">
        <v>1349837</v>
      </c>
      <c r="AH567" s="12">
        <v>1119898</v>
      </c>
      <c r="AI567" s="12">
        <v>1181444</v>
      </c>
      <c r="AJ567" s="21">
        <v>1222967</v>
      </c>
      <c r="AK567" s="21">
        <v>1318007</v>
      </c>
      <c r="AL567" s="21">
        <v>1330628</v>
      </c>
      <c r="AM567" s="21">
        <v>1330628</v>
      </c>
      <c r="AN567" s="837">
        <v>1195993</v>
      </c>
      <c r="AO567" s="837">
        <v>1212014</v>
      </c>
      <c r="AP567" s="1058">
        <v>1205703</v>
      </c>
      <c r="AQ567" s="1058">
        <v>1247350</v>
      </c>
      <c r="AR567" s="1044"/>
      <c r="AS567" s="1044"/>
    </row>
    <row r="568" spans="2:45" hidden="1" outlineLevel="1">
      <c r="C568" s="9" t="s">
        <v>16</v>
      </c>
      <c r="D568" s="1051" t="s">
        <v>2100</v>
      </c>
      <c r="E568" s="20" t="s">
        <v>1443</v>
      </c>
      <c r="F568" s="20"/>
      <c r="G568" s="20"/>
      <c r="H568" s="20"/>
      <c r="I568" s="20"/>
      <c r="J568" s="20"/>
      <c r="K568" s="20"/>
      <c r="L568" s="20"/>
      <c r="M568" s="20"/>
      <c r="N568" s="20"/>
      <c r="O568" s="20"/>
      <c r="P568" s="20"/>
      <c r="Q568" s="20"/>
      <c r="R568" s="20"/>
      <c r="S568" s="20"/>
      <c r="T568" s="20"/>
      <c r="U568" s="20"/>
      <c r="V568" s="20"/>
      <c r="W568" s="20"/>
      <c r="X568" s="20"/>
      <c r="Y568" s="20"/>
      <c r="Z568" s="20"/>
      <c r="AA568" s="20"/>
      <c r="AB568" s="12"/>
      <c r="AC568" s="12"/>
      <c r="AD568" s="12">
        <v>632080</v>
      </c>
      <c r="AE568" s="12">
        <v>654380</v>
      </c>
      <c r="AF568" s="12">
        <v>735624</v>
      </c>
      <c r="AG568" s="12">
        <v>776156</v>
      </c>
      <c r="AH568" s="12">
        <v>624412</v>
      </c>
      <c r="AI568" s="12">
        <v>658728</v>
      </c>
      <c r="AJ568" s="21">
        <v>645807</v>
      </c>
      <c r="AK568" s="21">
        <v>695994</v>
      </c>
      <c r="AL568" s="21">
        <v>643222</v>
      </c>
      <c r="AM568" s="21">
        <v>643222</v>
      </c>
      <c r="AN568" s="837">
        <v>492635</v>
      </c>
      <c r="AO568" s="839">
        <v>499234</v>
      </c>
      <c r="AP568" s="1058">
        <v>640854</v>
      </c>
      <c r="AQ568" s="1064">
        <v>659520</v>
      </c>
      <c r="AR568" s="1044"/>
      <c r="AS568" s="1044"/>
    </row>
    <row r="569" spans="2:45" hidden="1" outlineLevel="1">
      <c r="C569" s="9" t="s">
        <v>16</v>
      </c>
      <c r="D569" s="1051" t="s">
        <v>2100</v>
      </c>
      <c r="E569" s="20" t="s">
        <v>1444</v>
      </c>
      <c r="F569" s="20"/>
      <c r="G569" s="20"/>
      <c r="H569" s="20"/>
      <c r="I569" s="20"/>
      <c r="J569" s="20"/>
      <c r="K569" s="20"/>
      <c r="L569" s="20"/>
      <c r="M569" s="20"/>
      <c r="N569" s="20"/>
      <c r="O569" s="20"/>
      <c r="P569" s="20"/>
      <c r="Q569" s="20"/>
      <c r="R569" s="20"/>
      <c r="S569" s="20"/>
      <c r="T569" s="20"/>
      <c r="U569" s="20"/>
      <c r="V569" s="20"/>
      <c r="W569" s="20"/>
      <c r="X569" s="20"/>
      <c r="Y569" s="20"/>
      <c r="Z569" s="20"/>
      <c r="AA569" s="20"/>
      <c r="AB569" s="12"/>
      <c r="AC569" s="12"/>
      <c r="AD569" s="12">
        <v>240282</v>
      </c>
      <c r="AE569" s="12">
        <v>248759</v>
      </c>
      <c r="AF569" s="12">
        <v>270407</v>
      </c>
      <c r="AG569" s="12">
        <v>285306</v>
      </c>
      <c r="AH569" s="12">
        <v>257855</v>
      </c>
      <c r="AI569" s="12">
        <v>272025</v>
      </c>
      <c r="AJ569" s="21">
        <v>300512</v>
      </c>
      <c r="AK569" s="21">
        <v>323866</v>
      </c>
      <c r="AL569" s="21">
        <v>293462</v>
      </c>
      <c r="AM569" s="21">
        <v>293462</v>
      </c>
      <c r="AN569" s="837">
        <v>224960</v>
      </c>
      <c r="AO569" s="837">
        <v>227974</v>
      </c>
      <c r="AP569" s="1058">
        <v>275063</v>
      </c>
      <c r="AQ569" s="1058">
        <v>284042</v>
      </c>
      <c r="AR569" s="1044"/>
      <c r="AS569" s="1044"/>
    </row>
    <row r="570" spans="2:45" hidden="1" outlineLevel="1">
      <c r="C570" s="9" t="s">
        <v>16</v>
      </c>
      <c r="D570" s="1051" t="s">
        <v>2100</v>
      </c>
      <c r="E570" s="20" t="s">
        <v>1445</v>
      </c>
      <c r="F570" s="20"/>
      <c r="G570" s="20"/>
      <c r="H570" s="20"/>
      <c r="I570" s="20"/>
      <c r="J570" s="20"/>
      <c r="K570" s="20"/>
      <c r="L570" s="20"/>
      <c r="M570" s="20"/>
      <c r="N570" s="20"/>
      <c r="O570" s="20"/>
      <c r="P570" s="20"/>
      <c r="Q570" s="20"/>
      <c r="R570" s="20"/>
      <c r="S570" s="20"/>
      <c r="T570" s="20"/>
      <c r="U570" s="20"/>
      <c r="V570" s="20"/>
      <c r="W570" s="20"/>
      <c r="X570" s="20"/>
      <c r="Y570" s="20"/>
      <c r="Z570" s="20"/>
      <c r="AA570" s="20"/>
      <c r="AB570" s="12"/>
      <c r="AC570" s="12"/>
      <c r="AD570" s="12">
        <v>1459039</v>
      </c>
      <c r="AE570" s="12">
        <v>1510514</v>
      </c>
      <c r="AF570" s="12">
        <v>1590459</v>
      </c>
      <c r="AG570" s="12">
        <v>1678093</v>
      </c>
      <c r="AH570" s="12">
        <v>1392920</v>
      </c>
      <c r="AI570" s="12">
        <v>1469471</v>
      </c>
      <c r="AJ570" s="21">
        <v>1668137</v>
      </c>
      <c r="AK570" s="21">
        <v>1797773</v>
      </c>
      <c r="AL570" s="21">
        <v>1595745</v>
      </c>
      <c r="AM570" s="21">
        <v>1595745</v>
      </c>
      <c r="AN570" s="837">
        <v>1395324</v>
      </c>
      <c r="AO570" s="837">
        <v>1414015</v>
      </c>
      <c r="AP570" s="1058">
        <v>1773181</v>
      </c>
      <c r="AQ570" s="1058">
        <v>1825270</v>
      </c>
      <c r="AR570" s="1044"/>
      <c r="AS570" s="1044"/>
    </row>
    <row r="571" spans="2:45" s="826" customFormat="1" hidden="1" outlineLevel="1">
      <c r="B571" s="827"/>
      <c r="C571" s="828" t="s">
        <v>16</v>
      </c>
      <c r="D571" s="1051" t="s">
        <v>2100</v>
      </c>
      <c r="E571" s="833" t="s">
        <v>1852</v>
      </c>
      <c r="F571" s="830"/>
      <c r="G571" s="830"/>
      <c r="H571" s="830"/>
      <c r="I571" s="830"/>
      <c r="J571" s="830"/>
      <c r="K571" s="830"/>
      <c r="L571" s="830"/>
      <c r="M571" s="830"/>
      <c r="N571" s="830"/>
      <c r="O571" s="830"/>
      <c r="P571" s="830"/>
      <c r="Q571" s="830"/>
      <c r="R571" s="830"/>
      <c r="S571" s="830"/>
      <c r="T571" s="830"/>
      <c r="U571" s="830"/>
      <c r="V571" s="830"/>
      <c r="W571" s="830"/>
      <c r="X571" s="830"/>
      <c r="Y571" s="830"/>
      <c r="Z571" s="830"/>
      <c r="AA571" s="830"/>
      <c r="AB571" s="829"/>
      <c r="AC571" s="829"/>
      <c r="AD571" s="829"/>
      <c r="AE571" s="829"/>
      <c r="AF571" s="829"/>
      <c r="AG571" s="829"/>
      <c r="AH571" s="829"/>
      <c r="AI571" s="829"/>
      <c r="AJ571" s="831"/>
      <c r="AK571" s="831"/>
      <c r="AL571" s="831"/>
      <c r="AM571" s="831"/>
      <c r="AN571" s="837">
        <v>133837</v>
      </c>
      <c r="AO571" s="837">
        <v>135630</v>
      </c>
      <c r="AP571" s="1058">
        <v>254010</v>
      </c>
      <c r="AQ571" s="1058">
        <v>261616</v>
      </c>
      <c r="AR571" s="1044"/>
      <c r="AS571" s="1044"/>
    </row>
    <row r="572" spans="2:45" s="826" customFormat="1" hidden="1" outlineLevel="1">
      <c r="B572" s="827"/>
      <c r="C572" s="828" t="s">
        <v>16</v>
      </c>
      <c r="D572" s="1051" t="s">
        <v>2100</v>
      </c>
      <c r="E572" s="833" t="s">
        <v>1853</v>
      </c>
      <c r="F572" s="830"/>
      <c r="G572" s="830"/>
      <c r="H572" s="830"/>
      <c r="I572" s="830"/>
      <c r="J572" s="830"/>
      <c r="K572" s="830"/>
      <c r="L572" s="830"/>
      <c r="M572" s="830"/>
      <c r="N572" s="830"/>
      <c r="O572" s="830"/>
      <c r="P572" s="830"/>
      <c r="Q572" s="830"/>
      <c r="R572" s="830"/>
      <c r="S572" s="830"/>
      <c r="T572" s="830"/>
      <c r="U572" s="830"/>
      <c r="V572" s="830"/>
      <c r="W572" s="830"/>
      <c r="X572" s="830"/>
      <c r="Y572" s="830"/>
      <c r="Z572" s="830"/>
      <c r="AA572" s="830"/>
      <c r="AB572" s="829"/>
      <c r="AC572" s="829"/>
      <c r="AD572" s="829"/>
      <c r="AE572" s="829"/>
      <c r="AF572" s="829"/>
      <c r="AG572" s="829"/>
      <c r="AH572" s="829"/>
      <c r="AI572" s="829"/>
      <c r="AJ572" s="831"/>
      <c r="AK572" s="831"/>
      <c r="AL572" s="831"/>
      <c r="AM572" s="831"/>
      <c r="AN572" s="837">
        <v>76885</v>
      </c>
      <c r="AO572" s="837">
        <v>77914</v>
      </c>
      <c r="AP572" s="1058">
        <v>147799</v>
      </c>
      <c r="AQ572" s="1058">
        <v>153457</v>
      </c>
      <c r="AR572" s="1044"/>
      <c r="AS572" s="1044"/>
    </row>
    <row r="573" spans="2:45" hidden="1" outlineLevel="1">
      <c r="C573" s="9" t="s">
        <v>16</v>
      </c>
      <c r="D573" s="223" t="s">
        <v>1541</v>
      </c>
      <c r="E573" s="20" t="s">
        <v>83</v>
      </c>
      <c r="F573" s="20"/>
      <c r="G573" s="20"/>
      <c r="H573" s="20"/>
      <c r="I573" s="20"/>
      <c r="J573" s="20"/>
      <c r="K573" s="20"/>
      <c r="L573" s="20"/>
      <c r="M573" s="20"/>
      <c r="N573" s="20"/>
      <c r="O573" s="20"/>
      <c r="P573" s="20"/>
      <c r="Q573" s="20"/>
      <c r="R573" s="20"/>
      <c r="S573" s="20"/>
      <c r="T573" s="20"/>
      <c r="U573" s="20"/>
      <c r="V573" s="20"/>
      <c r="W573" s="20"/>
      <c r="X573" s="20"/>
      <c r="Y573" s="20"/>
      <c r="Z573" s="20"/>
      <c r="AA573" s="20"/>
      <c r="AB573" s="12"/>
      <c r="AC573" s="12"/>
      <c r="AD573" s="12">
        <v>3723509</v>
      </c>
      <c r="AE573" s="12">
        <v>3859025</v>
      </c>
      <c r="AF573" s="12">
        <v>3515520</v>
      </c>
      <c r="AG573" s="12">
        <v>3707346</v>
      </c>
      <c r="AH573" s="12">
        <v>3028183</v>
      </c>
      <c r="AI573" s="12">
        <v>3194604</v>
      </c>
      <c r="AJ573" s="21">
        <v>3054986</v>
      </c>
      <c r="AK573" s="21">
        <v>3260150</v>
      </c>
      <c r="AL573" s="21">
        <v>3130724</v>
      </c>
      <c r="AM573" s="21">
        <v>3130724</v>
      </c>
      <c r="AN573" s="837">
        <v>3289217</v>
      </c>
      <c r="AO573" s="837">
        <v>3371447</v>
      </c>
      <c r="AP573" s="1058">
        <v>2667849</v>
      </c>
      <c r="AQ573" s="1058">
        <v>2724771</v>
      </c>
      <c r="AR573" s="1044"/>
      <c r="AS573" s="1044"/>
    </row>
    <row r="574" spans="2:45" hidden="1" outlineLevel="1">
      <c r="C574" s="9" t="s">
        <v>16</v>
      </c>
      <c r="D574" s="223" t="s">
        <v>1541</v>
      </c>
      <c r="E574" s="20" t="s">
        <v>84</v>
      </c>
      <c r="F574" s="20"/>
      <c r="G574" s="20"/>
      <c r="H574" s="20"/>
      <c r="I574" s="20"/>
      <c r="J574" s="20"/>
      <c r="K574" s="20"/>
      <c r="L574" s="20"/>
      <c r="M574" s="20"/>
      <c r="N574" s="20"/>
      <c r="O574" s="20"/>
      <c r="P574" s="20"/>
      <c r="Q574" s="20"/>
      <c r="R574" s="20"/>
      <c r="S574" s="20"/>
      <c r="T574" s="20"/>
      <c r="U574" s="20"/>
      <c r="V574" s="20"/>
      <c r="W574" s="20"/>
      <c r="X574" s="20"/>
      <c r="Y574" s="20"/>
      <c r="Z574" s="20"/>
      <c r="AA574" s="20"/>
      <c r="AB574" s="12"/>
      <c r="AC574" s="12"/>
      <c r="AD574" s="12">
        <v>3923300</v>
      </c>
      <c r="AE574" s="12">
        <v>4066837</v>
      </c>
      <c r="AF574" s="12">
        <v>3943770</v>
      </c>
      <c r="AG574" s="12">
        <v>4168365</v>
      </c>
      <c r="AH574" s="12">
        <v>3301503</v>
      </c>
      <c r="AI574" s="12">
        <v>3482944</v>
      </c>
      <c r="AJ574" s="21">
        <v>3349493</v>
      </c>
      <c r="AK574" s="21">
        <v>3622260</v>
      </c>
      <c r="AL574" s="21">
        <v>3593195</v>
      </c>
      <c r="AM574" s="21">
        <v>3593195</v>
      </c>
      <c r="AN574" s="837">
        <v>3775100</v>
      </c>
      <c r="AO574" s="837">
        <v>3869478</v>
      </c>
      <c r="AP574" s="1058">
        <v>3353278</v>
      </c>
      <c r="AQ574" s="1058">
        <v>3450662</v>
      </c>
      <c r="AR574" s="1044"/>
      <c r="AS574" s="1044"/>
    </row>
    <row r="575" spans="2:45" hidden="1" outlineLevel="1">
      <c r="C575" s="9" t="s">
        <v>16</v>
      </c>
      <c r="D575" s="223" t="s">
        <v>1541</v>
      </c>
      <c r="E575" s="20" t="s">
        <v>85</v>
      </c>
      <c r="F575" s="20"/>
      <c r="G575" s="20"/>
      <c r="H575" s="20"/>
      <c r="I575" s="20"/>
      <c r="J575" s="20"/>
      <c r="K575" s="20"/>
      <c r="L575" s="20"/>
      <c r="M575" s="20"/>
      <c r="N575" s="20"/>
      <c r="O575" s="20"/>
      <c r="P575" s="20"/>
      <c r="Q575" s="20"/>
      <c r="R575" s="20"/>
      <c r="S575" s="20"/>
      <c r="T575" s="20"/>
      <c r="U575" s="20"/>
      <c r="V575" s="20"/>
      <c r="W575" s="20"/>
      <c r="X575" s="20"/>
      <c r="Y575" s="20"/>
      <c r="Z575" s="20"/>
      <c r="AA575" s="20"/>
      <c r="AB575" s="12"/>
      <c r="AC575" s="12"/>
      <c r="AD575" s="12">
        <v>1858831</v>
      </c>
      <c r="AE575" s="12">
        <v>1931035</v>
      </c>
      <c r="AF575" s="12">
        <v>1633016</v>
      </c>
      <c r="AG575" s="12">
        <v>1736412</v>
      </c>
      <c r="AH575" s="12">
        <v>1471479</v>
      </c>
      <c r="AI575" s="12">
        <v>1552347</v>
      </c>
      <c r="AJ575" s="21">
        <v>1582113</v>
      </c>
      <c r="AK575" s="21">
        <v>1731385</v>
      </c>
      <c r="AL575" s="21">
        <v>846794</v>
      </c>
      <c r="AM575" s="21">
        <v>846794</v>
      </c>
      <c r="AN575" s="837">
        <v>889663</v>
      </c>
      <c r="AO575" s="837">
        <v>911905</v>
      </c>
      <c r="AP575" s="1058">
        <v>1044523</v>
      </c>
      <c r="AQ575" s="1058">
        <v>1068905</v>
      </c>
      <c r="AR575" s="1044"/>
      <c r="AS575" s="1044"/>
    </row>
    <row r="576" spans="2:45" hidden="1" outlineLevel="1">
      <c r="C576" s="9" t="s">
        <v>16</v>
      </c>
      <c r="D576" s="223" t="s">
        <v>1541</v>
      </c>
      <c r="E576" s="20" t="s">
        <v>86</v>
      </c>
      <c r="F576" s="20"/>
      <c r="G576" s="20"/>
      <c r="H576" s="20"/>
      <c r="I576" s="20"/>
      <c r="J576" s="20"/>
      <c r="K576" s="20"/>
      <c r="L576" s="20"/>
      <c r="M576" s="20"/>
      <c r="N576" s="20"/>
      <c r="O576" s="20"/>
      <c r="P576" s="20"/>
      <c r="Q576" s="20"/>
      <c r="R576" s="20"/>
      <c r="S576" s="20"/>
      <c r="T576" s="20"/>
      <c r="U576" s="20"/>
      <c r="V576" s="20"/>
      <c r="W576" s="20"/>
      <c r="X576" s="20"/>
      <c r="Y576" s="20"/>
      <c r="Z576" s="20"/>
      <c r="AA576" s="20"/>
      <c r="AB576" s="12"/>
      <c r="AC576" s="12"/>
      <c r="AD576" s="12">
        <v>728324</v>
      </c>
      <c r="AE576" s="12">
        <v>756585</v>
      </c>
      <c r="AF576" s="12">
        <v>299145</v>
      </c>
      <c r="AG576" s="12">
        <v>316484</v>
      </c>
      <c r="AH576" s="12">
        <v>339450</v>
      </c>
      <c r="AI576" s="12">
        <v>358105</v>
      </c>
      <c r="AJ576" s="21">
        <v>366238</v>
      </c>
      <c r="AK576" s="21">
        <v>396447</v>
      </c>
      <c r="AL576" s="21">
        <v>2476226</v>
      </c>
      <c r="AM576" s="21">
        <v>2547317</v>
      </c>
      <c r="AN576" s="837">
        <v>2601585</v>
      </c>
      <c r="AO576" s="837">
        <v>2666625</v>
      </c>
      <c r="AP576" s="1058">
        <v>2653141</v>
      </c>
      <c r="AQ576" s="1058">
        <v>2690446</v>
      </c>
      <c r="AR576" s="1044"/>
      <c r="AS576" s="1044"/>
    </row>
    <row r="577" spans="2:45" hidden="1" outlineLevel="1">
      <c r="C577" s="9" t="s">
        <v>16</v>
      </c>
      <c r="D577" s="223" t="s">
        <v>1541</v>
      </c>
      <c r="E577" s="20" t="s">
        <v>87</v>
      </c>
      <c r="F577" s="20"/>
      <c r="G577" s="20"/>
      <c r="H577" s="20"/>
      <c r="I577" s="20"/>
      <c r="J577" s="20"/>
      <c r="K577" s="20"/>
      <c r="L577" s="20"/>
      <c r="M577" s="20"/>
      <c r="N577" s="20"/>
      <c r="O577" s="20"/>
      <c r="P577" s="20"/>
      <c r="Q577" s="20"/>
      <c r="R577" s="20"/>
      <c r="S577" s="20"/>
      <c r="T577" s="20"/>
      <c r="U577" s="20"/>
      <c r="V577" s="20"/>
      <c r="W577" s="20"/>
      <c r="X577" s="20"/>
      <c r="Y577" s="20"/>
      <c r="Z577" s="20"/>
      <c r="AA577" s="20"/>
      <c r="AB577" s="12"/>
      <c r="AC577" s="12"/>
      <c r="AD577" s="12">
        <v>1416047</v>
      </c>
      <c r="AE577" s="12">
        <v>1472701</v>
      </c>
      <c r="AF577" s="12">
        <v>1245498</v>
      </c>
      <c r="AG577" s="12">
        <v>1331858</v>
      </c>
      <c r="AH577" s="12">
        <v>1004235</v>
      </c>
      <c r="AI577" s="12">
        <v>1059425</v>
      </c>
      <c r="AJ577" s="21">
        <v>1228748</v>
      </c>
      <c r="AK577" s="21">
        <v>1367169</v>
      </c>
      <c r="AL577" s="21">
        <v>1543266</v>
      </c>
      <c r="AM577" s="21">
        <v>1543266</v>
      </c>
      <c r="AN577" s="837">
        <v>1621394</v>
      </c>
      <c r="AO577" s="837">
        <v>1661929</v>
      </c>
      <c r="AP577" s="1058">
        <v>314683</v>
      </c>
      <c r="AQ577" s="1058">
        <v>327225</v>
      </c>
      <c r="AR577" s="1044"/>
      <c r="AS577" s="1044"/>
    </row>
    <row r="578" spans="2:45" hidden="1" outlineLevel="1">
      <c r="C578" s="9" t="s">
        <v>16</v>
      </c>
      <c r="D578" s="223" t="s">
        <v>1541</v>
      </c>
      <c r="E578" s="20" t="s">
        <v>88</v>
      </c>
      <c r="F578" s="20"/>
      <c r="G578" s="20"/>
      <c r="H578" s="20"/>
      <c r="I578" s="20"/>
      <c r="J578" s="20"/>
      <c r="K578" s="20"/>
      <c r="L578" s="20"/>
      <c r="M578" s="20"/>
      <c r="N578" s="20"/>
      <c r="O578" s="20"/>
      <c r="P578" s="20"/>
      <c r="Q578" s="20"/>
      <c r="R578" s="20"/>
      <c r="S578" s="20"/>
      <c r="T578" s="20"/>
      <c r="U578" s="20"/>
      <c r="V578" s="20"/>
      <c r="W578" s="20"/>
      <c r="X578" s="20"/>
      <c r="Y578" s="20"/>
      <c r="Z578" s="20"/>
      <c r="AA578" s="20"/>
      <c r="AB578" s="12"/>
      <c r="AC578" s="12"/>
      <c r="AD578" s="12">
        <v>1089076</v>
      </c>
      <c r="AE578" s="12">
        <v>1130709</v>
      </c>
      <c r="AF578" s="12">
        <v>1085993</v>
      </c>
      <c r="AG578" s="12">
        <v>1155914</v>
      </c>
      <c r="AH578" s="12">
        <v>838659</v>
      </c>
      <c r="AI578" s="12">
        <v>884749</v>
      </c>
      <c r="AJ578" s="21">
        <v>1407707</v>
      </c>
      <c r="AK578" s="21">
        <v>1549438</v>
      </c>
      <c r="AL578" s="21">
        <v>1268780</v>
      </c>
      <c r="AM578" s="21">
        <v>1268780</v>
      </c>
      <c r="AN578" s="837">
        <v>1333012</v>
      </c>
      <c r="AO578" s="837">
        <v>1366337</v>
      </c>
      <c r="AP578" s="1058">
        <v>2052607</v>
      </c>
      <c r="AQ578" s="1058">
        <v>2146484</v>
      </c>
      <c r="AR578" s="1044"/>
      <c r="AS578" s="1044"/>
    </row>
    <row r="579" spans="2:45" hidden="1" outlineLevel="1">
      <c r="C579" s="9" t="s">
        <v>16</v>
      </c>
      <c r="D579" s="223" t="s">
        <v>1541</v>
      </c>
      <c r="E579" s="20" t="s">
        <v>89</v>
      </c>
      <c r="F579" s="20"/>
      <c r="G579" s="20"/>
      <c r="H579" s="20"/>
      <c r="I579" s="20"/>
      <c r="J579" s="20"/>
      <c r="K579" s="20"/>
      <c r="L579" s="20"/>
      <c r="M579" s="20"/>
      <c r="N579" s="20"/>
      <c r="O579" s="20"/>
      <c r="P579" s="20"/>
      <c r="Q579" s="20"/>
      <c r="R579" s="20"/>
      <c r="S579" s="20"/>
      <c r="T579" s="20"/>
      <c r="U579" s="20"/>
      <c r="V579" s="20"/>
      <c r="W579" s="20"/>
      <c r="X579" s="20"/>
      <c r="Y579" s="20"/>
      <c r="Z579" s="20"/>
      <c r="AA579" s="20"/>
      <c r="AB579" s="12"/>
      <c r="AC579" s="12"/>
      <c r="AD579" s="12">
        <v>56946</v>
      </c>
      <c r="AE579" s="12">
        <v>58583</v>
      </c>
      <c r="AF579" s="12">
        <v>51358</v>
      </c>
      <c r="AG579" s="12">
        <v>52898</v>
      </c>
      <c r="AH579" s="12">
        <v>355245</v>
      </c>
      <c r="AI579" s="12">
        <v>374769</v>
      </c>
      <c r="AJ579" s="21">
        <v>382735</v>
      </c>
      <c r="AK579" s="21">
        <v>418079</v>
      </c>
      <c r="AL579" s="21">
        <v>523313</v>
      </c>
      <c r="AM579" s="21">
        <v>523313</v>
      </c>
      <c r="AN579" s="837">
        <v>549806</v>
      </c>
      <c r="AO579" s="837">
        <v>563551</v>
      </c>
      <c r="AP579" s="1058">
        <v>208396</v>
      </c>
      <c r="AQ579" s="1058">
        <v>213987</v>
      </c>
      <c r="AR579" s="1044"/>
      <c r="AS579" s="1044"/>
    </row>
    <row r="580" spans="2:45" s="1044" customFormat="1" hidden="1" outlineLevel="1">
      <c r="B580" s="1045"/>
      <c r="C580" s="1030" t="s">
        <v>16</v>
      </c>
      <c r="D580" s="1051" t="s">
        <v>1541</v>
      </c>
      <c r="E580" s="1047" t="s">
        <v>2046</v>
      </c>
      <c r="F580" s="1047"/>
      <c r="G580" s="1047"/>
      <c r="H580" s="1047"/>
      <c r="I580" s="1047"/>
      <c r="J580" s="1047"/>
      <c r="K580" s="1047"/>
      <c r="L580" s="1047"/>
      <c r="M580" s="1047"/>
      <c r="N580" s="1047"/>
      <c r="O580" s="1047"/>
      <c r="P580" s="1047"/>
      <c r="Q580" s="1047"/>
      <c r="R580" s="1047"/>
      <c r="S580" s="1047"/>
      <c r="T580" s="1047"/>
      <c r="U580" s="1047"/>
      <c r="V580" s="1047"/>
      <c r="W580" s="1047"/>
      <c r="X580" s="1047"/>
      <c r="Y580" s="1047"/>
      <c r="Z580" s="1047"/>
      <c r="AA580" s="1047"/>
      <c r="AB580" s="1070"/>
      <c r="AC580" s="1070"/>
      <c r="AD580" s="1070"/>
      <c r="AE580" s="1070"/>
      <c r="AF580" s="1070"/>
      <c r="AG580" s="1070"/>
      <c r="AH580" s="1070"/>
      <c r="AI580" s="1070"/>
      <c r="AJ580" s="1058"/>
      <c r="AK580" s="1058"/>
      <c r="AL580" s="1058"/>
      <c r="AM580" s="1058"/>
      <c r="AN580" s="1058"/>
      <c r="AO580" s="1058"/>
      <c r="AP580" s="1058">
        <v>0</v>
      </c>
      <c r="AQ580" s="1058">
        <v>0</v>
      </c>
    </row>
    <row r="581" spans="2:45" hidden="1" outlineLevel="1">
      <c r="C581" s="9" t="s">
        <v>16</v>
      </c>
      <c r="D581" s="9"/>
      <c r="E581" s="25" t="s">
        <v>161</v>
      </c>
      <c r="F581" s="27"/>
      <c r="G581" s="27"/>
      <c r="H581" s="27"/>
      <c r="I581" s="27"/>
      <c r="J581" s="27"/>
      <c r="K581" s="27"/>
      <c r="L581" s="27"/>
      <c r="M581" s="27"/>
      <c r="N581" s="27"/>
      <c r="O581" s="27"/>
      <c r="P581" s="27"/>
      <c r="Q581" s="27"/>
      <c r="R581" s="27"/>
      <c r="S581" s="27"/>
      <c r="T581" s="27"/>
      <c r="U581" s="27"/>
      <c r="V581" s="27"/>
      <c r="W581" s="27"/>
      <c r="X581" s="27"/>
      <c r="Y581" s="27"/>
      <c r="Z581" s="27"/>
      <c r="AA581" s="27"/>
      <c r="AB581" s="34"/>
      <c r="AC581" s="34"/>
      <c r="AD581" s="1073">
        <f t="shared" ref="AD581:AP581" si="20">SUM(AD505:AD580)</f>
        <v>342953558</v>
      </c>
      <c r="AE581" s="1073">
        <f t="shared" si="20"/>
        <v>355563368</v>
      </c>
      <c r="AF581" s="1073">
        <f t="shared" si="20"/>
        <v>281322402</v>
      </c>
      <c r="AG581" s="1073">
        <f t="shared" si="20"/>
        <v>296500779</v>
      </c>
      <c r="AH581" s="1073">
        <f t="shared" si="20"/>
        <v>272667532</v>
      </c>
      <c r="AI581" s="1073">
        <f t="shared" si="20"/>
        <v>287700445</v>
      </c>
      <c r="AJ581" s="1073">
        <f t="shared" si="20"/>
        <v>313375858</v>
      </c>
      <c r="AK581" s="1073">
        <f t="shared" si="20"/>
        <v>336181000</v>
      </c>
      <c r="AL581" s="1073">
        <f t="shared" si="20"/>
        <v>260320676</v>
      </c>
      <c r="AM581" s="1073">
        <f t="shared" si="20"/>
        <v>267203940</v>
      </c>
      <c r="AN581" s="1073">
        <f t="shared" si="20"/>
        <v>329207636</v>
      </c>
      <c r="AO581" s="1073">
        <f t="shared" si="20"/>
        <v>335707491</v>
      </c>
      <c r="AP581" s="1073">
        <f t="shared" si="20"/>
        <v>273307192</v>
      </c>
      <c r="AQ581" s="1073">
        <f>SUM(AQ505:AQ580)</f>
        <v>279525504</v>
      </c>
      <c r="AR581" s="1044"/>
      <c r="AS581" s="1044"/>
    </row>
    <row r="582" spans="2:45" hidden="1" outlineLevel="1">
      <c r="C582" s="9"/>
      <c r="D582" s="25" t="s">
        <v>836</v>
      </c>
      <c r="E582" s="25" t="s">
        <v>1546</v>
      </c>
      <c r="F582" s="20"/>
      <c r="G582" s="20"/>
      <c r="H582" s="20"/>
      <c r="I582" s="20"/>
      <c r="J582" s="20"/>
      <c r="K582" s="20"/>
      <c r="L582" s="20"/>
      <c r="M582" s="20"/>
      <c r="N582" s="20"/>
      <c r="O582" s="20"/>
      <c r="P582" s="20"/>
      <c r="Q582" s="20"/>
      <c r="R582" s="20"/>
      <c r="S582" s="20"/>
      <c r="T582" s="20"/>
      <c r="U582" s="20"/>
      <c r="V582" s="20"/>
      <c r="W582" s="20"/>
      <c r="X582" s="20"/>
      <c r="Y582" s="20"/>
      <c r="Z582" s="12"/>
      <c r="AA582" s="12"/>
      <c r="AB582" s="12"/>
      <c r="AC582" s="12"/>
      <c r="AD582" s="1070">
        <f t="shared" ref="AD582:AQ588" si="21">SUMIF($D$505:$D$581,$D582,AD$505:AD$581)</f>
        <v>181878178</v>
      </c>
      <c r="AE582" s="1070">
        <f t="shared" si="21"/>
        <v>188339782</v>
      </c>
      <c r="AF582" s="1070">
        <f t="shared" si="21"/>
        <v>165159693</v>
      </c>
      <c r="AG582" s="1070">
        <f t="shared" si="21"/>
        <v>173451314</v>
      </c>
      <c r="AH582" s="1070">
        <f t="shared" si="21"/>
        <v>147536464</v>
      </c>
      <c r="AI582" s="1070">
        <f t="shared" si="21"/>
        <v>155644639</v>
      </c>
      <c r="AJ582" s="1070">
        <f t="shared" si="21"/>
        <v>164935526</v>
      </c>
      <c r="AK582" s="1070">
        <f t="shared" si="21"/>
        <v>174850530</v>
      </c>
      <c r="AL582" s="1070">
        <f t="shared" si="21"/>
        <v>161961587</v>
      </c>
      <c r="AM582" s="1070">
        <f t="shared" si="21"/>
        <v>164682062</v>
      </c>
      <c r="AN582" s="1070">
        <f t="shared" si="21"/>
        <v>186599466</v>
      </c>
      <c r="AO582" s="1070">
        <f t="shared" si="21"/>
        <v>189189612</v>
      </c>
      <c r="AP582" s="1070">
        <f t="shared" si="21"/>
        <v>187699677</v>
      </c>
      <c r="AQ582" s="1070">
        <f t="shared" si="21"/>
        <v>191709627</v>
      </c>
      <c r="AR582" s="1044"/>
      <c r="AS582" s="1044"/>
    </row>
    <row r="583" spans="2:45" hidden="1" outlineLevel="1">
      <c r="C583" s="9"/>
      <c r="D583" s="25" t="s">
        <v>958</v>
      </c>
      <c r="E583" s="25" t="s">
        <v>1655</v>
      </c>
      <c r="F583" s="20"/>
      <c r="G583" s="20"/>
      <c r="H583" s="20"/>
      <c r="I583" s="20"/>
      <c r="J583" s="20"/>
      <c r="K583" s="20"/>
      <c r="L583" s="20"/>
      <c r="M583" s="20"/>
      <c r="N583" s="20"/>
      <c r="O583" s="20"/>
      <c r="P583" s="20"/>
      <c r="Q583" s="20"/>
      <c r="R583" s="20"/>
      <c r="S583" s="20"/>
      <c r="T583" s="20"/>
      <c r="U583" s="20"/>
      <c r="V583" s="20"/>
      <c r="W583" s="20"/>
      <c r="X583" s="20"/>
      <c r="Y583" s="20"/>
      <c r="Z583" s="12"/>
      <c r="AA583" s="12"/>
      <c r="AB583" s="12"/>
      <c r="AC583" s="12"/>
      <c r="AD583" s="1070">
        <f t="shared" si="21"/>
        <v>3505486</v>
      </c>
      <c r="AE583" s="1070">
        <f t="shared" si="21"/>
        <v>3635672</v>
      </c>
      <c r="AF583" s="1070">
        <f t="shared" si="21"/>
        <v>2045081</v>
      </c>
      <c r="AG583" s="1070">
        <f t="shared" si="21"/>
        <v>2140841</v>
      </c>
      <c r="AH583" s="1070">
        <f t="shared" si="21"/>
        <v>1893730</v>
      </c>
      <c r="AI583" s="1070">
        <f t="shared" si="21"/>
        <v>1997803</v>
      </c>
      <c r="AJ583" s="1070">
        <f t="shared" si="21"/>
        <v>2646631</v>
      </c>
      <c r="AK583" s="1070">
        <f t="shared" si="21"/>
        <v>2821308</v>
      </c>
      <c r="AL583" s="1070">
        <f t="shared" si="21"/>
        <v>3185670</v>
      </c>
      <c r="AM583" s="1070">
        <f t="shared" si="21"/>
        <v>3278580</v>
      </c>
      <c r="AN583" s="1070">
        <f t="shared" si="21"/>
        <v>2395451</v>
      </c>
      <c r="AO583" s="1070">
        <f t="shared" si="21"/>
        <v>2501025</v>
      </c>
      <c r="AP583" s="1070">
        <f t="shared" si="21"/>
        <v>1041687</v>
      </c>
      <c r="AQ583" s="1070">
        <f t="shared" si="21"/>
        <v>1082063</v>
      </c>
      <c r="AR583" s="1044"/>
      <c r="AS583" s="1044"/>
    </row>
    <row r="584" spans="2:45" hidden="1" outlineLevel="1">
      <c r="C584" s="9"/>
      <c r="D584" s="25" t="s">
        <v>1498</v>
      </c>
      <c r="E584" s="25" t="s">
        <v>1547</v>
      </c>
      <c r="F584" s="20"/>
      <c r="G584" s="20"/>
      <c r="H584" s="20"/>
      <c r="I584" s="20"/>
      <c r="J584" s="20"/>
      <c r="K584" s="20"/>
      <c r="L584" s="20"/>
      <c r="M584" s="20"/>
      <c r="N584" s="20"/>
      <c r="O584" s="20"/>
      <c r="P584" s="20"/>
      <c r="Q584" s="20"/>
      <c r="R584" s="20"/>
      <c r="S584" s="20"/>
      <c r="T584" s="20"/>
      <c r="U584" s="20"/>
      <c r="V584" s="20"/>
      <c r="W584" s="20"/>
      <c r="X584" s="20"/>
      <c r="Y584" s="20"/>
      <c r="Z584" s="12"/>
      <c r="AA584" s="12"/>
      <c r="AB584" s="12"/>
      <c r="AC584" s="12"/>
      <c r="AD584" s="1070">
        <f t="shared" si="21"/>
        <v>139066803</v>
      </c>
      <c r="AE584" s="1070">
        <f t="shared" si="21"/>
        <v>144419350</v>
      </c>
      <c r="AF584" s="1070">
        <f t="shared" si="21"/>
        <v>95930865</v>
      </c>
      <c r="AG584" s="1070">
        <f t="shared" si="21"/>
        <v>101708447</v>
      </c>
      <c r="AH584" s="1070">
        <f t="shared" si="21"/>
        <v>107009316</v>
      </c>
      <c r="AI584" s="1070">
        <f t="shared" si="21"/>
        <v>112912065</v>
      </c>
      <c r="AJ584" s="1070">
        <f t="shared" si="21"/>
        <v>127825977</v>
      </c>
      <c r="AK584" s="1070">
        <f t="shared" si="21"/>
        <v>139007429</v>
      </c>
      <c r="AL584" s="1070">
        <f t="shared" si="21"/>
        <v>75344336</v>
      </c>
      <c r="AM584" s="1070">
        <f t="shared" si="21"/>
        <v>78949309</v>
      </c>
      <c r="AN584" s="1070">
        <f t="shared" si="21"/>
        <v>119733704</v>
      </c>
      <c r="AO584" s="1070">
        <f t="shared" si="21"/>
        <v>123426496</v>
      </c>
      <c r="AP584" s="1070">
        <f t="shared" si="21"/>
        <v>64563188</v>
      </c>
      <c r="AQ584" s="1070">
        <f t="shared" si="21"/>
        <v>66198084</v>
      </c>
      <c r="AR584" s="1044"/>
      <c r="AS584" s="1044"/>
    </row>
    <row r="585" spans="2:45" hidden="1" outlineLevel="1">
      <c r="C585" s="9"/>
      <c r="D585" s="25" t="s">
        <v>2100</v>
      </c>
      <c r="E585" s="25" t="s">
        <v>2101</v>
      </c>
      <c r="F585" s="20"/>
      <c r="G585" s="20"/>
      <c r="H585" s="20"/>
      <c r="I585" s="20"/>
      <c r="J585" s="20"/>
      <c r="K585" s="20"/>
      <c r="L585" s="20"/>
      <c r="M585" s="20"/>
      <c r="N585" s="20"/>
      <c r="O585" s="20"/>
      <c r="P585" s="20"/>
      <c r="Q585" s="20"/>
      <c r="R585" s="20"/>
      <c r="S585" s="20"/>
      <c r="T585" s="20"/>
      <c r="U585" s="20"/>
      <c r="V585" s="20"/>
      <c r="W585" s="20"/>
      <c r="X585" s="20"/>
      <c r="Y585" s="20"/>
      <c r="Z585" s="12"/>
      <c r="AA585" s="12"/>
      <c r="AB585" s="12"/>
      <c r="AC585" s="12"/>
      <c r="AD585" s="1070">
        <f t="shared" si="21"/>
        <v>3413437</v>
      </c>
      <c r="AE585" s="1070">
        <f t="shared" si="21"/>
        <v>3533863</v>
      </c>
      <c r="AF585" s="1070">
        <f t="shared" si="21"/>
        <v>3875835</v>
      </c>
      <c r="AG585" s="1070">
        <f t="shared" si="21"/>
        <v>4089392</v>
      </c>
      <c r="AH585" s="1070">
        <f t="shared" si="21"/>
        <v>3395085</v>
      </c>
      <c r="AI585" s="1070">
        <f t="shared" si="21"/>
        <v>3581668</v>
      </c>
      <c r="AJ585" s="1070">
        <f t="shared" si="21"/>
        <v>3837423</v>
      </c>
      <c r="AK585" s="1070">
        <f t="shared" si="21"/>
        <v>4135640</v>
      </c>
      <c r="AL585" s="1070">
        <f t="shared" si="21"/>
        <v>3863057</v>
      </c>
      <c r="AM585" s="1070">
        <f t="shared" si="21"/>
        <v>3863057</v>
      </c>
      <c r="AN585" s="1070">
        <f t="shared" si="21"/>
        <v>3519634</v>
      </c>
      <c r="AO585" s="1070">
        <f t="shared" si="21"/>
        <v>3566781</v>
      </c>
      <c r="AP585" s="1070">
        <f t="shared" si="21"/>
        <v>4296610</v>
      </c>
      <c r="AQ585" s="1070">
        <f t="shared" si="21"/>
        <v>4431255</v>
      </c>
      <c r="AR585" s="1044"/>
      <c r="AS585" s="1044"/>
    </row>
    <row r="586" spans="2:45" s="1044" customFormat="1" hidden="1" outlineLevel="1">
      <c r="B586" s="1045"/>
      <c r="C586" s="1030"/>
      <c r="D586" s="1048" t="s">
        <v>2115</v>
      </c>
      <c r="E586" s="1048" t="s">
        <v>2102</v>
      </c>
      <c r="F586" s="1047"/>
      <c r="G586" s="1047"/>
      <c r="H586" s="1047"/>
      <c r="I586" s="1047"/>
      <c r="J586" s="1047"/>
      <c r="K586" s="1047"/>
      <c r="L586" s="1047"/>
      <c r="M586" s="1047"/>
      <c r="N586" s="1047"/>
      <c r="O586" s="1047"/>
      <c r="P586" s="1047"/>
      <c r="Q586" s="1047"/>
      <c r="R586" s="1047"/>
      <c r="S586" s="1047"/>
      <c r="T586" s="1047"/>
      <c r="U586" s="1047"/>
      <c r="V586" s="1047"/>
      <c r="W586" s="1047"/>
      <c r="X586" s="1047"/>
      <c r="Y586" s="1047"/>
      <c r="Z586" s="1070"/>
      <c r="AA586" s="1070"/>
      <c r="AB586" s="1070"/>
      <c r="AC586" s="1070"/>
      <c r="AD586" s="1070">
        <f t="shared" si="21"/>
        <v>1388187</v>
      </c>
      <c r="AE586" s="1070">
        <f t="shared" si="21"/>
        <v>1437412</v>
      </c>
      <c r="AF586" s="1070">
        <f t="shared" si="21"/>
        <v>1566880</v>
      </c>
      <c r="AG586" s="1070">
        <f t="shared" si="21"/>
        <v>1650801</v>
      </c>
      <c r="AH586" s="1070">
        <f t="shared" si="21"/>
        <v>1353587</v>
      </c>
      <c r="AI586" s="1070">
        <f t="shared" si="21"/>
        <v>1427977</v>
      </c>
      <c r="AJ586" s="1070">
        <f t="shared" si="21"/>
        <v>1668816</v>
      </c>
      <c r="AK586" s="1070">
        <f t="shared" si="21"/>
        <v>1788456</v>
      </c>
      <c r="AL586" s="1070">
        <f t="shared" si="21"/>
        <v>1240464</v>
      </c>
      <c r="AM586" s="1070">
        <f t="shared" si="21"/>
        <v>1629294</v>
      </c>
      <c r="AN586" s="1070">
        <f t="shared" si="21"/>
        <v>1465889</v>
      </c>
      <c r="AO586" s="1070">
        <f t="shared" si="21"/>
        <v>1177561</v>
      </c>
      <c r="AP586" s="1070">
        <f t="shared" si="21"/>
        <v>1615284</v>
      </c>
      <c r="AQ586" s="1070">
        <f t="shared" si="21"/>
        <v>1663929</v>
      </c>
    </row>
    <row r="587" spans="2:45" hidden="1" outlineLevel="1">
      <c r="C587" s="9"/>
      <c r="D587" s="25" t="s">
        <v>1542</v>
      </c>
      <c r="E587" s="25" t="s">
        <v>977</v>
      </c>
      <c r="F587" s="20"/>
      <c r="G587" s="20"/>
      <c r="H587" s="20"/>
      <c r="I587" s="20"/>
      <c r="J587" s="20"/>
      <c r="K587" s="20"/>
      <c r="L587" s="20"/>
      <c r="M587" s="20"/>
      <c r="N587" s="20"/>
      <c r="O587" s="20"/>
      <c r="P587" s="20"/>
      <c r="Q587" s="20"/>
      <c r="R587" s="20"/>
      <c r="S587" s="20"/>
      <c r="T587" s="20"/>
      <c r="U587" s="20"/>
      <c r="V587" s="20"/>
      <c r="W587" s="20"/>
      <c r="X587" s="20"/>
      <c r="Y587" s="20"/>
      <c r="Z587" s="12"/>
      <c r="AA587" s="12"/>
      <c r="AB587" s="12"/>
      <c r="AC587" s="12"/>
      <c r="AD587" s="1070">
        <f t="shared" si="21"/>
        <v>120906</v>
      </c>
      <c r="AE587" s="1070">
        <f t="shared" si="21"/>
        <v>125172</v>
      </c>
      <c r="AF587" s="1070">
        <f t="shared" si="21"/>
        <v>159918</v>
      </c>
      <c r="AG587" s="1070">
        <f t="shared" si="21"/>
        <v>168730</v>
      </c>
      <c r="AH587" s="1070">
        <f t="shared" si="21"/>
        <v>131455</v>
      </c>
      <c r="AI587" s="1070">
        <f t="shared" si="21"/>
        <v>138680</v>
      </c>
      <c r="AJ587" s="1070">
        <f t="shared" si="21"/>
        <v>130517</v>
      </c>
      <c r="AK587" s="1070">
        <f t="shared" si="21"/>
        <v>140659</v>
      </c>
      <c r="AL587" s="1070">
        <f t="shared" si="21"/>
        <v>346401</v>
      </c>
      <c r="AM587" s="1070">
        <f t="shared" si="21"/>
        <v>346401</v>
      </c>
      <c r="AN587" s="1070">
        <f t="shared" si="21"/>
        <v>76885</v>
      </c>
      <c r="AO587" s="1070">
        <f t="shared" si="21"/>
        <v>77914</v>
      </c>
      <c r="AP587" s="1070">
        <f t="shared" si="21"/>
        <v>373848</v>
      </c>
      <c r="AQ587" s="1070">
        <f t="shared" si="21"/>
        <v>388533</v>
      </c>
      <c r="AR587" s="1044"/>
      <c r="AS587" s="1044"/>
    </row>
    <row r="588" spans="2:45" hidden="1" outlineLevel="1">
      <c r="C588" s="9"/>
      <c r="D588" s="1048" t="s">
        <v>1541</v>
      </c>
      <c r="E588" s="1048" t="s">
        <v>1545</v>
      </c>
      <c r="F588" s="20"/>
      <c r="G588" s="20"/>
      <c r="H588" s="20"/>
      <c r="I588" s="20"/>
      <c r="J588" s="20"/>
      <c r="K588" s="20"/>
      <c r="L588" s="20"/>
      <c r="M588" s="20"/>
      <c r="N588" s="20"/>
      <c r="O588" s="20"/>
      <c r="P588" s="20"/>
      <c r="Q588" s="20"/>
      <c r="R588" s="20"/>
      <c r="S588" s="20"/>
      <c r="T588" s="20"/>
      <c r="U588" s="20"/>
      <c r="V588" s="20"/>
      <c r="W588" s="20"/>
      <c r="X588" s="20"/>
      <c r="Y588" s="20"/>
      <c r="Z588" s="20"/>
      <c r="AA588" s="20"/>
      <c r="AB588" s="12"/>
      <c r="AC588" s="12"/>
      <c r="AD588" s="1070">
        <f t="shared" si="21"/>
        <v>12796033</v>
      </c>
      <c r="AE588" s="1070">
        <f t="shared" si="21"/>
        <v>13275475</v>
      </c>
      <c r="AF588" s="1070">
        <f t="shared" si="21"/>
        <v>11774300</v>
      </c>
      <c r="AG588" s="1070">
        <f t="shared" si="21"/>
        <v>12469277</v>
      </c>
      <c r="AH588" s="1070">
        <f t="shared" si="21"/>
        <v>10338754</v>
      </c>
      <c r="AI588" s="1070">
        <f t="shared" si="21"/>
        <v>10906943</v>
      </c>
      <c r="AJ588" s="1070">
        <f t="shared" si="21"/>
        <v>11372020</v>
      </c>
      <c r="AK588" s="1070">
        <f t="shared" si="21"/>
        <v>12344928</v>
      </c>
      <c r="AL588" s="1070">
        <f t="shared" si="21"/>
        <v>13382298</v>
      </c>
      <c r="AM588" s="1070">
        <f t="shared" si="21"/>
        <v>13453389</v>
      </c>
      <c r="AN588" s="1070">
        <f t="shared" si="21"/>
        <v>14059777</v>
      </c>
      <c r="AO588" s="1070">
        <f t="shared" si="21"/>
        <v>14411272</v>
      </c>
      <c r="AP588" s="1070">
        <f t="shared" si="21"/>
        <v>12294477</v>
      </c>
      <c r="AQ588" s="1070">
        <f t="shared" si="21"/>
        <v>12622480</v>
      </c>
      <c r="AR588" s="1044"/>
      <c r="AS588" s="1044"/>
    </row>
    <row r="589" spans="2:45" ht="7.5" customHeight="1">
      <c r="C589" s="1112"/>
      <c r="D589" s="240"/>
      <c r="E589" s="1169"/>
      <c r="F589" s="1170"/>
      <c r="G589" s="1170"/>
      <c r="H589" s="1170"/>
      <c r="I589" s="1170"/>
      <c r="J589" s="1170"/>
      <c r="K589" s="1170"/>
      <c r="L589" s="1170"/>
      <c r="M589" s="1170"/>
      <c r="N589" s="1170"/>
      <c r="O589" s="1170"/>
      <c r="P589" s="1170"/>
      <c r="Q589" s="1170"/>
      <c r="R589" s="1170"/>
      <c r="S589" s="1170"/>
      <c r="T589" s="1170"/>
      <c r="U589" s="1170"/>
      <c r="V589" s="1170"/>
      <c r="W589" s="1170"/>
      <c r="X589" s="1170"/>
      <c r="Y589" s="1170"/>
      <c r="Z589" s="1170"/>
      <c r="AA589" s="1170"/>
      <c r="AB589" s="1171"/>
      <c r="AC589" s="1171"/>
      <c r="AD589" s="1171"/>
      <c r="AE589" s="1171"/>
      <c r="AF589" s="1171"/>
      <c r="AG589" s="1171"/>
      <c r="AH589" s="1171"/>
      <c r="AI589" s="1171"/>
      <c r="AJ589" s="1171"/>
      <c r="AK589" s="1171"/>
      <c r="AL589" s="1171"/>
      <c r="AM589" s="1171"/>
      <c r="AN589" s="1171"/>
      <c r="AO589" s="1171"/>
      <c r="AP589" s="1171"/>
      <c r="AQ589" s="1044"/>
      <c r="AR589" s="1044"/>
      <c r="AS589" s="1044"/>
    </row>
    <row r="590" spans="2:45" ht="24.75" customHeight="1" collapsed="1">
      <c r="C590" s="1053" t="s">
        <v>1652</v>
      </c>
      <c r="D590" s="367"/>
      <c r="E590" s="367"/>
      <c r="F590" s="672"/>
      <c r="G590" s="672"/>
      <c r="H590" s="672"/>
      <c r="I590" s="672"/>
      <c r="J590" s="672"/>
      <c r="K590" s="672"/>
      <c r="L590" s="672"/>
      <c r="M590" s="672"/>
      <c r="N590" s="672"/>
      <c r="O590" s="672"/>
      <c r="P590" s="672"/>
      <c r="Q590" s="672"/>
      <c r="R590" s="672"/>
      <c r="S590" s="672"/>
      <c r="T590" s="672"/>
      <c r="U590" s="672"/>
      <c r="V590" s="672"/>
      <c r="W590" s="672"/>
      <c r="X590" s="1309" t="s">
        <v>1653</v>
      </c>
      <c r="Y590" s="1310"/>
      <c r="Z590" s="672"/>
      <c r="AA590" s="672"/>
      <c r="AB590" s="673"/>
      <c r="AC590" s="673"/>
      <c r="AD590" s="673"/>
      <c r="AE590" s="673"/>
      <c r="AF590" s="673"/>
      <c r="AG590" s="1055"/>
      <c r="AH590" s="1305"/>
      <c r="AI590" s="1307"/>
      <c r="AJ590" s="662"/>
      <c r="AK590" s="662"/>
      <c r="AL590" s="1168" t="s">
        <v>1941</v>
      </c>
      <c r="AM590" s="1168" t="s">
        <v>1941</v>
      </c>
      <c r="AN590" s="1168" t="s">
        <v>1941</v>
      </c>
      <c r="AO590" s="1168" t="s">
        <v>1858</v>
      </c>
      <c r="AP590" s="1204"/>
      <c r="AQ590" s="1204"/>
      <c r="AR590" s="1044"/>
      <c r="AS590" s="1044"/>
    </row>
    <row r="591" spans="2:45" hidden="1" outlineLevel="1">
      <c r="C591" s="9" t="s">
        <v>16</v>
      </c>
      <c r="D591" s="9"/>
      <c r="E591" s="20" t="s">
        <v>101</v>
      </c>
      <c r="F591" s="12">
        <f t="shared" ref="F591:AK606" si="22">F646+F698</f>
        <v>0</v>
      </c>
      <c r="G591" s="12">
        <f t="shared" si="22"/>
        <v>0</v>
      </c>
      <c r="H591" s="12">
        <f t="shared" si="22"/>
        <v>0</v>
      </c>
      <c r="I591" s="12">
        <f t="shared" si="22"/>
        <v>0</v>
      </c>
      <c r="J591" s="12">
        <f t="shared" si="22"/>
        <v>0</v>
      </c>
      <c r="K591" s="12">
        <f t="shared" si="22"/>
        <v>0</v>
      </c>
      <c r="L591" s="12">
        <f t="shared" si="22"/>
        <v>0</v>
      </c>
      <c r="M591" s="12">
        <f t="shared" si="22"/>
        <v>0</v>
      </c>
      <c r="N591" s="12">
        <f t="shared" si="22"/>
        <v>0</v>
      </c>
      <c r="O591" s="12">
        <f t="shared" si="22"/>
        <v>0</v>
      </c>
      <c r="P591" s="12">
        <f t="shared" si="22"/>
        <v>0</v>
      </c>
      <c r="Q591" s="12">
        <f t="shared" si="22"/>
        <v>0</v>
      </c>
      <c r="R591" s="12">
        <f t="shared" si="22"/>
        <v>0</v>
      </c>
      <c r="S591" s="12">
        <f t="shared" si="22"/>
        <v>0</v>
      </c>
      <c r="T591" s="12">
        <f t="shared" si="22"/>
        <v>0</v>
      </c>
      <c r="U591" s="12">
        <f t="shared" si="22"/>
        <v>0</v>
      </c>
      <c r="V591" s="12">
        <f t="shared" si="22"/>
        <v>0</v>
      </c>
      <c r="W591" s="12">
        <f t="shared" si="22"/>
        <v>0</v>
      </c>
      <c r="X591" s="12">
        <f t="shared" si="22"/>
        <v>3544858</v>
      </c>
      <c r="Y591" s="12">
        <f t="shared" si="22"/>
        <v>3697274</v>
      </c>
      <c r="Z591" s="12">
        <f t="shared" si="22"/>
        <v>3686588</v>
      </c>
      <c r="AA591" s="12">
        <f t="shared" si="22"/>
        <v>3744011</v>
      </c>
      <c r="AB591" s="12">
        <f t="shared" si="22"/>
        <v>3702667</v>
      </c>
      <c r="AC591" s="12">
        <f t="shared" si="22"/>
        <v>3782607</v>
      </c>
      <c r="AD591" s="12">
        <f t="shared" si="22"/>
        <v>3904404</v>
      </c>
      <c r="AE591" s="12">
        <f t="shared" si="22"/>
        <v>3948645</v>
      </c>
      <c r="AF591" s="12">
        <f t="shared" si="22"/>
        <v>4019521.38</v>
      </c>
      <c r="AG591" s="12">
        <f t="shared" si="22"/>
        <v>9040531</v>
      </c>
      <c r="AH591" s="12">
        <f t="shared" si="22"/>
        <v>7120218</v>
      </c>
      <c r="AI591" s="12">
        <f t="shared" si="22"/>
        <v>4156564</v>
      </c>
      <c r="AJ591" s="12">
        <f t="shared" si="22"/>
        <v>4920808</v>
      </c>
      <c r="AK591" s="12">
        <f t="shared" si="22"/>
        <v>4934974</v>
      </c>
      <c r="AL591" s="12">
        <f t="shared" ref="AL591:AM591" si="23">AL646+AL698</f>
        <v>5029051</v>
      </c>
      <c r="AM591" s="840">
        <f t="shared" si="23"/>
        <v>5423739</v>
      </c>
      <c r="AN591" s="1070">
        <f t="shared" ref="AN591:AO591" si="24">AN646+AN698</f>
        <v>7408561.5199999996</v>
      </c>
      <c r="AO591" s="1070">
        <f t="shared" si="24"/>
        <v>7619805</v>
      </c>
      <c r="AP591" s="1070">
        <f t="shared" ref="AP591:AQ591" si="25">AP646+AP698</f>
        <v>8409269</v>
      </c>
      <c r="AQ591" s="1070">
        <f t="shared" si="25"/>
        <v>8409269</v>
      </c>
      <c r="AR591" s="1044"/>
      <c r="AS591" s="1044"/>
    </row>
    <row r="592" spans="2:45" hidden="1" outlineLevel="1">
      <c r="C592" s="9" t="s">
        <v>16</v>
      </c>
      <c r="D592" s="9"/>
      <c r="E592" s="20" t="s">
        <v>166</v>
      </c>
      <c r="F592" s="12">
        <f t="shared" ref="F592:AJ592" si="26">F647+F699</f>
        <v>0</v>
      </c>
      <c r="G592" s="12">
        <f t="shared" si="26"/>
        <v>0</v>
      </c>
      <c r="H592" s="12">
        <f t="shared" si="26"/>
        <v>0</v>
      </c>
      <c r="I592" s="12">
        <f t="shared" si="26"/>
        <v>0</v>
      </c>
      <c r="J592" s="12">
        <f t="shared" si="26"/>
        <v>0</v>
      </c>
      <c r="K592" s="12">
        <f t="shared" si="26"/>
        <v>0</v>
      </c>
      <c r="L592" s="12">
        <f t="shared" si="26"/>
        <v>0</v>
      </c>
      <c r="M592" s="12">
        <f t="shared" si="26"/>
        <v>0</v>
      </c>
      <c r="N592" s="12">
        <f t="shared" si="26"/>
        <v>0</v>
      </c>
      <c r="O592" s="12">
        <f t="shared" si="26"/>
        <v>0</v>
      </c>
      <c r="P592" s="12">
        <f t="shared" si="26"/>
        <v>0</v>
      </c>
      <c r="Q592" s="12">
        <f t="shared" si="26"/>
        <v>0</v>
      </c>
      <c r="R592" s="12">
        <f t="shared" si="26"/>
        <v>0</v>
      </c>
      <c r="S592" s="12">
        <f t="shared" si="26"/>
        <v>0</v>
      </c>
      <c r="T592" s="12">
        <f t="shared" si="26"/>
        <v>0</v>
      </c>
      <c r="U592" s="12">
        <f t="shared" si="26"/>
        <v>0</v>
      </c>
      <c r="V592" s="12">
        <f t="shared" si="26"/>
        <v>0</v>
      </c>
      <c r="W592" s="12">
        <f t="shared" si="26"/>
        <v>0</v>
      </c>
      <c r="X592" s="12">
        <f t="shared" si="26"/>
        <v>488053</v>
      </c>
      <c r="Y592" s="12">
        <f t="shared" si="26"/>
        <v>466940</v>
      </c>
      <c r="Z592" s="12">
        <f t="shared" si="26"/>
        <v>460109</v>
      </c>
      <c r="AA592" s="12">
        <f t="shared" si="26"/>
        <v>493096</v>
      </c>
      <c r="AB592" s="12">
        <f t="shared" si="26"/>
        <v>501321</v>
      </c>
      <c r="AC592" s="12">
        <f t="shared" si="26"/>
        <v>503628</v>
      </c>
      <c r="AD592" s="12">
        <f t="shared" si="26"/>
        <v>515158</v>
      </c>
      <c r="AE592" s="12">
        <f t="shared" si="26"/>
        <v>507958</v>
      </c>
      <c r="AF592" s="12">
        <f t="shared" si="26"/>
        <v>402675.23</v>
      </c>
      <c r="AG592" s="12">
        <f t="shared" si="26"/>
        <v>1085390</v>
      </c>
      <c r="AH592" s="12">
        <f t="shared" si="26"/>
        <v>975971</v>
      </c>
      <c r="AI592" s="12">
        <f t="shared" si="26"/>
        <v>500964</v>
      </c>
      <c r="AJ592" s="12">
        <f t="shared" si="26"/>
        <v>809187</v>
      </c>
      <c r="AK592" s="12">
        <f t="shared" si="22"/>
        <v>761458</v>
      </c>
      <c r="AL592" s="12">
        <f t="shared" ref="AL592:AM592" si="27">AL647+AL699</f>
        <v>658537</v>
      </c>
      <c r="AM592" s="840">
        <f t="shared" si="27"/>
        <v>723264</v>
      </c>
      <c r="AN592" s="1070">
        <f t="shared" ref="AN592:AO592" si="28">AN647+AN699</f>
        <v>920098.15999999992</v>
      </c>
      <c r="AO592" s="1070">
        <f t="shared" si="28"/>
        <v>913476</v>
      </c>
      <c r="AP592" s="1070">
        <f t="shared" ref="AP592:AQ592" si="29">AP647+AP699</f>
        <v>996284</v>
      </c>
      <c r="AQ592" s="1070">
        <f t="shared" si="29"/>
        <v>996284</v>
      </c>
      <c r="AR592" s="1044"/>
      <c r="AS592" s="1044"/>
    </row>
    <row r="593" spans="3:45" hidden="1" outlineLevel="1">
      <c r="C593" s="9" t="s">
        <v>16</v>
      </c>
      <c r="D593" s="9"/>
      <c r="E593" s="20" t="s">
        <v>103</v>
      </c>
      <c r="F593" s="12">
        <f t="shared" ref="F593:AJ593" si="30">F648+F700</f>
        <v>0</v>
      </c>
      <c r="G593" s="12">
        <f t="shared" si="30"/>
        <v>0</v>
      </c>
      <c r="H593" s="12">
        <f t="shared" si="30"/>
        <v>0</v>
      </c>
      <c r="I593" s="12">
        <f t="shared" si="30"/>
        <v>0</v>
      </c>
      <c r="J593" s="12">
        <f t="shared" si="30"/>
        <v>0</v>
      </c>
      <c r="K593" s="12">
        <f t="shared" si="30"/>
        <v>0</v>
      </c>
      <c r="L593" s="12">
        <f t="shared" si="30"/>
        <v>0</v>
      </c>
      <c r="M593" s="12">
        <f t="shared" si="30"/>
        <v>0</v>
      </c>
      <c r="N593" s="12">
        <f t="shared" si="30"/>
        <v>0</v>
      </c>
      <c r="O593" s="12">
        <f t="shared" si="30"/>
        <v>0</v>
      </c>
      <c r="P593" s="12">
        <f t="shared" si="30"/>
        <v>0</v>
      </c>
      <c r="Q593" s="12">
        <f t="shared" si="30"/>
        <v>0</v>
      </c>
      <c r="R593" s="12">
        <f t="shared" si="30"/>
        <v>0</v>
      </c>
      <c r="S593" s="12">
        <f t="shared" si="30"/>
        <v>0</v>
      </c>
      <c r="T593" s="12">
        <f t="shared" si="30"/>
        <v>0</v>
      </c>
      <c r="U593" s="12">
        <f t="shared" si="30"/>
        <v>0</v>
      </c>
      <c r="V593" s="12">
        <f t="shared" si="30"/>
        <v>0</v>
      </c>
      <c r="W593" s="12">
        <f t="shared" si="30"/>
        <v>0</v>
      </c>
      <c r="X593" s="12">
        <f t="shared" si="30"/>
        <v>761818</v>
      </c>
      <c r="Y593" s="12">
        <f t="shared" si="30"/>
        <v>732180</v>
      </c>
      <c r="Z593" s="12">
        <f t="shared" si="30"/>
        <v>679334</v>
      </c>
      <c r="AA593" s="12">
        <f t="shared" si="30"/>
        <v>674876</v>
      </c>
      <c r="AB593" s="12">
        <f t="shared" si="30"/>
        <v>681116</v>
      </c>
      <c r="AC593" s="12">
        <f t="shared" si="30"/>
        <v>685762</v>
      </c>
      <c r="AD593" s="12">
        <f t="shared" si="30"/>
        <v>716507</v>
      </c>
      <c r="AE593" s="12">
        <f t="shared" si="30"/>
        <v>717215</v>
      </c>
      <c r="AF593" s="12">
        <f t="shared" si="30"/>
        <v>728829</v>
      </c>
      <c r="AG593" s="12">
        <f t="shared" si="30"/>
        <v>1813117</v>
      </c>
      <c r="AH593" s="12">
        <f t="shared" si="30"/>
        <v>1623016</v>
      </c>
      <c r="AI593" s="12">
        <f t="shared" si="30"/>
        <v>1046074</v>
      </c>
      <c r="AJ593" s="12">
        <f t="shared" si="30"/>
        <v>1306558</v>
      </c>
      <c r="AK593" s="12">
        <f t="shared" si="22"/>
        <v>1024435</v>
      </c>
      <c r="AL593" s="12">
        <f t="shared" ref="AL593:AM593" si="31">AL648+AL700</f>
        <v>1140691</v>
      </c>
      <c r="AM593" s="840">
        <f t="shared" si="31"/>
        <v>1174236</v>
      </c>
      <c r="AN593" s="1070">
        <f t="shared" ref="AN593:AO593" si="32">AN648+AN700</f>
        <v>1491512.5599999996</v>
      </c>
      <c r="AO593" s="1070">
        <f t="shared" si="32"/>
        <v>1508002</v>
      </c>
      <c r="AP593" s="1070">
        <f t="shared" ref="AP593:AQ593" si="33">AP648+AP700</f>
        <v>1647545</v>
      </c>
      <c r="AQ593" s="1070">
        <f t="shared" si="33"/>
        <v>1647545</v>
      </c>
      <c r="AR593" s="1044"/>
      <c r="AS593" s="1044"/>
    </row>
    <row r="594" spans="3:45" hidden="1" outlineLevel="1">
      <c r="C594" s="9" t="s">
        <v>16</v>
      </c>
      <c r="D594" s="9"/>
      <c r="E594" s="20" t="s">
        <v>104</v>
      </c>
      <c r="F594" s="12">
        <f t="shared" ref="F594:AJ594" si="34">F649+F701</f>
        <v>0</v>
      </c>
      <c r="G594" s="12">
        <f t="shared" si="34"/>
        <v>0</v>
      </c>
      <c r="H594" s="12">
        <f t="shared" si="34"/>
        <v>0</v>
      </c>
      <c r="I594" s="12">
        <f t="shared" si="34"/>
        <v>0</v>
      </c>
      <c r="J594" s="12">
        <f t="shared" si="34"/>
        <v>0</v>
      </c>
      <c r="K594" s="12">
        <f t="shared" si="34"/>
        <v>0</v>
      </c>
      <c r="L594" s="12">
        <f t="shared" si="34"/>
        <v>0</v>
      </c>
      <c r="M594" s="12">
        <f t="shared" si="34"/>
        <v>0</v>
      </c>
      <c r="N594" s="12">
        <f t="shared" si="34"/>
        <v>0</v>
      </c>
      <c r="O594" s="12">
        <f t="shared" si="34"/>
        <v>0</v>
      </c>
      <c r="P594" s="12">
        <f t="shared" si="34"/>
        <v>0</v>
      </c>
      <c r="Q594" s="12">
        <f t="shared" si="34"/>
        <v>0</v>
      </c>
      <c r="R594" s="12">
        <f t="shared" si="34"/>
        <v>0</v>
      </c>
      <c r="S594" s="12">
        <f t="shared" si="34"/>
        <v>0</v>
      </c>
      <c r="T594" s="12">
        <f t="shared" si="34"/>
        <v>0</v>
      </c>
      <c r="U594" s="12">
        <f t="shared" si="34"/>
        <v>0</v>
      </c>
      <c r="V594" s="12">
        <f t="shared" si="34"/>
        <v>0</v>
      </c>
      <c r="W594" s="12">
        <f t="shared" si="34"/>
        <v>0</v>
      </c>
      <c r="X594" s="12">
        <f t="shared" si="34"/>
        <v>285831</v>
      </c>
      <c r="Y594" s="12">
        <f t="shared" si="34"/>
        <v>285831</v>
      </c>
      <c r="Z594" s="12">
        <f t="shared" si="34"/>
        <v>301280</v>
      </c>
      <c r="AA594" s="12">
        <f t="shared" si="34"/>
        <v>316727</v>
      </c>
      <c r="AB594" s="12">
        <f t="shared" si="34"/>
        <v>314731</v>
      </c>
      <c r="AC594" s="12">
        <f t="shared" si="34"/>
        <v>327116</v>
      </c>
      <c r="AD594" s="12">
        <f t="shared" si="34"/>
        <v>361521</v>
      </c>
      <c r="AE594" s="12">
        <f t="shared" si="34"/>
        <v>377953</v>
      </c>
      <c r="AF594" s="12">
        <f t="shared" si="34"/>
        <v>376572</v>
      </c>
      <c r="AG594" s="12">
        <f t="shared" si="34"/>
        <v>732825</v>
      </c>
      <c r="AH594" s="12">
        <f t="shared" si="34"/>
        <v>678555</v>
      </c>
      <c r="AI594" s="12">
        <f t="shared" si="34"/>
        <v>515947</v>
      </c>
      <c r="AJ594" s="12">
        <f t="shared" si="34"/>
        <v>477230</v>
      </c>
      <c r="AK594" s="12">
        <f t="shared" si="22"/>
        <v>537763</v>
      </c>
      <c r="AL594" s="12">
        <f t="shared" ref="AL594:AM594" si="35">AL649+AL701</f>
        <v>535991</v>
      </c>
      <c r="AM594" s="840">
        <f t="shared" si="35"/>
        <v>565108</v>
      </c>
      <c r="AN594" s="1070">
        <f t="shared" ref="AN594:AO594" si="36">AN649+AN701</f>
        <v>638214.26</v>
      </c>
      <c r="AO594" s="1070">
        <f t="shared" si="36"/>
        <v>633256</v>
      </c>
      <c r="AP594" s="1070">
        <f t="shared" ref="AP594:AQ594" si="37">AP649+AP701</f>
        <v>673672</v>
      </c>
      <c r="AQ594" s="1070">
        <f t="shared" si="37"/>
        <v>673672</v>
      </c>
      <c r="AR594" s="1044"/>
      <c r="AS594" s="1044"/>
    </row>
    <row r="595" spans="3:45" hidden="1" outlineLevel="1">
      <c r="C595" s="9" t="s">
        <v>16</v>
      </c>
      <c r="D595" s="9"/>
      <c r="E595" s="20" t="s">
        <v>105</v>
      </c>
      <c r="F595" s="12">
        <f t="shared" ref="F595:AJ595" si="38">F650+F702</f>
        <v>0</v>
      </c>
      <c r="G595" s="12">
        <f t="shared" si="38"/>
        <v>0</v>
      </c>
      <c r="H595" s="12">
        <f t="shared" si="38"/>
        <v>0</v>
      </c>
      <c r="I595" s="12">
        <f t="shared" si="38"/>
        <v>0</v>
      </c>
      <c r="J595" s="12">
        <f t="shared" si="38"/>
        <v>0</v>
      </c>
      <c r="K595" s="12">
        <f t="shared" si="38"/>
        <v>0</v>
      </c>
      <c r="L595" s="12">
        <f t="shared" si="38"/>
        <v>0</v>
      </c>
      <c r="M595" s="12">
        <f t="shared" si="38"/>
        <v>0</v>
      </c>
      <c r="N595" s="12">
        <f t="shared" si="38"/>
        <v>0</v>
      </c>
      <c r="O595" s="12">
        <f t="shared" si="38"/>
        <v>0</v>
      </c>
      <c r="P595" s="12">
        <f t="shared" si="38"/>
        <v>0</v>
      </c>
      <c r="Q595" s="12">
        <f t="shared" si="38"/>
        <v>0</v>
      </c>
      <c r="R595" s="12">
        <f t="shared" si="38"/>
        <v>0</v>
      </c>
      <c r="S595" s="12">
        <f t="shared" si="38"/>
        <v>0</v>
      </c>
      <c r="T595" s="12">
        <f t="shared" si="38"/>
        <v>0</v>
      </c>
      <c r="U595" s="12">
        <f t="shared" si="38"/>
        <v>0</v>
      </c>
      <c r="V595" s="12">
        <f t="shared" si="38"/>
        <v>0</v>
      </c>
      <c r="W595" s="12">
        <f t="shared" si="38"/>
        <v>0</v>
      </c>
      <c r="X595" s="12">
        <f t="shared" si="38"/>
        <v>1677820</v>
      </c>
      <c r="Y595" s="12">
        <f t="shared" si="38"/>
        <v>1700650</v>
      </c>
      <c r="Z595" s="12">
        <f t="shared" si="38"/>
        <v>1772298</v>
      </c>
      <c r="AA595" s="12">
        <f t="shared" si="38"/>
        <v>1891737</v>
      </c>
      <c r="AB595" s="12">
        <f t="shared" si="38"/>
        <v>1957603</v>
      </c>
      <c r="AC595" s="12">
        <f t="shared" si="38"/>
        <v>2081537</v>
      </c>
      <c r="AD595" s="12">
        <f t="shared" si="38"/>
        <v>2217827</v>
      </c>
      <c r="AE595" s="12">
        <f t="shared" si="38"/>
        <v>2354614</v>
      </c>
      <c r="AF595" s="12">
        <f t="shared" si="38"/>
        <v>2370515.1100000003</v>
      </c>
      <c r="AG595" s="12">
        <f t="shared" si="38"/>
        <v>7727468</v>
      </c>
      <c r="AH595" s="12">
        <f t="shared" si="38"/>
        <v>7494485</v>
      </c>
      <c r="AI595" s="12">
        <f t="shared" si="38"/>
        <v>3247246</v>
      </c>
      <c r="AJ595" s="12">
        <f t="shared" si="38"/>
        <v>5590391</v>
      </c>
      <c r="AK595" s="12">
        <f t="shared" si="22"/>
        <v>5390098</v>
      </c>
      <c r="AL595" s="12">
        <f t="shared" ref="AL595:AM595" si="39">AL650+AL702</f>
        <v>5505251</v>
      </c>
      <c r="AM595" s="840">
        <f t="shared" si="39"/>
        <v>6082652</v>
      </c>
      <c r="AN595" s="1070">
        <f t="shared" ref="AN595:AO595" si="40">AN650+AN702</f>
        <v>7496146.5300000012</v>
      </c>
      <c r="AO595" s="1070">
        <f t="shared" si="40"/>
        <v>7726712</v>
      </c>
      <c r="AP595" s="1070">
        <f t="shared" ref="AP595:AQ595" si="41">AP650+AP702</f>
        <v>8495016</v>
      </c>
      <c r="AQ595" s="1070">
        <f t="shared" si="41"/>
        <v>8495016</v>
      </c>
      <c r="AR595" s="1044"/>
      <c r="AS595" s="1044"/>
    </row>
    <row r="596" spans="3:45" hidden="1" outlineLevel="1">
      <c r="C596" s="9" t="s">
        <v>16</v>
      </c>
      <c r="D596" s="9"/>
      <c r="E596" s="20" t="s">
        <v>106</v>
      </c>
      <c r="F596" s="12">
        <f t="shared" ref="F596:AJ596" si="42">F651+F703</f>
        <v>0</v>
      </c>
      <c r="G596" s="12">
        <f t="shared" si="42"/>
        <v>0</v>
      </c>
      <c r="H596" s="12">
        <f t="shared" si="42"/>
        <v>0</v>
      </c>
      <c r="I596" s="12">
        <f t="shared" si="42"/>
        <v>0</v>
      </c>
      <c r="J596" s="12">
        <f t="shared" si="42"/>
        <v>0</v>
      </c>
      <c r="K596" s="12">
        <f t="shared" si="42"/>
        <v>0</v>
      </c>
      <c r="L596" s="12">
        <f t="shared" si="42"/>
        <v>0</v>
      </c>
      <c r="M596" s="12">
        <f t="shared" si="42"/>
        <v>0</v>
      </c>
      <c r="N596" s="12">
        <f t="shared" si="42"/>
        <v>0</v>
      </c>
      <c r="O596" s="12">
        <f t="shared" si="42"/>
        <v>0</v>
      </c>
      <c r="P596" s="12">
        <f t="shared" si="42"/>
        <v>0</v>
      </c>
      <c r="Q596" s="12">
        <f t="shared" si="42"/>
        <v>0</v>
      </c>
      <c r="R596" s="12">
        <f t="shared" si="42"/>
        <v>0</v>
      </c>
      <c r="S596" s="12">
        <f t="shared" si="42"/>
        <v>0</v>
      </c>
      <c r="T596" s="12">
        <f t="shared" si="42"/>
        <v>0</v>
      </c>
      <c r="U596" s="12">
        <f t="shared" si="42"/>
        <v>0</v>
      </c>
      <c r="V596" s="12">
        <f t="shared" si="42"/>
        <v>0</v>
      </c>
      <c r="W596" s="12">
        <f t="shared" si="42"/>
        <v>0</v>
      </c>
      <c r="X596" s="12">
        <f t="shared" si="42"/>
        <v>711256</v>
      </c>
      <c r="Y596" s="12">
        <f t="shared" si="42"/>
        <v>735599</v>
      </c>
      <c r="Z596" s="12">
        <f t="shared" si="42"/>
        <v>723736</v>
      </c>
      <c r="AA596" s="12">
        <f t="shared" si="42"/>
        <v>751027</v>
      </c>
      <c r="AB596" s="12">
        <f t="shared" si="42"/>
        <v>794570</v>
      </c>
      <c r="AC596" s="12">
        <f t="shared" si="42"/>
        <v>770373</v>
      </c>
      <c r="AD596" s="12">
        <f t="shared" si="42"/>
        <v>732099</v>
      </c>
      <c r="AE596" s="12">
        <f t="shared" si="42"/>
        <v>812555</v>
      </c>
      <c r="AF596" s="12">
        <f t="shared" si="42"/>
        <v>796018</v>
      </c>
      <c r="AG596" s="12">
        <f t="shared" si="42"/>
        <v>2180138</v>
      </c>
      <c r="AH596" s="12">
        <f t="shared" si="42"/>
        <v>2061879</v>
      </c>
      <c r="AI596" s="12">
        <f t="shared" si="42"/>
        <v>1447903</v>
      </c>
      <c r="AJ596" s="12">
        <f t="shared" si="42"/>
        <v>1488216</v>
      </c>
      <c r="AK596" s="12">
        <f t="shared" si="22"/>
        <v>1500617</v>
      </c>
      <c r="AL596" s="12">
        <f t="shared" ref="AL596:AM596" si="43">AL651+AL703</f>
        <v>1992473</v>
      </c>
      <c r="AM596" s="840">
        <f t="shared" si="43"/>
        <v>1785573</v>
      </c>
      <c r="AN596" s="1070">
        <f t="shared" ref="AN596:AO596" si="44">AN651+AN703</f>
        <v>1946608.06</v>
      </c>
      <c r="AO596" s="1070">
        <f t="shared" si="44"/>
        <v>2119754</v>
      </c>
      <c r="AP596" s="1070">
        <f t="shared" ref="AP596:AQ596" si="45">AP651+AP703</f>
        <v>2311688</v>
      </c>
      <c r="AQ596" s="1070">
        <f t="shared" si="45"/>
        <v>2311688</v>
      </c>
      <c r="AR596" s="1044"/>
      <c r="AS596" s="1044"/>
    </row>
    <row r="597" spans="3:45" hidden="1" outlineLevel="1">
      <c r="C597" s="9" t="s">
        <v>16</v>
      </c>
      <c r="D597" s="9"/>
      <c r="E597" s="20" t="s">
        <v>107</v>
      </c>
      <c r="F597" s="12">
        <f t="shared" ref="F597:AJ597" si="46">F652+F704</f>
        <v>0</v>
      </c>
      <c r="G597" s="12">
        <f t="shared" si="46"/>
        <v>0</v>
      </c>
      <c r="H597" s="12">
        <f t="shared" si="46"/>
        <v>0</v>
      </c>
      <c r="I597" s="12">
        <f t="shared" si="46"/>
        <v>0</v>
      </c>
      <c r="J597" s="12">
        <f t="shared" si="46"/>
        <v>0</v>
      </c>
      <c r="K597" s="12">
        <f t="shared" si="46"/>
        <v>0</v>
      </c>
      <c r="L597" s="12">
        <f t="shared" si="46"/>
        <v>0</v>
      </c>
      <c r="M597" s="12">
        <f t="shared" si="46"/>
        <v>0</v>
      </c>
      <c r="N597" s="12">
        <f t="shared" si="46"/>
        <v>0</v>
      </c>
      <c r="O597" s="12">
        <f t="shared" si="46"/>
        <v>0</v>
      </c>
      <c r="P597" s="12">
        <f t="shared" si="46"/>
        <v>0</v>
      </c>
      <c r="Q597" s="12">
        <f t="shared" si="46"/>
        <v>0</v>
      </c>
      <c r="R597" s="12">
        <f t="shared" si="46"/>
        <v>0</v>
      </c>
      <c r="S597" s="12">
        <f t="shared" si="46"/>
        <v>0</v>
      </c>
      <c r="T597" s="12">
        <f t="shared" si="46"/>
        <v>0</v>
      </c>
      <c r="U597" s="12">
        <f t="shared" si="46"/>
        <v>0</v>
      </c>
      <c r="V597" s="12">
        <f t="shared" si="46"/>
        <v>0</v>
      </c>
      <c r="W597" s="12">
        <f t="shared" si="46"/>
        <v>0</v>
      </c>
      <c r="X597" s="12">
        <f t="shared" si="46"/>
        <v>273508</v>
      </c>
      <c r="Y597" s="12">
        <f t="shared" si="46"/>
        <v>280636</v>
      </c>
      <c r="Z597" s="12">
        <f t="shared" si="46"/>
        <v>292476</v>
      </c>
      <c r="AA597" s="12">
        <f t="shared" si="46"/>
        <v>318061</v>
      </c>
      <c r="AB597" s="12">
        <f t="shared" si="46"/>
        <v>320253</v>
      </c>
      <c r="AC597" s="12">
        <f t="shared" si="46"/>
        <v>327159</v>
      </c>
      <c r="AD597" s="12">
        <f t="shared" si="46"/>
        <v>355415</v>
      </c>
      <c r="AE597" s="12">
        <f t="shared" si="46"/>
        <v>384460</v>
      </c>
      <c r="AF597" s="12">
        <f t="shared" si="46"/>
        <v>400121</v>
      </c>
      <c r="AG597" s="12">
        <f t="shared" si="46"/>
        <v>865277</v>
      </c>
      <c r="AH597" s="12">
        <f t="shared" si="46"/>
        <v>796472</v>
      </c>
      <c r="AI597" s="12">
        <f t="shared" si="46"/>
        <v>381735</v>
      </c>
      <c r="AJ597" s="12">
        <f t="shared" si="46"/>
        <v>658129</v>
      </c>
      <c r="AK597" s="12">
        <f t="shared" si="22"/>
        <v>677066</v>
      </c>
      <c r="AL597" s="12">
        <f t="shared" ref="AL597:AM597" si="47">AL652+AL704</f>
        <v>707011</v>
      </c>
      <c r="AM597" s="840">
        <f t="shared" si="47"/>
        <v>755732</v>
      </c>
      <c r="AN597" s="1070">
        <f t="shared" ref="AN597:AO597" si="48">AN652+AN704</f>
        <v>871927.95999999985</v>
      </c>
      <c r="AO597" s="1070">
        <f t="shared" si="48"/>
        <v>904521</v>
      </c>
      <c r="AP597" s="1070">
        <f t="shared" ref="AP597:AQ597" si="49">AP652+AP704</f>
        <v>978825</v>
      </c>
      <c r="AQ597" s="1070">
        <f t="shared" si="49"/>
        <v>978825</v>
      </c>
      <c r="AR597" s="1044"/>
      <c r="AS597" s="1044"/>
    </row>
    <row r="598" spans="3:45" hidden="1" outlineLevel="1">
      <c r="C598" s="9" t="s">
        <v>16</v>
      </c>
      <c r="D598" s="9"/>
      <c r="E598" s="20" t="s">
        <v>108</v>
      </c>
      <c r="F598" s="12">
        <f t="shared" ref="F598:AJ598" si="50">F653+F705</f>
        <v>0</v>
      </c>
      <c r="G598" s="12">
        <f t="shared" si="50"/>
        <v>0</v>
      </c>
      <c r="H598" s="12">
        <f t="shared" si="50"/>
        <v>0</v>
      </c>
      <c r="I598" s="12">
        <f t="shared" si="50"/>
        <v>0</v>
      </c>
      <c r="J598" s="12">
        <f t="shared" si="50"/>
        <v>0</v>
      </c>
      <c r="K598" s="12">
        <f t="shared" si="50"/>
        <v>0</v>
      </c>
      <c r="L598" s="12">
        <f t="shared" si="50"/>
        <v>0</v>
      </c>
      <c r="M598" s="12">
        <f t="shared" si="50"/>
        <v>0</v>
      </c>
      <c r="N598" s="12">
        <f t="shared" si="50"/>
        <v>0</v>
      </c>
      <c r="O598" s="12">
        <f t="shared" si="50"/>
        <v>0</v>
      </c>
      <c r="P598" s="12">
        <f t="shared" si="50"/>
        <v>0</v>
      </c>
      <c r="Q598" s="12">
        <f t="shared" si="50"/>
        <v>0</v>
      </c>
      <c r="R598" s="12">
        <f t="shared" si="50"/>
        <v>0</v>
      </c>
      <c r="S598" s="12">
        <f t="shared" si="50"/>
        <v>0</v>
      </c>
      <c r="T598" s="12">
        <f t="shared" si="50"/>
        <v>0</v>
      </c>
      <c r="U598" s="12">
        <f t="shared" si="50"/>
        <v>0</v>
      </c>
      <c r="V598" s="12">
        <f t="shared" si="50"/>
        <v>0</v>
      </c>
      <c r="W598" s="12">
        <f t="shared" si="50"/>
        <v>0</v>
      </c>
      <c r="X598" s="12">
        <f t="shared" si="50"/>
        <v>615733.54</v>
      </c>
      <c r="Y598" s="12">
        <f t="shared" si="50"/>
        <v>639315</v>
      </c>
      <c r="Z598" s="12">
        <f t="shared" si="50"/>
        <v>654931</v>
      </c>
      <c r="AA598" s="12">
        <f t="shared" si="50"/>
        <v>656613</v>
      </c>
      <c r="AB598" s="12">
        <f t="shared" si="50"/>
        <v>688984</v>
      </c>
      <c r="AC598" s="12">
        <f t="shared" si="50"/>
        <v>731558</v>
      </c>
      <c r="AD598" s="12">
        <f t="shared" si="50"/>
        <v>749116</v>
      </c>
      <c r="AE598" s="12">
        <f t="shared" si="50"/>
        <v>756377</v>
      </c>
      <c r="AF598" s="12">
        <f t="shared" si="50"/>
        <v>763962.88</v>
      </c>
      <c r="AG598" s="12">
        <f t="shared" si="50"/>
        <v>1692628</v>
      </c>
      <c r="AH598" s="12">
        <f t="shared" si="50"/>
        <v>1664982</v>
      </c>
      <c r="AI598" s="12">
        <f t="shared" si="50"/>
        <v>1304671</v>
      </c>
      <c r="AJ598" s="12">
        <f t="shared" si="50"/>
        <v>1275832</v>
      </c>
      <c r="AK598" s="12">
        <f t="shared" si="22"/>
        <v>1260499</v>
      </c>
      <c r="AL598" s="12">
        <f t="shared" ref="AL598:AM598" si="51">AL653+AL705</f>
        <v>1193308</v>
      </c>
      <c r="AM598" s="840">
        <f t="shared" si="51"/>
        <v>1204633</v>
      </c>
      <c r="AN598" s="1070">
        <f t="shared" ref="AN598:AO598" si="52">AN653+AN705</f>
        <v>1454454.35</v>
      </c>
      <c r="AO598" s="1070">
        <f t="shared" si="52"/>
        <v>1468059</v>
      </c>
      <c r="AP598" s="1070">
        <f t="shared" ref="AP598:AQ598" si="53">AP653+AP705</f>
        <v>1616305</v>
      </c>
      <c r="AQ598" s="1070">
        <f t="shared" si="53"/>
        <v>1616305</v>
      </c>
      <c r="AR598" s="1044"/>
      <c r="AS598" s="1044"/>
    </row>
    <row r="599" spans="3:45" hidden="1" outlineLevel="1">
      <c r="C599" s="9" t="s">
        <v>16</v>
      </c>
      <c r="D599" s="9"/>
      <c r="E599" s="20" t="s">
        <v>109</v>
      </c>
      <c r="F599" s="12">
        <f t="shared" ref="F599:AJ599" si="54">F654+F706</f>
        <v>0</v>
      </c>
      <c r="G599" s="12">
        <f t="shared" si="54"/>
        <v>0</v>
      </c>
      <c r="H599" s="12">
        <f t="shared" si="54"/>
        <v>0</v>
      </c>
      <c r="I599" s="12">
        <f t="shared" si="54"/>
        <v>0</v>
      </c>
      <c r="J599" s="12">
        <f t="shared" si="54"/>
        <v>0</v>
      </c>
      <c r="K599" s="12">
        <f t="shared" si="54"/>
        <v>0</v>
      </c>
      <c r="L599" s="12">
        <f t="shared" si="54"/>
        <v>0</v>
      </c>
      <c r="M599" s="12">
        <f t="shared" si="54"/>
        <v>0</v>
      </c>
      <c r="N599" s="12">
        <f t="shared" si="54"/>
        <v>0</v>
      </c>
      <c r="O599" s="12">
        <f t="shared" si="54"/>
        <v>0</v>
      </c>
      <c r="P599" s="12">
        <f t="shared" si="54"/>
        <v>0</v>
      </c>
      <c r="Q599" s="12">
        <f t="shared" si="54"/>
        <v>0</v>
      </c>
      <c r="R599" s="12">
        <f t="shared" si="54"/>
        <v>0</v>
      </c>
      <c r="S599" s="12">
        <f t="shared" si="54"/>
        <v>0</v>
      </c>
      <c r="T599" s="12">
        <f t="shared" si="54"/>
        <v>0</v>
      </c>
      <c r="U599" s="12">
        <f t="shared" si="54"/>
        <v>0</v>
      </c>
      <c r="V599" s="12">
        <f t="shared" si="54"/>
        <v>0</v>
      </c>
      <c r="W599" s="12">
        <f t="shared" si="54"/>
        <v>0</v>
      </c>
      <c r="X599" s="12">
        <f t="shared" si="54"/>
        <v>159256</v>
      </c>
      <c r="Y599" s="12">
        <f t="shared" si="54"/>
        <v>156681</v>
      </c>
      <c r="Z599" s="12">
        <f t="shared" si="54"/>
        <v>149555</v>
      </c>
      <c r="AA599" s="12">
        <f t="shared" si="54"/>
        <v>144302</v>
      </c>
      <c r="AB599" s="12">
        <f t="shared" si="54"/>
        <v>167681</v>
      </c>
      <c r="AC599" s="12">
        <f t="shared" si="54"/>
        <v>173694</v>
      </c>
      <c r="AD599" s="12">
        <f t="shared" si="54"/>
        <v>202118</v>
      </c>
      <c r="AE599" s="12">
        <f t="shared" si="54"/>
        <v>192377</v>
      </c>
      <c r="AF599" s="12">
        <f t="shared" si="54"/>
        <v>194428.72999999998</v>
      </c>
      <c r="AG599" s="12">
        <f t="shared" si="54"/>
        <v>484640</v>
      </c>
      <c r="AH599" s="12">
        <f t="shared" si="54"/>
        <v>428628</v>
      </c>
      <c r="AI599" s="12">
        <f t="shared" si="54"/>
        <v>346558</v>
      </c>
      <c r="AJ599" s="12">
        <f t="shared" si="54"/>
        <v>308460</v>
      </c>
      <c r="AK599" s="12">
        <f t="shared" si="22"/>
        <v>293672</v>
      </c>
      <c r="AL599" s="12">
        <f t="shared" ref="AL599:AM599" si="55">AL654+AL706</f>
        <v>276741</v>
      </c>
      <c r="AM599" s="840">
        <f t="shared" si="55"/>
        <v>255661</v>
      </c>
      <c r="AN599" s="1070">
        <f t="shared" ref="AN599:AO599" si="56">AN654+AN706</f>
        <v>288771.62999999989</v>
      </c>
      <c r="AO599" s="1070">
        <f t="shared" si="56"/>
        <v>294688</v>
      </c>
      <c r="AP599" s="1070">
        <f t="shared" ref="AP599:AQ599" si="57">AP654+AP706</f>
        <v>320140</v>
      </c>
      <c r="AQ599" s="1070">
        <f t="shared" si="57"/>
        <v>320140</v>
      </c>
      <c r="AR599" s="1044"/>
      <c r="AS599" s="1044"/>
    </row>
    <row r="600" spans="3:45" hidden="1" outlineLevel="1">
      <c r="C600" s="9" t="s">
        <v>16</v>
      </c>
      <c r="D600" s="9"/>
      <c r="E600" s="20" t="s">
        <v>110</v>
      </c>
      <c r="F600" s="12">
        <f t="shared" ref="F600:AJ600" si="58">F655+F707</f>
        <v>0</v>
      </c>
      <c r="G600" s="12">
        <f t="shared" si="58"/>
        <v>0</v>
      </c>
      <c r="H600" s="12">
        <f t="shared" si="58"/>
        <v>0</v>
      </c>
      <c r="I600" s="12">
        <f t="shared" si="58"/>
        <v>0</v>
      </c>
      <c r="J600" s="12">
        <f t="shared" si="58"/>
        <v>0</v>
      </c>
      <c r="K600" s="12">
        <f t="shared" si="58"/>
        <v>0</v>
      </c>
      <c r="L600" s="12">
        <f t="shared" si="58"/>
        <v>0</v>
      </c>
      <c r="M600" s="12">
        <f t="shared" si="58"/>
        <v>0</v>
      </c>
      <c r="N600" s="12">
        <f t="shared" si="58"/>
        <v>0</v>
      </c>
      <c r="O600" s="12">
        <f t="shared" si="58"/>
        <v>0</v>
      </c>
      <c r="P600" s="12">
        <f t="shared" si="58"/>
        <v>0</v>
      </c>
      <c r="Q600" s="12">
        <f t="shared" si="58"/>
        <v>0</v>
      </c>
      <c r="R600" s="12">
        <f t="shared" si="58"/>
        <v>0</v>
      </c>
      <c r="S600" s="12">
        <f t="shared" si="58"/>
        <v>0</v>
      </c>
      <c r="T600" s="12">
        <f t="shared" si="58"/>
        <v>0</v>
      </c>
      <c r="U600" s="12">
        <f t="shared" si="58"/>
        <v>0</v>
      </c>
      <c r="V600" s="12">
        <f t="shared" si="58"/>
        <v>0</v>
      </c>
      <c r="W600" s="12">
        <f t="shared" si="58"/>
        <v>0</v>
      </c>
      <c r="X600" s="12">
        <f t="shared" si="58"/>
        <v>23532</v>
      </c>
      <c r="Y600" s="12">
        <f t="shared" si="58"/>
        <v>25743</v>
      </c>
      <c r="Z600" s="12">
        <f t="shared" si="58"/>
        <v>21813</v>
      </c>
      <c r="AA600" s="12">
        <f t="shared" si="58"/>
        <v>26593</v>
      </c>
      <c r="AB600" s="12">
        <f t="shared" si="58"/>
        <v>30283</v>
      </c>
      <c r="AC600" s="12">
        <f t="shared" si="58"/>
        <v>27471</v>
      </c>
      <c r="AD600" s="12">
        <f t="shared" si="58"/>
        <v>15717</v>
      </c>
      <c r="AE600" s="12">
        <f t="shared" si="58"/>
        <v>14956</v>
      </c>
      <c r="AF600" s="12">
        <f t="shared" si="58"/>
        <v>12536</v>
      </c>
      <c r="AG600" s="12">
        <f t="shared" si="58"/>
        <v>199250</v>
      </c>
      <c r="AH600" s="12">
        <f t="shared" si="58"/>
        <v>184310</v>
      </c>
      <c r="AI600" s="12">
        <f t="shared" si="58"/>
        <v>170369</v>
      </c>
      <c r="AJ600" s="12">
        <f t="shared" si="58"/>
        <v>111182</v>
      </c>
      <c r="AK600" s="12">
        <f t="shared" si="22"/>
        <v>111002</v>
      </c>
      <c r="AL600" s="12">
        <f t="shared" ref="AL600:AM600" si="59">AL655+AL707</f>
        <v>114059</v>
      </c>
      <c r="AM600" s="840">
        <f t="shared" si="59"/>
        <v>118921</v>
      </c>
      <c r="AN600" s="1070">
        <f t="shared" ref="AN600:AO600" si="60">AN655+AN707</f>
        <v>142641.01000000007</v>
      </c>
      <c r="AO600" s="1070">
        <f t="shared" si="60"/>
        <v>135721</v>
      </c>
      <c r="AP600" s="1070">
        <f t="shared" ref="AP600:AQ600" si="61">AP655+AP707</f>
        <v>155358</v>
      </c>
      <c r="AQ600" s="1070">
        <f t="shared" si="61"/>
        <v>155358</v>
      </c>
      <c r="AR600" s="1044"/>
      <c r="AS600" s="1044"/>
    </row>
    <row r="601" spans="3:45" hidden="1" outlineLevel="1">
      <c r="C601" s="9" t="s">
        <v>16</v>
      </c>
      <c r="D601" s="9"/>
      <c r="E601" s="20" t="s">
        <v>167</v>
      </c>
      <c r="F601" s="12">
        <f t="shared" ref="F601:AJ601" si="62">F656+F708</f>
        <v>0</v>
      </c>
      <c r="G601" s="12">
        <f t="shared" si="62"/>
        <v>0</v>
      </c>
      <c r="H601" s="12">
        <f t="shared" si="62"/>
        <v>0</v>
      </c>
      <c r="I601" s="12">
        <f t="shared" si="62"/>
        <v>0</v>
      </c>
      <c r="J601" s="12">
        <f t="shared" si="62"/>
        <v>0</v>
      </c>
      <c r="K601" s="12">
        <f t="shared" si="62"/>
        <v>0</v>
      </c>
      <c r="L601" s="12">
        <f t="shared" si="62"/>
        <v>0</v>
      </c>
      <c r="M601" s="12">
        <f t="shared" si="62"/>
        <v>0</v>
      </c>
      <c r="N601" s="12">
        <f t="shared" si="62"/>
        <v>0</v>
      </c>
      <c r="O601" s="12">
        <f t="shared" si="62"/>
        <v>0</v>
      </c>
      <c r="P601" s="12">
        <f t="shared" si="62"/>
        <v>0</v>
      </c>
      <c r="Q601" s="12">
        <f t="shared" si="62"/>
        <v>0</v>
      </c>
      <c r="R601" s="12">
        <f t="shared" si="62"/>
        <v>0</v>
      </c>
      <c r="S601" s="12">
        <f t="shared" si="62"/>
        <v>0</v>
      </c>
      <c r="T601" s="12">
        <f t="shared" si="62"/>
        <v>0</v>
      </c>
      <c r="U601" s="12">
        <f t="shared" si="62"/>
        <v>0</v>
      </c>
      <c r="V601" s="12">
        <f t="shared" si="62"/>
        <v>0</v>
      </c>
      <c r="W601" s="12">
        <f t="shared" si="62"/>
        <v>0</v>
      </c>
      <c r="X601" s="12">
        <f t="shared" si="62"/>
        <v>246638</v>
      </c>
      <c r="Y601" s="12">
        <f t="shared" si="62"/>
        <v>280300</v>
      </c>
      <c r="Z601" s="12">
        <f t="shared" si="62"/>
        <v>272211</v>
      </c>
      <c r="AA601" s="12">
        <f t="shared" si="62"/>
        <v>276944</v>
      </c>
      <c r="AB601" s="12">
        <f t="shared" si="62"/>
        <v>275245</v>
      </c>
      <c r="AC601" s="12">
        <f t="shared" si="62"/>
        <v>266096</v>
      </c>
      <c r="AD601" s="12">
        <f t="shared" si="62"/>
        <v>238344</v>
      </c>
      <c r="AE601" s="12">
        <f t="shared" si="62"/>
        <v>230527</v>
      </c>
      <c r="AF601" s="12">
        <f t="shared" si="62"/>
        <v>240119</v>
      </c>
      <c r="AG601" s="12">
        <f t="shared" si="62"/>
        <v>683459</v>
      </c>
      <c r="AH601" s="12">
        <f t="shared" si="62"/>
        <v>643192</v>
      </c>
      <c r="AI601" s="12">
        <f t="shared" si="62"/>
        <v>355660</v>
      </c>
      <c r="AJ601" s="12">
        <f t="shared" si="62"/>
        <v>359949</v>
      </c>
      <c r="AK601" s="12">
        <f t="shared" si="22"/>
        <v>280476</v>
      </c>
      <c r="AL601" s="12">
        <f t="shared" ref="AL601:AM601" si="63">AL656+AL708</f>
        <v>311419</v>
      </c>
      <c r="AM601" s="840">
        <f t="shared" si="63"/>
        <v>297824</v>
      </c>
      <c r="AN601" s="1070">
        <f t="shared" ref="AN601:AO601" si="64">AN656+AN708</f>
        <v>307886.46999999997</v>
      </c>
      <c r="AO601" s="1070">
        <f t="shared" si="64"/>
        <v>328226</v>
      </c>
      <c r="AP601" s="1070">
        <f t="shared" ref="AP601:AQ601" si="65">AP656+AP708</f>
        <v>362795</v>
      </c>
      <c r="AQ601" s="1070">
        <f t="shared" si="65"/>
        <v>362795</v>
      </c>
      <c r="AR601" s="1044"/>
      <c r="AS601" s="1044"/>
    </row>
    <row r="602" spans="3:45" hidden="1" outlineLevel="1">
      <c r="C602" s="9" t="s">
        <v>16</v>
      </c>
      <c r="D602" s="9"/>
      <c r="E602" s="20" t="s">
        <v>112</v>
      </c>
      <c r="F602" s="12">
        <f t="shared" ref="F602:AJ602" si="66">F657+F709</f>
        <v>0</v>
      </c>
      <c r="G602" s="12">
        <f t="shared" si="66"/>
        <v>0</v>
      </c>
      <c r="H602" s="12">
        <f t="shared" si="66"/>
        <v>0</v>
      </c>
      <c r="I602" s="12">
        <f t="shared" si="66"/>
        <v>0</v>
      </c>
      <c r="J602" s="12">
        <f t="shared" si="66"/>
        <v>0</v>
      </c>
      <c r="K602" s="12">
        <f t="shared" si="66"/>
        <v>0</v>
      </c>
      <c r="L602" s="12">
        <f t="shared" si="66"/>
        <v>0</v>
      </c>
      <c r="M602" s="12">
        <f t="shared" si="66"/>
        <v>0</v>
      </c>
      <c r="N602" s="12">
        <f t="shared" si="66"/>
        <v>0</v>
      </c>
      <c r="O602" s="12">
        <f t="shared" si="66"/>
        <v>0</v>
      </c>
      <c r="P602" s="12">
        <f t="shared" si="66"/>
        <v>0</v>
      </c>
      <c r="Q602" s="12">
        <f t="shared" si="66"/>
        <v>0</v>
      </c>
      <c r="R602" s="12">
        <f t="shared" si="66"/>
        <v>0</v>
      </c>
      <c r="S602" s="12">
        <f t="shared" si="66"/>
        <v>0</v>
      </c>
      <c r="T602" s="12">
        <f t="shared" si="66"/>
        <v>0</v>
      </c>
      <c r="U602" s="12">
        <f t="shared" si="66"/>
        <v>0</v>
      </c>
      <c r="V602" s="12">
        <f t="shared" si="66"/>
        <v>0</v>
      </c>
      <c r="W602" s="12">
        <f t="shared" si="66"/>
        <v>0</v>
      </c>
      <c r="X602" s="12">
        <f t="shared" si="66"/>
        <v>459714</v>
      </c>
      <c r="Y602" s="12">
        <f t="shared" si="66"/>
        <v>454433</v>
      </c>
      <c r="Z602" s="12">
        <f t="shared" si="66"/>
        <v>434189</v>
      </c>
      <c r="AA602" s="12">
        <f t="shared" si="66"/>
        <v>415963</v>
      </c>
      <c r="AB602" s="12">
        <f t="shared" si="66"/>
        <v>417775</v>
      </c>
      <c r="AC602" s="12">
        <f t="shared" si="66"/>
        <v>462154</v>
      </c>
      <c r="AD602" s="12">
        <f t="shared" si="66"/>
        <v>457498</v>
      </c>
      <c r="AE602" s="12">
        <f t="shared" si="66"/>
        <v>437156</v>
      </c>
      <c r="AF602" s="12">
        <f t="shared" si="66"/>
        <v>442567.24</v>
      </c>
      <c r="AG602" s="12">
        <f t="shared" si="66"/>
        <v>1234181</v>
      </c>
      <c r="AH602" s="12">
        <f t="shared" si="66"/>
        <v>1099192</v>
      </c>
      <c r="AI602" s="12">
        <f t="shared" si="66"/>
        <v>324714</v>
      </c>
      <c r="AJ602" s="12">
        <f t="shared" si="66"/>
        <v>756132</v>
      </c>
      <c r="AK602" s="12">
        <f t="shared" si="22"/>
        <v>704543</v>
      </c>
      <c r="AL602" s="12">
        <f t="shared" ref="AL602:AM602" si="67">AL657+AL709</f>
        <v>705089</v>
      </c>
      <c r="AM602" s="840">
        <f t="shared" si="67"/>
        <v>720209</v>
      </c>
      <c r="AN602" s="1070">
        <f t="shared" ref="AN602:AO602" si="68">AN657+AN709</f>
        <v>845604.54</v>
      </c>
      <c r="AO602" s="1070">
        <f t="shared" si="68"/>
        <v>904964</v>
      </c>
      <c r="AP602" s="1070">
        <f t="shared" ref="AP602:AQ602" si="69">AP657+AP709</f>
        <v>998833</v>
      </c>
      <c r="AQ602" s="1070">
        <f t="shared" si="69"/>
        <v>998833</v>
      </c>
      <c r="AR602" s="1044"/>
      <c r="AS602" s="1044"/>
    </row>
    <row r="603" spans="3:45" hidden="1" outlineLevel="1">
      <c r="C603" s="9" t="s">
        <v>16</v>
      </c>
      <c r="D603" s="9"/>
      <c r="E603" s="20" t="s">
        <v>168</v>
      </c>
      <c r="F603" s="12">
        <f t="shared" ref="F603:AJ603" si="70">F658+F710</f>
        <v>0</v>
      </c>
      <c r="G603" s="12">
        <f t="shared" si="70"/>
        <v>0</v>
      </c>
      <c r="H603" s="12">
        <f t="shared" si="70"/>
        <v>0</v>
      </c>
      <c r="I603" s="12">
        <f t="shared" si="70"/>
        <v>0</v>
      </c>
      <c r="J603" s="12">
        <f t="shared" si="70"/>
        <v>0</v>
      </c>
      <c r="K603" s="12">
        <f t="shared" si="70"/>
        <v>0</v>
      </c>
      <c r="L603" s="12">
        <f t="shared" si="70"/>
        <v>0</v>
      </c>
      <c r="M603" s="12">
        <f t="shared" si="70"/>
        <v>0</v>
      </c>
      <c r="N603" s="12">
        <f t="shared" si="70"/>
        <v>0</v>
      </c>
      <c r="O603" s="12">
        <f t="shared" si="70"/>
        <v>0</v>
      </c>
      <c r="P603" s="12">
        <f t="shared" si="70"/>
        <v>0</v>
      </c>
      <c r="Q603" s="12">
        <f t="shared" si="70"/>
        <v>0</v>
      </c>
      <c r="R603" s="12">
        <f t="shared" si="70"/>
        <v>0</v>
      </c>
      <c r="S603" s="12">
        <f t="shared" si="70"/>
        <v>0</v>
      </c>
      <c r="T603" s="12">
        <f t="shared" si="70"/>
        <v>0</v>
      </c>
      <c r="U603" s="12">
        <f t="shared" si="70"/>
        <v>0</v>
      </c>
      <c r="V603" s="12">
        <f t="shared" si="70"/>
        <v>0</v>
      </c>
      <c r="W603" s="12">
        <f t="shared" si="70"/>
        <v>0</v>
      </c>
      <c r="X603" s="12">
        <f t="shared" si="70"/>
        <v>888724</v>
      </c>
      <c r="Y603" s="12">
        <f t="shared" si="70"/>
        <v>914630</v>
      </c>
      <c r="Z603" s="12">
        <f t="shared" si="70"/>
        <v>913693</v>
      </c>
      <c r="AA603" s="12">
        <f t="shared" si="70"/>
        <v>947069</v>
      </c>
      <c r="AB603" s="12">
        <f t="shared" si="70"/>
        <v>1039099</v>
      </c>
      <c r="AC603" s="12">
        <f t="shared" si="70"/>
        <v>1072311</v>
      </c>
      <c r="AD603" s="12">
        <f t="shared" si="70"/>
        <v>829244</v>
      </c>
      <c r="AE603" s="12">
        <f t="shared" si="70"/>
        <v>1243720</v>
      </c>
      <c r="AF603" s="12">
        <f t="shared" si="70"/>
        <v>1328224</v>
      </c>
      <c r="AG603" s="12">
        <f t="shared" si="70"/>
        <v>3394965</v>
      </c>
      <c r="AH603" s="12">
        <f t="shared" si="70"/>
        <v>3210743</v>
      </c>
      <c r="AI603" s="12">
        <f t="shared" si="70"/>
        <v>2054343</v>
      </c>
      <c r="AJ603" s="12">
        <f t="shared" si="70"/>
        <v>2546677</v>
      </c>
      <c r="AK603" s="12">
        <f t="shared" si="22"/>
        <v>2454023</v>
      </c>
      <c r="AL603" s="12">
        <f t="shared" ref="AL603:AM603" si="71">AL658+AL710</f>
        <v>2877473</v>
      </c>
      <c r="AM603" s="840">
        <f t="shared" si="71"/>
        <v>3131219</v>
      </c>
      <c r="AN603" s="1070">
        <f t="shared" ref="AN603:AO603" si="72">AN658+AN710</f>
        <v>3890143.59</v>
      </c>
      <c r="AO603" s="1070">
        <f t="shared" si="72"/>
        <v>4233950</v>
      </c>
      <c r="AP603" s="1070">
        <f t="shared" ref="AP603:AQ603" si="73">AP658+AP710</f>
        <v>4595836</v>
      </c>
      <c r="AQ603" s="1070">
        <f t="shared" si="73"/>
        <v>4595836</v>
      </c>
      <c r="AR603" s="1044"/>
      <c r="AS603" s="1044"/>
    </row>
    <row r="604" spans="3:45" hidden="1" outlineLevel="1">
      <c r="C604" s="9" t="s">
        <v>16</v>
      </c>
      <c r="D604" s="9"/>
      <c r="E604" s="20" t="s">
        <v>169</v>
      </c>
      <c r="F604" s="12">
        <f t="shared" ref="F604:AJ604" si="74">F659+F711</f>
        <v>0</v>
      </c>
      <c r="G604" s="12">
        <f t="shared" si="74"/>
        <v>0</v>
      </c>
      <c r="H604" s="12">
        <f t="shared" si="74"/>
        <v>0</v>
      </c>
      <c r="I604" s="12">
        <f t="shared" si="74"/>
        <v>0</v>
      </c>
      <c r="J604" s="12">
        <f t="shared" si="74"/>
        <v>0</v>
      </c>
      <c r="K604" s="12">
        <f t="shared" si="74"/>
        <v>0</v>
      </c>
      <c r="L604" s="12">
        <f t="shared" si="74"/>
        <v>0</v>
      </c>
      <c r="M604" s="12">
        <f t="shared" si="74"/>
        <v>0</v>
      </c>
      <c r="N604" s="12">
        <f t="shared" si="74"/>
        <v>0</v>
      </c>
      <c r="O604" s="12">
        <f t="shared" si="74"/>
        <v>0</v>
      </c>
      <c r="P604" s="12">
        <f t="shared" si="74"/>
        <v>0</v>
      </c>
      <c r="Q604" s="12">
        <f t="shared" si="74"/>
        <v>0</v>
      </c>
      <c r="R604" s="12">
        <f t="shared" si="74"/>
        <v>0</v>
      </c>
      <c r="S604" s="12">
        <f t="shared" si="74"/>
        <v>0</v>
      </c>
      <c r="T604" s="12">
        <f t="shared" si="74"/>
        <v>0</v>
      </c>
      <c r="U604" s="12">
        <f t="shared" si="74"/>
        <v>0</v>
      </c>
      <c r="V604" s="12">
        <f t="shared" si="74"/>
        <v>0</v>
      </c>
      <c r="W604" s="12">
        <f t="shared" si="74"/>
        <v>0</v>
      </c>
      <c r="X604" s="12">
        <f t="shared" si="74"/>
        <v>4276856</v>
      </c>
      <c r="Y604" s="12">
        <f t="shared" si="74"/>
        <v>4328317</v>
      </c>
      <c r="Z604" s="12">
        <f t="shared" si="74"/>
        <v>4297448</v>
      </c>
      <c r="AA604" s="12">
        <f t="shared" si="74"/>
        <v>4391266</v>
      </c>
      <c r="AB604" s="12">
        <f t="shared" si="74"/>
        <v>4488220</v>
      </c>
      <c r="AC604" s="12">
        <f t="shared" si="74"/>
        <v>4572198</v>
      </c>
      <c r="AD604" s="12">
        <f t="shared" si="74"/>
        <v>4722294</v>
      </c>
      <c r="AE604" s="12">
        <f t="shared" si="74"/>
        <v>4766406</v>
      </c>
      <c r="AF604" s="12">
        <f t="shared" si="74"/>
        <v>4799611</v>
      </c>
      <c r="AG604" s="12">
        <f t="shared" si="74"/>
        <v>11153097</v>
      </c>
      <c r="AH604" s="12">
        <f t="shared" si="74"/>
        <v>6520909</v>
      </c>
      <c r="AI604" s="12">
        <f t="shared" si="74"/>
        <v>10439349</v>
      </c>
      <c r="AJ604" s="12">
        <f t="shared" si="74"/>
        <v>8076487</v>
      </c>
      <c r="AK604" s="12">
        <f t="shared" si="22"/>
        <v>7881881</v>
      </c>
      <c r="AL604" s="12">
        <f t="shared" ref="AL604:AM604" si="75">AL659+AL711</f>
        <v>9689847</v>
      </c>
      <c r="AM604" s="840">
        <f t="shared" si="75"/>
        <v>8903959</v>
      </c>
      <c r="AN604" s="1070">
        <f t="shared" ref="AN604:AO604" si="76">AN659+AN711</f>
        <v>10902758.979999999</v>
      </c>
      <c r="AO604" s="1070">
        <f t="shared" si="76"/>
        <v>11191181</v>
      </c>
      <c r="AP604" s="1070">
        <f t="shared" ref="AP604:AQ604" si="77">AP659+AP711</f>
        <v>12210356</v>
      </c>
      <c r="AQ604" s="1070">
        <f t="shared" si="77"/>
        <v>12210356</v>
      </c>
      <c r="AR604" s="1044"/>
      <c r="AS604" s="1044"/>
    </row>
    <row r="605" spans="3:45" hidden="1" outlineLevel="1">
      <c r="C605" s="9" t="s">
        <v>16</v>
      </c>
      <c r="D605" s="9"/>
      <c r="E605" s="20" t="s">
        <v>114</v>
      </c>
      <c r="F605" s="12">
        <f t="shared" ref="F605:AJ605" si="78">F660+F712</f>
        <v>0</v>
      </c>
      <c r="G605" s="12">
        <f t="shared" si="78"/>
        <v>0</v>
      </c>
      <c r="H605" s="12">
        <f t="shared" si="78"/>
        <v>0</v>
      </c>
      <c r="I605" s="12">
        <f t="shared" si="78"/>
        <v>0</v>
      </c>
      <c r="J605" s="12">
        <f t="shared" si="78"/>
        <v>0</v>
      </c>
      <c r="K605" s="12">
        <f t="shared" si="78"/>
        <v>0</v>
      </c>
      <c r="L605" s="12">
        <f t="shared" si="78"/>
        <v>0</v>
      </c>
      <c r="M605" s="12">
        <f t="shared" si="78"/>
        <v>0</v>
      </c>
      <c r="N605" s="12">
        <f t="shared" si="78"/>
        <v>0</v>
      </c>
      <c r="O605" s="12">
        <f t="shared" si="78"/>
        <v>0</v>
      </c>
      <c r="P605" s="12">
        <f t="shared" si="78"/>
        <v>0</v>
      </c>
      <c r="Q605" s="12">
        <f t="shared" si="78"/>
        <v>0</v>
      </c>
      <c r="R605" s="12">
        <f t="shared" si="78"/>
        <v>0</v>
      </c>
      <c r="S605" s="12">
        <f t="shared" si="78"/>
        <v>0</v>
      </c>
      <c r="T605" s="12">
        <f t="shared" si="78"/>
        <v>0</v>
      </c>
      <c r="U605" s="12">
        <f t="shared" si="78"/>
        <v>0</v>
      </c>
      <c r="V605" s="12">
        <f t="shared" si="78"/>
        <v>0</v>
      </c>
      <c r="W605" s="12">
        <f t="shared" si="78"/>
        <v>0</v>
      </c>
      <c r="X605" s="12">
        <f t="shared" si="78"/>
        <v>1264584</v>
      </c>
      <c r="Y605" s="12">
        <f t="shared" si="78"/>
        <v>1262167.55</v>
      </c>
      <c r="Z605" s="12">
        <f t="shared" si="78"/>
        <v>1236144</v>
      </c>
      <c r="AA605" s="12">
        <f t="shared" si="78"/>
        <v>1267043</v>
      </c>
      <c r="AB605" s="12">
        <f t="shared" si="78"/>
        <v>1311136</v>
      </c>
      <c r="AC605" s="12">
        <f t="shared" si="78"/>
        <v>1300126</v>
      </c>
      <c r="AD605" s="12">
        <f t="shared" si="78"/>
        <v>1311843</v>
      </c>
      <c r="AE605" s="12">
        <f t="shared" si="78"/>
        <v>1311843</v>
      </c>
      <c r="AF605" s="12">
        <f t="shared" si="78"/>
        <v>944540</v>
      </c>
      <c r="AG605" s="12">
        <f t="shared" si="78"/>
        <v>2443752</v>
      </c>
      <c r="AH605" s="12">
        <f t="shared" si="78"/>
        <v>2022467</v>
      </c>
      <c r="AI605" s="12">
        <f t="shared" si="78"/>
        <v>981157</v>
      </c>
      <c r="AJ605" s="12">
        <f t="shared" si="78"/>
        <v>1662733</v>
      </c>
      <c r="AK605" s="12">
        <f t="shared" si="22"/>
        <v>1528996</v>
      </c>
      <c r="AL605" s="12">
        <f t="shared" ref="AL605:AM605" si="79">AL660+AL712</f>
        <v>1779752</v>
      </c>
      <c r="AM605" s="840">
        <f t="shared" si="79"/>
        <v>2079646</v>
      </c>
      <c r="AN605" s="1070">
        <f t="shared" ref="AN605:AO605" si="80">AN660+AN712</f>
        <v>2443364.04</v>
      </c>
      <c r="AO605" s="1070">
        <f t="shared" si="80"/>
        <v>2395717</v>
      </c>
      <c r="AP605" s="1070">
        <f t="shared" ref="AP605:AQ605" si="81">AP660+AP712</f>
        <v>2596287</v>
      </c>
      <c r="AQ605" s="1070">
        <f t="shared" si="81"/>
        <v>2596287</v>
      </c>
      <c r="AR605" s="1044"/>
      <c r="AS605" s="1044"/>
    </row>
    <row r="606" spans="3:45" hidden="1" outlineLevel="1">
      <c r="C606" s="9" t="s">
        <v>16</v>
      </c>
      <c r="D606" s="9"/>
      <c r="E606" s="20" t="s">
        <v>170</v>
      </c>
      <c r="F606" s="12">
        <f t="shared" ref="F606:AJ606" si="82">F661+F713</f>
        <v>0</v>
      </c>
      <c r="G606" s="12">
        <f t="shared" si="82"/>
        <v>0</v>
      </c>
      <c r="H606" s="12">
        <f t="shared" si="82"/>
        <v>0</v>
      </c>
      <c r="I606" s="12">
        <f t="shared" si="82"/>
        <v>0</v>
      </c>
      <c r="J606" s="12">
        <f t="shared" si="82"/>
        <v>0</v>
      </c>
      <c r="K606" s="12">
        <f t="shared" si="82"/>
        <v>0</v>
      </c>
      <c r="L606" s="12">
        <f t="shared" si="82"/>
        <v>0</v>
      </c>
      <c r="M606" s="12">
        <f t="shared" si="82"/>
        <v>0</v>
      </c>
      <c r="N606" s="12">
        <f t="shared" si="82"/>
        <v>0</v>
      </c>
      <c r="O606" s="12">
        <f t="shared" si="82"/>
        <v>0</v>
      </c>
      <c r="P606" s="12">
        <f t="shared" si="82"/>
        <v>0</v>
      </c>
      <c r="Q606" s="12">
        <f t="shared" si="82"/>
        <v>0</v>
      </c>
      <c r="R606" s="12">
        <f t="shared" si="82"/>
        <v>0</v>
      </c>
      <c r="S606" s="12">
        <f t="shared" si="82"/>
        <v>0</v>
      </c>
      <c r="T606" s="12">
        <f t="shared" si="82"/>
        <v>0</v>
      </c>
      <c r="U606" s="12">
        <f t="shared" si="82"/>
        <v>0</v>
      </c>
      <c r="V606" s="12">
        <f t="shared" si="82"/>
        <v>0</v>
      </c>
      <c r="W606" s="12">
        <f t="shared" si="82"/>
        <v>0</v>
      </c>
      <c r="X606" s="12">
        <f t="shared" si="82"/>
        <v>1503022</v>
      </c>
      <c r="Y606" s="12">
        <f t="shared" si="82"/>
        <v>1472316</v>
      </c>
      <c r="Z606" s="12">
        <f t="shared" si="82"/>
        <v>1417845</v>
      </c>
      <c r="AA606" s="12">
        <f t="shared" si="82"/>
        <v>1398627</v>
      </c>
      <c r="AB606" s="12">
        <f t="shared" si="82"/>
        <v>1417340</v>
      </c>
      <c r="AC606" s="12">
        <f t="shared" si="82"/>
        <v>1482034</v>
      </c>
      <c r="AD606" s="12">
        <f t="shared" si="82"/>
        <v>1477449</v>
      </c>
      <c r="AE606" s="12">
        <f t="shared" si="82"/>
        <v>1498609</v>
      </c>
      <c r="AF606" s="12">
        <f t="shared" si="82"/>
        <v>1510781</v>
      </c>
      <c r="AG606" s="12">
        <f t="shared" si="82"/>
        <v>4301757</v>
      </c>
      <c r="AH606" s="12">
        <f t="shared" si="82"/>
        <v>3953914</v>
      </c>
      <c r="AI606" s="12">
        <f t="shared" si="82"/>
        <v>2296322</v>
      </c>
      <c r="AJ606" s="12">
        <f t="shared" si="82"/>
        <v>2943018</v>
      </c>
      <c r="AK606" s="12">
        <f t="shared" si="22"/>
        <v>2728698</v>
      </c>
      <c r="AL606" s="12">
        <f t="shared" ref="AL606:AM606" si="83">AL661+AL713</f>
        <v>2722348</v>
      </c>
      <c r="AM606" s="840">
        <f t="shared" si="83"/>
        <v>2990579</v>
      </c>
      <c r="AN606" s="1070">
        <f t="shared" ref="AN606:AO606" si="84">AN661+AN713</f>
        <v>3551523</v>
      </c>
      <c r="AO606" s="1070">
        <f t="shared" si="84"/>
        <v>3614602</v>
      </c>
      <c r="AP606" s="1070">
        <f t="shared" ref="AP606:AQ606" si="85">AP661+AP713</f>
        <v>3969334</v>
      </c>
      <c r="AQ606" s="1070">
        <f t="shared" si="85"/>
        <v>3969334</v>
      </c>
      <c r="AR606" s="1044"/>
      <c r="AS606" s="1044"/>
    </row>
    <row r="607" spans="3:45" hidden="1" outlineLevel="1">
      <c r="C607" s="9" t="s">
        <v>16</v>
      </c>
      <c r="D607" s="9"/>
      <c r="E607" s="20" t="s">
        <v>116</v>
      </c>
      <c r="F607" s="12">
        <f t="shared" ref="F607:AK622" si="86">F662+F714</f>
        <v>0</v>
      </c>
      <c r="G607" s="12">
        <f t="shared" si="86"/>
        <v>0</v>
      </c>
      <c r="H607" s="12">
        <f t="shared" si="86"/>
        <v>0</v>
      </c>
      <c r="I607" s="12">
        <f t="shared" si="86"/>
        <v>0</v>
      </c>
      <c r="J607" s="12">
        <f t="shared" si="86"/>
        <v>0</v>
      </c>
      <c r="K607" s="12">
        <f t="shared" si="86"/>
        <v>0</v>
      </c>
      <c r="L607" s="12">
        <f t="shared" si="86"/>
        <v>0</v>
      </c>
      <c r="M607" s="12">
        <f t="shared" si="86"/>
        <v>0</v>
      </c>
      <c r="N607" s="12">
        <f t="shared" si="86"/>
        <v>0</v>
      </c>
      <c r="O607" s="12">
        <f t="shared" si="86"/>
        <v>0</v>
      </c>
      <c r="P607" s="12">
        <f t="shared" si="86"/>
        <v>0</v>
      </c>
      <c r="Q607" s="12">
        <f t="shared" si="86"/>
        <v>0</v>
      </c>
      <c r="R607" s="12">
        <f t="shared" si="86"/>
        <v>0</v>
      </c>
      <c r="S607" s="12">
        <f t="shared" si="86"/>
        <v>0</v>
      </c>
      <c r="T607" s="12">
        <f t="shared" si="86"/>
        <v>0</v>
      </c>
      <c r="U607" s="12">
        <f t="shared" si="86"/>
        <v>0</v>
      </c>
      <c r="V607" s="12">
        <f t="shared" si="86"/>
        <v>0</v>
      </c>
      <c r="W607" s="12">
        <f t="shared" si="86"/>
        <v>0</v>
      </c>
      <c r="X607" s="12">
        <f t="shared" si="86"/>
        <v>53404</v>
      </c>
      <c r="Y607" s="12">
        <f t="shared" si="86"/>
        <v>47767</v>
      </c>
      <c r="Z607" s="12">
        <f t="shared" si="86"/>
        <v>45611</v>
      </c>
      <c r="AA607" s="12">
        <f t="shared" si="86"/>
        <v>54930</v>
      </c>
      <c r="AB607" s="12">
        <f t="shared" si="86"/>
        <v>53657</v>
      </c>
      <c r="AC607" s="12">
        <f t="shared" si="86"/>
        <v>55237</v>
      </c>
      <c r="AD607" s="12">
        <f t="shared" si="86"/>
        <v>54083</v>
      </c>
      <c r="AE607" s="12">
        <f t="shared" si="86"/>
        <v>45130</v>
      </c>
      <c r="AF607" s="12">
        <f t="shared" si="86"/>
        <v>42308</v>
      </c>
      <c r="AG607" s="12">
        <f t="shared" si="86"/>
        <v>202981</v>
      </c>
      <c r="AH607" s="12">
        <f t="shared" si="86"/>
        <v>161632</v>
      </c>
      <c r="AI607" s="12">
        <f t="shared" si="86"/>
        <v>124884</v>
      </c>
      <c r="AJ607" s="12">
        <f t="shared" si="86"/>
        <v>89482</v>
      </c>
      <c r="AK607" s="12">
        <f t="shared" si="86"/>
        <v>108823</v>
      </c>
      <c r="AL607" s="12">
        <f t="shared" ref="AL607:AM607" si="87">AL662+AL714</f>
        <v>91712</v>
      </c>
      <c r="AM607" s="840">
        <f t="shared" si="87"/>
        <v>62759</v>
      </c>
      <c r="AN607" s="1070">
        <f t="shared" ref="AN607:AO607" si="88">AN662+AN714</f>
        <v>138124.10999999999</v>
      </c>
      <c r="AO607" s="1070">
        <f t="shared" si="88"/>
        <v>182509</v>
      </c>
      <c r="AP607" s="1070">
        <f t="shared" ref="AP607:AQ607" si="89">AP662+AP714</f>
        <v>204416</v>
      </c>
      <c r="AQ607" s="1070">
        <f t="shared" si="89"/>
        <v>204416</v>
      </c>
      <c r="AR607" s="1044"/>
      <c r="AS607" s="1044"/>
    </row>
    <row r="608" spans="3:45" hidden="1" outlineLevel="1">
      <c r="C608" s="9" t="s">
        <v>16</v>
      </c>
      <c r="D608" s="9"/>
      <c r="E608" s="20" t="s">
        <v>117</v>
      </c>
      <c r="F608" s="12">
        <f t="shared" ref="F608:AJ608" si="90">F663+F715</f>
        <v>0</v>
      </c>
      <c r="G608" s="12">
        <f t="shared" si="90"/>
        <v>0</v>
      </c>
      <c r="H608" s="12">
        <f t="shared" si="90"/>
        <v>0</v>
      </c>
      <c r="I608" s="12">
        <f t="shared" si="90"/>
        <v>0</v>
      </c>
      <c r="J608" s="12">
        <f t="shared" si="90"/>
        <v>0</v>
      </c>
      <c r="K608" s="12">
        <f t="shared" si="90"/>
        <v>0</v>
      </c>
      <c r="L608" s="12">
        <f t="shared" si="90"/>
        <v>0</v>
      </c>
      <c r="M608" s="12">
        <f t="shared" si="90"/>
        <v>0</v>
      </c>
      <c r="N608" s="12">
        <f t="shared" si="90"/>
        <v>0</v>
      </c>
      <c r="O608" s="12">
        <f t="shared" si="90"/>
        <v>0</v>
      </c>
      <c r="P608" s="12">
        <f t="shared" si="90"/>
        <v>0</v>
      </c>
      <c r="Q608" s="12">
        <f t="shared" si="90"/>
        <v>0</v>
      </c>
      <c r="R608" s="12">
        <f t="shared" si="90"/>
        <v>0</v>
      </c>
      <c r="S608" s="12">
        <f t="shared" si="90"/>
        <v>0</v>
      </c>
      <c r="T608" s="12">
        <f t="shared" si="90"/>
        <v>0</v>
      </c>
      <c r="U608" s="12">
        <f t="shared" si="90"/>
        <v>0</v>
      </c>
      <c r="V608" s="12">
        <f t="shared" si="90"/>
        <v>0</v>
      </c>
      <c r="W608" s="12">
        <f t="shared" si="90"/>
        <v>0</v>
      </c>
      <c r="X608" s="12">
        <f t="shared" si="90"/>
        <v>230451</v>
      </c>
      <c r="Y608" s="12">
        <f t="shared" si="90"/>
        <v>230449.72</v>
      </c>
      <c r="Z608" s="12">
        <f t="shared" si="90"/>
        <v>235952</v>
      </c>
      <c r="AA608" s="12">
        <f t="shared" si="90"/>
        <v>186267</v>
      </c>
      <c r="AB608" s="12">
        <f t="shared" si="90"/>
        <v>204827</v>
      </c>
      <c r="AC608" s="12">
        <f t="shared" si="90"/>
        <v>195057</v>
      </c>
      <c r="AD608" s="12">
        <f t="shared" si="90"/>
        <v>212876</v>
      </c>
      <c r="AE608" s="12">
        <f t="shared" si="90"/>
        <v>197840</v>
      </c>
      <c r="AF608" s="12">
        <f t="shared" si="90"/>
        <v>166660</v>
      </c>
      <c r="AG608" s="12">
        <f t="shared" si="90"/>
        <v>496892</v>
      </c>
      <c r="AH608" s="12">
        <f t="shared" si="90"/>
        <v>432202</v>
      </c>
      <c r="AI608" s="12">
        <f t="shared" si="90"/>
        <v>231435</v>
      </c>
      <c r="AJ608" s="12">
        <f t="shared" si="90"/>
        <v>336995</v>
      </c>
      <c r="AK608" s="12">
        <f t="shared" si="86"/>
        <v>319712</v>
      </c>
      <c r="AL608" s="12">
        <f t="shared" ref="AL608:AM608" si="91">AL663+AL715</f>
        <v>321223</v>
      </c>
      <c r="AM608" s="840">
        <f t="shared" si="91"/>
        <v>335598</v>
      </c>
      <c r="AN608" s="1070">
        <f t="shared" ref="AN608:AO608" si="92">AN663+AN715</f>
        <v>462130.67999999982</v>
      </c>
      <c r="AO608" s="1070">
        <f t="shared" si="92"/>
        <v>490484</v>
      </c>
      <c r="AP608" s="1070">
        <f t="shared" ref="AP608:AQ608" si="93">AP663+AP715</f>
        <v>541426</v>
      </c>
      <c r="AQ608" s="1070">
        <f t="shared" si="93"/>
        <v>541426</v>
      </c>
      <c r="AR608" s="1044"/>
      <c r="AS608" s="1044"/>
    </row>
    <row r="609" spans="3:45" hidden="1" outlineLevel="1">
      <c r="C609" s="9" t="s">
        <v>16</v>
      </c>
      <c r="D609" s="9"/>
      <c r="E609" s="20" t="s">
        <v>118</v>
      </c>
      <c r="F609" s="12">
        <f t="shared" ref="F609:AJ609" si="94">F664+F716</f>
        <v>0</v>
      </c>
      <c r="G609" s="12">
        <f t="shared" si="94"/>
        <v>0</v>
      </c>
      <c r="H609" s="12">
        <f t="shared" si="94"/>
        <v>0</v>
      </c>
      <c r="I609" s="12">
        <f t="shared" si="94"/>
        <v>0</v>
      </c>
      <c r="J609" s="12">
        <f t="shared" si="94"/>
        <v>0</v>
      </c>
      <c r="K609" s="12">
        <f t="shared" si="94"/>
        <v>0</v>
      </c>
      <c r="L609" s="12">
        <f t="shared" si="94"/>
        <v>0</v>
      </c>
      <c r="M609" s="12">
        <f t="shared" si="94"/>
        <v>0</v>
      </c>
      <c r="N609" s="12">
        <f t="shared" si="94"/>
        <v>0</v>
      </c>
      <c r="O609" s="12">
        <f t="shared" si="94"/>
        <v>0</v>
      </c>
      <c r="P609" s="12">
        <f t="shared" si="94"/>
        <v>0</v>
      </c>
      <c r="Q609" s="12">
        <f t="shared" si="94"/>
        <v>0</v>
      </c>
      <c r="R609" s="12">
        <f t="shared" si="94"/>
        <v>0</v>
      </c>
      <c r="S609" s="12">
        <f t="shared" si="94"/>
        <v>0</v>
      </c>
      <c r="T609" s="12">
        <f t="shared" si="94"/>
        <v>0</v>
      </c>
      <c r="U609" s="12">
        <f t="shared" si="94"/>
        <v>0</v>
      </c>
      <c r="V609" s="12">
        <f t="shared" si="94"/>
        <v>0</v>
      </c>
      <c r="W609" s="12">
        <f t="shared" si="94"/>
        <v>0</v>
      </c>
      <c r="X609" s="12">
        <f t="shared" si="94"/>
        <v>258206</v>
      </c>
      <c r="Y609" s="12">
        <f t="shared" si="94"/>
        <v>274569</v>
      </c>
      <c r="Z609" s="12">
        <f t="shared" si="94"/>
        <v>254523</v>
      </c>
      <c r="AA609" s="12">
        <f t="shared" si="94"/>
        <v>261647</v>
      </c>
      <c r="AB609" s="12">
        <f t="shared" si="94"/>
        <v>256647</v>
      </c>
      <c r="AC609" s="12">
        <f t="shared" si="94"/>
        <v>264556</v>
      </c>
      <c r="AD609" s="12">
        <f t="shared" si="94"/>
        <v>285708</v>
      </c>
      <c r="AE609" s="12">
        <f t="shared" si="94"/>
        <v>323180</v>
      </c>
      <c r="AF609" s="12">
        <f t="shared" si="94"/>
        <v>326275</v>
      </c>
      <c r="AG609" s="12">
        <f t="shared" si="94"/>
        <v>697012</v>
      </c>
      <c r="AH609" s="12">
        <f t="shared" si="94"/>
        <v>628134</v>
      </c>
      <c r="AI609" s="12">
        <f t="shared" si="94"/>
        <v>492399</v>
      </c>
      <c r="AJ609" s="12">
        <f t="shared" si="94"/>
        <v>557573</v>
      </c>
      <c r="AK609" s="12">
        <f t="shared" si="86"/>
        <v>481176</v>
      </c>
      <c r="AL609" s="12">
        <f t="shared" ref="AL609:AM609" si="95">AL664+AL716</f>
        <v>405749</v>
      </c>
      <c r="AM609" s="840">
        <f t="shared" si="95"/>
        <v>430566</v>
      </c>
      <c r="AN609" s="1070">
        <f t="shared" ref="AN609:AO609" si="96">AN664+AN716</f>
        <v>537955.77</v>
      </c>
      <c r="AO609" s="1070">
        <f t="shared" si="96"/>
        <v>660770</v>
      </c>
      <c r="AP609" s="1070">
        <f t="shared" ref="AP609:AQ609" si="97">AP664+AP716</f>
        <v>715799</v>
      </c>
      <c r="AQ609" s="1070">
        <f t="shared" si="97"/>
        <v>715799</v>
      </c>
      <c r="AR609" s="1044"/>
      <c r="AS609" s="1044"/>
    </row>
    <row r="610" spans="3:45" hidden="1" outlineLevel="1">
      <c r="C610" s="9" t="s">
        <v>16</v>
      </c>
      <c r="D610" s="9"/>
      <c r="E610" s="20" t="s">
        <v>119</v>
      </c>
      <c r="F610" s="12">
        <f t="shared" ref="F610:AJ610" si="98">F665+F717</f>
        <v>0</v>
      </c>
      <c r="G610" s="12">
        <f t="shared" si="98"/>
        <v>0</v>
      </c>
      <c r="H610" s="12">
        <f t="shared" si="98"/>
        <v>0</v>
      </c>
      <c r="I610" s="12">
        <f t="shared" si="98"/>
        <v>0</v>
      </c>
      <c r="J610" s="12">
        <f t="shared" si="98"/>
        <v>0</v>
      </c>
      <c r="K610" s="12">
        <f t="shared" si="98"/>
        <v>0</v>
      </c>
      <c r="L610" s="12">
        <f t="shared" si="98"/>
        <v>0</v>
      </c>
      <c r="M610" s="12">
        <f t="shared" si="98"/>
        <v>0</v>
      </c>
      <c r="N610" s="12">
        <f t="shared" si="98"/>
        <v>0</v>
      </c>
      <c r="O610" s="12">
        <f t="shared" si="98"/>
        <v>0</v>
      </c>
      <c r="P610" s="12">
        <f t="shared" si="98"/>
        <v>0</v>
      </c>
      <c r="Q610" s="12">
        <f t="shared" si="98"/>
        <v>0</v>
      </c>
      <c r="R610" s="12">
        <f t="shared" si="98"/>
        <v>0</v>
      </c>
      <c r="S610" s="12">
        <f t="shared" si="98"/>
        <v>0</v>
      </c>
      <c r="T610" s="12">
        <f t="shared" si="98"/>
        <v>0</v>
      </c>
      <c r="U610" s="12">
        <f t="shared" si="98"/>
        <v>0</v>
      </c>
      <c r="V610" s="12">
        <f t="shared" si="98"/>
        <v>0</v>
      </c>
      <c r="W610" s="12">
        <f t="shared" si="98"/>
        <v>0</v>
      </c>
      <c r="X610" s="12">
        <f t="shared" si="98"/>
        <v>236449</v>
      </c>
      <c r="Y610" s="12">
        <f t="shared" si="98"/>
        <v>232095</v>
      </c>
      <c r="Z610" s="12">
        <f t="shared" si="98"/>
        <v>226031</v>
      </c>
      <c r="AA610" s="12">
        <f t="shared" si="98"/>
        <v>230749</v>
      </c>
      <c r="AB610" s="12">
        <f t="shared" si="98"/>
        <v>255402</v>
      </c>
      <c r="AC610" s="12">
        <f t="shared" si="98"/>
        <v>241421</v>
      </c>
      <c r="AD610" s="12">
        <f t="shared" si="98"/>
        <v>239344</v>
      </c>
      <c r="AE610" s="12">
        <f t="shared" si="98"/>
        <v>224914</v>
      </c>
      <c r="AF610" s="12">
        <f t="shared" si="98"/>
        <v>233243.64</v>
      </c>
      <c r="AG610" s="12">
        <f t="shared" si="98"/>
        <v>608917</v>
      </c>
      <c r="AH610" s="12">
        <f t="shared" si="98"/>
        <v>551046</v>
      </c>
      <c r="AI610" s="12">
        <f t="shared" si="98"/>
        <v>470358</v>
      </c>
      <c r="AJ610" s="12">
        <f t="shared" si="98"/>
        <v>446079</v>
      </c>
      <c r="AK610" s="12">
        <f t="shared" si="86"/>
        <v>417737</v>
      </c>
      <c r="AL610" s="12">
        <f t="shared" ref="AL610:AM610" si="99">AL665+AL717</f>
        <v>393035</v>
      </c>
      <c r="AM610" s="840">
        <f t="shared" si="99"/>
        <v>444203</v>
      </c>
      <c r="AN610" s="1070">
        <f t="shared" ref="AN610:AO610" si="100">AN665+AN717</f>
        <v>538077.91</v>
      </c>
      <c r="AO610" s="1070">
        <f t="shared" si="100"/>
        <v>573265</v>
      </c>
      <c r="AP610" s="1070">
        <f t="shared" ref="AP610:AQ610" si="101">AP665+AP717</f>
        <v>618902</v>
      </c>
      <c r="AQ610" s="1070">
        <f t="shared" si="101"/>
        <v>618902</v>
      </c>
      <c r="AR610" s="1044"/>
      <c r="AS610" s="1044"/>
    </row>
    <row r="611" spans="3:45" hidden="1" outlineLevel="1">
      <c r="C611" s="9" t="s">
        <v>16</v>
      </c>
      <c r="D611" s="9"/>
      <c r="E611" s="20" t="s">
        <v>171</v>
      </c>
      <c r="F611" s="12">
        <f t="shared" ref="F611:AJ611" si="102">F666+F718</f>
        <v>0</v>
      </c>
      <c r="G611" s="12">
        <f t="shared" si="102"/>
        <v>0</v>
      </c>
      <c r="H611" s="12">
        <f t="shared" si="102"/>
        <v>0</v>
      </c>
      <c r="I611" s="12">
        <f t="shared" si="102"/>
        <v>0</v>
      </c>
      <c r="J611" s="12">
        <f t="shared" si="102"/>
        <v>0</v>
      </c>
      <c r="K611" s="12">
        <f t="shared" si="102"/>
        <v>0</v>
      </c>
      <c r="L611" s="12">
        <f t="shared" si="102"/>
        <v>0</v>
      </c>
      <c r="M611" s="12">
        <f t="shared" si="102"/>
        <v>0</v>
      </c>
      <c r="N611" s="12">
        <f t="shared" si="102"/>
        <v>0</v>
      </c>
      <c r="O611" s="12">
        <f t="shared" si="102"/>
        <v>0</v>
      </c>
      <c r="P611" s="12">
        <f t="shared" si="102"/>
        <v>0</v>
      </c>
      <c r="Q611" s="12">
        <f t="shared" si="102"/>
        <v>0</v>
      </c>
      <c r="R611" s="12">
        <f t="shared" si="102"/>
        <v>0</v>
      </c>
      <c r="S611" s="12">
        <f t="shared" si="102"/>
        <v>0</v>
      </c>
      <c r="T611" s="12">
        <f t="shared" si="102"/>
        <v>0</v>
      </c>
      <c r="U611" s="12">
        <f t="shared" si="102"/>
        <v>0</v>
      </c>
      <c r="V611" s="12">
        <f t="shared" si="102"/>
        <v>0</v>
      </c>
      <c r="W611" s="12">
        <f t="shared" si="102"/>
        <v>0</v>
      </c>
      <c r="X611" s="12">
        <f t="shared" si="102"/>
        <v>2710528.8</v>
      </c>
      <c r="Y611" s="12">
        <f t="shared" si="102"/>
        <v>2746961.17</v>
      </c>
      <c r="Z611" s="12">
        <f t="shared" si="102"/>
        <v>2754744</v>
      </c>
      <c r="AA611" s="12">
        <f t="shared" si="102"/>
        <v>2872619</v>
      </c>
      <c r="AB611" s="12">
        <f t="shared" si="102"/>
        <v>2907239</v>
      </c>
      <c r="AC611" s="12">
        <f t="shared" si="102"/>
        <v>2881771</v>
      </c>
      <c r="AD611" s="12">
        <f t="shared" si="102"/>
        <v>3118100</v>
      </c>
      <c r="AE611" s="12">
        <f t="shared" si="102"/>
        <v>3322296</v>
      </c>
      <c r="AF611" s="12">
        <f t="shared" si="102"/>
        <v>3332387.94</v>
      </c>
      <c r="AG611" s="12">
        <f t="shared" si="102"/>
        <v>9187951</v>
      </c>
      <c r="AH611" s="12">
        <f t="shared" si="102"/>
        <v>7741936</v>
      </c>
      <c r="AI611" s="12">
        <f t="shared" si="102"/>
        <v>4332073</v>
      </c>
      <c r="AJ611" s="12">
        <f t="shared" si="102"/>
        <v>3641988</v>
      </c>
      <c r="AK611" s="12">
        <f t="shared" si="86"/>
        <v>3672620</v>
      </c>
      <c r="AL611" s="12">
        <f t="shared" ref="AL611:AM611" si="103">AL666+AL718</f>
        <v>3588680</v>
      </c>
      <c r="AM611" s="840">
        <f t="shared" si="103"/>
        <v>4013489</v>
      </c>
      <c r="AN611" s="1070">
        <f t="shared" ref="AN611:AO611" si="104">AN666+AN718</f>
        <v>7372301.209999999</v>
      </c>
      <c r="AO611" s="1070">
        <f t="shared" si="104"/>
        <v>7459568</v>
      </c>
      <c r="AP611" s="1070">
        <f t="shared" ref="AP611:AQ611" si="105">AP666+AP718</f>
        <v>8153489</v>
      </c>
      <c r="AQ611" s="1070">
        <f t="shared" si="105"/>
        <v>8153489</v>
      </c>
      <c r="AR611" s="1044"/>
      <c r="AS611" s="1044"/>
    </row>
    <row r="612" spans="3:45" hidden="1" outlineLevel="1">
      <c r="C612" s="9" t="s">
        <v>16</v>
      </c>
      <c r="D612" s="9"/>
      <c r="E612" s="20" t="s">
        <v>172</v>
      </c>
      <c r="F612" s="12">
        <f t="shared" ref="F612:AJ612" si="106">F667+F719</f>
        <v>0</v>
      </c>
      <c r="G612" s="12">
        <f t="shared" si="106"/>
        <v>0</v>
      </c>
      <c r="H612" s="12">
        <f t="shared" si="106"/>
        <v>0</v>
      </c>
      <c r="I612" s="12">
        <f t="shared" si="106"/>
        <v>0</v>
      </c>
      <c r="J612" s="12">
        <f t="shared" si="106"/>
        <v>0</v>
      </c>
      <c r="K612" s="12">
        <f t="shared" si="106"/>
        <v>0</v>
      </c>
      <c r="L612" s="12">
        <f t="shared" si="106"/>
        <v>0</v>
      </c>
      <c r="M612" s="12">
        <f t="shared" si="106"/>
        <v>0</v>
      </c>
      <c r="N612" s="12">
        <f t="shared" si="106"/>
        <v>0</v>
      </c>
      <c r="O612" s="12">
        <f t="shared" si="106"/>
        <v>0</v>
      </c>
      <c r="P612" s="12">
        <f t="shared" si="106"/>
        <v>0</v>
      </c>
      <c r="Q612" s="12">
        <f t="shared" si="106"/>
        <v>0</v>
      </c>
      <c r="R612" s="12">
        <f t="shared" si="106"/>
        <v>0</v>
      </c>
      <c r="S612" s="12">
        <f t="shared" si="106"/>
        <v>0</v>
      </c>
      <c r="T612" s="12">
        <f t="shared" si="106"/>
        <v>0</v>
      </c>
      <c r="U612" s="12">
        <f t="shared" si="106"/>
        <v>0</v>
      </c>
      <c r="V612" s="12">
        <f t="shared" si="106"/>
        <v>0</v>
      </c>
      <c r="W612" s="12">
        <f t="shared" si="106"/>
        <v>0</v>
      </c>
      <c r="X612" s="12">
        <f t="shared" si="106"/>
        <v>353429</v>
      </c>
      <c r="Y612" s="12">
        <f t="shared" si="106"/>
        <v>348146</v>
      </c>
      <c r="Z612" s="12">
        <f t="shared" si="106"/>
        <v>330449</v>
      </c>
      <c r="AA612" s="12">
        <f t="shared" si="106"/>
        <v>347251</v>
      </c>
      <c r="AB612" s="12">
        <f t="shared" si="106"/>
        <v>355872</v>
      </c>
      <c r="AC612" s="12">
        <f t="shared" si="106"/>
        <v>366078</v>
      </c>
      <c r="AD612" s="12">
        <f t="shared" si="106"/>
        <v>388361</v>
      </c>
      <c r="AE612" s="12">
        <f t="shared" si="106"/>
        <v>401389</v>
      </c>
      <c r="AF612" s="12">
        <f t="shared" si="106"/>
        <v>412172.74</v>
      </c>
      <c r="AG612" s="12">
        <f t="shared" si="106"/>
        <v>852659</v>
      </c>
      <c r="AH612" s="12">
        <f t="shared" si="106"/>
        <v>745759</v>
      </c>
      <c r="AI612" s="12">
        <f t="shared" si="106"/>
        <v>714725</v>
      </c>
      <c r="AJ612" s="12">
        <f t="shared" si="106"/>
        <v>540789</v>
      </c>
      <c r="AK612" s="12">
        <f t="shared" si="86"/>
        <v>545226</v>
      </c>
      <c r="AL612" s="12">
        <f t="shared" ref="AL612:AM612" si="107">AL667+AL719</f>
        <v>528090</v>
      </c>
      <c r="AM612" s="840">
        <f t="shared" si="107"/>
        <v>528585</v>
      </c>
      <c r="AN612" s="1070">
        <f t="shared" ref="AN612:AO612" si="108">AN667+AN719</f>
        <v>658153.24000000011</v>
      </c>
      <c r="AO612" s="1070">
        <f t="shared" si="108"/>
        <v>645763</v>
      </c>
      <c r="AP612" s="1070">
        <f t="shared" ref="AP612:AQ612" si="109">AP667+AP719</f>
        <v>682192</v>
      </c>
      <c r="AQ612" s="1070">
        <f t="shared" si="109"/>
        <v>682192</v>
      </c>
      <c r="AR612" s="1044"/>
      <c r="AS612" s="1044"/>
    </row>
    <row r="613" spans="3:45" hidden="1" outlineLevel="1">
      <c r="C613" s="9" t="s">
        <v>16</v>
      </c>
      <c r="D613" s="9"/>
      <c r="E613" s="20" t="s">
        <v>122</v>
      </c>
      <c r="F613" s="12">
        <f t="shared" ref="F613:AJ613" si="110">F668+F720</f>
        <v>0</v>
      </c>
      <c r="G613" s="12">
        <f t="shared" si="110"/>
        <v>0</v>
      </c>
      <c r="H613" s="12">
        <f t="shared" si="110"/>
        <v>0</v>
      </c>
      <c r="I613" s="12">
        <f t="shared" si="110"/>
        <v>0</v>
      </c>
      <c r="J613" s="12">
        <f t="shared" si="110"/>
        <v>0</v>
      </c>
      <c r="K613" s="12">
        <f t="shared" si="110"/>
        <v>0</v>
      </c>
      <c r="L613" s="12">
        <f t="shared" si="110"/>
        <v>0</v>
      </c>
      <c r="M613" s="12">
        <f t="shared" si="110"/>
        <v>0</v>
      </c>
      <c r="N613" s="12">
        <f t="shared" si="110"/>
        <v>0</v>
      </c>
      <c r="O613" s="12">
        <f t="shared" si="110"/>
        <v>0</v>
      </c>
      <c r="P613" s="12">
        <f t="shared" si="110"/>
        <v>0</v>
      </c>
      <c r="Q613" s="12">
        <f t="shared" si="110"/>
        <v>0</v>
      </c>
      <c r="R613" s="12">
        <f t="shared" si="110"/>
        <v>0</v>
      </c>
      <c r="S613" s="12">
        <f t="shared" si="110"/>
        <v>0</v>
      </c>
      <c r="T613" s="12">
        <f t="shared" si="110"/>
        <v>0</v>
      </c>
      <c r="U613" s="12">
        <f t="shared" si="110"/>
        <v>0</v>
      </c>
      <c r="V613" s="12">
        <f t="shared" si="110"/>
        <v>0</v>
      </c>
      <c r="W613" s="12">
        <f t="shared" si="110"/>
        <v>0</v>
      </c>
      <c r="X613" s="12">
        <f t="shared" si="110"/>
        <v>450886</v>
      </c>
      <c r="Y613" s="12">
        <f t="shared" si="110"/>
        <v>474754.63</v>
      </c>
      <c r="Z613" s="12">
        <f t="shared" si="110"/>
        <v>468123</v>
      </c>
      <c r="AA613" s="12">
        <f t="shared" si="110"/>
        <v>498616</v>
      </c>
      <c r="AB613" s="12">
        <f t="shared" si="110"/>
        <v>507800</v>
      </c>
      <c r="AC613" s="12">
        <f t="shared" si="110"/>
        <v>495853</v>
      </c>
      <c r="AD613" s="12">
        <f t="shared" si="110"/>
        <v>529158</v>
      </c>
      <c r="AE613" s="12">
        <f t="shared" si="110"/>
        <v>537016</v>
      </c>
      <c r="AF613" s="12">
        <f t="shared" si="110"/>
        <v>556612</v>
      </c>
      <c r="AG613" s="12">
        <f t="shared" si="110"/>
        <v>1157699</v>
      </c>
      <c r="AH613" s="12">
        <f t="shared" si="110"/>
        <v>1018180</v>
      </c>
      <c r="AI613" s="12">
        <f t="shared" si="110"/>
        <v>858662</v>
      </c>
      <c r="AJ613" s="12">
        <f t="shared" si="110"/>
        <v>853443</v>
      </c>
      <c r="AK613" s="12">
        <f t="shared" si="86"/>
        <v>779196</v>
      </c>
      <c r="AL613" s="12">
        <f t="shared" ref="AL613:AM613" si="111">AL668+AL720</f>
        <v>737208</v>
      </c>
      <c r="AM613" s="840">
        <f t="shared" si="111"/>
        <v>726880</v>
      </c>
      <c r="AN613" s="1070">
        <f t="shared" ref="AN613:AO613" si="112">AN668+AN720</f>
        <v>796542.7100000002</v>
      </c>
      <c r="AO613" s="1070">
        <f t="shared" si="112"/>
        <v>814914</v>
      </c>
      <c r="AP613" s="1070">
        <f t="shared" ref="AP613:AQ613" si="113">AP668+AP720</f>
        <v>882518</v>
      </c>
      <c r="AQ613" s="1070">
        <f t="shared" si="113"/>
        <v>882518</v>
      </c>
      <c r="AR613" s="1044"/>
      <c r="AS613" s="1044"/>
    </row>
    <row r="614" spans="3:45" hidden="1" outlineLevel="1">
      <c r="C614" s="9" t="s">
        <v>16</v>
      </c>
      <c r="D614" s="9"/>
      <c r="E614" s="20" t="s">
        <v>173</v>
      </c>
      <c r="F614" s="12">
        <f t="shared" ref="F614:AJ614" si="114">F669+F721</f>
        <v>0</v>
      </c>
      <c r="G614" s="12">
        <f t="shared" si="114"/>
        <v>0</v>
      </c>
      <c r="H614" s="12">
        <f t="shared" si="114"/>
        <v>0</v>
      </c>
      <c r="I614" s="12">
        <f t="shared" si="114"/>
        <v>0</v>
      </c>
      <c r="J614" s="12">
        <f t="shared" si="114"/>
        <v>0</v>
      </c>
      <c r="K614" s="12">
        <f t="shared" si="114"/>
        <v>0</v>
      </c>
      <c r="L614" s="12">
        <f t="shared" si="114"/>
        <v>0</v>
      </c>
      <c r="M614" s="12">
        <f t="shared" si="114"/>
        <v>0</v>
      </c>
      <c r="N614" s="12">
        <f t="shared" si="114"/>
        <v>0</v>
      </c>
      <c r="O614" s="12">
        <f t="shared" si="114"/>
        <v>0</v>
      </c>
      <c r="P614" s="12">
        <f t="shared" si="114"/>
        <v>0</v>
      </c>
      <c r="Q614" s="12">
        <f t="shared" si="114"/>
        <v>0</v>
      </c>
      <c r="R614" s="12">
        <f t="shared" si="114"/>
        <v>0</v>
      </c>
      <c r="S614" s="12">
        <f t="shared" si="114"/>
        <v>0</v>
      </c>
      <c r="T614" s="12">
        <f t="shared" si="114"/>
        <v>0</v>
      </c>
      <c r="U614" s="12">
        <f t="shared" si="114"/>
        <v>0</v>
      </c>
      <c r="V614" s="12">
        <f t="shared" si="114"/>
        <v>0</v>
      </c>
      <c r="W614" s="12">
        <f t="shared" si="114"/>
        <v>0</v>
      </c>
      <c r="X614" s="12">
        <f t="shared" si="114"/>
        <v>781267.82</v>
      </c>
      <c r="Y614" s="12">
        <f t="shared" si="114"/>
        <v>781268</v>
      </c>
      <c r="Z614" s="12">
        <f t="shared" si="114"/>
        <v>760355</v>
      </c>
      <c r="AA614" s="12">
        <f t="shared" si="114"/>
        <v>818390</v>
      </c>
      <c r="AB614" s="12">
        <f t="shared" si="114"/>
        <v>800360</v>
      </c>
      <c r="AC614" s="12">
        <f t="shared" si="114"/>
        <v>823859</v>
      </c>
      <c r="AD614" s="12">
        <f t="shared" si="114"/>
        <v>835476</v>
      </c>
      <c r="AE614" s="12">
        <f t="shared" si="114"/>
        <v>816658</v>
      </c>
      <c r="AF614" s="12">
        <f t="shared" si="114"/>
        <v>815783.21</v>
      </c>
      <c r="AG614" s="12">
        <f t="shared" si="114"/>
        <v>1888472</v>
      </c>
      <c r="AH614" s="12">
        <f t="shared" si="114"/>
        <v>1745803</v>
      </c>
      <c r="AI614" s="12">
        <f t="shared" si="114"/>
        <v>737472</v>
      </c>
      <c r="AJ614" s="12">
        <f t="shared" si="114"/>
        <v>1332372</v>
      </c>
      <c r="AK614" s="12">
        <f t="shared" si="86"/>
        <v>1188618</v>
      </c>
      <c r="AL614" s="12">
        <f t="shared" ref="AL614:AM614" si="115">AL669+AL721</f>
        <v>1250524</v>
      </c>
      <c r="AM614" s="840">
        <f t="shared" si="115"/>
        <v>1307218</v>
      </c>
      <c r="AN614" s="1070">
        <f t="shared" ref="AN614:AO614" si="116">AN669+AN721</f>
        <v>1508114.8200000003</v>
      </c>
      <c r="AO614" s="1070">
        <f t="shared" si="116"/>
        <v>1545178</v>
      </c>
      <c r="AP614" s="1070">
        <f t="shared" ref="AP614:AQ614" si="117">AP669+AP721</f>
        <v>1676732</v>
      </c>
      <c r="AQ614" s="1070">
        <f t="shared" si="117"/>
        <v>1676732</v>
      </c>
      <c r="AR614" s="1044"/>
      <c r="AS614" s="1044"/>
    </row>
    <row r="615" spans="3:45" hidden="1" outlineLevel="1">
      <c r="C615" s="9" t="s">
        <v>16</v>
      </c>
      <c r="D615" s="9"/>
      <c r="E615" s="20" t="s">
        <v>174</v>
      </c>
      <c r="F615" s="12">
        <f t="shared" ref="F615:AJ615" si="118">F670+F722</f>
        <v>0</v>
      </c>
      <c r="G615" s="12">
        <f t="shared" si="118"/>
        <v>0</v>
      </c>
      <c r="H615" s="12">
        <f t="shared" si="118"/>
        <v>0</v>
      </c>
      <c r="I615" s="12">
        <f t="shared" si="118"/>
        <v>0</v>
      </c>
      <c r="J615" s="12">
        <f t="shared" si="118"/>
        <v>0</v>
      </c>
      <c r="K615" s="12">
        <f t="shared" si="118"/>
        <v>0</v>
      </c>
      <c r="L615" s="12">
        <f t="shared" si="118"/>
        <v>0</v>
      </c>
      <c r="M615" s="12">
        <f t="shared" si="118"/>
        <v>0</v>
      </c>
      <c r="N615" s="12">
        <f t="shared" si="118"/>
        <v>0</v>
      </c>
      <c r="O615" s="12">
        <f t="shared" si="118"/>
        <v>0</v>
      </c>
      <c r="P615" s="12">
        <f t="shared" si="118"/>
        <v>0</v>
      </c>
      <c r="Q615" s="12">
        <f t="shared" si="118"/>
        <v>0</v>
      </c>
      <c r="R615" s="12">
        <f t="shared" si="118"/>
        <v>0</v>
      </c>
      <c r="S615" s="12">
        <f t="shared" si="118"/>
        <v>0</v>
      </c>
      <c r="T615" s="12">
        <f t="shared" si="118"/>
        <v>0</v>
      </c>
      <c r="U615" s="12">
        <f t="shared" si="118"/>
        <v>0</v>
      </c>
      <c r="V615" s="12">
        <f t="shared" si="118"/>
        <v>0</v>
      </c>
      <c r="W615" s="12">
        <f t="shared" si="118"/>
        <v>0</v>
      </c>
      <c r="X615" s="12">
        <f t="shared" si="118"/>
        <v>843839.77</v>
      </c>
      <c r="Y615" s="12">
        <f t="shared" si="118"/>
        <v>821092</v>
      </c>
      <c r="Z615" s="12">
        <f t="shared" si="118"/>
        <v>806886</v>
      </c>
      <c r="AA615" s="12">
        <f t="shared" si="118"/>
        <v>777689</v>
      </c>
      <c r="AB615" s="12">
        <f t="shared" si="118"/>
        <v>751497</v>
      </c>
      <c r="AC615" s="12">
        <f t="shared" si="118"/>
        <v>802905</v>
      </c>
      <c r="AD615" s="12">
        <f t="shared" si="118"/>
        <v>824415</v>
      </c>
      <c r="AE615" s="12">
        <f t="shared" si="118"/>
        <v>712001</v>
      </c>
      <c r="AF615" s="12">
        <f t="shared" si="118"/>
        <v>745292.16</v>
      </c>
      <c r="AG615" s="12">
        <f t="shared" si="118"/>
        <v>1352748</v>
      </c>
      <c r="AH615" s="12">
        <f t="shared" si="118"/>
        <v>1223551</v>
      </c>
      <c r="AI615" s="12">
        <f t="shared" si="118"/>
        <v>686411</v>
      </c>
      <c r="AJ615" s="12">
        <f t="shared" si="118"/>
        <v>1060437</v>
      </c>
      <c r="AK615" s="12">
        <f t="shared" si="86"/>
        <v>1033429</v>
      </c>
      <c r="AL615" s="12">
        <f t="shared" ref="AL615:AM615" si="119">AL670+AL722</f>
        <v>1092179</v>
      </c>
      <c r="AM615" s="840">
        <f t="shared" si="119"/>
        <v>1237104</v>
      </c>
      <c r="AN615" s="1070">
        <f t="shared" ref="AN615:AO615" si="120">AN670+AN722</f>
        <v>1385161.52</v>
      </c>
      <c r="AO615" s="1070">
        <f t="shared" si="120"/>
        <v>1315919</v>
      </c>
      <c r="AP615" s="1070">
        <f t="shared" ref="AP615:AQ615" si="121">AP670+AP722</f>
        <v>1405690</v>
      </c>
      <c r="AQ615" s="1070">
        <f t="shared" si="121"/>
        <v>1405690</v>
      </c>
      <c r="AR615" s="1044"/>
      <c r="AS615" s="1044"/>
    </row>
    <row r="616" spans="3:45" hidden="1" outlineLevel="1">
      <c r="C616" s="9" t="s">
        <v>16</v>
      </c>
      <c r="D616" s="9"/>
      <c r="E616" s="20" t="s">
        <v>175</v>
      </c>
      <c r="F616" s="12">
        <f t="shared" ref="F616:AJ616" si="122">F671+F723</f>
        <v>0</v>
      </c>
      <c r="G616" s="12">
        <f t="shared" si="122"/>
        <v>0</v>
      </c>
      <c r="H616" s="12">
        <f t="shared" si="122"/>
        <v>0</v>
      </c>
      <c r="I616" s="12">
        <f t="shared" si="122"/>
        <v>0</v>
      </c>
      <c r="J616" s="12">
        <f t="shared" si="122"/>
        <v>0</v>
      </c>
      <c r="K616" s="12">
        <f t="shared" si="122"/>
        <v>0</v>
      </c>
      <c r="L616" s="12">
        <f t="shared" si="122"/>
        <v>0</v>
      </c>
      <c r="M616" s="12">
        <f t="shared" si="122"/>
        <v>0</v>
      </c>
      <c r="N616" s="12">
        <f t="shared" si="122"/>
        <v>0</v>
      </c>
      <c r="O616" s="12">
        <f t="shared" si="122"/>
        <v>0</v>
      </c>
      <c r="P616" s="12">
        <f t="shared" si="122"/>
        <v>0</v>
      </c>
      <c r="Q616" s="12">
        <f t="shared" si="122"/>
        <v>0</v>
      </c>
      <c r="R616" s="12">
        <f t="shared" si="122"/>
        <v>0</v>
      </c>
      <c r="S616" s="12">
        <f t="shared" si="122"/>
        <v>0</v>
      </c>
      <c r="T616" s="12">
        <f t="shared" si="122"/>
        <v>0</v>
      </c>
      <c r="U616" s="12">
        <f t="shared" si="122"/>
        <v>0</v>
      </c>
      <c r="V616" s="12">
        <f t="shared" si="122"/>
        <v>0</v>
      </c>
      <c r="W616" s="12">
        <f t="shared" si="122"/>
        <v>0</v>
      </c>
      <c r="X616" s="12">
        <f t="shared" si="122"/>
        <v>716468</v>
      </c>
      <c r="Y616" s="12">
        <f t="shared" si="122"/>
        <v>722284</v>
      </c>
      <c r="Z616" s="12">
        <f t="shared" si="122"/>
        <v>774764</v>
      </c>
      <c r="AA616" s="12">
        <f t="shared" si="122"/>
        <v>799308</v>
      </c>
      <c r="AB616" s="12">
        <f t="shared" si="122"/>
        <v>841545</v>
      </c>
      <c r="AC616" s="12">
        <f t="shared" si="122"/>
        <v>862446</v>
      </c>
      <c r="AD616" s="12">
        <f t="shared" si="122"/>
        <v>2688962</v>
      </c>
      <c r="AE616" s="12">
        <f t="shared" si="122"/>
        <v>2793518</v>
      </c>
      <c r="AF616" s="12">
        <f t="shared" si="122"/>
        <v>2720023.9</v>
      </c>
      <c r="AG616" s="12">
        <f t="shared" si="122"/>
        <v>7780013</v>
      </c>
      <c r="AH616" s="12">
        <f t="shared" si="122"/>
        <v>7197148</v>
      </c>
      <c r="AI616" s="12">
        <f t="shared" si="122"/>
        <v>4276114</v>
      </c>
      <c r="AJ616" s="12">
        <f t="shared" si="122"/>
        <v>6092694</v>
      </c>
      <c r="AK616" s="12">
        <f t="shared" si="86"/>
        <v>6872145</v>
      </c>
      <c r="AL616" s="12">
        <f t="shared" ref="AL616:AM616" si="123">AL671+AL723</f>
        <v>6479196</v>
      </c>
      <c r="AM616" s="840">
        <f t="shared" si="123"/>
        <v>6590309</v>
      </c>
      <c r="AN616" s="1070">
        <f t="shared" ref="AN616:AO616" si="124">AN671+AN723</f>
        <v>7125900.4199999999</v>
      </c>
      <c r="AO616" s="1070">
        <f t="shared" si="124"/>
        <v>7593769</v>
      </c>
      <c r="AP616" s="1070">
        <f t="shared" ref="AP616:AQ616" si="125">AP671+AP723</f>
        <v>8359762</v>
      </c>
      <c r="AQ616" s="1070">
        <f t="shared" si="125"/>
        <v>8359762</v>
      </c>
      <c r="AR616" s="1044"/>
      <c r="AS616" s="1044"/>
    </row>
    <row r="617" spans="3:45" hidden="1" outlineLevel="1">
      <c r="C617" s="9" t="s">
        <v>16</v>
      </c>
      <c r="D617" s="9"/>
      <c r="E617" s="20" t="s">
        <v>176</v>
      </c>
      <c r="F617" s="12">
        <f t="shared" ref="F617:AJ617" si="126">F672+F724</f>
        <v>0</v>
      </c>
      <c r="G617" s="12">
        <f t="shared" si="126"/>
        <v>0</v>
      </c>
      <c r="H617" s="12">
        <f t="shared" si="126"/>
        <v>0</v>
      </c>
      <c r="I617" s="12">
        <f t="shared" si="126"/>
        <v>0</v>
      </c>
      <c r="J617" s="12">
        <f t="shared" si="126"/>
        <v>0</v>
      </c>
      <c r="K617" s="12">
        <f t="shared" si="126"/>
        <v>0</v>
      </c>
      <c r="L617" s="12">
        <f t="shared" si="126"/>
        <v>0</v>
      </c>
      <c r="M617" s="12">
        <f t="shared" si="126"/>
        <v>0</v>
      </c>
      <c r="N617" s="12">
        <f t="shared" si="126"/>
        <v>0</v>
      </c>
      <c r="O617" s="12">
        <f t="shared" si="126"/>
        <v>0</v>
      </c>
      <c r="P617" s="12">
        <f t="shared" si="126"/>
        <v>0</v>
      </c>
      <c r="Q617" s="12">
        <f t="shared" si="126"/>
        <v>0</v>
      </c>
      <c r="R617" s="12">
        <f t="shared" si="126"/>
        <v>0</v>
      </c>
      <c r="S617" s="12">
        <f t="shared" si="126"/>
        <v>0</v>
      </c>
      <c r="T617" s="12">
        <f t="shared" si="126"/>
        <v>0</v>
      </c>
      <c r="U617" s="12">
        <f t="shared" si="126"/>
        <v>0</v>
      </c>
      <c r="V617" s="12">
        <f t="shared" si="126"/>
        <v>0</v>
      </c>
      <c r="W617" s="12">
        <f t="shared" si="126"/>
        <v>0</v>
      </c>
      <c r="X617" s="12">
        <f t="shared" si="126"/>
        <v>456871</v>
      </c>
      <c r="Y617" s="12">
        <f t="shared" si="126"/>
        <v>484728</v>
      </c>
      <c r="Z617" s="12">
        <f t="shared" si="126"/>
        <v>480566</v>
      </c>
      <c r="AA617" s="12">
        <f t="shared" si="126"/>
        <v>494483</v>
      </c>
      <c r="AB617" s="12">
        <f t="shared" si="126"/>
        <v>513635</v>
      </c>
      <c r="AC617" s="12">
        <f t="shared" si="126"/>
        <v>536203</v>
      </c>
      <c r="AD617" s="12">
        <f t="shared" si="126"/>
        <v>868766</v>
      </c>
      <c r="AE617" s="12">
        <f t="shared" si="126"/>
        <v>912698</v>
      </c>
      <c r="AF617" s="12">
        <f t="shared" si="126"/>
        <v>983177.8</v>
      </c>
      <c r="AG617" s="12">
        <f t="shared" si="126"/>
        <v>1946024</v>
      </c>
      <c r="AH617" s="12">
        <f t="shared" si="126"/>
        <v>1864434</v>
      </c>
      <c r="AI617" s="12">
        <f t="shared" si="126"/>
        <v>1088114</v>
      </c>
      <c r="AJ617" s="12">
        <f t="shared" si="126"/>
        <v>1399223</v>
      </c>
      <c r="AK617" s="12">
        <f t="shared" si="86"/>
        <v>1204575</v>
      </c>
      <c r="AL617" s="12">
        <f t="shared" ref="AL617:AM617" si="127">AL672+AL724</f>
        <v>1175874</v>
      </c>
      <c r="AM617" s="840">
        <f t="shared" si="127"/>
        <v>1399970</v>
      </c>
      <c r="AN617" s="1070">
        <f t="shared" ref="AN617:AO617" si="128">AN672+AN724</f>
        <v>1574755.2800000003</v>
      </c>
      <c r="AO617" s="1070">
        <f t="shared" si="128"/>
        <v>1570721</v>
      </c>
      <c r="AP617" s="1070">
        <f t="shared" ref="AP617:AQ617" si="129">AP672+AP724</f>
        <v>1669448</v>
      </c>
      <c r="AQ617" s="1070">
        <f t="shared" si="129"/>
        <v>1669448</v>
      </c>
      <c r="AR617" s="1044"/>
      <c r="AS617" s="1044"/>
    </row>
    <row r="618" spans="3:45" hidden="1" outlineLevel="1">
      <c r="C618" s="9" t="s">
        <v>16</v>
      </c>
      <c r="D618" s="9"/>
      <c r="E618" s="20" t="s">
        <v>127</v>
      </c>
      <c r="F618" s="12">
        <f t="shared" ref="F618:AJ618" si="130">F673+F725</f>
        <v>0</v>
      </c>
      <c r="G618" s="12">
        <f t="shared" si="130"/>
        <v>0</v>
      </c>
      <c r="H618" s="12">
        <f t="shared" si="130"/>
        <v>0</v>
      </c>
      <c r="I618" s="12">
        <f t="shared" si="130"/>
        <v>0</v>
      </c>
      <c r="J618" s="12">
        <f t="shared" si="130"/>
        <v>0</v>
      </c>
      <c r="K618" s="12">
        <f t="shared" si="130"/>
        <v>0</v>
      </c>
      <c r="L618" s="12">
        <f t="shared" si="130"/>
        <v>0</v>
      </c>
      <c r="M618" s="12">
        <f t="shared" si="130"/>
        <v>0</v>
      </c>
      <c r="N618" s="12">
        <f t="shared" si="130"/>
        <v>0</v>
      </c>
      <c r="O618" s="12">
        <f t="shared" si="130"/>
        <v>0</v>
      </c>
      <c r="P618" s="12">
        <f t="shared" si="130"/>
        <v>0</v>
      </c>
      <c r="Q618" s="12">
        <f t="shared" si="130"/>
        <v>0</v>
      </c>
      <c r="R618" s="12">
        <f t="shared" si="130"/>
        <v>0</v>
      </c>
      <c r="S618" s="12">
        <f t="shared" si="130"/>
        <v>0</v>
      </c>
      <c r="T618" s="12">
        <f t="shared" si="130"/>
        <v>0</v>
      </c>
      <c r="U618" s="12">
        <f t="shared" si="130"/>
        <v>0</v>
      </c>
      <c r="V618" s="12">
        <f t="shared" si="130"/>
        <v>0</v>
      </c>
      <c r="W618" s="12">
        <f t="shared" si="130"/>
        <v>0</v>
      </c>
      <c r="X618" s="12">
        <f t="shared" si="130"/>
        <v>265119</v>
      </c>
      <c r="Y618" s="12">
        <f t="shared" si="130"/>
        <v>259526</v>
      </c>
      <c r="Z618" s="12">
        <f t="shared" si="130"/>
        <v>243480</v>
      </c>
      <c r="AA618" s="12">
        <f t="shared" si="130"/>
        <v>250446</v>
      </c>
      <c r="AB618" s="12">
        <f t="shared" si="130"/>
        <v>278184</v>
      </c>
      <c r="AC618" s="12">
        <f t="shared" si="130"/>
        <v>281451</v>
      </c>
      <c r="AD618" s="12">
        <f t="shared" si="130"/>
        <v>564544</v>
      </c>
      <c r="AE618" s="12">
        <f t="shared" si="130"/>
        <v>573122</v>
      </c>
      <c r="AF618" s="12">
        <f t="shared" si="130"/>
        <v>568735.06999999995</v>
      </c>
      <c r="AG618" s="12">
        <f t="shared" si="130"/>
        <v>1234845</v>
      </c>
      <c r="AH618" s="12">
        <f t="shared" si="130"/>
        <v>1120194</v>
      </c>
      <c r="AI618" s="12">
        <f t="shared" si="130"/>
        <v>646589</v>
      </c>
      <c r="AJ618" s="12">
        <f t="shared" si="130"/>
        <v>906258</v>
      </c>
      <c r="AK618" s="12">
        <f t="shared" si="86"/>
        <v>904161</v>
      </c>
      <c r="AL618" s="12">
        <f t="shared" ref="AL618:AM618" si="131">AL673+AL725</f>
        <v>934935</v>
      </c>
      <c r="AM618" s="840">
        <f t="shared" si="131"/>
        <v>974532</v>
      </c>
      <c r="AN618" s="1070">
        <f t="shared" ref="AN618:AO618" si="132">AN673+AN725</f>
        <v>1122901.0199999998</v>
      </c>
      <c r="AO618" s="1070">
        <f t="shared" si="132"/>
        <v>1090003</v>
      </c>
      <c r="AP618" s="1070">
        <f t="shared" ref="AP618:AQ618" si="133">AP673+AP725</f>
        <v>1174853</v>
      </c>
      <c r="AQ618" s="1070">
        <f t="shared" si="133"/>
        <v>1174853</v>
      </c>
      <c r="AR618" s="1044"/>
      <c r="AS618" s="1044"/>
    </row>
    <row r="619" spans="3:45" hidden="1" outlineLevel="1">
      <c r="C619" s="9" t="s">
        <v>16</v>
      </c>
      <c r="D619" s="9"/>
      <c r="E619" s="20" t="s">
        <v>128</v>
      </c>
      <c r="F619" s="12">
        <f t="shared" ref="F619:AJ619" si="134">F674+F726</f>
        <v>0</v>
      </c>
      <c r="G619" s="12">
        <f t="shared" si="134"/>
        <v>0</v>
      </c>
      <c r="H619" s="12">
        <f t="shared" si="134"/>
        <v>0</v>
      </c>
      <c r="I619" s="12">
        <f t="shared" si="134"/>
        <v>0</v>
      </c>
      <c r="J619" s="12">
        <f t="shared" si="134"/>
        <v>0</v>
      </c>
      <c r="K619" s="12">
        <f t="shared" si="134"/>
        <v>0</v>
      </c>
      <c r="L619" s="12">
        <f t="shared" si="134"/>
        <v>0</v>
      </c>
      <c r="M619" s="12">
        <f t="shared" si="134"/>
        <v>0</v>
      </c>
      <c r="N619" s="12">
        <f t="shared" si="134"/>
        <v>0</v>
      </c>
      <c r="O619" s="12">
        <f t="shared" si="134"/>
        <v>0</v>
      </c>
      <c r="P619" s="12">
        <f t="shared" si="134"/>
        <v>0</v>
      </c>
      <c r="Q619" s="12">
        <f t="shared" si="134"/>
        <v>0</v>
      </c>
      <c r="R619" s="12">
        <f t="shared" si="134"/>
        <v>0</v>
      </c>
      <c r="S619" s="12">
        <f t="shared" si="134"/>
        <v>0</v>
      </c>
      <c r="T619" s="12">
        <f t="shared" si="134"/>
        <v>0</v>
      </c>
      <c r="U619" s="12">
        <f t="shared" si="134"/>
        <v>0</v>
      </c>
      <c r="V619" s="12">
        <f t="shared" si="134"/>
        <v>0</v>
      </c>
      <c r="W619" s="12">
        <f t="shared" si="134"/>
        <v>0</v>
      </c>
      <c r="X619" s="12">
        <f t="shared" si="134"/>
        <v>279342.34999999998</v>
      </c>
      <c r="Y619" s="12">
        <f t="shared" si="134"/>
        <v>292872</v>
      </c>
      <c r="Z619" s="12">
        <f t="shared" si="134"/>
        <v>307890</v>
      </c>
      <c r="AA619" s="12">
        <f t="shared" si="134"/>
        <v>293664</v>
      </c>
      <c r="AB619" s="12">
        <f t="shared" si="134"/>
        <v>308297</v>
      </c>
      <c r="AC619" s="12">
        <f t="shared" si="134"/>
        <v>319021</v>
      </c>
      <c r="AD619" s="12">
        <f t="shared" si="134"/>
        <v>315443</v>
      </c>
      <c r="AE619" s="12">
        <f t="shared" si="134"/>
        <v>304798</v>
      </c>
      <c r="AF619" s="12">
        <f t="shared" si="134"/>
        <v>308266.67</v>
      </c>
      <c r="AG619" s="12">
        <f t="shared" si="134"/>
        <v>1122990</v>
      </c>
      <c r="AH619" s="12">
        <f t="shared" si="134"/>
        <v>1046684</v>
      </c>
      <c r="AI619" s="12">
        <f t="shared" si="134"/>
        <v>1081896</v>
      </c>
      <c r="AJ619" s="12">
        <f t="shared" si="134"/>
        <v>775426</v>
      </c>
      <c r="AK619" s="12">
        <f t="shared" si="86"/>
        <v>736308</v>
      </c>
      <c r="AL619" s="12">
        <f t="shared" ref="AL619:AM619" si="135">AL674+AL726</f>
        <v>746891</v>
      </c>
      <c r="AM619" s="840">
        <f t="shared" si="135"/>
        <v>741342</v>
      </c>
      <c r="AN619" s="1070">
        <f t="shared" ref="AN619:AO619" si="136">AN674+AN726</f>
        <v>865893.34000000008</v>
      </c>
      <c r="AO619" s="1070">
        <f t="shared" si="136"/>
        <v>877330</v>
      </c>
      <c r="AP619" s="1070">
        <f t="shared" ref="AP619:AQ619" si="137">AP674+AP726</f>
        <v>967394</v>
      </c>
      <c r="AQ619" s="1070">
        <f t="shared" si="137"/>
        <v>967394</v>
      </c>
      <c r="AR619" s="1044"/>
      <c r="AS619" s="1044"/>
    </row>
    <row r="620" spans="3:45" hidden="1" outlineLevel="1">
      <c r="C620" s="9" t="s">
        <v>16</v>
      </c>
      <c r="D620" s="9"/>
      <c r="E620" s="20" t="s">
        <v>163</v>
      </c>
      <c r="F620" s="12">
        <f t="shared" ref="F620:AJ620" si="138">F675+F727</f>
        <v>0</v>
      </c>
      <c r="G620" s="12">
        <f t="shared" si="138"/>
        <v>0</v>
      </c>
      <c r="H620" s="12">
        <f t="shared" si="138"/>
        <v>0</v>
      </c>
      <c r="I620" s="12">
        <f t="shared" si="138"/>
        <v>0</v>
      </c>
      <c r="J620" s="12">
        <f t="shared" si="138"/>
        <v>0</v>
      </c>
      <c r="K620" s="12">
        <f t="shared" si="138"/>
        <v>0</v>
      </c>
      <c r="L620" s="12">
        <f t="shared" si="138"/>
        <v>0</v>
      </c>
      <c r="M620" s="12">
        <f t="shared" si="138"/>
        <v>0</v>
      </c>
      <c r="N620" s="12">
        <f t="shared" si="138"/>
        <v>0</v>
      </c>
      <c r="O620" s="12">
        <f t="shared" si="138"/>
        <v>0</v>
      </c>
      <c r="P620" s="12">
        <f t="shared" si="138"/>
        <v>0</v>
      </c>
      <c r="Q620" s="12">
        <f t="shared" si="138"/>
        <v>0</v>
      </c>
      <c r="R620" s="12">
        <f t="shared" si="138"/>
        <v>0</v>
      </c>
      <c r="S620" s="12">
        <f t="shared" si="138"/>
        <v>0</v>
      </c>
      <c r="T620" s="12">
        <f t="shared" si="138"/>
        <v>0</v>
      </c>
      <c r="U620" s="12">
        <f t="shared" si="138"/>
        <v>0</v>
      </c>
      <c r="V620" s="12">
        <f t="shared" si="138"/>
        <v>0</v>
      </c>
      <c r="W620" s="12">
        <f t="shared" si="138"/>
        <v>0</v>
      </c>
      <c r="X620" s="12">
        <f t="shared" si="138"/>
        <v>1949986</v>
      </c>
      <c r="Y620" s="12">
        <f t="shared" si="138"/>
        <v>2149318</v>
      </c>
      <c r="Z620" s="12">
        <f t="shared" si="138"/>
        <v>2171603</v>
      </c>
      <c r="AA620" s="12">
        <f t="shared" si="138"/>
        <v>2277516</v>
      </c>
      <c r="AB620" s="12">
        <f t="shared" si="138"/>
        <v>2382672</v>
      </c>
      <c r="AC620" s="12">
        <f t="shared" si="138"/>
        <v>2503674</v>
      </c>
      <c r="AD620" s="12">
        <f t="shared" si="138"/>
        <v>318942</v>
      </c>
      <c r="AE620" s="12">
        <f t="shared" si="138"/>
        <v>318458</v>
      </c>
      <c r="AF620" s="12">
        <f t="shared" si="138"/>
        <v>317689.21000000002</v>
      </c>
      <c r="AG620" s="12">
        <f t="shared" si="138"/>
        <v>949931</v>
      </c>
      <c r="AH620" s="12">
        <f t="shared" si="138"/>
        <v>799630</v>
      </c>
      <c r="AI620" s="12">
        <f t="shared" si="138"/>
        <v>703480</v>
      </c>
      <c r="AJ620" s="12">
        <f t="shared" si="138"/>
        <v>685594</v>
      </c>
      <c r="AK620" s="12">
        <f t="shared" si="86"/>
        <v>672055</v>
      </c>
      <c r="AL620" s="12">
        <f t="shared" ref="AL620:AM620" si="139">AL675+AL727</f>
        <v>708688</v>
      </c>
      <c r="AM620" s="840">
        <f t="shared" si="139"/>
        <v>775121</v>
      </c>
      <c r="AN620" s="1070">
        <f t="shared" ref="AN620:AO620" si="140">AN675+AN727</f>
        <v>964708.68000000017</v>
      </c>
      <c r="AO620" s="1070">
        <f t="shared" si="140"/>
        <v>1027161</v>
      </c>
      <c r="AP620" s="1070">
        <f t="shared" ref="AP620:AQ620" si="141">AP675+AP727</f>
        <v>1136876</v>
      </c>
      <c r="AQ620" s="1070">
        <f t="shared" si="141"/>
        <v>1136876</v>
      </c>
      <c r="AR620" s="1044"/>
      <c r="AS620" s="1044"/>
    </row>
    <row r="621" spans="3:45" hidden="1" outlineLevel="1">
      <c r="C621" s="9" t="s">
        <v>16</v>
      </c>
      <c r="D621" s="9"/>
      <c r="E621" s="20" t="s">
        <v>177</v>
      </c>
      <c r="F621" s="12">
        <f t="shared" ref="F621:AJ621" si="142">F676+F728</f>
        <v>0</v>
      </c>
      <c r="G621" s="12">
        <f t="shared" si="142"/>
        <v>0</v>
      </c>
      <c r="H621" s="12">
        <f t="shared" si="142"/>
        <v>0</v>
      </c>
      <c r="I621" s="12">
        <f t="shared" si="142"/>
        <v>0</v>
      </c>
      <c r="J621" s="12">
        <f t="shared" si="142"/>
        <v>0</v>
      </c>
      <c r="K621" s="12">
        <f t="shared" si="142"/>
        <v>0</v>
      </c>
      <c r="L621" s="12">
        <f t="shared" si="142"/>
        <v>0</v>
      </c>
      <c r="M621" s="12">
        <f t="shared" si="142"/>
        <v>0</v>
      </c>
      <c r="N621" s="12">
        <f t="shared" si="142"/>
        <v>0</v>
      </c>
      <c r="O621" s="12">
        <f t="shared" si="142"/>
        <v>0</v>
      </c>
      <c r="P621" s="12">
        <f t="shared" si="142"/>
        <v>0</v>
      </c>
      <c r="Q621" s="12">
        <f t="shared" si="142"/>
        <v>0</v>
      </c>
      <c r="R621" s="12">
        <f t="shared" si="142"/>
        <v>0</v>
      </c>
      <c r="S621" s="12">
        <f t="shared" si="142"/>
        <v>0</v>
      </c>
      <c r="T621" s="12">
        <f t="shared" si="142"/>
        <v>0</v>
      </c>
      <c r="U621" s="12">
        <f t="shared" si="142"/>
        <v>0</v>
      </c>
      <c r="V621" s="12">
        <f t="shared" si="142"/>
        <v>0</v>
      </c>
      <c r="W621" s="12">
        <f t="shared" si="142"/>
        <v>0</v>
      </c>
      <c r="X621" s="12">
        <f t="shared" si="142"/>
        <v>265783</v>
      </c>
      <c r="Y621" s="12">
        <f t="shared" si="142"/>
        <v>283950.12</v>
      </c>
      <c r="Z621" s="12">
        <f t="shared" si="142"/>
        <v>283951</v>
      </c>
      <c r="AA621" s="12">
        <f t="shared" si="142"/>
        <v>260971</v>
      </c>
      <c r="AB621" s="12">
        <f t="shared" si="142"/>
        <v>260971</v>
      </c>
      <c r="AC621" s="12">
        <f t="shared" si="142"/>
        <v>284919</v>
      </c>
      <c r="AD621" s="12">
        <f t="shared" si="142"/>
        <v>292513</v>
      </c>
      <c r="AE621" s="12">
        <f t="shared" si="142"/>
        <v>286125</v>
      </c>
      <c r="AF621" s="12">
        <f t="shared" si="142"/>
        <v>303001.5</v>
      </c>
      <c r="AG621" s="12">
        <f t="shared" si="142"/>
        <v>573174</v>
      </c>
      <c r="AH621" s="12">
        <f t="shared" si="142"/>
        <v>343767</v>
      </c>
      <c r="AI621" s="12">
        <f t="shared" si="142"/>
        <v>330007</v>
      </c>
      <c r="AJ621" s="12">
        <f t="shared" si="142"/>
        <v>424946</v>
      </c>
      <c r="AK621" s="12">
        <f t="shared" si="86"/>
        <v>407822</v>
      </c>
      <c r="AL621" s="12">
        <f t="shared" ref="AL621:AM621" si="143">AL676+AL728</f>
        <v>397110</v>
      </c>
      <c r="AM621" s="840">
        <f t="shared" si="143"/>
        <v>408628</v>
      </c>
      <c r="AN621" s="1070">
        <f t="shared" ref="AN621:AO621" si="144">AN676+AN728</f>
        <v>486429.5199999999</v>
      </c>
      <c r="AO621" s="1070">
        <f t="shared" si="144"/>
        <v>479565</v>
      </c>
      <c r="AP621" s="1070">
        <f t="shared" ref="AP621:AQ621" si="145">AP676+AP728</f>
        <v>519040</v>
      </c>
      <c r="AQ621" s="1070">
        <f t="shared" si="145"/>
        <v>519040</v>
      </c>
      <c r="AR621" s="1044"/>
      <c r="AS621" s="1044"/>
    </row>
    <row r="622" spans="3:45" hidden="1" outlineLevel="1">
      <c r="C622" s="9" t="s">
        <v>16</v>
      </c>
      <c r="D622" s="9"/>
      <c r="E622" s="20" t="s">
        <v>131</v>
      </c>
      <c r="F622" s="12">
        <f t="shared" ref="F622:AJ622" si="146">F677+F729</f>
        <v>0</v>
      </c>
      <c r="G622" s="12">
        <f t="shared" si="146"/>
        <v>0</v>
      </c>
      <c r="H622" s="12">
        <f t="shared" si="146"/>
        <v>0</v>
      </c>
      <c r="I622" s="12">
        <f t="shared" si="146"/>
        <v>0</v>
      </c>
      <c r="J622" s="12">
        <f t="shared" si="146"/>
        <v>0</v>
      </c>
      <c r="K622" s="12">
        <f t="shared" si="146"/>
        <v>0</v>
      </c>
      <c r="L622" s="12">
        <f t="shared" si="146"/>
        <v>0</v>
      </c>
      <c r="M622" s="12">
        <f t="shared" si="146"/>
        <v>0</v>
      </c>
      <c r="N622" s="12">
        <f t="shared" si="146"/>
        <v>0</v>
      </c>
      <c r="O622" s="12">
        <f t="shared" si="146"/>
        <v>0</v>
      </c>
      <c r="P622" s="12">
        <f t="shared" si="146"/>
        <v>0</v>
      </c>
      <c r="Q622" s="12">
        <f t="shared" si="146"/>
        <v>0</v>
      </c>
      <c r="R622" s="12">
        <f t="shared" si="146"/>
        <v>0</v>
      </c>
      <c r="S622" s="12">
        <f t="shared" si="146"/>
        <v>0</v>
      </c>
      <c r="T622" s="12">
        <f t="shared" si="146"/>
        <v>0</v>
      </c>
      <c r="U622" s="12">
        <f t="shared" si="146"/>
        <v>0</v>
      </c>
      <c r="V622" s="12">
        <f t="shared" si="146"/>
        <v>0</v>
      </c>
      <c r="W622" s="12">
        <f t="shared" si="146"/>
        <v>0</v>
      </c>
      <c r="X622" s="12">
        <f t="shared" si="146"/>
        <v>438057</v>
      </c>
      <c r="Y622" s="12">
        <f t="shared" si="146"/>
        <v>432896</v>
      </c>
      <c r="Z622" s="12">
        <f t="shared" si="146"/>
        <v>396560</v>
      </c>
      <c r="AA622" s="12">
        <f t="shared" si="146"/>
        <v>387821</v>
      </c>
      <c r="AB622" s="12">
        <f t="shared" si="146"/>
        <v>374291</v>
      </c>
      <c r="AC622" s="12">
        <f t="shared" si="146"/>
        <v>368426</v>
      </c>
      <c r="AD622" s="12">
        <f t="shared" si="146"/>
        <v>366588</v>
      </c>
      <c r="AE622" s="12">
        <f t="shared" si="146"/>
        <v>370497</v>
      </c>
      <c r="AF622" s="12">
        <f t="shared" si="146"/>
        <v>378528.83999999997</v>
      </c>
      <c r="AG622" s="12">
        <f t="shared" si="146"/>
        <v>1047381</v>
      </c>
      <c r="AH622" s="12">
        <f t="shared" si="146"/>
        <v>917806</v>
      </c>
      <c r="AI622" s="12">
        <f t="shared" si="146"/>
        <v>414083</v>
      </c>
      <c r="AJ622" s="12">
        <f t="shared" si="146"/>
        <v>633124</v>
      </c>
      <c r="AK622" s="12">
        <f t="shared" si="86"/>
        <v>676860</v>
      </c>
      <c r="AL622" s="12">
        <f t="shared" ref="AL622:AM622" si="147">AL677+AL729</f>
        <v>710094</v>
      </c>
      <c r="AM622" s="840">
        <f t="shared" si="147"/>
        <v>722603</v>
      </c>
      <c r="AN622" s="1070">
        <f t="shared" ref="AN622:AO622" si="148">AN677+AN729</f>
        <v>907143.0299999998</v>
      </c>
      <c r="AO622" s="1070">
        <f t="shared" si="148"/>
        <v>993751</v>
      </c>
      <c r="AP622" s="1070">
        <f t="shared" ref="AP622:AQ622" si="149">AP677+AP729</f>
        <v>1085173</v>
      </c>
      <c r="AQ622" s="1070">
        <f t="shared" si="149"/>
        <v>1085173</v>
      </c>
      <c r="AR622" s="1044"/>
      <c r="AS622" s="1044"/>
    </row>
    <row r="623" spans="3:45" hidden="1" outlineLevel="1">
      <c r="C623" s="9" t="s">
        <v>16</v>
      </c>
      <c r="D623" s="9"/>
      <c r="E623" s="20" t="s">
        <v>132</v>
      </c>
      <c r="F623" s="12">
        <f t="shared" ref="F623:AK638" si="150">F678+F730</f>
        <v>0</v>
      </c>
      <c r="G623" s="12">
        <f t="shared" si="150"/>
        <v>0</v>
      </c>
      <c r="H623" s="12">
        <f t="shared" si="150"/>
        <v>0</v>
      </c>
      <c r="I623" s="12">
        <f t="shared" si="150"/>
        <v>0</v>
      </c>
      <c r="J623" s="12">
        <f t="shared" si="150"/>
        <v>0</v>
      </c>
      <c r="K623" s="12">
        <f t="shared" si="150"/>
        <v>0</v>
      </c>
      <c r="L623" s="12">
        <f t="shared" si="150"/>
        <v>0</v>
      </c>
      <c r="M623" s="12">
        <f t="shared" si="150"/>
        <v>0</v>
      </c>
      <c r="N623" s="12">
        <f t="shared" si="150"/>
        <v>0</v>
      </c>
      <c r="O623" s="12">
        <f t="shared" si="150"/>
        <v>0</v>
      </c>
      <c r="P623" s="12">
        <f t="shared" si="150"/>
        <v>0</v>
      </c>
      <c r="Q623" s="12">
        <f t="shared" si="150"/>
        <v>0</v>
      </c>
      <c r="R623" s="12">
        <f t="shared" si="150"/>
        <v>0</v>
      </c>
      <c r="S623" s="12">
        <f t="shared" si="150"/>
        <v>0</v>
      </c>
      <c r="T623" s="12">
        <f t="shared" si="150"/>
        <v>0</v>
      </c>
      <c r="U623" s="12">
        <f t="shared" si="150"/>
        <v>0</v>
      </c>
      <c r="V623" s="12">
        <f t="shared" si="150"/>
        <v>0</v>
      </c>
      <c r="W623" s="12">
        <f t="shared" si="150"/>
        <v>0</v>
      </c>
      <c r="X623" s="12">
        <f t="shared" si="150"/>
        <v>184376</v>
      </c>
      <c r="Y623" s="12">
        <f t="shared" si="150"/>
        <v>179945.15</v>
      </c>
      <c r="Z623" s="12">
        <f t="shared" si="150"/>
        <v>152909</v>
      </c>
      <c r="AA623" s="12">
        <f t="shared" si="150"/>
        <v>153421</v>
      </c>
      <c r="AB623" s="12">
        <f t="shared" si="150"/>
        <v>163874</v>
      </c>
      <c r="AC623" s="12">
        <f t="shared" si="150"/>
        <v>151992</v>
      </c>
      <c r="AD623" s="12">
        <f t="shared" si="150"/>
        <v>172757</v>
      </c>
      <c r="AE623" s="12">
        <f t="shared" si="150"/>
        <v>169954</v>
      </c>
      <c r="AF623" s="12">
        <f t="shared" si="150"/>
        <v>163865.18</v>
      </c>
      <c r="AG623" s="12">
        <f t="shared" si="150"/>
        <v>452634</v>
      </c>
      <c r="AH623" s="12">
        <f t="shared" si="150"/>
        <v>425342</v>
      </c>
      <c r="AI623" s="12">
        <f t="shared" si="150"/>
        <v>248513</v>
      </c>
      <c r="AJ623" s="12">
        <f t="shared" si="150"/>
        <v>324564</v>
      </c>
      <c r="AK623" s="12">
        <f t="shared" si="150"/>
        <v>308191</v>
      </c>
      <c r="AL623" s="12">
        <f t="shared" ref="AL623:AM623" si="151">AL678+AL730</f>
        <v>320779</v>
      </c>
      <c r="AM623" s="840">
        <f t="shared" si="151"/>
        <v>335361</v>
      </c>
      <c r="AN623" s="1070">
        <f t="shared" ref="AN623:AO623" si="152">AN678+AN730</f>
        <v>408608.20999999996</v>
      </c>
      <c r="AO623" s="1070">
        <f t="shared" si="152"/>
        <v>435854</v>
      </c>
      <c r="AP623" s="1070">
        <f t="shared" ref="AP623:AQ623" si="153">AP678+AP730</f>
        <v>479492</v>
      </c>
      <c r="AQ623" s="1070">
        <f t="shared" si="153"/>
        <v>479492</v>
      </c>
      <c r="AR623" s="1044"/>
      <c r="AS623" s="1044"/>
    </row>
    <row r="624" spans="3:45" hidden="1" outlineLevel="1">
      <c r="C624" s="9" t="s">
        <v>16</v>
      </c>
      <c r="D624" s="9"/>
      <c r="E624" s="20" t="s">
        <v>133</v>
      </c>
      <c r="F624" s="12">
        <f t="shared" ref="F624:AJ624" si="154">F679+F731</f>
        <v>0</v>
      </c>
      <c r="G624" s="12">
        <f t="shared" si="154"/>
        <v>0</v>
      </c>
      <c r="H624" s="12">
        <f t="shared" si="154"/>
        <v>0</v>
      </c>
      <c r="I624" s="12">
        <f t="shared" si="154"/>
        <v>0</v>
      </c>
      <c r="J624" s="12">
        <f t="shared" si="154"/>
        <v>0</v>
      </c>
      <c r="K624" s="12">
        <f t="shared" si="154"/>
        <v>0</v>
      </c>
      <c r="L624" s="12">
        <f t="shared" si="154"/>
        <v>0</v>
      </c>
      <c r="M624" s="12">
        <f t="shared" si="154"/>
        <v>0</v>
      </c>
      <c r="N624" s="12">
        <f t="shared" si="154"/>
        <v>0</v>
      </c>
      <c r="O624" s="12">
        <f t="shared" si="154"/>
        <v>0</v>
      </c>
      <c r="P624" s="12">
        <f t="shared" si="154"/>
        <v>0</v>
      </c>
      <c r="Q624" s="12">
        <f t="shared" si="154"/>
        <v>0</v>
      </c>
      <c r="R624" s="12">
        <f t="shared" si="154"/>
        <v>0</v>
      </c>
      <c r="S624" s="12">
        <f t="shared" si="154"/>
        <v>0</v>
      </c>
      <c r="T624" s="12">
        <f t="shared" si="154"/>
        <v>0</v>
      </c>
      <c r="U624" s="12">
        <f t="shared" si="154"/>
        <v>0</v>
      </c>
      <c r="V624" s="12">
        <f t="shared" si="154"/>
        <v>0</v>
      </c>
      <c r="W624" s="12">
        <f t="shared" si="154"/>
        <v>0</v>
      </c>
      <c r="X624" s="12">
        <f t="shared" si="154"/>
        <v>311494.51</v>
      </c>
      <c r="Y624" s="12">
        <f t="shared" si="154"/>
        <v>317215</v>
      </c>
      <c r="Z624" s="12">
        <f t="shared" si="154"/>
        <v>325392</v>
      </c>
      <c r="AA624" s="12">
        <f t="shared" si="154"/>
        <v>347272</v>
      </c>
      <c r="AB624" s="12">
        <f t="shared" si="154"/>
        <v>338216</v>
      </c>
      <c r="AC624" s="12">
        <f t="shared" si="154"/>
        <v>361988</v>
      </c>
      <c r="AD624" s="12">
        <f t="shared" si="154"/>
        <v>386815</v>
      </c>
      <c r="AE624" s="12">
        <f t="shared" si="154"/>
        <v>372518</v>
      </c>
      <c r="AF624" s="12">
        <f t="shared" si="154"/>
        <v>391030.87</v>
      </c>
      <c r="AG624" s="12">
        <f t="shared" si="154"/>
        <v>752957</v>
      </c>
      <c r="AH624" s="12">
        <f t="shared" si="154"/>
        <v>670676</v>
      </c>
      <c r="AI624" s="12">
        <f t="shared" si="154"/>
        <v>580072</v>
      </c>
      <c r="AJ624" s="12">
        <f t="shared" si="154"/>
        <v>554823</v>
      </c>
      <c r="AK624" s="12">
        <f t="shared" si="150"/>
        <v>505502</v>
      </c>
      <c r="AL624" s="12">
        <f t="shared" ref="AL624:AM624" si="155">AL679+AL731</f>
        <v>472409</v>
      </c>
      <c r="AM624" s="840">
        <f t="shared" si="155"/>
        <v>442257</v>
      </c>
      <c r="AN624" s="1070">
        <f t="shared" ref="AN624:AO624" si="156">AN679+AN731</f>
        <v>491748.1</v>
      </c>
      <c r="AO624" s="1070">
        <f t="shared" si="156"/>
        <v>489877</v>
      </c>
      <c r="AP624" s="1070">
        <f t="shared" ref="AP624:AQ624" si="157">AP679+AP731</f>
        <v>528328</v>
      </c>
      <c r="AQ624" s="1070">
        <f t="shared" si="157"/>
        <v>528328</v>
      </c>
      <c r="AR624" s="1044"/>
      <c r="AS624" s="1044"/>
    </row>
    <row r="625" spans="3:45" hidden="1" outlineLevel="1">
      <c r="C625" s="9" t="s">
        <v>16</v>
      </c>
      <c r="D625" s="9"/>
      <c r="E625" s="20" t="s">
        <v>134</v>
      </c>
      <c r="F625" s="12">
        <f t="shared" ref="F625:AJ625" si="158">F680+F732</f>
        <v>0</v>
      </c>
      <c r="G625" s="12">
        <f t="shared" si="158"/>
        <v>0</v>
      </c>
      <c r="H625" s="12">
        <f t="shared" si="158"/>
        <v>0</v>
      </c>
      <c r="I625" s="12">
        <f t="shared" si="158"/>
        <v>0</v>
      </c>
      <c r="J625" s="12">
        <f t="shared" si="158"/>
        <v>0</v>
      </c>
      <c r="K625" s="12">
        <f t="shared" si="158"/>
        <v>0</v>
      </c>
      <c r="L625" s="12">
        <f t="shared" si="158"/>
        <v>0</v>
      </c>
      <c r="M625" s="12">
        <f t="shared" si="158"/>
        <v>0</v>
      </c>
      <c r="N625" s="12">
        <f t="shared" si="158"/>
        <v>0</v>
      </c>
      <c r="O625" s="12">
        <f t="shared" si="158"/>
        <v>0</v>
      </c>
      <c r="P625" s="12">
        <f t="shared" si="158"/>
        <v>0</v>
      </c>
      <c r="Q625" s="12">
        <f t="shared" si="158"/>
        <v>0</v>
      </c>
      <c r="R625" s="12">
        <f t="shared" si="158"/>
        <v>0</v>
      </c>
      <c r="S625" s="12">
        <f t="shared" si="158"/>
        <v>0</v>
      </c>
      <c r="T625" s="12">
        <f t="shared" si="158"/>
        <v>0</v>
      </c>
      <c r="U625" s="12">
        <f t="shared" si="158"/>
        <v>0</v>
      </c>
      <c r="V625" s="12">
        <f t="shared" si="158"/>
        <v>0</v>
      </c>
      <c r="W625" s="12">
        <f t="shared" si="158"/>
        <v>0</v>
      </c>
      <c r="X625" s="12">
        <f t="shared" si="158"/>
        <v>78921.94</v>
      </c>
      <c r="Y625" s="12">
        <f t="shared" si="158"/>
        <v>81011</v>
      </c>
      <c r="Z625" s="12">
        <f t="shared" si="158"/>
        <v>65796</v>
      </c>
      <c r="AA625" s="12">
        <f t="shared" si="158"/>
        <v>54052</v>
      </c>
      <c r="AB625" s="12">
        <f t="shared" si="158"/>
        <v>51153</v>
      </c>
      <c r="AC625" s="12">
        <f t="shared" si="158"/>
        <v>51236</v>
      </c>
      <c r="AD625" s="12">
        <f t="shared" si="158"/>
        <v>51737</v>
      </c>
      <c r="AE625" s="12">
        <f t="shared" si="158"/>
        <v>41695</v>
      </c>
      <c r="AF625" s="12">
        <f t="shared" si="158"/>
        <v>58732.91</v>
      </c>
      <c r="AG625" s="12">
        <f t="shared" si="158"/>
        <v>136130</v>
      </c>
      <c r="AH625" s="12">
        <f t="shared" si="158"/>
        <v>129540</v>
      </c>
      <c r="AI625" s="12">
        <f t="shared" si="158"/>
        <v>215468</v>
      </c>
      <c r="AJ625" s="12">
        <f t="shared" si="158"/>
        <v>123444</v>
      </c>
      <c r="AK625" s="12">
        <f t="shared" si="150"/>
        <v>83340</v>
      </c>
      <c r="AL625" s="12">
        <f t="shared" ref="AL625:AM625" si="159">AL680+AL732</f>
        <v>241126</v>
      </c>
      <c r="AM625" s="840">
        <f t="shared" si="159"/>
        <v>178689</v>
      </c>
      <c r="AN625" s="1070">
        <f t="shared" ref="AN625:AO625" si="160">AN680+AN732</f>
        <v>211757.14000000007</v>
      </c>
      <c r="AO625" s="1070">
        <f t="shared" si="160"/>
        <v>214781</v>
      </c>
      <c r="AP625" s="1070">
        <f t="shared" ref="AP625:AQ625" si="161">AP680+AP732</f>
        <v>232627</v>
      </c>
      <c r="AQ625" s="1070">
        <f t="shared" si="161"/>
        <v>232627</v>
      </c>
      <c r="AR625" s="1044"/>
      <c r="AS625" s="1044"/>
    </row>
    <row r="626" spans="3:45" hidden="1" outlineLevel="1">
      <c r="C626" s="9" t="s">
        <v>16</v>
      </c>
      <c r="D626" s="9"/>
      <c r="E626" s="20" t="s">
        <v>135</v>
      </c>
      <c r="F626" s="12">
        <f t="shared" ref="F626:AJ626" si="162">F681+F733</f>
        <v>0</v>
      </c>
      <c r="G626" s="12">
        <f t="shared" si="162"/>
        <v>0</v>
      </c>
      <c r="H626" s="12">
        <f t="shared" si="162"/>
        <v>0</v>
      </c>
      <c r="I626" s="12">
        <f t="shared" si="162"/>
        <v>0</v>
      </c>
      <c r="J626" s="12">
        <f t="shared" si="162"/>
        <v>0</v>
      </c>
      <c r="K626" s="12">
        <f t="shared" si="162"/>
        <v>0</v>
      </c>
      <c r="L626" s="12">
        <f t="shared" si="162"/>
        <v>0</v>
      </c>
      <c r="M626" s="12">
        <f t="shared" si="162"/>
        <v>0</v>
      </c>
      <c r="N626" s="12">
        <f t="shared" si="162"/>
        <v>0</v>
      </c>
      <c r="O626" s="12">
        <f t="shared" si="162"/>
        <v>0</v>
      </c>
      <c r="P626" s="12">
        <f t="shared" si="162"/>
        <v>0</v>
      </c>
      <c r="Q626" s="12">
        <f t="shared" si="162"/>
        <v>0</v>
      </c>
      <c r="R626" s="12">
        <f t="shared" si="162"/>
        <v>0</v>
      </c>
      <c r="S626" s="12">
        <f t="shared" si="162"/>
        <v>0</v>
      </c>
      <c r="T626" s="12">
        <f t="shared" si="162"/>
        <v>0</v>
      </c>
      <c r="U626" s="12">
        <f t="shared" si="162"/>
        <v>0</v>
      </c>
      <c r="V626" s="12">
        <f t="shared" si="162"/>
        <v>0</v>
      </c>
      <c r="W626" s="12">
        <f t="shared" si="162"/>
        <v>0</v>
      </c>
      <c r="X626" s="12">
        <f t="shared" si="162"/>
        <v>1700921</v>
      </c>
      <c r="Y626" s="12">
        <f t="shared" si="162"/>
        <v>1775493</v>
      </c>
      <c r="Z626" s="12">
        <f t="shared" si="162"/>
        <v>1683863</v>
      </c>
      <c r="AA626" s="12">
        <f t="shared" si="162"/>
        <v>1652940</v>
      </c>
      <c r="AB626" s="12">
        <f t="shared" si="162"/>
        <v>1667661</v>
      </c>
      <c r="AC626" s="12">
        <f t="shared" si="162"/>
        <v>1619887</v>
      </c>
      <c r="AD626" s="12">
        <f t="shared" si="162"/>
        <v>1788941</v>
      </c>
      <c r="AE626" s="12">
        <f t="shared" si="162"/>
        <v>1710790</v>
      </c>
      <c r="AF626" s="12">
        <f t="shared" si="162"/>
        <v>1640343</v>
      </c>
      <c r="AG626" s="12">
        <f t="shared" si="162"/>
        <v>4768500</v>
      </c>
      <c r="AH626" s="12">
        <f t="shared" si="162"/>
        <v>4096972</v>
      </c>
      <c r="AI626" s="12">
        <f t="shared" si="162"/>
        <v>2670324</v>
      </c>
      <c r="AJ626" s="12">
        <f t="shared" si="162"/>
        <v>3363072</v>
      </c>
      <c r="AK626" s="12">
        <f t="shared" si="150"/>
        <v>3229115</v>
      </c>
      <c r="AL626" s="12">
        <f t="shared" ref="AL626:AM626" si="163">AL681+AL733</f>
        <v>3263738</v>
      </c>
      <c r="AM626" s="840">
        <f t="shared" si="163"/>
        <v>3396547</v>
      </c>
      <c r="AN626" s="1070">
        <f t="shared" ref="AN626:AO626" si="164">AN681+AN733</f>
        <v>4182383.709999999</v>
      </c>
      <c r="AO626" s="1070">
        <f t="shared" si="164"/>
        <v>4227287</v>
      </c>
      <c r="AP626" s="1070">
        <f t="shared" ref="AP626:AQ626" si="165">AP681+AP733</f>
        <v>4683963</v>
      </c>
      <c r="AQ626" s="1070">
        <f t="shared" si="165"/>
        <v>4683963</v>
      </c>
      <c r="AR626" s="1044"/>
      <c r="AS626" s="1044"/>
    </row>
    <row r="627" spans="3:45" hidden="1" outlineLevel="1">
      <c r="C627" s="9" t="s">
        <v>16</v>
      </c>
      <c r="D627" s="9"/>
      <c r="E627" s="20" t="s">
        <v>136</v>
      </c>
      <c r="F627" s="12">
        <f t="shared" ref="F627:AJ627" si="166">F682+F734</f>
        <v>0</v>
      </c>
      <c r="G627" s="12">
        <f t="shared" si="166"/>
        <v>0</v>
      </c>
      <c r="H627" s="12">
        <f t="shared" si="166"/>
        <v>0</v>
      </c>
      <c r="I627" s="12">
        <f t="shared" si="166"/>
        <v>0</v>
      </c>
      <c r="J627" s="12">
        <f t="shared" si="166"/>
        <v>0</v>
      </c>
      <c r="K627" s="12">
        <f t="shared" si="166"/>
        <v>0</v>
      </c>
      <c r="L627" s="12">
        <f t="shared" si="166"/>
        <v>0</v>
      </c>
      <c r="M627" s="12">
        <f t="shared" si="166"/>
        <v>0</v>
      </c>
      <c r="N627" s="12">
        <f t="shared" si="166"/>
        <v>0</v>
      </c>
      <c r="O627" s="12">
        <f t="shared" si="166"/>
        <v>0</v>
      </c>
      <c r="P627" s="12">
        <f t="shared" si="166"/>
        <v>0</v>
      </c>
      <c r="Q627" s="12">
        <f t="shared" si="166"/>
        <v>0</v>
      </c>
      <c r="R627" s="12">
        <f t="shared" si="166"/>
        <v>0</v>
      </c>
      <c r="S627" s="12">
        <f t="shared" si="166"/>
        <v>0</v>
      </c>
      <c r="T627" s="12">
        <f t="shared" si="166"/>
        <v>0</v>
      </c>
      <c r="U627" s="12">
        <f t="shared" si="166"/>
        <v>0</v>
      </c>
      <c r="V627" s="12">
        <f t="shared" si="166"/>
        <v>0</v>
      </c>
      <c r="W627" s="12">
        <f t="shared" si="166"/>
        <v>0</v>
      </c>
      <c r="X627" s="12">
        <f t="shared" si="166"/>
        <v>552358</v>
      </c>
      <c r="Y627" s="12">
        <f t="shared" si="166"/>
        <v>632573.87</v>
      </c>
      <c r="Z627" s="12">
        <f t="shared" si="166"/>
        <v>663541</v>
      </c>
      <c r="AA627" s="12">
        <f t="shared" si="166"/>
        <v>690243</v>
      </c>
      <c r="AB627" s="12">
        <f t="shared" si="166"/>
        <v>727694</v>
      </c>
      <c r="AC627" s="12">
        <f t="shared" si="166"/>
        <v>676338</v>
      </c>
      <c r="AD627" s="12">
        <f t="shared" si="166"/>
        <v>818365</v>
      </c>
      <c r="AE627" s="12">
        <f t="shared" si="166"/>
        <v>812456</v>
      </c>
      <c r="AF627" s="12">
        <f t="shared" si="166"/>
        <v>770602.95</v>
      </c>
      <c r="AG627" s="12">
        <f t="shared" si="166"/>
        <v>1599657</v>
      </c>
      <c r="AH627" s="12">
        <f t="shared" si="166"/>
        <v>1366303</v>
      </c>
      <c r="AI627" s="12">
        <f t="shared" si="166"/>
        <v>860055</v>
      </c>
      <c r="AJ627" s="12">
        <f t="shared" si="166"/>
        <v>1238966</v>
      </c>
      <c r="AK627" s="12">
        <f t="shared" si="150"/>
        <v>1179619</v>
      </c>
      <c r="AL627" s="12">
        <f t="shared" ref="AL627:AM627" si="167">AL682+AL734</f>
        <v>1178394</v>
      </c>
      <c r="AM627" s="840">
        <f t="shared" si="167"/>
        <v>1213572</v>
      </c>
      <c r="AN627" s="1070">
        <f t="shared" ref="AN627:AO627" si="168">AN682+AN734</f>
        <v>1281639.76</v>
      </c>
      <c r="AO627" s="1070">
        <f t="shared" si="168"/>
        <v>1355986</v>
      </c>
      <c r="AP627" s="1070">
        <f t="shared" ref="AP627:AQ627" si="169">AP682+AP734</f>
        <v>1450670</v>
      </c>
      <c r="AQ627" s="1070">
        <f t="shared" si="169"/>
        <v>1450670</v>
      </c>
      <c r="AR627" s="1044"/>
      <c r="AS627" s="1044"/>
    </row>
    <row r="628" spans="3:45" hidden="1" outlineLevel="1">
      <c r="C628" s="9" t="s">
        <v>16</v>
      </c>
      <c r="D628" s="9"/>
      <c r="E628" s="20" t="s">
        <v>137</v>
      </c>
      <c r="F628" s="12">
        <f t="shared" ref="F628:AJ628" si="170">F683+F735</f>
        <v>0</v>
      </c>
      <c r="G628" s="12">
        <f t="shared" si="170"/>
        <v>0</v>
      </c>
      <c r="H628" s="12">
        <f t="shared" si="170"/>
        <v>0</v>
      </c>
      <c r="I628" s="12">
        <f t="shared" si="170"/>
        <v>0</v>
      </c>
      <c r="J628" s="12">
        <f t="shared" si="170"/>
        <v>0</v>
      </c>
      <c r="K628" s="12">
        <f t="shared" si="170"/>
        <v>0</v>
      </c>
      <c r="L628" s="12">
        <f t="shared" si="170"/>
        <v>0</v>
      </c>
      <c r="M628" s="12">
        <f t="shared" si="170"/>
        <v>0</v>
      </c>
      <c r="N628" s="12">
        <f t="shared" si="170"/>
        <v>0</v>
      </c>
      <c r="O628" s="12">
        <f t="shared" si="170"/>
        <v>0</v>
      </c>
      <c r="P628" s="12">
        <f t="shared" si="170"/>
        <v>0</v>
      </c>
      <c r="Q628" s="12">
        <f t="shared" si="170"/>
        <v>0</v>
      </c>
      <c r="R628" s="12">
        <f t="shared" si="170"/>
        <v>0</v>
      </c>
      <c r="S628" s="12">
        <f t="shared" si="170"/>
        <v>0</v>
      </c>
      <c r="T628" s="12">
        <f t="shared" si="170"/>
        <v>0</v>
      </c>
      <c r="U628" s="12">
        <f t="shared" si="170"/>
        <v>0</v>
      </c>
      <c r="V628" s="12">
        <f t="shared" si="170"/>
        <v>0</v>
      </c>
      <c r="W628" s="12">
        <f t="shared" si="170"/>
        <v>0</v>
      </c>
      <c r="X628" s="12">
        <f t="shared" si="170"/>
        <v>499707</v>
      </c>
      <c r="Y628" s="12">
        <f t="shared" si="170"/>
        <v>650074</v>
      </c>
      <c r="Z628" s="12">
        <f t="shared" si="170"/>
        <v>656223</v>
      </c>
      <c r="AA628" s="12">
        <f t="shared" si="170"/>
        <v>636468</v>
      </c>
      <c r="AB628" s="12">
        <f t="shared" si="170"/>
        <v>692243</v>
      </c>
      <c r="AC628" s="12">
        <f t="shared" si="170"/>
        <v>717703</v>
      </c>
      <c r="AD628" s="12">
        <f t="shared" si="170"/>
        <v>805953</v>
      </c>
      <c r="AE628" s="12">
        <f t="shared" si="170"/>
        <v>854881</v>
      </c>
      <c r="AF628" s="12">
        <f t="shared" si="170"/>
        <v>873731</v>
      </c>
      <c r="AG628" s="12">
        <f t="shared" si="170"/>
        <v>3867420</v>
      </c>
      <c r="AH628" s="12">
        <f t="shared" si="170"/>
        <v>3462065</v>
      </c>
      <c r="AI628" s="12">
        <f t="shared" si="170"/>
        <v>2162975</v>
      </c>
      <c r="AJ628" s="12">
        <f t="shared" si="170"/>
        <v>2498284</v>
      </c>
      <c r="AK628" s="12">
        <f t="shared" si="150"/>
        <v>2566553</v>
      </c>
      <c r="AL628" s="12">
        <f t="shared" ref="AL628:AM628" si="171">AL683+AL735</f>
        <v>2709536</v>
      </c>
      <c r="AM628" s="840">
        <f t="shared" si="171"/>
        <v>2850070</v>
      </c>
      <c r="AN628" s="1070">
        <f t="shared" ref="AN628:AO628" si="172">AN683+AN735</f>
        <v>3719630.6300000018</v>
      </c>
      <c r="AO628" s="1070">
        <f t="shared" si="172"/>
        <v>3700807</v>
      </c>
      <c r="AP628" s="1070">
        <f t="shared" ref="AP628:AQ628" si="173">AP683+AP735</f>
        <v>4109829</v>
      </c>
      <c r="AQ628" s="1070">
        <f t="shared" si="173"/>
        <v>4109829</v>
      </c>
      <c r="AR628" s="1044"/>
      <c r="AS628" s="1044"/>
    </row>
    <row r="629" spans="3:45" hidden="1" outlineLevel="1">
      <c r="C629" s="9" t="s">
        <v>16</v>
      </c>
      <c r="D629" s="9"/>
      <c r="E629" s="20" t="s">
        <v>178</v>
      </c>
      <c r="F629" s="12">
        <f t="shared" ref="F629:AJ629" si="174">F684+F736</f>
        <v>0</v>
      </c>
      <c r="G629" s="12">
        <f t="shared" si="174"/>
        <v>0</v>
      </c>
      <c r="H629" s="12">
        <f t="shared" si="174"/>
        <v>0</v>
      </c>
      <c r="I629" s="12">
        <f t="shared" si="174"/>
        <v>0</v>
      </c>
      <c r="J629" s="12">
        <f t="shared" si="174"/>
        <v>0</v>
      </c>
      <c r="K629" s="12">
        <f t="shared" si="174"/>
        <v>0</v>
      </c>
      <c r="L629" s="12">
        <f t="shared" si="174"/>
        <v>0</v>
      </c>
      <c r="M629" s="12">
        <f t="shared" si="174"/>
        <v>0</v>
      </c>
      <c r="N629" s="12">
        <f t="shared" si="174"/>
        <v>0</v>
      </c>
      <c r="O629" s="12">
        <f t="shared" si="174"/>
        <v>0</v>
      </c>
      <c r="P629" s="12">
        <f t="shared" si="174"/>
        <v>0</v>
      </c>
      <c r="Q629" s="12">
        <f t="shared" si="174"/>
        <v>0</v>
      </c>
      <c r="R629" s="12">
        <f t="shared" si="174"/>
        <v>0</v>
      </c>
      <c r="S629" s="12">
        <f t="shared" si="174"/>
        <v>0</v>
      </c>
      <c r="T629" s="12">
        <f t="shared" si="174"/>
        <v>0</v>
      </c>
      <c r="U629" s="12">
        <f t="shared" si="174"/>
        <v>0</v>
      </c>
      <c r="V629" s="12">
        <f t="shared" si="174"/>
        <v>0</v>
      </c>
      <c r="W629" s="12">
        <f t="shared" si="174"/>
        <v>0</v>
      </c>
      <c r="X629" s="12">
        <f t="shared" si="174"/>
        <v>214327</v>
      </c>
      <c r="Y629" s="12">
        <f t="shared" si="174"/>
        <v>214514.95</v>
      </c>
      <c r="Z629" s="12">
        <f t="shared" si="174"/>
        <v>213033</v>
      </c>
      <c r="AA629" s="12">
        <f t="shared" si="174"/>
        <v>230692</v>
      </c>
      <c r="AB629" s="12">
        <f t="shared" si="174"/>
        <v>251407</v>
      </c>
      <c r="AC629" s="12">
        <f t="shared" si="174"/>
        <v>248262</v>
      </c>
      <c r="AD629" s="12">
        <f t="shared" si="174"/>
        <v>251768</v>
      </c>
      <c r="AE629" s="12">
        <f t="shared" si="174"/>
        <v>250894</v>
      </c>
      <c r="AF629" s="12">
        <f t="shared" si="174"/>
        <v>245421.69</v>
      </c>
      <c r="AG629" s="12">
        <f t="shared" si="174"/>
        <v>871471</v>
      </c>
      <c r="AH629" s="12">
        <f t="shared" si="174"/>
        <v>788048</v>
      </c>
      <c r="AI629" s="12">
        <f t="shared" si="174"/>
        <v>448710</v>
      </c>
      <c r="AJ629" s="12">
        <f t="shared" si="174"/>
        <v>522150</v>
      </c>
      <c r="AK629" s="12">
        <f t="shared" si="150"/>
        <v>517316</v>
      </c>
      <c r="AL629" s="12">
        <f t="shared" ref="AL629:AM629" si="175">AL684+AL736</f>
        <v>529921</v>
      </c>
      <c r="AM629" s="840">
        <f t="shared" si="175"/>
        <v>506836</v>
      </c>
      <c r="AN629" s="1070">
        <f t="shared" ref="AN629:AO629" si="176">AN684+AN736</f>
        <v>749748.83000000007</v>
      </c>
      <c r="AO629" s="1070">
        <f t="shared" si="176"/>
        <v>744768</v>
      </c>
      <c r="AP629" s="1070">
        <f t="shared" ref="AP629:AQ629" si="177">AP684+AP736</f>
        <v>823847</v>
      </c>
      <c r="AQ629" s="1070">
        <f t="shared" si="177"/>
        <v>823847</v>
      </c>
      <c r="AR629" s="1044"/>
      <c r="AS629" s="1044"/>
    </row>
    <row r="630" spans="3:45" hidden="1" outlineLevel="1">
      <c r="C630" s="9" t="s">
        <v>16</v>
      </c>
      <c r="D630" s="9"/>
      <c r="E630" s="20" t="s">
        <v>179</v>
      </c>
      <c r="F630" s="12">
        <f t="shared" ref="F630:AJ630" si="178">F685+F737</f>
        <v>0</v>
      </c>
      <c r="G630" s="12">
        <f t="shared" si="178"/>
        <v>0</v>
      </c>
      <c r="H630" s="12">
        <f t="shared" si="178"/>
        <v>0</v>
      </c>
      <c r="I630" s="12">
        <f t="shared" si="178"/>
        <v>0</v>
      </c>
      <c r="J630" s="12">
        <f t="shared" si="178"/>
        <v>0</v>
      </c>
      <c r="K630" s="12">
        <f t="shared" si="178"/>
        <v>0</v>
      </c>
      <c r="L630" s="12">
        <f t="shared" si="178"/>
        <v>0</v>
      </c>
      <c r="M630" s="12">
        <f t="shared" si="178"/>
        <v>0</v>
      </c>
      <c r="N630" s="12">
        <f t="shared" si="178"/>
        <v>0</v>
      </c>
      <c r="O630" s="12">
        <f t="shared" si="178"/>
        <v>0</v>
      </c>
      <c r="P630" s="12">
        <f t="shared" si="178"/>
        <v>0</v>
      </c>
      <c r="Q630" s="12">
        <f t="shared" si="178"/>
        <v>0</v>
      </c>
      <c r="R630" s="12">
        <f t="shared" si="178"/>
        <v>0</v>
      </c>
      <c r="S630" s="12">
        <f t="shared" si="178"/>
        <v>0</v>
      </c>
      <c r="T630" s="12">
        <f t="shared" si="178"/>
        <v>0</v>
      </c>
      <c r="U630" s="12">
        <f t="shared" si="178"/>
        <v>0</v>
      </c>
      <c r="V630" s="12">
        <f t="shared" si="178"/>
        <v>0</v>
      </c>
      <c r="W630" s="12">
        <f t="shared" si="178"/>
        <v>0</v>
      </c>
      <c r="X630" s="12">
        <f t="shared" si="178"/>
        <v>2170634.0699999998</v>
      </c>
      <c r="Y630" s="12">
        <f t="shared" si="178"/>
        <v>2190418.77</v>
      </c>
      <c r="Z630" s="12">
        <f t="shared" si="178"/>
        <v>2077935</v>
      </c>
      <c r="AA630" s="12">
        <f t="shared" si="178"/>
        <v>2080198</v>
      </c>
      <c r="AB630" s="12">
        <f t="shared" si="178"/>
        <v>2142794</v>
      </c>
      <c r="AC630" s="12">
        <f t="shared" si="178"/>
        <v>2221390</v>
      </c>
      <c r="AD630" s="12">
        <f t="shared" si="178"/>
        <v>2317558</v>
      </c>
      <c r="AE630" s="12">
        <f t="shared" si="178"/>
        <v>2379609</v>
      </c>
      <c r="AF630" s="12">
        <f t="shared" si="178"/>
        <v>2478271.81</v>
      </c>
      <c r="AG630" s="12">
        <f t="shared" si="178"/>
        <v>7087848</v>
      </c>
      <c r="AH630" s="12">
        <f t="shared" si="178"/>
        <v>6410903</v>
      </c>
      <c r="AI630" s="12">
        <f t="shared" si="178"/>
        <v>3658037</v>
      </c>
      <c r="AJ630" s="12">
        <f t="shared" si="178"/>
        <v>5353451</v>
      </c>
      <c r="AK630" s="12">
        <f t="shared" si="150"/>
        <v>5264675</v>
      </c>
      <c r="AL630" s="12">
        <f t="shared" ref="AL630:AM630" si="179">AL685+AL737</f>
        <v>5347952</v>
      </c>
      <c r="AM630" s="840">
        <f t="shared" si="179"/>
        <v>5833539</v>
      </c>
      <c r="AN630" s="1070">
        <f t="shared" ref="AN630:AO630" si="180">AN685+AN737</f>
        <v>6989462.5099999998</v>
      </c>
      <c r="AO630" s="1070">
        <f t="shared" si="180"/>
        <v>7216328</v>
      </c>
      <c r="AP630" s="1070">
        <f t="shared" ref="AP630:AQ630" si="181">AP685+AP737</f>
        <v>7957326</v>
      </c>
      <c r="AQ630" s="1070">
        <f t="shared" si="181"/>
        <v>7957326</v>
      </c>
      <c r="AR630" s="1044"/>
      <c r="AS630" s="1044"/>
    </row>
    <row r="631" spans="3:45" hidden="1" outlineLevel="1">
      <c r="C631" s="9" t="s">
        <v>16</v>
      </c>
      <c r="D631" s="9"/>
      <c r="E631" s="20" t="s">
        <v>140</v>
      </c>
      <c r="F631" s="12">
        <f t="shared" ref="F631:AJ631" si="182">F686+F738</f>
        <v>0</v>
      </c>
      <c r="G631" s="12">
        <f t="shared" si="182"/>
        <v>0</v>
      </c>
      <c r="H631" s="12">
        <f t="shared" si="182"/>
        <v>0</v>
      </c>
      <c r="I631" s="12">
        <f t="shared" si="182"/>
        <v>0</v>
      </c>
      <c r="J631" s="12">
        <f t="shared" si="182"/>
        <v>0</v>
      </c>
      <c r="K631" s="12">
        <f t="shared" si="182"/>
        <v>0</v>
      </c>
      <c r="L631" s="12">
        <f t="shared" si="182"/>
        <v>0</v>
      </c>
      <c r="M631" s="12">
        <f t="shared" si="182"/>
        <v>0</v>
      </c>
      <c r="N631" s="12">
        <f t="shared" si="182"/>
        <v>0</v>
      </c>
      <c r="O631" s="12">
        <f t="shared" si="182"/>
        <v>0</v>
      </c>
      <c r="P631" s="12">
        <f t="shared" si="182"/>
        <v>0</v>
      </c>
      <c r="Q631" s="12">
        <f t="shared" si="182"/>
        <v>0</v>
      </c>
      <c r="R631" s="12">
        <f t="shared" si="182"/>
        <v>0</v>
      </c>
      <c r="S631" s="12">
        <f t="shared" si="182"/>
        <v>0</v>
      </c>
      <c r="T631" s="12">
        <f t="shared" si="182"/>
        <v>0</v>
      </c>
      <c r="U631" s="12">
        <f t="shared" si="182"/>
        <v>0</v>
      </c>
      <c r="V631" s="12">
        <f t="shared" si="182"/>
        <v>0</v>
      </c>
      <c r="W631" s="12">
        <f t="shared" si="182"/>
        <v>0</v>
      </c>
      <c r="X631" s="12">
        <f t="shared" si="182"/>
        <v>330510</v>
      </c>
      <c r="Y631" s="12">
        <f t="shared" si="182"/>
        <v>319257</v>
      </c>
      <c r="Z631" s="12">
        <f t="shared" si="182"/>
        <v>359395</v>
      </c>
      <c r="AA631" s="12">
        <f t="shared" si="182"/>
        <v>358037</v>
      </c>
      <c r="AB631" s="12">
        <f t="shared" si="182"/>
        <v>351635</v>
      </c>
      <c r="AC631" s="12">
        <f t="shared" si="182"/>
        <v>368764</v>
      </c>
      <c r="AD631" s="12">
        <f t="shared" si="182"/>
        <v>420777</v>
      </c>
      <c r="AE631" s="12">
        <f t="shared" si="182"/>
        <v>448380</v>
      </c>
      <c r="AF631" s="12">
        <f t="shared" si="182"/>
        <v>474002.32</v>
      </c>
      <c r="AG631" s="12">
        <f t="shared" si="182"/>
        <v>945280</v>
      </c>
      <c r="AH631" s="12">
        <f t="shared" si="182"/>
        <v>773943</v>
      </c>
      <c r="AI631" s="12">
        <f t="shared" si="182"/>
        <v>525005</v>
      </c>
      <c r="AJ631" s="12">
        <f t="shared" si="182"/>
        <v>661455</v>
      </c>
      <c r="AK631" s="12">
        <f t="shared" si="150"/>
        <v>669865</v>
      </c>
      <c r="AL631" s="12">
        <f t="shared" ref="AL631:AM631" si="183">AL686+AL738</f>
        <v>666552</v>
      </c>
      <c r="AM631" s="840">
        <f t="shared" si="183"/>
        <v>654938</v>
      </c>
      <c r="AN631" s="1070">
        <f t="shared" ref="AN631:AO631" si="184">AN686+AN738</f>
        <v>758166.26000000024</v>
      </c>
      <c r="AO631" s="1070">
        <f t="shared" si="184"/>
        <v>770843</v>
      </c>
      <c r="AP631" s="1070">
        <f t="shared" ref="AP631:AQ631" si="185">AP686+AP738</f>
        <v>836445</v>
      </c>
      <c r="AQ631" s="1070">
        <f t="shared" si="185"/>
        <v>836445</v>
      </c>
      <c r="AR631" s="1044"/>
      <c r="AS631" s="1044"/>
    </row>
    <row r="632" spans="3:45" hidden="1" outlineLevel="1">
      <c r="C632" s="9" t="s">
        <v>16</v>
      </c>
      <c r="D632" s="9"/>
      <c r="E632" s="20" t="s">
        <v>141</v>
      </c>
      <c r="F632" s="12">
        <f t="shared" ref="F632:AJ632" si="186">F687+F739</f>
        <v>0</v>
      </c>
      <c r="G632" s="12">
        <f t="shared" si="186"/>
        <v>0</v>
      </c>
      <c r="H632" s="12">
        <f t="shared" si="186"/>
        <v>0</v>
      </c>
      <c r="I632" s="12">
        <f t="shared" si="186"/>
        <v>0</v>
      </c>
      <c r="J632" s="12">
        <f t="shared" si="186"/>
        <v>0</v>
      </c>
      <c r="K632" s="12">
        <f t="shared" si="186"/>
        <v>0</v>
      </c>
      <c r="L632" s="12">
        <f t="shared" si="186"/>
        <v>0</v>
      </c>
      <c r="M632" s="12">
        <f t="shared" si="186"/>
        <v>0</v>
      </c>
      <c r="N632" s="12">
        <f t="shared" si="186"/>
        <v>0</v>
      </c>
      <c r="O632" s="12">
        <f t="shared" si="186"/>
        <v>0</v>
      </c>
      <c r="P632" s="12">
        <f t="shared" si="186"/>
        <v>0</v>
      </c>
      <c r="Q632" s="12">
        <f t="shared" si="186"/>
        <v>0</v>
      </c>
      <c r="R632" s="12">
        <f t="shared" si="186"/>
        <v>0</v>
      </c>
      <c r="S632" s="12">
        <f t="shared" si="186"/>
        <v>0</v>
      </c>
      <c r="T632" s="12">
        <f t="shared" si="186"/>
        <v>0</v>
      </c>
      <c r="U632" s="12">
        <f t="shared" si="186"/>
        <v>0</v>
      </c>
      <c r="V632" s="12">
        <f t="shared" si="186"/>
        <v>0</v>
      </c>
      <c r="W632" s="12">
        <f t="shared" si="186"/>
        <v>0</v>
      </c>
      <c r="X632" s="12">
        <f t="shared" si="186"/>
        <v>453911</v>
      </c>
      <c r="Y632" s="12">
        <f t="shared" si="186"/>
        <v>463069</v>
      </c>
      <c r="Z632" s="12">
        <f t="shared" si="186"/>
        <v>465906</v>
      </c>
      <c r="AA632" s="12">
        <f t="shared" si="186"/>
        <v>481263</v>
      </c>
      <c r="AB632" s="12">
        <f t="shared" si="186"/>
        <v>505658</v>
      </c>
      <c r="AC632" s="12">
        <f t="shared" si="186"/>
        <v>518776</v>
      </c>
      <c r="AD632" s="12">
        <f t="shared" si="186"/>
        <v>542477</v>
      </c>
      <c r="AE632" s="12">
        <f t="shared" si="186"/>
        <v>500848</v>
      </c>
      <c r="AF632" s="12">
        <f t="shared" si="186"/>
        <v>496934.44</v>
      </c>
      <c r="AG632" s="12">
        <f t="shared" si="186"/>
        <v>826803</v>
      </c>
      <c r="AH632" s="12">
        <f t="shared" si="186"/>
        <v>634818</v>
      </c>
      <c r="AI632" s="12">
        <f t="shared" si="186"/>
        <v>451127</v>
      </c>
      <c r="AJ632" s="12">
        <f t="shared" si="186"/>
        <v>488412</v>
      </c>
      <c r="AK632" s="12">
        <f t="shared" si="150"/>
        <v>480811</v>
      </c>
      <c r="AL632" s="12">
        <f t="shared" ref="AL632:AM632" si="187">AL687+AL739</f>
        <v>463945</v>
      </c>
      <c r="AM632" s="840">
        <f t="shared" si="187"/>
        <v>462256</v>
      </c>
      <c r="AN632" s="1070">
        <f t="shared" ref="AN632:AO632" si="188">AN687+AN739</f>
        <v>554201.99</v>
      </c>
      <c r="AO632" s="1070">
        <f t="shared" si="188"/>
        <v>554909</v>
      </c>
      <c r="AP632" s="1070">
        <f t="shared" ref="AP632:AQ632" si="189">AP687+AP739</f>
        <v>603024</v>
      </c>
      <c r="AQ632" s="1070">
        <f t="shared" si="189"/>
        <v>603024</v>
      </c>
      <c r="AR632" s="1044"/>
      <c r="AS632" s="1044"/>
    </row>
    <row r="633" spans="3:45" hidden="1" outlineLevel="1">
      <c r="C633" s="9" t="s">
        <v>16</v>
      </c>
      <c r="D633" s="9"/>
      <c r="E633" s="20" t="s">
        <v>142</v>
      </c>
      <c r="F633" s="12">
        <f t="shared" ref="F633:AJ633" si="190">F688+F740</f>
        <v>0</v>
      </c>
      <c r="G633" s="12">
        <f t="shared" si="190"/>
        <v>0</v>
      </c>
      <c r="H633" s="12">
        <f t="shared" si="190"/>
        <v>0</v>
      </c>
      <c r="I633" s="12">
        <f t="shared" si="190"/>
        <v>0</v>
      </c>
      <c r="J633" s="12">
        <f t="shared" si="190"/>
        <v>0</v>
      </c>
      <c r="K633" s="12">
        <f t="shared" si="190"/>
        <v>0</v>
      </c>
      <c r="L633" s="12">
        <f t="shared" si="190"/>
        <v>0</v>
      </c>
      <c r="M633" s="12">
        <f t="shared" si="190"/>
        <v>0</v>
      </c>
      <c r="N633" s="12">
        <f t="shared" si="190"/>
        <v>0</v>
      </c>
      <c r="O633" s="12">
        <f t="shared" si="190"/>
        <v>0</v>
      </c>
      <c r="P633" s="12">
        <f t="shared" si="190"/>
        <v>0</v>
      </c>
      <c r="Q633" s="12">
        <f t="shared" si="190"/>
        <v>0</v>
      </c>
      <c r="R633" s="12">
        <f t="shared" si="190"/>
        <v>0</v>
      </c>
      <c r="S633" s="12">
        <f t="shared" si="190"/>
        <v>0</v>
      </c>
      <c r="T633" s="12">
        <f t="shared" si="190"/>
        <v>0</v>
      </c>
      <c r="U633" s="12">
        <f t="shared" si="190"/>
        <v>0</v>
      </c>
      <c r="V633" s="12">
        <f t="shared" si="190"/>
        <v>0</v>
      </c>
      <c r="W633" s="12">
        <f t="shared" si="190"/>
        <v>0</v>
      </c>
      <c r="X633" s="12">
        <f t="shared" si="190"/>
        <v>0</v>
      </c>
      <c r="Y633" s="12">
        <f t="shared" si="190"/>
        <v>0</v>
      </c>
      <c r="Z633" s="12">
        <f t="shared" si="190"/>
        <v>0</v>
      </c>
      <c r="AA633" s="12">
        <f t="shared" si="190"/>
        <v>0</v>
      </c>
      <c r="AB633" s="12">
        <f t="shared" si="190"/>
        <v>0</v>
      </c>
      <c r="AC633" s="12">
        <f t="shared" si="190"/>
        <v>0</v>
      </c>
      <c r="AD633" s="12">
        <f t="shared" si="190"/>
        <v>0</v>
      </c>
      <c r="AE633" s="12">
        <f t="shared" si="190"/>
        <v>0</v>
      </c>
      <c r="AF633" s="12">
        <f t="shared" si="190"/>
        <v>0</v>
      </c>
      <c r="AG633" s="12">
        <f t="shared" si="190"/>
        <v>37597</v>
      </c>
      <c r="AH633" s="12">
        <f t="shared" si="190"/>
        <v>38523</v>
      </c>
      <c r="AI633" s="12">
        <f t="shared" si="190"/>
        <v>61969</v>
      </c>
      <c r="AJ633" s="12">
        <f t="shared" si="190"/>
        <v>162590</v>
      </c>
      <c r="AK633" s="12">
        <f t="shared" si="150"/>
        <v>183899</v>
      </c>
      <c r="AL633" s="12">
        <f t="shared" ref="AL633:AM633" si="191">AL688+AL740</f>
        <v>382025</v>
      </c>
      <c r="AM633" s="840">
        <f t="shared" si="191"/>
        <v>456221</v>
      </c>
      <c r="AN633" s="1070">
        <f t="shared" ref="AN633:AO633" si="192">AN688+AN740</f>
        <v>326348.56000000006</v>
      </c>
      <c r="AO633" s="1070">
        <f t="shared" si="192"/>
        <v>328734</v>
      </c>
      <c r="AP633" s="1070">
        <f t="shared" ref="AP633:AQ633" si="193">AP688+AP740</f>
        <v>340387</v>
      </c>
      <c r="AQ633" s="1070">
        <f t="shared" si="193"/>
        <v>340387</v>
      </c>
      <c r="AR633" s="1044"/>
      <c r="AS633" s="1044"/>
    </row>
    <row r="634" spans="3:45" hidden="1" outlineLevel="1">
      <c r="C634" s="9" t="s">
        <v>16</v>
      </c>
      <c r="D634" s="9"/>
      <c r="E634" s="20" t="s">
        <v>164</v>
      </c>
      <c r="F634" s="12">
        <f t="shared" ref="F634:AJ634" si="194">F689+F741</f>
        <v>0</v>
      </c>
      <c r="G634" s="12">
        <f t="shared" si="194"/>
        <v>0</v>
      </c>
      <c r="H634" s="12">
        <f t="shared" si="194"/>
        <v>0</v>
      </c>
      <c r="I634" s="12">
        <f t="shared" si="194"/>
        <v>0</v>
      </c>
      <c r="J634" s="12">
        <f t="shared" si="194"/>
        <v>0</v>
      </c>
      <c r="K634" s="12">
        <f t="shared" si="194"/>
        <v>0</v>
      </c>
      <c r="L634" s="12">
        <f t="shared" si="194"/>
        <v>0</v>
      </c>
      <c r="M634" s="12">
        <f t="shared" si="194"/>
        <v>0</v>
      </c>
      <c r="N634" s="12">
        <f t="shared" si="194"/>
        <v>0</v>
      </c>
      <c r="O634" s="12">
        <f t="shared" si="194"/>
        <v>0</v>
      </c>
      <c r="P634" s="12">
        <f t="shared" si="194"/>
        <v>0</v>
      </c>
      <c r="Q634" s="12">
        <f t="shared" si="194"/>
        <v>0</v>
      </c>
      <c r="R634" s="12">
        <f t="shared" si="194"/>
        <v>0</v>
      </c>
      <c r="S634" s="12">
        <f t="shared" si="194"/>
        <v>0</v>
      </c>
      <c r="T634" s="12">
        <f t="shared" si="194"/>
        <v>0</v>
      </c>
      <c r="U634" s="12">
        <f t="shared" si="194"/>
        <v>0</v>
      </c>
      <c r="V634" s="12">
        <f t="shared" si="194"/>
        <v>0</v>
      </c>
      <c r="W634" s="12">
        <f t="shared" si="194"/>
        <v>0</v>
      </c>
      <c r="X634" s="12">
        <f t="shared" si="194"/>
        <v>438005</v>
      </c>
      <c r="Y634" s="12">
        <f t="shared" si="194"/>
        <v>441747</v>
      </c>
      <c r="Z634" s="12">
        <f t="shared" si="194"/>
        <v>448328</v>
      </c>
      <c r="AA634" s="12">
        <f t="shared" si="194"/>
        <v>456741</v>
      </c>
      <c r="AB634" s="12">
        <f t="shared" si="194"/>
        <v>464778</v>
      </c>
      <c r="AC634" s="12">
        <f t="shared" si="194"/>
        <v>458573</v>
      </c>
      <c r="AD634" s="12">
        <f t="shared" si="194"/>
        <v>452286</v>
      </c>
      <c r="AE634" s="12">
        <f t="shared" si="194"/>
        <v>443044</v>
      </c>
      <c r="AF634" s="12">
        <f t="shared" si="194"/>
        <v>448146</v>
      </c>
      <c r="AG634" s="12">
        <f t="shared" si="194"/>
        <v>1110655</v>
      </c>
      <c r="AH634" s="12">
        <f t="shared" si="194"/>
        <v>1037061</v>
      </c>
      <c r="AI634" s="12">
        <f t="shared" si="194"/>
        <v>765081</v>
      </c>
      <c r="AJ634" s="12">
        <f t="shared" si="194"/>
        <v>786592</v>
      </c>
      <c r="AK634" s="12">
        <f t="shared" si="150"/>
        <v>751862</v>
      </c>
      <c r="AL634" s="12">
        <f t="shared" ref="AL634:AM634" si="195">AL689+AL741</f>
        <v>749090</v>
      </c>
      <c r="AM634" s="840">
        <f t="shared" si="195"/>
        <v>794872</v>
      </c>
      <c r="AN634" s="1070">
        <f t="shared" ref="AN634:AO634" si="196">AN689+AN741</f>
        <v>862963.10000000009</v>
      </c>
      <c r="AO634" s="1070">
        <f t="shared" si="196"/>
        <v>891090</v>
      </c>
      <c r="AP634" s="1070">
        <f t="shared" ref="AP634:AQ634" si="197">AP689+AP741</f>
        <v>968095</v>
      </c>
      <c r="AQ634" s="1070">
        <f t="shared" si="197"/>
        <v>968095</v>
      </c>
      <c r="AR634" s="1044"/>
      <c r="AS634" s="1044"/>
    </row>
    <row r="635" spans="3:45" hidden="1" outlineLevel="1">
      <c r="C635" s="9" t="s">
        <v>16</v>
      </c>
      <c r="D635" s="9"/>
      <c r="E635" s="20" t="s">
        <v>144</v>
      </c>
      <c r="F635" s="12">
        <f t="shared" ref="F635:AJ635" si="198">F690+F742</f>
        <v>0</v>
      </c>
      <c r="G635" s="12">
        <f t="shared" si="198"/>
        <v>0</v>
      </c>
      <c r="H635" s="12">
        <f t="shared" si="198"/>
        <v>0</v>
      </c>
      <c r="I635" s="12">
        <f t="shared" si="198"/>
        <v>0</v>
      </c>
      <c r="J635" s="12">
        <f t="shared" si="198"/>
        <v>0</v>
      </c>
      <c r="K635" s="12">
        <f t="shared" si="198"/>
        <v>0</v>
      </c>
      <c r="L635" s="12">
        <f t="shared" si="198"/>
        <v>0</v>
      </c>
      <c r="M635" s="12">
        <f t="shared" si="198"/>
        <v>0</v>
      </c>
      <c r="N635" s="12">
        <f t="shared" si="198"/>
        <v>0</v>
      </c>
      <c r="O635" s="12">
        <f t="shared" si="198"/>
        <v>0</v>
      </c>
      <c r="P635" s="12">
        <f t="shared" si="198"/>
        <v>0</v>
      </c>
      <c r="Q635" s="12">
        <f t="shared" si="198"/>
        <v>0</v>
      </c>
      <c r="R635" s="12">
        <f t="shared" si="198"/>
        <v>0</v>
      </c>
      <c r="S635" s="12">
        <f t="shared" si="198"/>
        <v>0</v>
      </c>
      <c r="T635" s="12">
        <f t="shared" si="198"/>
        <v>0</v>
      </c>
      <c r="U635" s="12">
        <f t="shared" si="198"/>
        <v>0</v>
      </c>
      <c r="V635" s="12">
        <f t="shared" si="198"/>
        <v>0</v>
      </c>
      <c r="W635" s="12">
        <f t="shared" si="198"/>
        <v>0</v>
      </c>
      <c r="X635" s="12">
        <f t="shared" si="198"/>
        <v>799528</v>
      </c>
      <c r="Y635" s="12">
        <f t="shared" si="198"/>
        <v>791504</v>
      </c>
      <c r="Z635" s="12">
        <f t="shared" si="198"/>
        <v>751773</v>
      </c>
      <c r="AA635" s="12">
        <f t="shared" si="198"/>
        <v>734788</v>
      </c>
      <c r="AB635" s="12">
        <f t="shared" si="198"/>
        <v>725824</v>
      </c>
      <c r="AC635" s="12">
        <f t="shared" si="198"/>
        <v>732229</v>
      </c>
      <c r="AD635" s="12">
        <f t="shared" si="198"/>
        <v>747645</v>
      </c>
      <c r="AE635" s="12">
        <f t="shared" si="198"/>
        <v>767395</v>
      </c>
      <c r="AF635" s="12">
        <f t="shared" si="198"/>
        <v>807071</v>
      </c>
      <c r="AG635" s="12">
        <f t="shared" si="198"/>
        <v>1848447</v>
      </c>
      <c r="AH635" s="12">
        <f t="shared" si="198"/>
        <v>1696065</v>
      </c>
      <c r="AI635" s="12">
        <f t="shared" si="198"/>
        <v>1152644</v>
      </c>
      <c r="AJ635" s="12">
        <f t="shared" si="198"/>
        <v>1345467</v>
      </c>
      <c r="AK635" s="12">
        <f t="shared" si="150"/>
        <v>1287240</v>
      </c>
      <c r="AL635" s="12">
        <f t="shared" ref="AL635:AM635" si="199">AL690+AL742</f>
        <v>1327135</v>
      </c>
      <c r="AM635" s="840">
        <f t="shared" si="199"/>
        <v>872980</v>
      </c>
      <c r="AN635" s="1070">
        <f t="shared" ref="AN635:AO635" si="200">AN690+AN742</f>
        <v>1753527.3199999998</v>
      </c>
      <c r="AO635" s="1070">
        <f t="shared" si="200"/>
        <v>1836480</v>
      </c>
      <c r="AP635" s="1070">
        <f t="shared" ref="AP635:AQ635" si="201">AP690+AP742</f>
        <v>1985722</v>
      </c>
      <c r="AQ635" s="1070">
        <f t="shared" si="201"/>
        <v>1985722</v>
      </c>
      <c r="AR635" s="1044"/>
      <c r="AS635" s="1044"/>
    </row>
    <row r="636" spans="3:45" hidden="1" outlineLevel="1">
      <c r="C636" s="9" t="s">
        <v>16</v>
      </c>
      <c r="D636" s="9"/>
      <c r="E636" s="20" t="s">
        <v>180</v>
      </c>
      <c r="F636" s="12">
        <f t="shared" ref="F636:AJ636" si="202">F691+F743</f>
        <v>0</v>
      </c>
      <c r="G636" s="12">
        <f t="shared" si="202"/>
        <v>0</v>
      </c>
      <c r="H636" s="12">
        <f t="shared" si="202"/>
        <v>0</v>
      </c>
      <c r="I636" s="12">
        <f t="shared" si="202"/>
        <v>0</v>
      </c>
      <c r="J636" s="12">
        <f t="shared" si="202"/>
        <v>0</v>
      </c>
      <c r="K636" s="12">
        <f t="shared" si="202"/>
        <v>0</v>
      </c>
      <c r="L636" s="12">
        <f t="shared" si="202"/>
        <v>0</v>
      </c>
      <c r="M636" s="12">
        <f t="shared" si="202"/>
        <v>0</v>
      </c>
      <c r="N636" s="12">
        <f t="shared" si="202"/>
        <v>0</v>
      </c>
      <c r="O636" s="12">
        <f t="shared" si="202"/>
        <v>0</v>
      </c>
      <c r="P636" s="12">
        <f t="shared" si="202"/>
        <v>0</v>
      </c>
      <c r="Q636" s="12">
        <f t="shared" si="202"/>
        <v>0</v>
      </c>
      <c r="R636" s="12">
        <f t="shared" si="202"/>
        <v>0</v>
      </c>
      <c r="S636" s="12">
        <f t="shared" si="202"/>
        <v>0</v>
      </c>
      <c r="T636" s="12">
        <f t="shared" si="202"/>
        <v>0</v>
      </c>
      <c r="U636" s="12">
        <f t="shared" si="202"/>
        <v>0</v>
      </c>
      <c r="V636" s="12">
        <f t="shared" si="202"/>
        <v>0</v>
      </c>
      <c r="W636" s="12">
        <f t="shared" si="202"/>
        <v>0</v>
      </c>
      <c r="X636" s="12">
        <f t="shared" si="202"/>
        <v>242603</v>
      </c>
      <c r="Y636" s="12">
        <f t="shared" si="202"/>
        <v>242576</v>
      </c>
      <c r="Z636" s="12">
        <f t="shared" si="202"/>
        <v>222598</v>
      </c>
      <c r="AA636" s="12">
        <f t="shared" si="202"/>
        <v>227349</v>
      </c>
      <c r="AB636" s="12">
        <f t="shared" si="202"/>
        <v>237414</v>
      </c>
      <c r="AC636" s="12">
        <f t="shared" si="202"/>
        <v>242196</v>
      </c>
      <c r="AD636" s="12">
        <f t="shared" si="202"/>
        <v>265403</v>
      </c>
      <c r="AE636" s="12">
        <f t="shared" si="202"/>
        <v>252463</v>
      </c>
      <c r="AF636" s="12">
        <f t="shared" si="202"/>
        <v>234194.21999999997</v>
      </c>
      <c r="AG636" s="12">
        <f t="shared" si="202"/>
        <v>563859</v>
      </c>
      <c r="AH636" s="12">
        <f t="shared" si="202"/>
        <v>522550</v>
      </c>
      <c r="AI636" s="12">
        <f t="shared" si="202"/>
        <v>383338</v>
      </c>
      <c r="AJ636" s="12">
        <f t="shared" si="202"/>
        <v>425996</v>
      </c>
      <c r="AK636" s="12">
        <f t="shared" si="150"/>
        <v>398961</v>
      </c>
      <c r="AL636" s="12">
        <f t="shared" ref="AL636:AM636" si="203">AL691+AL743</f>
        <v>395816</v>
      </c>
      <c r="AM636" s="840">
        <f t="shared" si="203"/>
        <v>406928</v>
      </c>
      <c r="AN636" s="1070">
        <f t="shared" ref="AN636:AO636" si="204">AN691+AN743</f>
        <v>467959.99</v>
      </c>
      <c r="AO636" s="1070">
        <f t="shared" si="204"/>
        <v>482874</v>
      </c>
      <c r="AP636" s="1070">
        <f t="shared" ref="AP636:AQ636" si="205">AP691+AP743</f>
        <v>526933</v>
      </c>
      <c r="AQ636" s="1070">
        <f t="shared" si="205"/>
        <v>526933</v>
      </c>
      <c r="AR636" s="1044"/>
      <c r="AS636" s="1044"/>
    </row>
    <row r="637" spans="3:45" hidden="1" outlineLevel="1">
      <c r="C637" s="9" t="s">
        <v>16</v>
      </c>
      <c r="D637" s="9"/>
      <c r="E637" s="20" t="s">
        <v>146</v>
      </c>
      <c r="F637" s="12">
        <f t="shared" ref="F637:AJ637" si="206">F692+F744</f>
        <v>0</v>
      </c>
      <c r="G637" s="12">
        <f t="shared" si="206"/>
        <v>0</v>
      </c>
      <c r="H637" s="12">
        <f t="shared" si="206"/>
        <v>0</v>
      </c>
      <c r="I637" s="12">
        <f t="shared" si="206"/>
        <v>0</v>
      </c>
      <c r="J637" s="12">
        <f t="shared" si="206"/>
        <v>0</v>
      </c>
      <c r="K637" s="12">
        <f t="shared" si="206"/>
        <v>0</v>
      </c>
      <c r="L637" s="12">
        <f t="shared" si="206"/>
        <v>0</v>
      </c>
      <c r="M637" s="12">
        <f t="shared" si="206"/>
        <v>0</v>
      </c>
      <c r="N637" s="12">
        <f t="shared" si="206"/>
        <v>0</v>
      </c>
      <c r="O637" s="12">
        <f t="shared" si="206"/>
        <v>0</v>
      </c>
      <c r="P637" s="12">
        <f t="shared" si="206"/>
        <v>0</v>
      </c>
      <c r="Q637" s="12">
        <f t="shared" si="206"/>
        <v>0</v>
      </c>
      <c r="R637" s="12">
        <f t="shared" si="206"/>
        <v>0</v>
      </c>
      <c r="S637" s="12">
        <f t="shared" si="206"/>
        <v>0</v>
      </c>
      <c r="T637" s="12">
        <f t="shared" si="206"/>
        <v>0</v>
      </c>
      <c r="U637" s="12">
        <f t="shared" si="206"/>
        <v>0</v>
      </c>
      <c r="V637" s="12">
        <f t="shared" si="206"/>
        <v>0</v>
      </c>
      <c r="W637" s="12">
        <f t="shared" si="206"/>
        <v>0</v>
      </c>
      <c r="X637" s="12">
        <f t="shared" si="206"/>
        <v>288682</v>
      </c>
      <c r="Y637" s="12">
        <f t="shared" si="206"/>
        <v>297828</v>
      </c>
      <c r="Z637" s="12">
        <f t="shared" si="206"/>
        <v>280166</v>
      </c>
      <c r="AA637" s="12">
        <f t="shared" si="206"/>
        <v>276268</v>
      </c>
      <c r="AB637" s="12">
        <f t="shared" si="206"/>
        <v>261030</v>
      </c>
      <c r="AC637" s="12">
        <f t="shared" si="206"/>
        <v>280501</v>
      </c>
      <c r="AD637" s="12">
        <f t="shared" si="206"/>
        <v>290482</v>
      </c>
      <c r="AE637" s="12">
        <f t="shared" si="206"/>
        <v>287037</v>
      </c>
      <c r="AF637" s="12">
        <f t="shared" si="206"/>
        <v>267103</v>
      </c>
      <c r="AG637" s="12">
        <f t="shared" si="206"/>
        <v>724828</v>
      </c>
      <c r="AH637" s="12">
        <f t="shared" si="206"/>
        <v>660297</v>
      </c>
      <c r="AI637" s="12">
        <f t="shared" si="206"/>
        <v>364941</v>
      </c>
      <c r="AJ637" s="12">
        <f t="shared" si="206"/>
        <v>519061</v>
      </c>
      <c r="AK637" s="12">
        <f t="shared" si="150"/>
        <v>512202</v>
      </c>
      <c r="AL637" s="12">
        <f t="shared" ref="AL637:AM637" si="207">AL692+AL744</f>
        <v>495042</v>
      </c>
      <c r="AM637" s="840">
        <f t="shared" si="207"/>
        <v>533501</v>
      </c>
      <c r="AN637" s="1070">
        <f t="shared" ref="AN637:AO637" si="208">AN692+AN744</f>
        <v>652755.75</v>
      </c>
      <c r="AO637" s="1070">
        <f t="shared" si="208"/>
        <v>657896</v>
      </c>
      <c r="AP637" s="1070">
        <f t="shared" ref="AP637:AQ637" si="209">AP692+AP744</f>
        <v>724897</v>
      </c>
      <c r="AQ637" s="1070">
        <f t="shared" si="209"/>
        <v>724897</v>
      </c>
      <c r="AR637" s="1044"/>
      <c r="AS637" s="1044"/>
    </row>
    <row r="638" spans="3:45" hidden="1" outlineLevel="1">
      <c r="C638" s="9" t="s">
        <v>16</v>
      </c>
      <c r="D638" s="9"/>
      <c r="E638" s="20" t="s">
        <v>147</v>
      </c>
      <c r="F638" s="12">
        <f t="shared" ref="F638:AJ638" si="210">F693+F745</f>
        <v>0</v>
      </c>
      <c r="G638" s="12">
        <f t="shared" si="210"/>
        <v>0</v>
      </c>
      <c r="H638" s="12">
        <f t="shared" si="210"/>
        <v>0</v>
      </c>
      <c r="I638" s="12">
        <f t="shared" si="210"/>
        <v>0</v>
      </c>
      <c r="J638" s="12">
        <f t="shared" si="210"/>
        <v>0</v>
      </c>
      <c r="K638" s="12">
        <f t="shared" si="210"/>
        <v>0</v>
      </c>
      <c r="L638" s="12">
        <f t="shared" si="210"/>
        <v>0</v>
      </c>
      <c r="M638" s="12">
        <f t="shared" si="210"/>
        <v>0</v>
      </c>
      <c r="N638" s="12">
        <f t="shared" si="210"/>
        <v>0</v>
      </c>
      <c r="O638" s="12">
        <f t="shared" si="210"/>
        <v>0</v>
      </c>
      <c r="P638" s="12">
        <f t="shared" si="210"/>
        <v>0</v>
      </c>
      <c r="Q638" s="12">
        <f t="shared" si="210"/>
        <v>0</v>
      </c>
      <c r="R638" s="12">
        <f t="shared" si="210"/>
        <v>0</v>
      </c>
      <c r="S638" s="12">
        <f t="shared" si="210"/>
        <v>0</v>
      </c>
      <c r="T638" s="12">
        <f t="shared" si="210"/>
        <v>0</v>
      </c>
      <c r="U638" s="12">
        <f t="shared" si="210"/>
        <v>0</v>
      </c>
      <c r="V638" s="12">
        <f t="shared" si="210"/>
        <v>0</v>
      </c>
      <c r="W638" s="12">
        <f t="shared" si="210"/>
        <v>0</v>
      </c>
      <c r="X638" s="12">
        <f t="shared" si="210"/>
        <v>293022.37</v>
      </c>
      <c r="Y638" s="12">
        <f t="shared" si="210"/>
        <v>311186.21999999997</v>
      </c>
      <c r="Z638" s="12">
        <f t="shared" si="210"/>
        <v>325392</v>
      </c>
      <c r="AA638" s="12">
        <f t="shared" si="210"/>
        <v>361112</v>
      </c>
      <c r="AB638" s="12">
        <f t="shared" si="210"/>
        <v>378479</v>
      </c>
      <c r="AC638" s="12">
        <f t="shared" si="210"/>
        <v>377616</v>
      </c>
      <c r="AD638" s="12">
        <f t="shared" si="210"/>
        <v>403278</v>
      </c>
      <c r="AE638" s="12">
        <f t="shared" si="210"/>
        <v>399918</v>
      </c>
      <c r="AF638" s="12">
        <f t="shared" si="210"/>
        <v>439319.76999999996</v>
      </c>
      <c r="AG638" s="12">
        <f t="shared" si="210"/>
        <v>1018953</v>
      </c>
      <c r="AH638" s="12">
        <f t="shared" si="210"/>
        <v>946679</v>
      </c>
      <c r="AI638" s="12">
        <f t="shared" si="210"/>
        <v>534063</v>
      </c>
      <c r="AJ638" s="12">
        <f t="shared" si="210"/>
        <v>770482</v>
      </c>
      <c r="AK638" s="12">
        <f t="shared" si="150"/>
        <v>741397</v>
      </c>
      <c r="AL638" s="12">
        <f t="shared" ref="AL638:AM638" si="211">AL693+AL745</f>
        <v>744401</v>
      </c>
      <c r="AM638" s="840">
        <f t="shared" si="211"/>
        <v>803639</v>
      </c>
      <c r="AN638" s="1070">
        <f t="shared" ref="AN638:AO638" si="212">AN693+AN745</f>
        <v>907333.36999999988</v>
      </c>
      <c r="AO638" s="1070">
        <f t="shared" si="212"/>
        <v>936314</v>
      </c>
      <c r="AP638" s="1070">
        <f t="shared" ref="AP638:AQ638" si="213">AP693+AP745</f>
        <v>999473</v>
      </c>
      <c r="AQ638" s="1070">
        <f t="shared" si="213"/>
        <v>999473</v>
      </c>
      <c r="AR638" s="1044"/>
      <c r="AS638" s="1044"/>
    </row>
    <row r="639" spans="3:45" hidden="1" outlineLevel="1">
      <c r="C639" s="9" t="s">
        <v>16</v>
      </c>
      <c r="D639" s="9"/>
      <c r="E639" s="20" t="s">
        <v>148</v>
      </c>
      <c r="F639" s="12">
        <f t="shared" ref="F639:AK640" si="214">F694+F746</f>
        <v>0</v>
      </c>
      <c r="G639" s="12">
        <f t="shared" si="214"/>
        <v>0</v>
      </c>
      <c r="H639" s="12">
        <f t="shared" si="214"/>
        <v>0</v>
      </c>
      <c r="I639" s="12">
        <f t="shared" si="214"/>
        <v>0</v>
      </c>
      <c r="J639" s="12">
        <f t="shared" si="214"/>
        <v>0</v>
      </c>
      <c r="K639" s="12">
        <f t="shared" si="214"/>
        <v>0</v>
      </c>
      <c r="L639" s="12">
        <f t="shared" si="214"/>
        <v>0</v>
      </c>
      <c r="M639" s="12">
        <f t="shared" si="214"/>
        <v>0</v>
      </c>
      <c r="N639" s="12">
        <f t="shared" si="214"/>
        <v>0</v>
      </c>
      <c r="O639" s="12">
        <f t="shared" si="214"/>
        <v>0</v>
      </c>
      <c r="P639" s="12">
        <f t="shared" si="214"/>
        <v>0</v>
      </c>
      <c r="Q639" s="12">
        <f t="shared" si="214"/>
        <v>0</v>
      </c>
      <c r="R639" s="12">
        <f t="shared" si="214"/>
        <v>0</v>
      </c>
      <c r="S639" s="12">
        <f t="shared" si="214"/>
        <v>0</v>
      </c>
      <c r="T639" s="12">
        <f t="shared" si="214"/>
        <v>0</v>
      </c>
      <c r="U639" s="12">
        <f t="shared" si="214"/>
        <v>0</v>
      </c>
      <c r="V639" s="12">
        <f t="shared" si="214"/>
        <v>0</v>
      </c>
      <c r="W639" s="12">
        <f t="shared" si="214"/>
        <v>0</v>
      </c>
      <c r="X639" s="12">
        <f t="shared" si="214"/>
        <v>123874</v>
      </c>
      <c r="Y639" s="12">
        <f t="shared" si="214"/>
        <v>116313.62</v>
      </c>
      <c r="Z639" s="12">
        <f t="shared" si="214"/>
        <v>113918</v>
      </c>
      <c r="AA639" s="12">
        <f t="shared" si="214"/>
        <v>110471</v>
      </c>
      <c r="AB639" s="12">
        <f t="shared" si="214"/>
        <v>115751</v>
      </c>
      <c r="AC639" s="12">
        <f t="shared" si="214"/>
        <v>117419</v>
      </c>
      <c r="AD639" s="12">
        <f t="shared" si="214"/>
        <v>147767</v>
      </c>
      <c r="AE639" s="12">
        <f t="shared" si="214"/>
        <v>155430</v>
      </c>
      <c r="AF639" s="12">
        <f t="shared" si="214"/>
        <v>174745.27</v>
      </c>
      <c r="AG639" s="12">
        <f t="shared" si="214"/>
        <v>362694</v>
      </c>
      <c r="AH639" s="12">
        <f t="shared" si="214"/>
        <v>321857</v>
      </c>
      <c r="AI639" s="12">
        <f t="shared" si="214"/>
        <v>173786</v>
      </c>
      <c r="AJ639" s="12">
        <f t="shared" si="214"/>
        <v>265879</v>
      </c>
      <c r="AK639" s="12">
        <f t="shared" si="214"/>
        <v>263769</v>
      </c>
      <c r="AL639" s="12">
        <f t="shared" ref="AL639:AM639" si="215">AL694+AL746</f>
        <v>253298</v>
      </c>
      <c r="AM639" s="840">
        <f t="shared" si="215"/>
        <v>261128</v>
      </c>
      <c r="AN639" s="1070">
        <f t="shared" ref="AN639:AO639" si="216">AN694+AN746</f>
        <v>295854.15999999997</v>
      </c>
      <c r="AO639" s="1070">
        <f t="shared" si="216"/>
        <v>297850</v>
      </c>
      <c r="AP639" s="1070">
        <f t="shared" ref="AP639:AQ639" si="217">AP694+AP746</f>
        <v>320516</v>
      </c>
      <c r="AQ639" s="1070">
        <f t="shared" si="217"/>
        <v>320516</v>
      </c>
      <c r="AR639" s="1044"/>
      <c r="AS639" s="1044"/>
    </row>
    <row r="640" spans="3:45" hidden="1" outlineLevel="1">
      <c r="C640" s="9" t="s">
        <v>16</v>
      </c>
      <c r="D640" s="9"/>
      <c r="E640" s="20" t="s">
        <v>181</v>
      </c>
      <c r="F640" s="12">
        <f t="shared" ref="F640:AJ640" si="218">F695+F747</f>
        <v>0</v>
      </c>
      <c r="G640" s="12">
        <f t="shared" si="218"/>
        <v>0</v>
      </c>
      <c r="H640" s="12">
        <f t="shared" si="218"/>
        <v>0</v>
      </c>
      <c r="I640" s="12">
        <f t="shared" si="218"/>
        <v>0</v>
      </c>
      <c r="J640" s="12">
        <f t="shared" si="218"/>
        <v>0</v>
      </c>
      <c r="K640" s="12">
        <f t="shared" si="218"/>
        <v>0</v>
      </c>
      <c r="L640" s="12">
        <f t="shared" si="218"/>
        <v>0</v>
      </c>
      <c r="M640" s="12">
        <f t="shared" si="218"/>
        <v>0</v>
      </c>
      <c r="N640" s="12">
        <f t="shared" si="218"/>
        <v>0</v>
      </c>
      <c r="O640" s="12">
        <f t="shared" si="218"/>
        <v>0</v>
      </c>
      <c r="P640" s="12">
        <f t="shared" si="218"/>
        <v>0</v>
      </c>
      <c r="Q640" s="12">
        <f t="shared" si="218"/>
        <v>0</v>
      </c>
      <c r="R640" s="12">
        <f t="shared" si="218"/>
        <v>0</v>
      </c>
      <c r="S640" s="12">
        <f t="shared" si="218"/>
        <v>0</v>
      </c>
      <c r="T640" s="12">
        <f t="shared" si="218"/>
        <v>0</v>
      </c>
      <c r="U640" s="12">
        <f t="shared" si="218"/>
        <v>0</v>
      </c>
      <c r="V640" s="12">
        <f t="shared" si="218"/>
        <v>0</v>
      </c>
      <c r="W640" s="12">
        <f t="shared" si="218"/>
        <v>0</v>
      </c>
      <c r="X640" s="12">
        <f t="shared" si="218"/>
        <v>476860</v>
      </c>
      <c r="Y640" s="12">
        <f t="shared" si="218"/>
        <v>483212.05</v>
      </c>
      <c r="Z640" s="12">
        <f t="shared" si="218"/>
        <v>475066</v>
      </c>
      <c r="AA640" s="12">
        <f t="shared" si="218"/>
        <v>479834</v>
      </c>
      <c r="AB640" s="12">
        <f t="shared" si="218"/>
        <v>492365</v>
      </c>
      <c r="AC640" s="12">
        <f t="shared" si="218"/>
        <v>509777</v>
      </c>
      <c r="AD640" s="12">
        <f t="shared" si="218"/>
        <v>543185</v>
      </c>
      <c r="AE640" s="12">
        <f t="shared" si="218"/>
        <v>562237</v>
      </c>
      <c r="AF640" s="12">
        <f t="shared" si="218"/>
        <v>558594</v>
      </c>
      <c r="AG640" s="12">
        <f t="shared" si="218"/>
        <v>1069155</v>
      </c>
      <c r="AH640" s="12">
        <f t="shared" si="218"/>
        <v>1010993</v>
      </c>
      <c r="AI640" s="12">
        <f t="shared" si="218"/>
        <v>609149</v>
      </c>
      <c r="AJ640" s="12">
        <f t="shared" si="218"/>
        <v>863003</v>
      </c>
      <c r="AK640" s="12">
        <f t="shared" si="214"/>
        <v>836917</v>
      </c>
      <c r="AL640" s="12">
        <f t="shared" ref="AL640:AM640" si="219">AL695+AL747</f>
        <v>830441</v>
      </c>
      <c r="AM640" s="840">
        <f t="shared" si="219"/>
        <v>901498</v>
      </c>
      <c r="AN640" s="1070">
        <f t="shared" ref="AN640:AO640" si="220">AN695+AN747</f>
        <v>992317.80000000028</v>
      </c>
      <c r="AO640" s="1070">
        <f t="shared" si="220"/>
        <v>991622</v>
      </c>
      <c r="AP640" s="1070">
        <f t="shared" ref="AP640:AQ640" si="221">AP695+AP747</f>
        <v>1067352</v>
      </c>
      <c r="AQ640" s="1070">
        <f t="shared" si="221"/>
        <v>1067352</v>
      </c>
      <c r="AR640" s="1044"/>
      <c r="AS640" s="1044"/>
    </row>
    <row r="641" spans="3:45" ht="25.5" hidden="1" outlineLevel="1">
      <c r="C641" s="9" t="s">
        <v>16</v>
      </c>
      <c r="D641" s="9"/>
      <c r="E641" s="368" t="s">
        <v>1637</v>
      </c>
      <c r="F641" s="34">
        <f t="shared" ref="F641:AL641" si="222">SUM(F591:F640)</f>
        <v>0</v>
      </c>
      <c r="G641" s="34">
        <f t="shared" si="222"/>
        <v>0</v>
      </c>
      <c r="H641" s="34">
        <f t="shared" si="222"/>
        <v>0</v>
      </c>
      <c r="I641" s="34">
        <f t="shared" si="222"/>
        <v>0</v>
      </c>
      <c r="J641" s="34">
        <f t="shared" si="222"/>
        <v>0</v>
      </c>
      <c r="K641" s="34">
        <f t="shared" si="222"/>
        <v>0</v>
      </c>
      <c r="L641" s="34">
        <f t="shared" si="222"/>
        <v>0</v>
      </c>
      <c r="M641" s="34">
        <f t="shared" si="222"/>
        <v>0</v>
      </c>
      <c r="N641" s="34">
        <f t="shared" si="222"/>
        <v>0</v>
      </c>
      <c r="O641" s="34">
        <f t="shared" si="222"/>
        <v>0</v>
      </c>
      <c r="P641" s="34">
        <f t="shared" si="222"/>
        <v>0</v>
      </c>
      <c r="Q641" s="34">
        <f t="shared" si="222"/>
        <v>0</v>
      </c>
      <c r="R641" s="34">
        <f t="shared" si="222"/>
        <v>0</v>
      </c>
      <c r="S641" s="34">
        <f t="shared" si="222"/>
        <v>0</v>
      </c>
      <c r="T641" s="34">
        <f t="shared" si="222"/>
        <v>0</v>
      </c>
      <c r="U641" s="34">
        <f t="shared" si="222"/>
        <v>0</v>
      </c>
      <c r="V641" s="34">
        <f t="shared" si="222"/>
        <v>0</v>
      </c>
      <c r="W641" s="34">
        <f t="shared" si="222"/>
        <v>0</v>
      </c>
      <c r="X641" s="34">
        <f t="shared" si="222"/>
        <v>36631026.170000002</v>
      </c>
      <c r="Y641" s="34">
        <f t="shared" si="222"/>
        <v>37523627.819999993</v>
      </c>
      <c r="Z641" s="34">
        <f t="shared" si="222"/>
        <v>37136372</v>
      </c>
      <c r="AA641" s="34">
        <f t="shared" si="222"/>
        <v>37857471</v>
      </c>
      <c r="AB641" s="34">
        <f t="shared" si="222"/>
        <v>38728896</v>
      </c>
      <c r="AC641" s="34">
        <f t="shared" si="222"/>
        <v>39503348</v>
      </c>
      <c r="AD641" s="34">
        <f t="shared" si="222"/>
        <v>41117027</v>
      </c>
      <c r="AE641" s="34">
        <f t="shared" si="222"/>
        <v>42104560</v>
      </c>
      <c r="AF641" s="34">
        <f t="shared" si="222"/>
        <v>42063288.680000015</v>
      </c>
      <c r="AG641" s="34">
        <f t="shared" si="222"/>
        <v>108177052</v>
      </c>
      <c r="AH641" s="34">
        <f t="shared" si="222"/>
        <v>93009474</v>
      </c>
      <c r="AI641" s="34">
        <f t="shared" si="222"/>
        <v>62623535</v>
      </c>
      <c r="AJ641" s="34">
        <f t="shared" si="222"/>
        <v>73335103</v>
      </c>
      <c r="AK641" s="34">
        <f t="shared" si="222"/>
        <v>71871898</v>
      </c>
      <c r="AL641" s="34">
        <f t="shared" si="222"/>
        <v>75171829</v>
      </c>
      <c r="AM641" s="841">
        <f t="shared" ref="AM641:AN641" si="223">SUM(AM591:AM640)</f>
        <v>77816694</v>
      </c>
      <c r="AN641" s="1073">
        <f t="shared" si="223"/>
        <v>96650917.109999985</v>
      </c>
      <c r="AO641" s="836">
        <f t="shared" ref="AO641:AQ641" si="224">SUM(AO591:AO640)</f>
        <v>99447604</v>
      </c>
      <c r="AP641" s="1073">
        <f t="shared" si="224"/>
        <v>108770179</v>
      </c>
      <c r="AQ641" s="1073">
        <f t="shared" si="224"/>
        <v>108770179</v>
      </c>
      <c r="AR641" s="1044"/>
      <c r="AS641" s="1044"/>
    </row>
    <row r="642" spans="3:45" hidden="1" outlineLevel="1">
      <c r="C642" s="9"/>
      <c r="D642" s="9"/>
      <c r="E642" s="20"/>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835"/>
      <c r="AO642" s="835"/>
      <c r="AP642" s="1070"/>
      <c r="AQ642" s="1044"/>
      <c r="AR642" s="1044"/>
      <c r="AS642" s="1044"/>
    </row>
    <row r="643" spans="3:45" ht="25.5" hidden="1" outlineLevel="1">
      <c r="C643" s="9"/>
      <c r="D643" s="9"/>
      <c r="E643" s="368" t="s">
        <v>1646</v>
      </c>
      <c r="F643" s="12"/>
      <c r="G643" s="12"/>
      <c r="H643" s="12"/>
      <c r="I643" s="12"/>
      <c r="J643" s="12"/>
      <c r="K643" s="12"/>
      <c r="L643" s="12"/>
      <c r="M643" s="12"/>
      <c r="N643" s="12"/>
      <c r="O643" s="12"/>
      <c r="P643" s="12"/>
      <c r="Q643" s="12"/>
      <c r="R643" s="12"/>
      <c r="S643" s="12"/>
      <c r="T643" s="12"/>
      <c r="U643" s="12"/>
      <c r="V643" s="12"/>
      <c r="W643" s="12"/>
      <c r="X643" s="12" t="s">
        <v>1046</v>
      </c>
      <c r="Y643" s="12" t="s">
        <v>1046</v>
      </c>
      <c r="Z643" s="12" t="s">
        <v>1046</v>
      </c>
      <c r="AA643" s="12" t="s">
        <v>1046</v>
      </c>
      <c r="AB643" s="12">
        <v>74729797</v>
      </c>
      <c r="AC643" s="12">
        <v>78154066</v>
      </c>
      <c r="AD643" s="12">
        <v>79497072</v>
      </c>
      <c r="AE643" s="12">
        <v>82335671</v>
      </c>
      <c r="AF643" s="12">
        <v>158779987</v>
      </c>
      <c r="AG643" s="12">
        <v>169577025</v>
      </c>
      <c r="AH643" s="12">
        <v>52481422</v>
      </c>
      <c r="AI643" s="12">
        <v>54813929</v>
      </c>
      <c r="AJ643" s="12">
        <v>56708131</v>
      </c>
      <c r="AK643" s="12">
        <v>60552989</v>
      </c>
      <c r="AL643" s="12"/>
      <c r="AM643" s="12"/>
      <c r="AN643" s="835"/>
      <c r="AO643" s="835"/>
      <c r="AP643" s="1070"/>
      <c r="AR643" s="1044"/>
      <c r="AS643" s="1044"/>
    </row>
    <row r="644" spans="3:45" hidden="1" outlineLevel="1">
      <c r="C644" s="9"/>
      <c r="D644" s="9"/>
      <c r="E644" s="173" t="s">
        <v>1647</v>
      </c>
      <c r="F644" s="12"/>
      <c r="G644" s="12"/>
      <c r="H644" s="12"/>
      <c r="I644" s="12"/>
      <c r="J644" s="12"/>
      <c r="K644" s="12"/>
      <c r="L644" s="12"/>
      <c r="M644" s="12"/>
      <c r="N644" s="12"/>
      <c r="O644" s="12"/>
      <c r="P644" s="12"/>
      <c r="Q644" s="12"/>
      <c r="R644" s="12"/>
      <c r="S644" s="12"/>
      <c r="T644" s="12"/>
      <c r="U644" s="12"/>
      <c r="V644" s="12"/>
      <c r="W644" s="12"/>
      <c r="X644" s="216"/>
      <c r="Y644" s="216"/>
      <c r="Z644" s="216"/>
      <c r="AA644" s="216"/>
      <c r="AB644" s="216" t="s">
        <v>1648</v>
      </c>
      <c r="AC644" s="216" t="s">
        <v>1648</v>
      </c>
      <c r="AD644" s="216" t="s">
        <v>1649</v>
      </c>
      <c r="AE644" s="216" t="s">
        <v>1649</v>
      </c>
      <c r="AF644" s="216" t="s">
        <v>1650</v>
      </c>
      <c r="AG644" s="216" t="s">
        <v>1650</v>
      </c>
      <c r="AH644" s="216" t="s">
        <v>1651</v>
      </c>
      <c r="AI644" s="216" t="s">
        <v>1651</v>
      </c>
      <c r="AJ644" s="216" t="s">
        <v>1648</v>
      </c>
      <c r="AK644" s="216" t="s">
        <v>1648</v>
      </c>
      <c r="AL644" s="216"/>
      <c r="AM644" s="216"/>
      <c r="AN644" s="834"/>
      <c r="AO644" s="834"/>
      <c r="AP644" s="834"/>
      <c r="AR644" s="1044"/>
      <c r="AS644" s="1044"/>
    </row>
    <row r="645" spans="3:45" ht="12.75" hidden="1" customHeight="1" outlineLevel="1" collapsed="1">
      <c r="C645" s="25" t="s">
        <v>1635</v>
      </c>
      <c r="D645" s="367"/>
      <c r="E645" s="367"/>
      <c r="F645" s="672"/>
      <c r="G645" s="672"/>
      <c r="H645" s="672"/>
      <c r="I645" s="672"/>
      <c r="J645" s="672"/>
      <c r="K645" s="672"/>
      <c r="L645" s="672"/>
      <c r="M645" s="672"/>
      <c r="N645" s="672"/>
      <c r="O645" s="672"/>
      <c r="P645" s="672"/>
      <c r="Q645" s="672"/>
      <c r="R645" s="672"/>
      <c r="S645" s="672"/>
      <c r="T645" s="672"/>
      <c r="U645" s="672"/>
      <c r="V645" s="672"/>
      <c r="W645" s="672"/>
      <c r="X645" s="672"/>
      <c r="Y645" s="672"/>
      <c r="Z645" s="672"/>
      <c r="AA645" s="672"/>
      <c r="AB645" s="673"/>
      <c r="AC645" s="673"/>
      <c r="AD645" s="673"/>
      <c r="AE645" s="673"/>
      <c r="AF645" s="673"/>
      <c r="AG645" s="7"/>
      <c r="AH645" s="1305"/>
      <c r="AI645" s="1307"/>
      <c r="AJ645" s="662"/>
      <c r="AK645" s="683"/>
      <c r="AL645" s="683"/>
      <c r="AM645" s="842"/>
      <c r="AN645" s="842"/>
      <c r="AO645" s="842"/>
      <c r="AP645" s="1207" t="s">
        <v>2128</v>
      </c>
      <c r="AQ645" s="842"/>
      <c r="AR645" s="1044"/>
      <c r="AS645" s="1044"/>
    </row>
    <row r="646" spans="3:45" hidden="1" outlineLevel="2">
      <c r="C646" s="9" t="s">
        <v>16</v>
      </c>
      <c r="D646" s="9"/>
      <c r="E646" s="20" t="s">
        <v>101</v>
      </c>
      <c r="F646" s="20"/>
      <c r="G646" s="20"/>
      <c r="H646" s="20"/>
      <c r="I646" s="20"/>
      <c r="J646" s="20"/>
      <c r="K646" s="20"/>
      <c r="L646" s="20"/>
      <c r="M646" s="20"/>
      <c r="N646" s="20"/>
      <c r="O646" s="20"/>
      <c r="P646" s="20"/>
      <c r="Q646" s="20"/>
      <c r="R646" s="20"/>
      <c r="S646" s="20"/>
      <c r="T646" s="20"/>
      <c r="U646" s="20"/>
      <c r="V646" s="20"/>
      <c r="W646" s="20"/>
      <c r="X646" s="20"/>
      <c r="Y646" s="20"/>
      <c r="Z646" s="20"/>
      <c r="AA646" s="20"/>
      <c r="AB646" s="12"/>
      <c r="AC646" s="12"/>
      <c r="AD646" s="12"/>
      <c r="AE646" s="12"/>
      <c r="AF646" s="12"/>
      <c r="AG646" s="12">
        <v>5507484</v>
      </c>
      <c r="AH646" s="12">
        <v>4769747</v>
      </c>
      <c r="AI646" s="12">
        <v>1708608</v>
      </c>
      <c r="AJ646" s="12">
        <v>2344453</v>
      </c>
      <c r="AK646" s="12">
        <v>2654441</v>
      </c>
      <c r="AL646" s="843">
        <v>2851352</v>
      </c>
      <c r="AM646" s="844">
        <v>3205346</v>
      </c>
      <c r="AN646" s="1071">
        <v>5322026.5199999996</v>
      </c>
      <c r="AO646" s="1071">
        <v>5598653</v>
      </c>
      <c r="AP646" s="1071">
        <f t="shared" ref="AP646:AP677" si="225">ROUND(AO646/AO$696*AP$696,0)</f>
        <v>6408693</v>
      </c>
      <c r="AQ646" s="1071">
        <f t="shared" ref="AQ646:AQ694" si="226">ROUND(AP646/AP$696*AQ$696,0)</f>
        <v>6408693</v>
      </c>
      <c r="AR646" s="1044"/>
      <c r="AS646" s="1044"/>
    </row>
    <row r="647" spans="3:45" hidden="1" outlineLevel="2">
      <c r="C647" s="9" t="s">
        <v>16</v>
      </c>
      <c r="D647" s="9"/>
      <c r="E647" s="20" t="s">
        <v>166</v>
      </c>
      <c r="F647" s="20"/>
      <c r="G647" s="20"/>
      <c r="H647" s="20"/>
      <c r="I647" s="20"/>
      <c r="J647" s="20"/>
      <c r="K647" s="20"/>
      <c r="L647" s="20"/>
      <c r="M647" s="20"/>
      <c r="N647" s="20"/>
      <c r="O647" s="20"/>
      <c r="P647" s="20"/>
      <c r="Q647" s="20"/>
      <c r="R647" s="20"/>
      <c r="S647" s="20"/>
      <c r="T647" s="20"/>
      <c r="U647" s="20"/>
      <c r="V647" s="20"/>
      <c r="W647" s="20"/>
      <c r="X647" s="20"/>
      <c r="Y647" s="20"/>
      <c r="Z647" s="20"/>
      <c r="AA647" s="20"/>
      <c r="AB647" s="12"/>
      <c r="AC647" s="12"/>
      <c r="AD647" s="12"/>
      <c r="AE647" s="12"/>
      <c r="AF647" s="12"/>
      <c r="AG647" s="12">
        <v>605737</v>
      </c>
      <c r="AH647" s="12">
        <v>523091</v>
      </c>
      <c r="AI647" s="12">
        <v>62151</v>
      </c>
      <c r="AJ647" s="12">
        <v>335034</v>
      </c>
      <c r="AK647" s="12">
        <v>363197</v>
      </c>
      <c r="AL647" s="843">
        <v>336462</v>
      </c>
      <c r="AM647" s="844">
        <v>352094</v>
      </c>
      <c r="AN647" s="1071">
        <v>545832.15999999992</v>
      </c>
      <c r="AO647" s="1071">
        <v>594759</v>
      </c>
      <c r="AP647" s="1071">
        <f t="shared" si="225"/>
        <v>680812</v>
      </c>
      <c r="AQ647" s="1071">
        <f t="shared" si="226"/>
        <v>680812</v>
      </c>
      <c r="AR647" s="1044"/>
      <c r="AS647" s="1044"/>
    </row>
    <row r="648" spans="3:45" hidden="1" outlineLevel="2">
      <c r="C648" s="9" t="s">
        <v>16</v>
      </c>
      <c r="D648" s="9"/>
      <c r="E648" s="20" t="s">
        <v>103</v>
      </c>
      <c r="F648" s="20"/>
      <c r="G648" s="20"/>
      <c r="H648" s="20"/>
      <c r="I648" s="20"/>
      <c r="J648" s="20"/>
      <c r="K648" s="20"/>
      <c r="L648" s="20"/>
      <c r="M648" s="20"/>
      <c r="N648" s="20"/>
      <c r="O648" s="20"/>
      <c r="P648" s="20"/>
      <c r="Q648" s="20"/>
      <c r="R648" s="20"/>
      <c r="S648" s="20"/>
      <c r="T648" s="20"/>
      <c r="U648" s="20"/>
      <c r="V648" s="20"/>
      <c r="W648" s="20"/>
      <c r="X648" s="20"/>
      <c r="Y648" s="20"/>
      <c r="Z648" s="20"/>
      <c r="AA648" s="20"/>
      <c r="AB648" s="12"/>
      <c r="AC648" s="12"/>
      <c r="AD648" s="12"/>
      <c r="AE648" s="12"/>
      <c r="AF648" s="12"/>
      <c r="AG648" s="12">
        <v>1103710</v>
      </c>
      <c r="AH648" s="12">
        <v>998412</v>
      </c>
      <c r="AI648" s="12">
        <v>415353</v>
      </c>
      <c r="AJ648" s="12">
        <v>640946</v>
      </c>
      <c r="AK648" s="12">
        <v>466735</v>
      </c>
      <c r="AL648" s="843">
        <v>576977</v>
      </c>
      <c r="AM648" s="844">
        <v>641415</v>
      </c>
      <c r="AN648" s="1071">
        <v>966401.55999999959</v>
      </c>
      <c r="AO648" s="1071">
        <v>1000197</v>
      </c>
      <c r="AP648" s="1071">
        <f t="shared" si="225"/>
        <v>1144910</v>
      </c>
      <c r="AQ648" s="1071">
        <f t="shared" si="226"/>
        <v>1144910</v>
      </c>
      <c r="AR648" s="1044"/>
      <c r="AS648" s="1044"/>
    </row>
    <row r="649" spans="3:45" hidden="1" outlineLevel="2">
      <c r="C649" s="9" t="s">
        <v>16</v>
      </c>
      <c r="D649" s="9"/>
      <c r="E649" s="20" t="s">
        <v>104</v>
      </c>
      <c r="F649" s="20"/>
      <c r="G649" s="20"/>
      <c r="H649" s="20"/>
      <c r="I649" s="20"/>
      <c r="J649" s="20"/>
      <c r="K649" s="20"/>
      <c r="L649" s="20"/>
      <c r="M649" s="20"/>
      <c r="N649" s="20"/>
      <c r="O649" s="20"/>
      <c r="P649" s="20"/>
      <c r="Q649" s="20"/>
      <c r="R649" s="20"/>
      <c r="S649" s="20"/>
      <c r="T649" s="20"/>
      <c r="U649" s="20"/>
      <c r="V649" s="20"/>
      <c r="W649" s="20"/>
      <c r="X649" s="20"/>
      <c r="Y649" s="20"/>
      <c r="Z649" s="20"/>
      <c r="AA649" s="20"/>
      <c r="AB649" s="12"/>
      <c r="AC649" s="12"/>
      <c r="AD649" s="12"/>
      <c r="AE649" s="12"/>
      <c r="AF649" s="12"/>
      <c r="AG649" s="12">
        <v>373337</v>
      </c>
      <c r="AH649" s="12">
        <v>342494</v>
      </c>
      <c r="AI649" s="12">
        <v>187857</v>
      </c>
      <c r="AJ649" s="12">
        <v>192207</v>
      </c>
      <c r="AK649" s="12">
        <v>199484</v>
      </c>
      <c r="AL649" s="843">
        <v>215820</v>
      </c>
      <c r="AM649" s="844">
        <v>217107</v>
      </c>
      <c r="AN649" s="1071">
        <v>283704.26</v>
      </c>
      <c r="AO649" s="1071">
        <v>302603</v>
      </c>
      <c r="AP649" s="1071">
        <f t="shared" si="225"/>
        <v>346385</v>
      </c>
      <c r="AQ649" s="1071">
        <f t="shared" si="226"/>
        <v>346385</v>
      </c>
      <c r="AR649" s="1044"/>
      <c r="AS649" s="1044"/>
    </row>
    <row r="650" spans="3:45" hidden="1" outlineLevel="2">
      <c r="C650" s="9" t="s">
        <v>16</v>
      </c>
      <c r="D650" s="9"/>
      <c r="E650" s="20" t="s">
        <v>105</v>
      </c>
      <c r="F650" s="20"/>
      <c r="G650" s="20"/>
      <c r="H650" s="20"/>
      <c r="I650" s="20"/>
      <c r="J650" s="20"/>
      <c r="K650" s="20"/>
      <c r="L650" s="20"/>
      <c r="M650" s="20"/>
      <c r="N650" s="20"/>
      <c r="O650" s="20"/>
      <c r="P650" s="20"/>
      <c r="Q650" s="20"/>
      <c r="R650" s="20"/>
      <c r="S650" s="20"/>
      <c r="T650" s="20"/>
      <c r="U650" s="20"/>
      <c r="V650" s="20"/>
      <c r="W650" s="20"/>
      <c r="X650" s="20"/>
      <c r="Y650" s="20"/>
      <c r="Z650" s="20"/>
      <c r="AA650" s="20"/>
      <c r="AB650" s="12"/>
      <c r="AC650" s="12"/>
      <c r="AD650" s="12"/>
      <c r="AE650" s="12"/>
      <c r="AF650" s="12"/>
      <c r="AG650" s="12">
        <v>5331616</v>
      </c>
      <c r="AH650" s="12">
        <v>5146168</v>
      </c>
      <c r="AI650" s="12">
        <v>904397</v>
      </c>
      <c r="AJ650" s="12">
        <v>3159237</v>
      </c>
      <c r="AK650" s="12">
        <v>3320503</v>
      </c>
      <c r="AL650" s="843">
        <v>3413540</v>
      </c>
      <c r="AM650" s="844">
        <v>3717072</v>
      </c>
      <c r="AN650" s="1071">
        <v>5169299.5300000012</v>
      </c>
      <c r="AO650" s="1071">
        <v>5469047</v>
      </c>
      <c r="AP650" s="1071">
        <f t="shared" si="225"/>
        <v>6260335</v>
      </c>
      <c r="AQ650" s="1071">
        <f t="shared" si="226"/>
        <v>6260335</v>
      </c>
      <c r="AR650" s="1044"/>
      <c r="AS650" s="1044"/>
    </row>
    <row r="651" spans="3:45" hidden="1" outlineLevel="2">
      <c r="C651" s="9" t="s">
        <v>16</v>
      </c>
      <c r="D651" s="9"/>
      <c r="E651" s="20" t="s">
        <v>106</v>
      </c>
      <c r="F651" s="20"/>
      <c r="G651" s="20"/>
      <c r="H651" s="20"/>
      <c r="I651" s="20"/>
      <c r="J651" s="20"/>
      <c r="K651" s="20"/>
      <c r="L651" s="20"/>
      <c r="M651" s="20"/>
      <c r="N651" s="20"/>
      <c r="O651" s="20"/>
      <c r="P651" s="20"/>
      <c r="Q651" s="20"/>
      <c r="R651" s="20"/>
      <c r="S651" s="20"/>
      <c r="T651" s="20"/>
      <c r="U651" s="20"/>
      <c r="V651" s="20"/>
      <c r="W651" s="20"/>
      <c r="X651" s="20"/>
      <c r="Y651" s="20"/>
      <c r="Z651" s="20"/>
      <c r="AA651" s="20"/>
      <c r="AB651" s="12"/>
      <c r="AC651" s="12"/>
      <c r="AD651" s="12"/>
      <c r="AE651" s="12"/>
      <c r="AF651" s="12"/>
      <c r="AG651" s="12">
        <v>1345975</v>
      </c>
      <c r="AH651" s="12">
        <v>1245587</v>
      </c>
      <c r="AI651" s="12">
        <v>648986</v>
      </c>
      <c r="AJ651" s="12">
        <v>666878</v>
      </c>
      <c r="AK651" s="12">
        <v>765610</v>
      </c>
      <c r="AL651" s="843">
        <v>1277677</v>
      </c>
      <c r="AM651" s="844">
        <v>1020071</v>
      </c>
      <c r="AN651" s="1071">
        <v>1216530.06</v>
      </c>
      <c r="AO651" s="1071">
        <v>1378704</v>
      </c>
      <c r="AP651" s="1071">
        <f t="shared" si="225"/>
        <v>1578182</v>
      </c>
      <c r="AQ651" s="1071">
        <f t="shared" si="226"/>
        <v>1578182</v>
      </c>
      <c r="AR651" s="1044"/>
      <c r="AS651" s="1044"/>
    </row>
    <row r="652" spans="3:45" hidden="1" outlineLevel="2">
      <c r="C652" s="9" t="s">
        <v>16</v>
      </c>
      <c r="D652" s="9"/>
      <c r="E652" s="20" t="s">
        <v>107</v>
      </c>
      <c r="F652" s="20"/>
      <c r="G652" s="20"/>
      <c r="H652" s="20"/>
      <c r="I652" s="20"/>
      <c r="J652" s="20"/>
      <c r="K652" s="20"/>
      <c r="L652" s="20"/>
      <c r="M652" s="20"/>
      <c r="N652" s="20"/>
      <c r="O652" s="20"/>
      <c r="P652" s="20"/>
      <c r="Q652" s="20"/>
      <c r="R652" s="20"/>
      <c r="S652" s="20"/>
      <c r="T652" s="20"/>
      <c r="U652" s="20"/>
      <c r="V652" s="20"/>
      <c r="W652" s="20"/>
      <c r="X652" s="20"/>
      <c r="Y652" s="20"/>
      <c r="Z652" s="20"/>
      <c r="AA652" s="20"/>
      <c r="AB652" s="12"/>
      <c r="AC652" s="12"/>
      <c r="AD652" s="12"/>
      <c r="AE652" s="12"/>
      <c r="AF652" s="12"/>
      <c r="AG652" s="12">
        <v>465725</v>
      </c>
      <c r="AH652" s="12">
        <v>447398</v>
      </c>
      <c r="AI652" s="12">
        <v>33592</v>
      </c>
      <c r="AJ652" s="12">
        <v>298258</v>
      </c>
      <c r="AK652" s="12">
        <v>332705</v>
      </c>
      <c r="AL652" s="843">
        <v>356388</v>
      </c>
      <c r="AM652" s="844">
        <v>387267</v>
      </c>
      <c r="AN652" s="1071">
        <v>515528.95999999985</v>
      </c>
      <c r="AO652" s="1071">
        <v>539261</v>
      </c>
      <c r="AP652" s="1071">
        <f t="shared" si="225"/>
        <v>617284</v>
      </c>
      <c r="AQ652" s="1071">
        <f t="shared" si="226"/>
        <v>617284</v>
      </c>
      <c r="AR652" s="1044"/>
      <c r="AS652" s="1044"/>
    </row>
    <row r="653" spans="3:45" hidden="1" outlineLevel="2">
      <c r="C653" s="9" t="s">
        <v>16</v>
      </c>
      <c r="D653" s="9"/>
      <c r="E653" s="20" t="s">
        <v>108</v>
      </c>
      <c r="F653" s="20"/>
      <c r="G653" s="20"/>
      <c r="H653" s="20"/>
      <c r="I653" s="20"/>
      <c r="J653" s="20"/>
      <c r="K653" s="20"/>
      <c r="L653" s="20"/>
      <c r="M653" s="20"/>
      <c r="N653" s="20"/>
      <c r="O653" s="20"/>
      <c r="P653" s="20"/>
      <c r="Q653" s="20"/>
      <c r="R653" s="20"/>
      <c r="S653" s="20"/>
      <c r="T653" s="20"/>
      <c r="U653" s="20"/>
      <c r="V653" s="20"/>
      <c r="W653" s="20"/>
      <c r="X653" s="20"/>
      <c r="Y653" s="20"/>
      <c r="Z653" s="20"/>
      <c r="AA653" s="20"/>
      <c r="AB653" s="12"/>
      <c r="AC653" s="12"/>
      <c r="AD653" s="12"/>
      <c r="AE653" s="12"/>
      <c r="AF653" s="12"/>
      <c r="AG653" s="12">
        <v>1151331</v>
      </c>
      <c r="AH653" s="12">
        <v>1037219</v>
      </c>
      <c r="AI653" s="12">
        <v>675064</v>
      </c>
      <c r="AJ653" s="12">
        <v>642644</v>
      </c>
      <c r="AK653" s="12">
        <v>731693</v>
      </c>
      <c r="AL653" s="843">
        <v>718732</v>
      </c>
      <c r="AM653" s="844">
        <v>746661</v>
      </c>
      <c r="AN653" s="1071">
        <v>1027465.3500000001</v>
      </c>
      <c r="AO653" s="1071">
        <v>1053767</v>
      </c>
      <c r="AP653" s="1071">
        <f t="shared" si="225"/>
        <v>1206231</v>
      </c>
      <c r="AQ653" s="1071">
        <f t="shared" si="226"/>
        <v>1206231</v>
      </c>
      <c r="AR653" s="1044"/>
      <c r="AS653" s="1044"/>
    </row>
    <row r="654" spans="3:45" hidden="1" outlineLevel="2">
      <c r="C654" s="9" t="s">
        <v>16</v>
      </c>
      <c r="D654" s="9"/>
      <c r="E654" s="20" t="s">
        <v>109</v>
      </c>
      <c r="F654" s="20"/>
      <c r="G654" s="20"/>
      <c r="H654" s="20"/>
      <c r="I654" s="20"/>
      <c r="J654" s="20"/>
      <c r="K654" s="20"/>
      <c r="L654" s="20"/>
      <c r="M654" s="20"/>
      <c r="N654" s="20"/>
      <c r="O654" s="20"/>
      <c r="P654" s="20"/>
      <c r="Q654" s="20"/>
      <c r="R654" s="20"/>
      <c r="S654" s="20"/>
      <c r="T654" s="20"/>
      <c r="U654" s="20"/>
      <c r="V654" s="20"/>
      <c r="W654" s="20"/>
      <c r="X654" s="20"/>
      <c r="Y654" s="20"/>
      <c r="Z654" s="20"/>
      <c r="AA654" s="20"/>
      <c r="AB654" s="12"/>
      <c r="AC654" s="12"/>
      <c r="AD654" s="12"/>
      <c r="AE654" s="12"/>
      <c r="AF654" s="12"/>
      <c r="AG654" s="12">
        <v>282413</v>
      </c>
      <c r="AH654" s="12">
        <v>252771</v>
      </c>
      <c r="AI654" s="12">
        <v>177274</v>
      </c>
      <c r="AJ654" s="12">
        <v>125995</v>
      </c>
      <c r="AK654" s="12">
        <v>123241</v>
      </c>
      <c r="AL654" s="843">
        <v>127710</v>
      </c>
      <c r="AM654" s="844">
        <v>127916</v>
      </c>
      <c r="AN654" s="1071">
        <v>171785.62999999989</v>
      </c>
      <c r="AO654" s="1071">
        <v>183726</v>
      </c>
      <c r="AP654" s="1071">
        <f t="shared" si="225"/>
        <v>210308</v>
      </c>
      <c r="AQ654" s="1071">
        <f t="shared" si="226"/>
        <v>210308</v>
      </c>
      <c r="AR654" s="1044"/>
      <c r="AS654" s="1044"/>
    </row>
    <row r="655" spans="3:45" hidden="1" outlineLevel="2">
      <c r="C655" s="9" t="s">
        <v>16</v>
      </c>
      <c r="D655" s="9"/>
      <c r="E655" s="20" t="s">
        <v>110</v>
      </c>
      <c r="F655" s="20"/>
      <c r="G655" s="20"/>
      <c r="H655" s="20"/>
      <c r="I655" s="20"/>
      <c r="J655" s="20"/>
      <c r="K655" s="20"/>
      <c r="L655" s="20"/>
      <c r="M655" s="20"/>
      <c r="N655" s="20"/>
      <c r="O655" s="20"/>
      <c r="P655" s="20"/>
      <c r="Q655" s="20"/>
      <c r="R655" s="20"/>
      <c r="S655" s="20"/>
      <c r="T655" s="20"/>
      <c r="U655" s="20"/>
      <c r="V655" s="20"/>
      <c r="W655" s="20"/>
      <c r="X655" s="20"/>
      <c r="Y655" s="20"/>
      <c r="Z655" s="20"/>
      <c r="AA655" s="20"/>
      <c r="AB655" s="12"/>
      <c r="AC655" s="12"/>
      <c r="AD655" s="12"/>
      <c r="AE655" s="12"/>
      <c r="AF655" s="12"/>
      <c r="AG655" s="12">
        <v>188012</v>
      </c>
      <c r="AH655" s="12">
        <v>177890</v>
      </c>
      <c r="AI655" s="12">
        <v>161534</v>
      </c>
      <c r="AJ655" s="12">
        <v>102902</v>
      </c>
      <c r="AK655" s="12">
        <v>104799</v>
      </c>
      <c r="AL655" s="843">
        <v>109426</v>
      </c>
      <c r="AM655" s="844">
        <v>118921</v>
      </c>
      <c r="AN655" s="1071">
        <v>142641.01000000007</v>
      </c>
      <c r="AO655" s="1071">
        <v>135721</v>
      </c>
      <c r="AP655" s="1071">
        <f t="shared" si="225"/>
        <v>155358</v>
      </c>
      <c r="AQ655" s="1071">
        <f t="shared" si="226"/>
        <v>155358</v>
      </c>
      <c r="AR655" s="1044"/>
      <c r="AS655" s="1044"/>
    </row>
    <row r="656" spans="3:45" hidden="1" outlineLevel="2">
      <c r="C656" s="9" t="s">
        <v>16</v>
      </c>
      <c r="D656" s="9"/>
      <c r="E656" s="20" t="s">
        <v>167</v>
      </c>
      <c r="F656" s="20"/>
      <c r="G656" s="20"/>
      <c r="H656" s="20"/>
      <c r="I656" s="20"/>
      <c r="J656" s="20"/>
      <c r="K656" s="20"/>
      <c r="L656" s="20"/>
      <c r="M656" s="20"/>
      <c r="N656" s="20"/>
      <c r="O656" s="20"/>
      <c r="P656" s="20"/>
      <c r="Q656" s="20"/>
      <c r="R656" s="20"/>
      <c r="S656" s="20"/>
      <c r="T656" s="20"/>
      <c r="U656" s="20"/>
      <c r="V656" s="20"/>
      <c r="W656" s="20"/>
      <c r="X656" s="20"/>
      <c r="Y656" s="20"/>
      <c r="Z656" s="20"/>
      <c r="AA656" s="20"/>
      <c r="AB656" s="12"/>
      <c r="AC656" s="12"/>
      <c r="AD656" s="12"/>
      <c r="AE656" s="12"/>
      <c r="AF656" s="12"/>
      <c r="AG656" s="12">
        <v>442839</v>
      </c>
      <c r="AH656" s="12">
        <v>411731</v>
      </c>
      <c r="AI656" s="12">
        <v>157983</v>
      </c>
      <c r="AJ656" s="12">
        <v>175974</v>
      </c>
      <c r="AK656" s="12">
        <v>173266</v>
      </c>
      <c r="AL656" s="843">
        <v>201993</v>
      </c>
      <c r="AM656" s="844">
        <v>199522</v>
      </c>
      <c r="AN656" s="1071">
        <v>222123.46999999997</v>
      </c>
      <c r="AO656" s="1071">
        <v>244792</v>
      </c>
      <c r="AP656" s="1071">
        <f t="shared" si="225"/>
        <v>280210</v>
      </c>
      <c r="AQ656" s="1071">
        <f t="shared" si="226"/>
        <v>280210</v>
      </c>
      <c r="AR656" s="1044"/>
      <c r="AS656" s="1044"/>
    </row>
    <row r="657" spans="3:45" hidden="1" outlineLevel="2">
      <c r="C657" s="9" t="s">
        <v>16</v>
      </c>
      <c r="D657" s="9"/>
      <c r="E657" s="20" t="s">
        <v>112</v>
      </c>
      <c r="F657" s="20"/>
      <c r="G657" s="20"/>
      <c r="H657" s="20"/>
      <c r="I657" s="20"/>
      <c r="J657" s="20"/>
      <c r="K657" s="20"/>
      <c r="L657" s="20"/>
      <c r="M657" s="20"/>
      <c r="N657" s="20"/>
      <c r="O657" s="20"/>
      <c r="P657" s="20"/>
      <c r="Q657" s="20"/>
      <c r="R657" s="20"/>
      <c r="S657" s="20"/>
      <c r="T657" s="20"/>
      <c r="U657" s="20"/>
      <c r="V657" s="20"/>
      <c r="W657" s="20"/>
      <c r="X657" s="20"/>
      <c r="Y657" s="20"/>
      <c r="Z657" s="20"/>
      <c r="AA657" s="20"/>
      <c r="AB657" s="12"/>
      <c r="AC657" s="12"/>
      <c r="AD657" s="12"/>
      <c r="AE657" s="12"/>
      <c r="AF657" s="12"/>
      <c r="AG657" s="12">
        <v>894936</v>
      </c>
      <c r="AH657" s="12">
        <v>784031</v>
      </c>
      <c r="AI657" s="12">
        <v>35796</v>
      </c>
      <c r="AJ657" s="12">
        <v>441112</v>
      </c>
      <c r="AK657" s="12">
        <v>439686</v>
      </c>
      <c r="AL657" s="843">
        <v>442594</v>
      </c>
      <c r="AM657" s="844">
        <v>472523</v>
      </c>
      <c r="AN657" s="1071">
        <v>608198.54</v>
      </c>
      <c r="AO657" s="1071">
        <v>665623</v>
      </c>
      <c r="AP657" s="1071">
        <f t="shared" si="225"/>
        <v>761929</v>
      </c>
      <c r="AQ657" s="1071">
        <f t="shared" si="226"/>
        <v>761929</v>
      </c>
      <c r="AR657" s="1044"/>
      <c r="AS657" s="1044"/>
    </row>
    <row r="658" spans="3:45" hidden="1" outlineLevel="2">
      <c r="C658" s="9" t="s">
        <v>16</v>
      </c>
      <c r="D658" s="9"/>
      <c r="E658" s="20" t="s">
        <v>168</v>
      </c>
      <c r="F658" s="20"/>
      <c r="G658" s="20"/>
      <c r="H658" s="20"/>
      <c r="I658" s="20"/>
      <c r="J658" s="20"/>
      <c r="K658" s="20"/>
      <c r="L658" s="20"/>
      <c r="M658" s="20"/>
      <c r="N658" s="20"/>
      <c r="O658" s="20"/>
      <c r="P658" s="20"/>
      <c r="Q658" s="20"/>
      <c r="R658" s="20"/>
      <c r="S658" s="20"/>
      <c r="T658" s="20"/>
      <c r="U658" s="20"/>
      <c r="V658" s="20"/>
      <c r="W658" s="20"/>
      <c r="X658" s="20"/>
      <c r="Y658" s="20"/>
      <c r="Z658" s="20"/>
      <c r="AA658" s="20"/>
      <c r="AB658" s="12"/>
      <c r="AC658" s="12"/>
      <c r="AD658" s="12"/>
      <c r="AE658" s="12"/>
      <c r="AF658" s="12"/>
      <c r="AG658" s="12">
        <v>2026713</v>
      </c>
      <c r="AH658" s="12">
        <v>1843789</v>
      </c>
      <c r="AI658" s="12">
        <v>941549</v>
      </c>
      <c r="AJ658" s="12">
        <v>1151403</v>
      </c>
      <c r="AK658" s="12">
        <v>1303921</v>
      </c>
      <c r="AL658" s="843">
        <v>1656290</v>
      </c>
      <c r="AM658" s="844">
        <v>1609049</v>
      </c>
      <c r="AN658" s="1071">
        <v>2284689.59</v>
      </c>
      <c r="AO658" s="1071">
        <v>2615110</v>
      </c>
      <c r="AP658" s="1071">
        <f t="shared" si="225"/>
        <v>2993477</v>
      </c>
      <c r="AQ658" s="1071">
        <f t="shared" si="226"/>
        <v>2993477</v>
      </c>
      <c r="AR658" s="1044"/>
      <c r="AS658" s="1044"/>
    </row>
    <row r="659" spans="3:45" hidden="1" outlineLevel="2">
      <c r="C659" s="9" t="s">
        <v>16</v>
      </c>
      <c r="D659" s="9"/>
      <c r="E659" s="20" t="s">
        <v>169</v>
      </c>
      <c r="F659" s="20"/>
      <c r="G659" s="20"/>
      <c r="H659" s="20"/>
      <c r="I659" s="20"/>
      <c r="J659" s="20"/>
      <c r="K659" s="20"/>
      <c r="L659" s="20"/>
      <c r="M659" s="20"/>
      <c r="N659" s="20"/>
      <c r="O659" s="20"/>
      <c r="P659" s="20"/>
      <c r="Q659" s="20"/>
      <c r="R659" s="20"/>
      <c r="S659" s="20"/>
      <c r="T659" s="20"/>
      <c r="U659" s="20"/>
      <c r="V659" s="20"/>
      <c r="W659" s="20"/>
      <c r="X659" s="20"/>
      <c r="Y659" s="20"/>
      <c r="Z659" s="20"/>
      <c r="AA659" s="20"/>
      <c r="AB659" s="12"/>
      <c r="AC659" s="12"/>
      <c r="AD659" s="12"/>
      <c r="AE659" s="12"/>
      <c r="AF659" s="12"/>
      <c r="AG659" s="12">
        <v>6464472</v>
      </c>
      <c r="AH659" s="12">
        <v>2520395</v>
      </c>
      <c r="AI659" s="12">
        <v>6112755</v>
      </c>
      <c r="AJ659" s="12">
        <v>3706239</v>
      </c>
      <c r="AK659" s="12">
        <v>4010016</v>
      </c>
      <c r="AL659" s="843">
        <v>5880405</v>
      </c>
      <c r="AM659" s="844">
        <v>4705461</v>
      </c>
      <c r="AN659" s="1071">
        <v>6790594.9799999986</v>
      </c>
      <c r="AO659" s="1071">
        <v>7316722</v>
      </c>
      <c r="AP659" s="1071">
        <f t="shared" si="225"/>
        <v>8375341</v>
      </c>
      <c r="AQ659" s="1071">
        <f t="shared" si="226"/>
        <v>8375341</v>
      </c>
      <c r="AR659" s="1044"/>
      <c r="AS659" s="1044"/>
    </row>
    <row r="660" spans="3:45" hidden="1" outlineLevel="2">
      <c r="C660" s="9" t="s">
        <v>16</v>
      </c>
      <c r="D660" s="9"/>
      <c r="E660" s="20" t="s">
        <v>114</v>
      </c>
      <c r="F660" s="20"/>
      <c r="G660" s="20"/>
      <c r="H660" s="20"/>
      <c r="I660" s="20"/>
      <c r="J660" s="20"/>
      <c r="K660" s="20"/>
      <c r="L660" s="20"/>
      <c r="M660" s="20"/>
      <c r="N660" s="20"/>
      <c r="O660" s="20"/>
      <c r="P660" s="20"/>
      <c r="Q660" s="20"/>
      <c r="R660" s="20"/>
      <c r="S660" s="20"/>
      <c r="T660" s="20"/>
      <c r="U660" s="20"/>
      <c r="V660" s="20"/>
      <c r="W660" s="20"/>
      <c r="X660" s="20"/>
      <c r="Y660" s="20"/>
      <c r="Z660" s="20"/>
      <c r="AA660" s="20"/>
      <c r="AB660" s="12"/>
      <c r="AC660" s="12"/>
      <c r="AD660" s="12"/>
      <c r="AE660" s="12"/>
      <c r="AF660" s="12"/>
      <c r="AG660" s="12">
        <v>1312127</v>
      </c>
      <c r="AH660" s="12">
        <v>1047852</v>
      </c>
      <c r="AI660" s="12">
        <v>68539</v>
      </c>
      <c r="AJ660" s="12">
        <v>667038</v>
      </c>
      <c r="AK660" s="12">
        <v>753468</v>
      </c>
      <c r="AL660" s="843">
        <v>886778</v>
      </c>
      <c r="AM660" s="844">
        <v>996455</v>
      </c>
      <c r="AN660" s="1071">
        <v>1392637.04</v>
      </c>
      <c r="AO660" s="1071">
        <v>1452613</v>
      </c>
      <c r="AP660" s="1071">
        <f t="shared" si="225"/>
        <v>1662784</v>
      </c>
      <c r="AQ660" s="1071">
        <f t="shared" si="226"/>
        <v>1662784</v>
      </c>
      <c r="AR660" s="1044"/>
      <c r="AS660" s="1044"/>
    </row>
    <row r="661" spans="3:45" hidden="1" outlineLevel="2">
      <c r="C661" s="9" t="s">
        <v>16</v>
      </c>
      <c r="D661" s="9"/>
      <c r="E661" s="20" t="s">
        <v>170</v>
      </c>
      <c r="F661" s="20"/>
      <c r="G661" s="20"/>
      <c r="H661" s="20"/>
      <c r="I661" s="20"/>
      <c r="J661" s="20"/>
      <c r="K661" s="20"/>
      <c r="L661" s="20"/>
      <c r="M661" s="20"/>
      <c r="N661" s="20"/>
      <c r="O661" s="20"/>
      <c r="P661" s="20"/>
      <c r="Q661" s="20"/>
      <c r="R661" s="20"/>
      <c r="S661" s="20"/>
      <c r="T661" s="20"/>
      <c r="U661" s="20"/>
      <c r="V661" s="20"/>
      <c r="W661" s="20"/>
      <c r="X661" s="20"/>
      <c r="Y661" s="20"/>
      <c r="Z661" s="20"/>
      <c r="AA661" s="20"/>
      <c r="AB661" s="12"/>
      <c r="AC661" s="12"/>
      <c r="AD661" s="12"/>
      <c r="AE661" s="12"/>
      <c r="AF661" s="12"/>
      <c r="AG661" s="12">
        <v>2791157</v>
      </c>
      <c r="AH661" s="12">
        <v>2540323</v>
      </c>
      <c r="AI661" s="12">
        <v>914152</v>
      </c>
      <c r="AJ661" s="12">
        <v>1542398</v>
      </c>
      <c r="AK661" s="12">
        <v>1632886</v>
      </c>
      <c r="AL661" s="843">
        <v>1664553</v>
      </c>
      <c r="AM661" s="844">
        <v>1807237</v>
      </c>
      <c r="AN661" s="1071">
        <v>2402909</v>
      </c>
      <c r="AO661" s="1071">
        <v>2528200</v>
      </c>
      <c r="AP661" s="1071">
        <f t="shared" si="225"/>
        <v>2893992</v>
      </c>
      <c r="AQ661" s="1071">
        <f t="shared" si="226"/>
        <v>2893992</v>
      </c>
      <c r="AR661" s="1044"/>
      <c r="AS661" s="1044"/>
    </row>
    <row r="662" spans="3:45" hidden="1" outlineLevel="2">
      <c r="C662" s="9" t="s">
        <v>16</v>
      </c>
      <c r="D662" s="9"/>
      <c r="E662" s="20" t="s">
        <v>116</v>
      </c>
      <c r="F662" s="20"/>
      <c r="G662" s="20"/>
      <c r="H662" s="20"/>
      <c r="I662" s="20"/>
      <c r="J662" s="20"/>
      <c r="K662" s="20"/>
      <c r="L662" s="20"/>
      <c r="M662" s="20"/>
      <c r="N662" s="20"/>
      <c r="O662" s="20"/>
      <c r="P662" s="20"/>
      <c r="Q662" s="20"/>
      <c r="R662" s="20"/>
      <c r="S662" s="20"/>
      <c r="T662" s="20"/>
      <c r="U662" s="20"/>
      <c r="V662" s="20"/>
      <c r="W662" s="20"/>
      <c r="X662" s="20"/>
      <c r="Y662" s="20"/>
      <c r="Z662" s="20"/>
      <c r="AA662" s="20"/>
      <c r="AB662" s="12"/>
      <c r="AC662" s="12"/>
      <c r="AD662" s="12"/>
      <c r="AE662" s="12"/>
      <c r="AF662" s="12"/>
      <c r="AG662" s="12">
        <v>167732</v>
      </c>
      <c r="AH662" s="12">
        <v>139956</v>
      </c>
      <c r="AI662" s="12">
        <v>102939</v>
      </c>
      <c r="AJ662" s="12">
        <v>65429</v>
      </c>
      <c r="AK662" s="12">
        <v>81331</v>
      </c>
      <c r="AL662" s="843">
        <v>64558</v>
      </c>
      <c r="AM662" s="844">
        <v>34142</v>
      </c>
      <c r="AN662" s="1071">
        <v>107653.10999999999</v>
      </c>
      <c r="AO662" s="1071">
        <v>153459</v>
      </c>
      <c r="AP662" s="1071">
        <f t="shared" si="225"/>
        <v>175662</v>
      </c>
      <c r="AQ662" s="1071">
        <f t="shared" si="226"/>
        <v>175662</v>
      </c>
      <c r="AR662" s="1044"/>
      <c r="AS662" s="1044"/>
    </row>
    <row r="663" spans="3:45" hidden="1" outlineLevel="2">
      <c r="C663" s="9" t="s">
        <v>16</v>
      </c>
      <c r="D663" s="9"/>
      <c r="E663" s="20" t="s">
        <v>117</v>
      </c>
      <c r="F663" s="20"/>
      <c r="G663" s="20"/>
      <c r="H663" s="20"/>
      <c r="I663" s="20"/>
      <c r="J663" s="20"/>
      <c r="K663" s="20"/>
      <c r="L663" s="20"/>
      <c r="M663" s="20"/>
      <c r="N663" s="20"/>
      <c r="O663" s="20"/>
      <c r="P663" s="20"/>
      <c r="Q663" s="20"/>
      <c r="R663" s="20"/>
      <c r="S663" s="20"/>
      <c r="T663" s="20"/>
      <c r="U663" s="20"/>
      <c r="V663" s="20"/>
      <c r="W663" s="20"/>
      <c r="X663" s="20"/>
      <c r="Y663" s="20"/>
      <c r="Z663" s="20"/>
      <c r="AA663" s="20"/>
      <c r="AB663" s="12"/>
      <c r="AC663" s="12"/>
      <c r="AD663" s="12"/>
      <c r="AE663" s="12"/>
      <c r="AF663" s="12"/>
      <c r="AG663" s="12">
        <v>325462</v>
      </c>
      <c r="AH663" s="12">
        <v>285557</v>
      </c>
      <c r="AI663" s="12">
        <v>83731</v>
      </c>
      <c r="AJ663" s="12">
        <v>193231</v>
      </c>
      <c r="AK663" s="12">
        <v>198872</v>
      </c>
      <c r="AL663" s="843">
        <v>204455</v>
      </c>
      <c r="AM663" s="844">
        <v>211926</v>
      </c>
      <c r="AN663" s="1071">
        <v>325266.67999999982</v>
      </c>
      <c r="AO663" s="1071">
        <v>361186</v>
      </c>
      <c r="AP663" s="1071">
        <f t="shared" si="225"/>
        <v>413444</v>
      </c>
      <c r="AQ663" s="1071">
        <f t="shared" si="226"/>
        <v>413444</v>
      </c>
      <c r="AR663" s="1044"/>
      <c r="AS663" s="1044"/>
    </row>
    <row r="664" spans="3:45" hidden="1" outlineLevel="2">
      <c r="C664" s="9" t="s">
        <v>16</v>
      </c>
      <c r="D664" s="9"/>
      <c r="E664" s="20" t="s">
        <v>118</v>
      </c>
      <c r="F664" s="20"/>
      <c r="G664" s="20"/>
      <c r="H664" s="20"/>
      <c r="I664" s="20"/>
      <c r="J664" s="20"/>
      <c r="K664" s="20"/>
      <c r="L664" s="20"/>
      <c r="M664" s="20"/>
      <c r="N664" s="20"/>
      <c r="O664" s="20"/>
      <c r="P664" s="20"/>
      <c r="Q664" s="20"/>
      <c r="R664" s="20"/>
      <c r="S664" s="20"/>
      <c r="T664" s="20"/>
      <c r="U664" s="20"/>
      <c r="V664" s="20"/>
      <c r="W664" s="20"/>
      <c r="X664" s="20"/>
      <c r="Y664" s="20"/>
      <c r="Z664" s="20"/>
      <c r="AA664" s="20"/>
      <c r="AB664" s="12"/>
      <c r="AC664" s="12"/>
      <c r="AD664" s="12"/>
      <c r="AE664" s="12"/>
      <c r="AF664" s="12"/>
      <c r="AG664" s="12">
        <v>376097</v>
      </c>
      <c r="AH664" s="12">
        <v>351334</v>
      </c>
      <c r="AI664" s="12">
        <v>244130</v>
      </c>
      <c r="AJ664" s="12">
        <v>295111</v>
      </c>
      <c r="AK664" s="12">
        <v>249160</v>
      </c>
      <c r="AL664" s="843">
        <v>190647</v>
      </c>
      <c r="AM664" s="844">
        <v>200664</v>
      </c>
      <c r="AN664" s="1071">
        <v>290385.77</v>
      </c>
      <c r="AO664" s="1071">
        <v>398770</v>
      </c>
      <c r="AP664" s="1071">
        <f t="shared" si="225"/>
        <v>456466</v>
      </c>
      <c r="AQ664" s="1071">
        <f t="shared" si="226"/>
        <v>456466</v>
      </c>
      <c r="AR664" s="1044"/>
      <c r="AS664" s="1044"/>
    </row>
    <row r="665" spans="3:45" hidden="1" outlineLevel="2">
      <c r="C665" s="9" t="s">
        <v>16</v>
      </c>
      <c r="D665" s="9"/>
      <c r="E665" s="20" t="s">
        <v>119</v>
      </c>
      <c r="F665" s="20"/>
      <c r="G665" s="20"/>
      <c r="H665" s="20"/>
      <c r="I665" s="20"/>
      <c r="J665" s="20"/>
      <c r="K665" s="20"/>
      <c r="L665" s="20"/>
      <c r="M665" s="20"/>
      <c r="N665" s="20"/>
      <c r="O665" s="20"/>
      <c r="P665" s="20"/>
      <c r="Q665" s="20"/>
      <c r="R665" s="20"/>
      <c r="S665" s="20"/>
      <c r="T665" s="20"/>
      <c r="U665" s="20"/>
      <c r="V665" s="20"/>
      <c r="W665" s="20"/>
      <c r="X665" s="20"/>
      <c r="Y665" s="20"/>
      <c r="Z665" s="20"/>
      <c r="AA665" s="20"/>
      <c r="AB665" s="12"/>
      <c r="AC665" s="12"/>
      <c r="AD665" s="12"/>
      <c r="AE665" s="12"/>
      <c r="AF665" s="12"/>
      <c r="AG665" s="12">
        <v>372720</v>
      </c>
      <c r="AH665" s="12">
        <v>331328</v>
      </c>
      <c r="AI665" s="12">
        <v>250505</v>
      </c>
      <c r="AJ665" s="12">
        <v>198493</v>
      </c>
      <c r="AK665" s="12">
        <v>204259</v>
      </c>
      <c r="AL665" s="843">
        <v>194942</v>
      </c>
      <c r="AM665" s="844">
        <v>210931</v>
      </c>
      <c r="AN665" s="1071">
        <v>290037.91000000003</v>
      </c>
      <c r="AO665" s="1071">
        <v>332370</v>
      </c>
      <c r="AP665" s="1071">
        <f t="shared" si="225"/>
        <v>380459</v>
      </c>
      <c r="AQ665" s="1071">
        <f t="shared" si="226"/>
        <v>380459</v>
      </c>
      <c r="AR665" s="1044"/>
      <c r="AS665" s="1044"/>
    </row>
    <row r="666" spans="3:45" hidden="1" outlineLevel="2">
      <c r="C666" s="9" t="s">
        <v>16</v>
      </c>
      <c r="D666" s="9"/>
      <c r="E666" s="20" t="s">
        <v>171</v>
      </c>
      <c r="F666" s="20"/>
      <c r="G666" s="20"/>
      <c r="H666" s="20"/>
      <c r="I666" s="20"/>
      <c r="J666" s="20"/>
      <c r="K666" s="20"/>
      <c r="L666" s="20"/>
      <c r="M666" s="20"/>
      <c r="N666" s="20"/>
      <c r="O666" s="20"/>
      <c r="P666" s="20"/>
      <c r="Q666" s="20"/>
      <c r="R666" s="20"/>
      <c r="S666" s="20"/>
      <c r="T666" s="20"/>
      <c r="U666" s="20"/>
      <c r="V666" s="20"/>
      <c r="W666" s="20"/>
      <c r="X666" s="20"/>
      <c r="Y666" s="20"/>
      <c r="Z666" s="20"/>
      <c r="AA666" s="20"/>
      <c r="AB666" s="12"/>
      <c r="AC666" s="12"/>
      <c r="AD666" s="12"/>
      <c r="AE666" s="12"/>
      <c r="AF666" s="12"/>
      <c r="AG666" s="12">
        <v>5865284</v>
      </c>
      <c r="AH666" s="12">
        <v>5204798</v>
      </c>
      <c r="AI666" s="12">
        <v>1836639</v>
      </c>
      <c r="AJ666" s="12">
        <v>949513</v>
      </c>
      <c r="AK666" s="12">
        <v>1055672</v>
      </c>
      <c r="AL666" s="843">
        <v>958761</v>
      </c>
      <c r="AM666" s="844">
        <v>1365807</v>
      </c>
      <c r="AN666" s="1071">
        <v>4766790.209999999</v>
      </c>
      <c r="AO666" s="1071">
        <v>4971176</v>
      </c>
      <c r="AP666" s="1071">
        <f t="shared" si="225"/>
        <v>5690430</v>
      </c>
      <c r="AQ666" s="1071">
        <f t="shared" si="226"/>
        <v>5690430</v>
      </c>
      <c r="AR666" s="1044"/>
      <c r="AS666" s="1044"/>
    </row>
    <row r="667" spans="3:45" hidden="1" outlineLevel="2">
      <c r="C667" s="9" t="s">
        <v>16</v>
      </c>
      <c r="D667" s="9"/>
      <c r="E667" s="20" t="s">
        <v>172</v>
      </c>
      <c r="F667" s="20"/>
      <c r="G667" s="20"/>
      <c r="H667" s="20"/>
      <c r="I667" s="20"/>
      <c r="J667" s="20"/>
      <c r="K667" s="20"/>
      <c r="L667" s="20"/>
      <c r="M667" s="20"/>
      <c r="N667" s="20"/>
      <c r="O667" s="20"/>
      <c r="P667" s="20"/>
      <c r="Q667" s="20"/>
      <c r="R667" s="20"/>
      <c r="S667" s="20"/>
      <c r="T667" s="20"/>
      <c r="U667" s="20"/>
      <c r="V667" s="20"/>
      <c r="W667" s="20"/>
      <c r="X667" s="20"/>
      <c r="Y667" s="20"/>
      <c r="Z667" s="20"/>
      <c r="AA667" s="20"/>
      <c r="AB667" s="12"/>
      <c r="AC667" s="12"/>
      <c r="AD667" s="12"/>
      <c r="AE667" s="12"/>
      <c r="AF667" s="12"/>
      <c r="AG667" s="12">
        <v>444728</v>
      </c>
      <c r="AH667" s="12">
        <v>354588</v>
      </c>
      <c r="AI667" s="12">
        <v>356487</v>
      </c>
      <c r="AJ667" s="12">
        <v>182819</v>
      </c>
      <c r="AK667" s="12">
        <v>201292</v>
      </c>
      <c r="AL667" s="843">
        <v>198397</v>
      </c>
      <c r="AM667" s="844">
        <v>202739</v>
      </c>
      <c r="AN667" s="1071">
        <v>298285.24000000011</v>
      </c>
      <c r="AO667" s="1071">
        <v>277681</v>
      </c>
      <c r="AP667" s="1071">
        <f t="shared" si="225"/>
        <v>317857</v>
      </c>
      <c r="AQ667" s="1071">
        <f t="shared" si="226"/>
        <v>317857</v>
      </c>
      <c r="AR667" s="1044"/>
      <c r="AS667" s="1044"/>
    </row>
    <row r="668" spans="3:45" hidden="1" outlineLevel="2">
      <c r="C668" s="9" t="s">
        <v>16</v>
      </c>
      <c r="D668" s="9"/>
      <c r="E668" s="20" t="s">
        <v>122</v>
      </c>
      <c r="F668" s="20"/>
      <c r="G668" s="20"/>
      <c r="H668" s="20"/>
      <c r="I668" s="20"/>
      <c r="J668" s="20"/>
      <c r="K668" s="20"/>
      <c r="L668" s="20"/>
      <c r="M668" s="20"/>
      <c r="N668" s="20"/>
      <c r="O668" s="20"/>
      <c r="P668" s="20"/>
      <c r="Q668" s="20"/>
      <c r="R668" s="20"/>
      <c r="S668" s="20"/>
      <c r="T668" s="20"/>
      <c r="U668" s="20"/>
      <c r="V668" s="20"/>
      <c r="W668" s="20"/>
      <c r="X668" s="20"/>
      <c r="Y668" s="20"/>
      <c r="Z668" s="20"/>
      <c r="AA668" s="20"/>
      <c r="AB668" s="12"/>
      <c r="AC668" s="12"/>
      <c r="AD668" s="12"/>
      <c r="AE668" s="12"/>
      <c r="AF668" s="12"/>
      <c r="AG668" s="12">
        <v>599276</v>
      </c>
      <c r="AH668" s="12">
        <v>520266</v>
      </c>
      <c r="AI668" s="12">
        <v>378035</v>
      </c>
      <c r="AJ668" s="12">
        <v>339720</v>
      </c>
      <c r="AK668" s="12">
        <v>358554</v>
      </c>
      <c r="AL668" s="843">
        <v>333712</v>
      </c>
      <c r="AM668" s="844">
        <v>334459</v>
      </c>
      <c r="AN668" s="1071">
        <v>440735.7100000002</v>
      </c>
      <c r="AO668" s="1071">
        <v>490106</v>
      </c>
      <c r="AP668" s="1071">
        <f t="shared" si="225"/>
        <v>561017</v>
      </c>
      <c r="AQ668" s="1071">
        <f t="shared" si="226"/>
        <v>561017</v>
      </c>
      <c r="AR668" s="1044"/>
      <c r="AS668" s="1044"/>
    </row>
    <row r="669" spans="3:45" hidden="1" outlineLevel="2">
      <c r="C669" s="9" t="s">
        <v>16</v>
      </c>
      <c r="D669" s="9"/>
      <c r="E669" s="20" t="s">
        <v>173</v>
      </c>
      <c r="F669" s="20"/>
      <c r="G669" s="20"/>
      <c r="H669" s="20"/>
      <c r="I669" s="20"/>
      <c r="J669" s="20"/>
      <c r="K669" s="20"/>
      <c r="L669" s="20"/>
      <c r="M669" s="20"/>
      <c r="N669" s="20"/>
      <c r="O669" s="20"/>
      <c r="P669" s="20"/>
      <c r="Q669" s="20"/>
      <c r="R669" s="20"/>
      <c r="S669" s="20"/>
      <c r="T669" s="20"/>
      <c r="U669" s="20"/>
      <c r="V669" s="20"/>
      <c r="W669" s="20"/>
      <c r="X669" s="20"/>
      <c r="Y669" s="20"/>
      <c r="Z669" s="20"/>
      <c r="AA669" s="20"/>
      <c r="AB669" s="12"/>
      <c r="AC669" s="12"/>
      <c r="AD669" s="12"/>
      <c r="AE669" s="12"/>
      <c r="AF669" s="12"/>
      <c r="AG669" s="12">
        <v>1113389</v>
      </c>
      <c r="AH669" s="12">
        <v>1026455</v>
      </c>
      <c r="AI669" s="12">
        <v>21628</v>
      </c>
      <c r="AJ669" s="12">
        <v>645561</v>
      </c>
      <c r="AK669" s="12">
        <v>606292</v>
      </c>
      <c r="AL669" s="843">
        <v>657914</v>
      </c>
      <c r="AM669" s="844">
        <v>678567</v>
      </c>
      <c r="AN669" s="1071">
        <v>900784.8200000003</v>
      </c>
      <c r="AO669" s="1071">
        <v>951050</v>
      </c>
      <c r="AP669" s="1071">
        <f t="shared" si="225"/>
        <v>1088653</v>
      </c>
      <c r="AQ669" s="1071">
        <f t="shared" si="226"/>
        <v>1088653</v>
      </c>
      <c r="AR669" s="1044"/>
      <c r="AS669" s="1044"/>
    </row>
    <row r="670" spans="3:45" hidden="1" outlineLevel="2">
      <c r="C670" s="9" t="s">
        <v>16</v>
      </c>
      <c r="D670" s="9"/>
      <c r="E670" s="20" t="s">
        <v>174</v>
      </c>
      <c r="F670" s="20"/>
      <c r="G670" s="20"/>
      <c r="H670" s="20"/>
      <c r="I670" s="20"/>
      <c r="J670" s="20"/>
      <c r="K670" s="20"/>
      <c r="L670" s="20"/>
      <c r="M670" s="20"/>
      <c r="N670" s="20"/>
      <c r="O670" s="20"/>
      <c r="P670" s="20"/>
      <c r="Q670" s="20"/>
      <c r="R670" s="20"/>
      <c r="S670" s="20"/>
      <c r="T670" s="20"/>
      <c r="U670" s="20"/>
      <c r="V670" s="20"/>
      <c r="W670" s="20"/>
      <c r="X670" s="20"/>
      <c r="Y670" s="20"/>
      <c r="Z670" s="20"/>
      <c r="AA670" s="20"/>
      <c r="AB670" s="12"/>
      <c r="AC670" s="12"/>
      <c r="AD670" s="12"/>
      <c r="AE670" s="12"/>
      <c r="AF670" s="12"/>
      <c r="AG670" s="12">
        <v>638264</v>
      </c>
      <c r="AH670" s="12">
        <v>562432</v>
      </c>
      <c r="AI670" s="12">
        <v>17637</v>
      </c>
      <c r="AJ670" s="12">
        <v>381844</v>
      </c>
      <c r="AK670" s="12">
        <v>422146</v>
      </c>
      <c r="AL670" s="843">
        <v>464359</v>
      </c>
      <c r="AM670" s="844">
        <v>514423</v>
      </c>
      <c r="AN670" s="1071">
        <v>688525.52</v>
      </c>
      <c r="AO670" s="1071">
        <v>666179</v>
      </c>
      <c r="AP670" s="1071">
        <f t="shared" si="225"/>
        <v>762565</v>
      </c>
      <c r="AQ670" s="1071">
        <f t="shared" si="226"/>
        <v>762565</v>
      </c>
      <c r="AR670" s="1044"/>
      <c r="AS670" s="1044"/>
    </row>
    <row r="671" spans="3:45" hidden="1" outlineLevel="2">
      <c r="C671" s="9" t="s">
        <v>16</v>
      </c>
      <c r="D671" s="9"/>
      <c r="E671" s="20" t="s">
        <v>175</v>
      </c>
      <c r="F671" s="20"/>
      <c r="G671" s="20"/>
      <c r="H671" s="20"/>
      <c r="I671" s="20"/>
      <c r="J671" s="20"/>
      <c r="K671" s="20"/>
      <c r="L671" s="20"/>
      <c r="M671" s="20"/>
      <c r="N671" s="20"/>
      <c r="O671" s="20"/>
      <c r="P671" s="20"/>
      <c r="Q671" s="20"/>
      <c r="R671" s="20"/>
      <c r="S671" s="20"/>
      <c r="T671" s="20"/>
      <c r="U671" s="20"/>
      <c r="V671" s="20"/>
      <c r="W671" s="20"/>
      <c r="X671" s="20"/>
      <c r="Y671" s="20"/>
      <c r="Z671" s="20"/>
      <c r="AA671" s="20"/>
      <c r="AB671" s="12"/>
      <c r="AC671" s="12"/>
      <c r="AD671" s="12"/>
      <c r="AE671" s="12"/>
      <c r="AF671" s="12"/>
      <c r="AG671" s="12">
        <v>5091827</v>
      </c>
      <c r="AH671" s="12">
        <v>4845599</v>
      </c>
      <c r="AI671" s="12">
        <v>1950120</v>
      </c>
      <c r="AJ671" s="12">
        <v>3484184</v>
      </c>
      <c r="AK671" s="12">
        <v>4566667</v>
      </c>
      <c r="AL671" s="843">
        <v>4294836</v>
      </c>
      <c r="AM671" s="844">
        <v>4287259</v>
      </c>
      <c r="AN671" s="1071">
        <v>4931591.42</v>
      </c>
      <c r="AO671" s="1071">
        <v>5445386</v>
      </c>
      <c r="AP671" s="1071">
        <f t="shared" si="225"/>
        <v>6233251</v>
      </c>
      <c r="AQ671" s="1071">
        <f t="shared" si="226"/>
        <v>6233251</v>
      </c>
      <c r="AR671" s="1044"/>
      <c r="AS671" s="1044"/>
    </row>
    <row r="672" spans="3:45" hidden="1" outlineLevel="2">
      <c r="C672" s="9" t="s">
        <v>16</v>
      </c>
      <c r="D672" s="9"/>
      <c r="E672" s="20" t="s">
        <v>176</v>
      </c>
      <c r="F672" s="20"/>
      <c r="G672" s="20"/>
      <c r="H672" s="20"/>
      <c r="I672" s="20"/>
      <c r="J672" s="20"/>
      <c r="K672" s="20"/>
      <c r="L672" s="20"/>
      <c r="M672" s="20"/>
      <c r="N672" s="20"/>
      <c r="O672" s="20"/>
      <c r="P672" s="20"/>
      <c r="Q672" s="20"/>
      <c r="R672" s="20"/>
      <c r="S672" s="20"/>
      <c r="T672" s="20"/>
      <c r="U672" s="20"/>
      <c r="V672" s="20"/>
      <c r="W672" s="20"/>
      <c r="X672" s="20"/>
      <c r="Y672" s="20"/>
      <c r="Z672" s="20"/>
      <c r="AA672" s="20"/>
      <c r="AB672" s="12"/>
      <c r="AC672" s="12"/>
      <c r="AD672" s="12"/>
      <c r="AE672" s="12"/>
      <c r="AF672" s="12"/>
      <c r="AG672" s="12">
        <v>920048</v>
      </c>
      <c r="AH672" s="12">
        <v>856862</v>
      </c>
      <c r="AI672" s="12">
        <v>99050</v>
      </c>
      <c r="AJ672" s="12">
        <v>402569</v>
      </c>
      <c r="AK672" s="12">
        <v>424483</v>
      </c>
      <c r="AL672" s="843">
        <v>416409</v>
      </c>
      <c r="AM672" s="844">
        <v>458259</v>
      </c>
      <c r="AN672" s="1071">
        <v>678824.28000000026</v>
      </c>
      <c r="AO672" s="1071">
        <v>740753</v>
      </c>
      <c r="AP672" s="1071">
        <f t="shared" si="225"/>
        <v>847929</v>
      </c>
      <c r="AQ672" s="1071">
        <f t="shared" si="226"/>
        <v>847929</v>
      </c>
      <c r="AR672" s="1044"/>
      <c r="AS672" s="1044"/>
    </row>
    <row r="673" spans="3:45" hidden="1" outlineLevel="2">
      <c r="C673" s="9" t="s">
        <v>16</v>
      </c>
      <c r="D673" s="9"/>
      <c r="E673" s="20" t="s">
        <v>127</v>
      </c>
      <c r="F673" s="20"/>
      <c r="G673" s="20"/>
      <c r="H673" s="20"/>
      <c r="I673" s="20"/>
      <c r="J673" s="20"/>
      <c r="K673" s="20"/>
      <c r="L673" s="20"/>
      <c r="M673" s="20"/>
      <c r="N673" s="20"/>
      <c r="O673" s="20"/>
      <c r="P673" s="20"/>
      <c r="Q673" s="20"/>
      <c r="R673" s="20"/>
      <c r="S673" s="20"/>
      <c r="T673" s="20"/>
      <c r="U673" s="20"/>
      <c r="V673" s="20"/>
      <c r="W673" s="20"/>
      <c r="X673" s="20"/>
      <c r="Y673" s="20"/>
      <c r="Z673" s="20"/>
      <c r="AA673" s="20"/>
      <c r="AB673" s="12"/>
      <c r="AC673" s="12"/>
      <c r="AD673" s="12"/>
      <c r="AE673" s="12"/>
      <c r="AF673" s="12"/>
      <c r="AG673" s="12">
        <v>680154</v>
      </c>
      <c r="AH673" s="12">
        <v>607252</v>
      </c>
      <c r="AI673" s="12">
        <v>151007</v>
      </c>
      <c r="AJ673" s="12">
        <v>405567</v>
      </c>
      <c r="AK673" s="12">
        <v>431230</v>
      </c>
      <c r="AL673" s="843">
        <v>461603</v>
      </c>
      <c r="AM673" s="844">
        <v>458881</v>
      </c>
      <c r="AN673" s="1071">
        <v>608240.01999999979</v>
      </c>
      <c r="AO673" s="1071">
        <v>619547</v>
      </c>
      <c r="AP673" s="1071">
        <f t="shared" si="225"/>
        <v>709186</v>
      </c>
      <c r="AQ673" s="1071">
        <f t="shared" si="226"/>
        <v>709186</v>
      </c>
      <c r="AR673" s="1044"/>
      <c r="AS673" s="1044"/>
    </row>
    <row r="674" spans="3:45" hidden="1" outlineLevel="2">
      <c r="C674" s="9" t="s">
        <v>16</v>
      </c>
      <c r="D674" s="9"/>
      <c r="E674" s="20" t="s">
        <v>128</v>
      </c>
      <c r="F674" s="20"/>
      <c r="G674" s="20"/>
      <c r="H674" s="20"/>
      <c r="I674" s="20"/>
      <c r="J674" s="20"/>
      <c r="K674" s="20"/>
      <c r="L674" s="20"/>
      <c r="M674" s="20"/>
      <c r="N674" s="20"/>
      <c r="O674" s="20"/>
      <c r="P674" s="20"/>
      <c r="Q674" s="20"/>
      <c r="R674" s="20"/>
      <c r="S674" s="20"/>
      <c r="T674" s="20"/>
      <c r="U674" s="20"/>
      <c r="V674" s="20"/>
      <c r="W674" s="20"/>
      <c r="X674" s="20"/>
      <c r="Y674" s="20"/>
      <c r="Z674" s="20"/>
      <c r="AA674" s="20"/>
      <c r="AB674" s="12"/>
      <c r="AC674" s="12"/>
      <c r="AD674" s="12"/>
      <c r="AE674" s="12"/>
      <c r="AF674" s="12"/>
      <c r="AG674" s="12">
        <v>818714</v>
      </c>
      <c r="AH674" s="12">
        <v>752397</v>
      </c>
      <c r="AI674" s="12">
        <v>773949</v>
      </c>
      <c r="AJ674" s="12">
        <v>461631</v>
      </c>
      <c r="AK674" s="12">
        <v>453072</v>
      </c>
      <c r="AL674" s="843">
        <v>463403</v>
      </c>
      <c r="AM674" s="844">
        <v>441940</v>
      </c>
      <c r="AN674" s="1071">
        <v>572409.34000000008</v>
      </c>
      <c r="AO674" s="1071">
        <v>639240</v>
      </c>
      <c r="AP674" s="1071">
        <f t="shared" si="225"/>
        <v>731728</v>
      </c>
      <c r="AQ674" s="1071">
        <f t="shared" si="226"/>
        <v>731728</v>
      </c>
      <c r="AR674" s="1044"/>
      <c r="AS674" s="1044"/>
    </row>
    <row r="675" spans="3:45" hidden="1" outlineLevel="2">
      <c r="C675" s="9" t="s">
        <v>16</v>
      </c>
      <c r="D675" s="9"/>
      <c r="E675" s="20" t="s">
        <v>163</v>
      </c>
      <c r="F675" s="20"/>
      <c r="G675" s="20"/>
      <c r="H675" s="20"/>
      <c r="I675" s="20"/>
      <c r="J675" s="20"/>
      <c r="K675" s="20"/>
      <c r="L675" s="20"/>
      <c r="M675" s="20"/>
      <c r="N675" s="20"/>
      <c r="O675" s="20"/>
      <c r="P675" s="20"/>
      <c r="Q675" s="20"/>
      <c r="R675" s="20"/>
      <c r="S675" s="20"/>
      <c r="T675" s="20"/>
      <c r="U675" s="20"/>
      <c r="V675" s="20"/>
      <c r="W675" s="20"/>
      <c r="X675" s="20"/>
      <c r="Y675" s="20"/>
      <c r="Z675" s="20"/>
      <c r="AA675" s="20"/>
      <c r="AB675" s="12"/>
      <c r="AC675" s="12"/>
      <c r="AD675" s="12"/>
      <c r="AE675" s="12"/>
      <c r="AF675" s="12"/>
      <c r="AG675" s="12">
        <v>653446</v>
      </c>
      <c r="AH675" s="12">
        <v>613893</v>
      </c>
      <c r="AI675" s="12">
        <v>445809</v>
      </c>
      <c r="AJ675" s="12">
        <v>433618</v>
      </c>
      <c r="AK675" s="12">
        <v>485610</v>
      </c>
      <c r="AL675" s="843">
        <v>520384</v>
      </c>
      <c r="AM675" s="844">
        <v>542157</v>
      </c>
      <c r="AN675" s="1071">
        <v>724266.68000000017</v>
      </c>
      <c r="AO675" s="1071">
        <v>775973</v>
      </c>
      <c r="AP675" s="1071">
        <f t="shared" si="225"/>
        <v>888245</v>
      </c>
      <c r="AQ675" s="1071">
        <f t="shared" si="226"/>
        <v>888245</v>
      </c>
      <c r="AR675" s="1044"/>
      <c r="AS675" s="1044"/>
    </row>
    <row r="676" spans="3:45" hidden="1" outlineLevel="2">
      <c r="C676" s="9" t="s">
        <v>16</v>
      </c>
      <c r="D676" s="9"/>
      <c r="E676" s="20" t="s">
        <v>177</v>
      </c>
      <c r="F676" s="20"/>
      <c r="G676" s="20"/>
      <c r="H676" s="20"/>
      <c r="I676" s="20"/>
      <c r="J676" s="20"/>
      <c r="K676" s="20"/>
      <c r="L676" s="20"/>
      <c r="M676" s="20"/>
      <c r="N676" s="20"/>
      <c r="O676" s="20"/>
      <c r="P676" s="20"/>
      <c r="Q676" s="20"/>
      <c r="R676" s="20"/>
      <c r="S676" s="20"/>
      <c r="T676" s="20"/>
      <c r="U676" s="20"/>
      <c r="V676" s="20"/>
      <c r="W676" s="20"/>
      <c r="X676" s="20"/>
      <c r="Y676" s="20"/>
      <c r="Z676" s="20"/>
      <c r="AA676" s="20"/>
      <c r="AB676" s="12"/>
      <c r="AC676" s="12"/>
      <c r="AD676" s="12"/>
      <c r="AE676" s="12"/>
      <c r="AF676" s="12"/>
      <c r="AG676" s="12">
        <v>283926</v>
      </c>
      <c r="AH676" s="12">
        <v>271131</v>
      </c>
      <c r="AI676" s="12">
        <v>71527</v>
      </c>
      <c r="AJ676" s="12">
        <v>167120</v>
      </c>
      <c r="AK676" s="12">
        <v>182755</v>
      </c>
      <c r="AL676" s="843">
        <v>182318</v>
      </c>
      <c r="AM676" s="844">
        <v>192869</v>
      </c>
      <c r="AN676" s="1071">
        <v>283818.5199999999</v>
      </c>
      <c r="AO676" s="1071">
        <v>286420</v>
      </c>
      <c r="AP676" s="1071">
        <f t="shared" si="225"/>
        <v>327861</v>
      </c>
      <c r="AQ676" s="1071">
        <f t="shared" si="226"/>
        <v>327861</v>
      </c>
      <c r="AR676" s="1044"/>
      <c r="AS676" s="1044"/>
    </row>
    <row r="677" spans="3:45" hidden="1" outlineLevel="2">
      <c r="C677" s="9" t="s">
        <v>16</v>
      </c>
      <c r="D677" s="9"/>
      <c r="E677" s="20" t="s">
        <v>131</v>
      </c>
      <c r="F677" s="20"/>
      <c r="G677" s="20"/>
      <c r="H677" s="20"/>
      <c r="I677" s="20"/>
      <c r="J677" s="20"/>
      <c r="K677" s="20"/>
      <c r="L677" s="20"/>
      <c r="M677" s="20"/>
      <c r="N677" s="20"/>
      <c r="O677" s="20"/>
      <c r="P677" s="20"/>
      <c r="Q677" s="20"/>
      <c r="R677" s="20"/>
      <c r="S677" s="20"/>
      <c r="T677" s="20"/>
      <c r="U677" s="20"/>
      <c r="V677" s="20"/>
      <c r="W677" s="20"/>
      <c r="X677" s="20"/>
      <c r="Y677" s="20"/>
      <c r="Z677" s="20"/>
      <c r="AA677" s="20"/>
      <c r="AB677" s="12"/>
      <c r="AC677" s="12"/>
      <c r="AD677" s="12"/>
      <c r="AE677" s="12"/>
      <c r="AF677" s="12"/>
      <c r="AG677" s="12">
        <v>677078</v>
      </c>
      <c r="AH677" s="12">
        <v>606006</v>
      </c>
      <c r="AI677" s="12">
        <v>126503</v>
      </c>
      <c r="AJ677" s="12">
        <v>348200</v>
      </c>
      <c r="AK677" s="12">
        <v>438620</v>
      </c>
      <c r="AL677" s="843">
        <v>466387</v>
      </c>
      <c r="AM677" s="844">
        <v>438853</v>
      </c>
      <c r="AN677" s="1071">
        <v>595710.0299999998</v>
      </c>
      <c r="AO677" s="1071">
        <v>655657</v>
      </c>
      <c r="AP677" s="1071">
        <f t="shared" si="225"/>
        <v>750521</v>
      </c>
      <c r="AQ677" s="1071">
        <f t="shared" si="226"/>
        <v>750521</v>
      </c>
      <c r="AR677" s="1044"/>
      <c r="AS677" s="1044"/>
    </row>
    <row r="678" spans="3:45" hidden="1" outlineLevel="2">
      <c r="C678" s="9" t="s">
        <v>16</v>
      </c>
      <c r="D678" s="9"/>
      <c r="E678" s="20" t="s">
        <v>132</v>
      </c>
      <c r="F678" s="20"/>
      <c r="G678" s="20"/>
      <c r="H678" s="20"/>
      <c r="I678" s="20"/>
      <c r="J678" s="20"/>
      <c r="K678" s="20"/>
      <c r="L678" s="20"/>
      <c r="M678" s="20"/>
      <c r="N678" s="20"/>
      <c r="O678" s="20"/>
      <c r="P678" s="20"/>
      <c r="Q678" s="20"/>
      <c r="R678" s="20"/>
      <c r="S678" s="20"/>
      <c r="T678" s="20"/>
      <c r="U678" s="20"/>
      <c r="V678" s="20"/>
      <c r="W678" s="20"/>
      <c r="X678" s="20"/>
      <c r="Y678" s="20"/>
      <c r="Z678" s="20"/>
      <c r="AA678" s="20"/>
      <c r="AB678" s="12"/>
      <c r="AC678" s="12"/>
      <c r="AD678" s="12"/>
      <c r="AE678" s="12"/>
      <c r="AF678" s="12"/>
      <c r="AG678" s="12">
        <v>285478</v>
      </c>
      <c r="AH678" s="12">
        <v>273031</v>
      </c>
      <c r="AI678" s="12">
        <v>91259</v>
      </c>
      <c r="AJ678" s="12">
        <v>180321</v>
      </c>
      <c r="AK678" s="12">
        <v>188582</v>
      </c>
      <c r="AL678" s="843">
        <v>199981</v>
      </c>
      <c r="AM678" s="844">
        <v>206955</v>
      </c>
      <c r="AN678" s="1071">
        <v>289915.20999999996</v>
      </c>
      <c r="AO678" s="1071">
        <v>310432</v>
      </c>
      <c r="AP678" s="1071">
        <f t="shared" ref="AP678:AP694" si="227">ROUND(AO678/AO$696*AP$696,0)</f>
        <v>355347</v>
      </c>
      <c r="AQ678" s="1071">
        <f t="shared" si="226"/>
        <v>355347</v>
      </c>
      <c r="AR678" s="1044"/>
      <c r="AS678" s="1044"/>
    </row>
    <row r="679" spans="3:45" hidden="1" outlineLevel="2">
      <c r="C679" s="9" t="s">
        <v>16</v>
      </c>
      <c r="D679" s="9"/>
      <c r="E679" s="20" t="s">
        <v>133</v>
      </c>
      <c r="F679" s="20"/>
      <c r="G679" s="20"/>
      <c r="H679" s="20"/>
      <c r="I679" s="20"/>
      <c r="J679" s="20"/>
      <c r="K679" s="20"/>
      <c r="L679" s="20"/>
      <c r="M679" s="20"/>
      <c r="N679" s="20"/>
      <c r="O679" s="20"/>
      <c r="P679" s="20"/>
      <c r="Q679" s="20"/>
      <c r="R679" s="20"/>
      <c r="S679" s="20"/>
      <c r="T679" s="20"/>
      <c r="U679" s="20"/>
      <c r="V679" s="20"/>
      <c r="W679" s="20"/>
      <c r="X679" s="20"/>
      <c r="Y679" s="20"/>
      <c r="Z679" s="20"/>
      <c r="AA679" s="20"/>
      <c r="AB679" s="12"/>
      <c r="AC679" s="12"/>
      <c r="AD679" s="12"/>
      <c r="AE679" s="12"/>
      <c r="AF679" s="12"/>
      <c r="AG679" s="12">
        <v>358801</v>
      </c>
      <c r="AH679" s="12">
        <v>323432</v>
      </c>
      <c r="AI679" s="12">
        <v>227110</v>
      </c>
      <c r="AJ679" s="12">
        <v>209405</v>
      </c>
      <c r="AK679" s="12">
        <v>208936</v>
      </c>
      <c r="AL679" s="843">
        <v>195557</v>
      </c>
      <c r="AM679" s="844">
        <v>199461</v>
      </c>
      <c r="AN679" s="1071">
        <v>266618.09999999998</v>
      </c>
      <c r="AO679" s="1071">
        <v>280493</v>
      </c>
      <c r="AP679" s="1071">
        <f t="shared" si="227"/>
        <v>321076</v>
      </c>
      <c r="AQ679" s="1071">
        <f t="shared" si="226"/>
        <v>321076</v>
      </c>
      <c r="AR679" s="1044"/>
      <c r="AS679" s="1044"/>
    </row>
    <row r="680" spans="3:45" hidden="1" outlineLevel="2">
      <c r="C680" s="9" t="s">
        <v>16</v>
      </c>
      <c r="D680" s="9"/>
      <c r="E680" s="20" t="s">
        <v>134</v>
      </c>
      <c r="F680" s="20"/>
      <c r="G680" s="20"/>
      <c r="H680" s="20"/>
      <c r="I680" s="20"/>
      <c r="J680" s="20"/>
      <c r="K680" s="20"/>
      <c r="L680" s="20"/>
      <c r="M680" s="20"/>
      <c r="N680" s="20"/>
      <c r="O680" s="20"/>
      <c r="P680" s="20"/>
      <c r="Q680" s="20"/>
      <c r="R680" s="20"/>
      <c r="S680" s="20"/>
      <c r="T680" s="20"/>
      <c r="U680" s="20"/>
      <c r="V680" s="20"/>
      <c r="W680" s="20"/>
      <c r="X680" s="20"/>
      <c r="Y680" s="20"/>
      <c r="Z680" s="20"/>
      <c r="AA680" s="20"/>
      <c r="AB680" s="12"/>
      <c r="AC680" s="12"/>
      <c r="AD680" s="12"/>
      <c r="AE680" s="12"/>
      <c r="AF680" s="12"/>
      <c r="AG680" s="12">
        <v>77725</v>
      </c>
      <c r="AH680" s="12">
        <v>72515</v>
      </c>
      <c r="AI680" s="12">
        <v>101685</v>
      </c>
      <c r="AJ680" s="12">
        <v>58645</v>
      </c>
      <c r="AK680" s="12">
        <v>-2838</v>
      </c>
      <c r="AL680" s="843">
        <v>142008</v>
      </c>
      <c r="AM680" s="844">
        <v>75975</v>
      </c>
      <c r="AN680" s="1071">
        <v>118581.14000000007</v>
      </c>
      <c r="AO680" s="1071">
        <v>129358</v>
      </c>
      <c r="AP680" s="1071">
        <f t="shared" si="227"/>
        <v>148074</v>
      </c>
      <c r="AQ680" s="1071">
        <f t="shared" si="226"/>
        <v>148074</v>
      </c>
      <c r="AR680" s="1044"/>
      <c r="AS680" s="1044"/>
    </row>
    <row r="681" spans="3:45" hidden="1" outlineLevel="2">
      <c r="C681" s="9" t="s">
        <v>16</v>
      </c>
      <c r="D681" s="9"/>
      <c r="E681" s="20" t="s">
        <v>135</v>
      </c>
      <c r="F681" s="20"/>
      <c r="G681" s="20"/>
      <c r="H681" s="20"/>
      <c r="I681" s="20"/>
      <c r="J681" s="20"/>
      <c r="K681" s="20"/>
      <c r="L681" s="20"/>
      <c r="M681" s="20"/>
      <c r="N681" s="20"/>
      <c r="O681" s="20"/>
      <c r="P681" s="20"/>
      <c r="Q681" s="20"/>
      <c r="R681" s="20"/>
      <c r="S681" s="20"/>
      <c r="T681" s="20"/>
      <c r="U681" s="20"/>
      <c r="V681" s="20"/>
      <c r="W681" s="20"/>
      <c r="X681" s="20"/>
      <c r="Y681" s="20"/>
      <c r="Z681" s="20"/>
      <c r="AA681" s="20"/>
      <c r="AB681" s="12"/>
      <c r="AC681" s="12"/>
      <c r="AD681" s="12"/>
      <c r="AE681" s="12"/>
      <c r="AF681" s="12"/>
      <c r="AG681" s="12">
        <v>3153813</v>
      </c>
      <c r="AH681" s="12">
        <v>2918121</v>
      </c>
      <c r="AI681" s="12">
        <v>1230639</v>
      </c>
      <c r="AJ681" s="12">
        <v>1870484</v>
      </c>
      <c r="AK681" s="12">
        <v>2007409</v>
      </c>
      <c r="AL681" s="843">
        <v>2075621</v>
      </c>
      <c r="AM681" s="844">
        <v>2211130</v>
      </c>
      <c r="AN681" s="1071">
        <v>3104869.709999999</v>
      </c>
      <c r="AO681" s="1071">
        <v>3226749</v>
      </c>
      <c r="AP681" s="1071">
        <f t="shared" si="227"/>
        <v>3693611</v>
      </c>
      <c r="AQ681" s="1071">
        <f t="shared" si="226"/>
        <v>3693611</v>
      </c>
      <c r="AR681" s="1044"/>
      <c r="AS681" s="1044"/>
    </row>
    <row r="682" spans="3:45" hidden="1" outlineLevel="2">
      <c r="C682" s="9" t="s">
        <v>16</v>
      </c>
      <c r="D682" s="9"/>
      <c r="E682" s="20" t="s">
        <v>136</v>
      </c>
      <c r="F682" s="20"/>
      <c r="G682" s="20"/>
      <c r="H682" s="20"/>
      <c r="I682" s="20"/>
      <c r="J682" s="20"/>
      <c r="K682" s="20"/>
      <c r="L682" s="20"/>
      <c r="M682" s="20"/>
      <c r="N682" s="20"/>
      <c r="O682" s="20"/>
      <c r="P682" s="20"/>
      <c r="Q682" s="20"/>
      <c r="R682" s="20"/>
      <c r="S682" s="20"/>
      <c r="T682" s="20"/>
      <c r="U682" s="20"/>
      <c r="V682" s="20"/>
      <c r="W682" s="20"/>
      <c r="X682" s="20"/>
      <c r="Y682" s="20"/>
      <c r="Z682" s="20"/>
      <c r="AA682" s="20"/>
      <c r="AB682" s="12"/>
      <c r="AC682" s="12"/>
      <c r="AD682" s="12"/>
      <c r="AE682" s="12"/>
      <c r="AF682" s="12"/>
      <c r="AG682" s="12">
        <v>761791</v>
      </c>
      <c r="AH682" s="12">
        <v>698590</v>
      </c>
      <c r="AI682" s="12">
        <v>175374</v>
      </c>
      <c r="AJ682" s="12">
        <v>437891</v>
      </c>
      <c r="AK682" s="12">
        <v>465968</v>
      </c>
      <c r="AL682" s="843">
        <v>486054</v>
      </c>
      <c r="AM682" s="844">
        <v>517648</v>
      </c>
      <c r="AN682" s="1071">
        <v>681243.76</v>
      </c>
      <c r="AO682" s="1071">
        <v>700533</v>
      </c>
      <c r="AP682" s="1071">
        <f t="shared" si="227"/>
        <v>801890</v>
      </c>
      <c r="AQ682" s="1071">
        <f t="shared" si="226"/>
        <v>801890</v>
      </c>
      <c r="AR682" s="1044"/>
      <c r="AS682" s="1044"/>
    </row>
    <row r="683" spans="3:45" hidden="1" outlineLevel="2">
      <c r="C683" s="9" t="s">
        <v>16</v>
      </c>
      <c r="D683" s="9"/>
      <c r="E683" s="20" t="s">
        <v>137</v>
      </c>
      <c r="F683" s="20"/>
      <c r="G683" s="20"/>
      <c r="H683" s="20"/>
      <c r="I683" s="20"/>
      <c r="J683" s="20"/>
      <c r="K683" s="20"/>
      <c r="L683" s="20"/>
      <c r="M683" s="20"/>
      <c r="N683" s="20"/>
      <c r="O683" s="20"/>
      <c r="P683" s="20"/>
      <c r="Q683" s="20"/>
      <c r="R683" s="20"/>
      <c r="S683" s="20"/>
      <c r="T683" s="20"/>
      <c r="U683" s="20"/>
      <c r="V683" s="20"/>
      <c r="W683" s="20"/>
      <c r="X683" s="20"/>
      <c r="Y683" s="20"/>
      <c r="Z683" s="20"/>
      <c r="AA683" s="20"/>
      <c r="AB683" s="12"/>
      <c r="AC683" s="12"/>
      <c r="AD683" s="12"/>
      <c r="AE683" s="12"/>
      <c r="AF683" s="12"/>
      <c r="AG683" s="12">
        <v>2969965</v>
      </c>
      <c r="AH683" s="12">
        <v>2655708</v>
      </c>
      <c r="AI683" s="12">
        <v>1360334</v>
      </c>
      <c r="AJ683" s="12">
        <v>1655278</v>
      </c>
      <c r="AK683" s="12">
        <v>1739365</v>
      </c>
      <c r="AL683" s="843">
        <v>1876875</v>
      </c>
      <c r="AM683" s="844">
        <v>2015895</v>
      </c>
      <c r="AN683" s="1071">
        <v>2880172.6300000018</v>
      </c>
      <c r="AO683" s="1071">
        <v>2884430</v>
      </c>
      <c r="AP683" s="1071">
        <f t="shared" si="227"/>
        <v>3301763</v>
      </c>
      <c r="AQ683" s="1071">
        <f t="shared" si="226"/>
        <v>3301763</v>
      </c>
      <c r="AR683" s="1044"/>
      <c r="AS683" s="1044"/>
    </row>
    <row r="684" spans="3:45" hidden="1" outlineLevel="2">
      <c r="C684" s="9" t="s">
        <v>16</v>
      </c>
      <c r="D684" s="9"/>
      <c r="E684" s="20" t="s">
        <v>178</v>
      </c>
      <c r="F684" s="20"/>
      <c r="G684" s="20"/>
      <c r="H684" s="20"/>
      <c r="I684" s="20"/>
      <c r="J684" s="20"/>
      <c r="K684" s="20"/>
      <c r="L684" s="20"/>
      <c r="M684" s="20"/>
      <c r="N684" s="20"/>
      <c r="O684" s="20"/>
      <c r="P684" s="20"/>
      <c r="Q684" s="20"/>
      <c r="R684" s="20"/>
      <c r="S684" s="20"/>
      <c r="T684" s="20"/>
      <c r="U684" s="20"/>
      <c r="V684" s="20"/>
      <c r="W684" s="20"/>
      <c r="X684" s="20"/>
      <c r="Y684" s="20"/>
      <c r="Z684" s="20"/>
      <c r="AA684" s="20"/>
      <c r="AB684" s="12"/>
      <c r="AC684" s="12"/>
      <c r="AD684" s="12"/>
      <c r="AE684" s="12"/>
      <c r="AF684" s="12"/>
      <c r="AG684" s="12">
        <v>618120</v>
      </c>
      <c r="AH684" s="12">
        <v>556802</v>
      </c>
      <c r="AI684" s="12">
        <v>236145</v>
      </c>
      <c r="AJ684" s="12">
        <v>320581</v>
      </c>
      <c r="AK684" s="12">
        <v>349171</v>
      </c>
      <c r="AL684" s="843">
        <v>354285</v>
      </c>
      <c r="AM684" s="844">
        <v>321731</v>
      </c>
      <c r="AN684" s="1071">
        <v>551595.83000000007</v>
      </c>
      <c r="AO684" s="1071">
        <v>559586</v>
      </c>
      <c r="AP684" s="1071">
        <f t="shared" si="227"/>
        <v>640550</v>
      </c>
      <c r="AQ684" s="1071">
        <f t="shared" si="226"/>
        <v>640550</v>
      </c>
      <c r="AR684" s="1044"/>
      <c r="AS684" s="1044"/>
    </row>
    <row r="685" spans="3:45" hidden="1" outlineLevel="2">
      <c r="C685" s="9" t="s">
        <v>16</v>
      </c>
      <c r="D685" s="9"/>
      <c r="E685" s="20" t="s">
        <v>179</v>
      </c>
      <c r="F685" s="20"/>
      <c r="G685" s="20"/>
      <c r="H685" s="20"/>
      <c r="I685" s="20"/>
      <c r="J685" s="20"/>
      <c r="K685" s="20"/>
      <c r="L685" s="20"/>
      <c r="M685" s="20"/>
      <c r="N685" s="20"/>
      <c r="O685" s="20"/>
      <c r="P685" s="20"/>
      <c r="Q685" s="20"/>
      <c r="R685" s="20"/>
      <c r="S685" s="20"/>
      <c r="T685" s="20"/>
      <c r="U685" s="20"/>
      <c r="V685" s="20"/>
      <c r="W685" s="20"/>
      <c r="X685" s="20"/>
      <c r="Y685" s="20"/>
      <c r="Z685" s="20"/>
      <c r="AA685" s="20"/>
      <c r="AB685" s="12"/>
      <c r="AC685" s="12"/>
      <c r="AD685" s="12"/>
      <c r="AE685" s="12"/>
      <c r="AF685" s="12"/>
      <c r="AG685" s="12">
        <v>4651793</v>
      </c>
      <c r="AH685" s="12">
        <v>4371315</v>
      </c>
      <c r="AI685" s="12">
        <v>1563514</v>
      </c>
      <c r="AJ685" s="12">
        <v>3122415</v>
      </c>
      <c r="AK685" s="12">
        <v>3308887</v>
      </c>
      <c r="AL685" s="843">
        <v>3455728</v>
      </c>
      <c r="AM685" s="844">
        <v>3744485</v>
      </c>
      <c r="AN685" s="1071">
        <v>4944089.51</v>
      </c>
      <c r="AO685" s="1071">
        <v>5259176</v>
      </c>
      <c r="AP685" s="1071">
        <f t="shared" si="227"/>
        <v>6020099</v>
      </c>
      <c r="AQ685" s="1071">
        <f t="shared" si="226"/>
        <v>6020099</v>
      </c>
      <c r="AR685" s="1044"/>
      <c r="AS685" s="1044"/>
    </row>
    <row r="686" spans="3:45" hidden="1" outlineLevel="2">
      <c r="C686" s="9" t="s">
        <v>16</v>
      </c>
      <c r="D686" s="9"/>
      <c r="E686" s="20" t="s">
        <v>140</v>
      </c>
      <c r="F686" s="20"/>
      <c r="G686" s="20"/>
      <c r="H686" s="20"/>
      <c r="I686" s="20"/>
      <c r="J686" s="20"/>
      <c r="K686" s="20"/>
      <c r="L686" s="20"/>
      <c r="M686" s="20"/>
      <c r="N686" s="20"/>
      <c r="O686" s="20"/>
      <c r="P686" s="20"/>
      <c r="Q686" s="20"/>
      <c r="R686" s="20"/>
      <c r="S686" s="20"/>
      <c r="T686" s="20"/>
      <c r="U686" s="20"/>
      <c r="V686" s="20"/>
      <c r="W686" s="20"/>
      <c r="X686" s="20"/>
      <c r="Y686" s="20"/>
      <c r="Z686" s="20"/>
      <c r="AA686" s="20"/>
      <c r="AB686" s="12"/>
      <c r="AC686" s="12"/>
      <c r="AD686" s="12"/>
      <c r="AE686" s="12"/>
      <c r="AF686" s="12"/>
      <c r="AG686" s="12">
        <v>481989</v>
      </c>
      <c r="AH686" s="12">
        <v>427474</v>
      </c>
      <c r="AI686" s="12">
        <v>175975</v>
      </c>
      <c r="AJ686" s="12">
        <v>289568</v>
      </c>
      <c r="AK686" s="12">
        <v>303986</v>
      </c>
      <c r="AL686" s="843">
        <v>322307</v>
      </c>
      <c r="AM686" s="844">
        <v>339328</v>
      </c>
      <c r="AN686" s="1071">
        <v>443060.26000000024</v>
      </c>
      <c r="AO686" s="1071">
        <v>474276</v>
      </c>
      <c r="AP686" s="1071">
        <f t="shared" si="227"/>
        <v>542897</v>
      </c>
      <c r="AQ686" s="1071">
        <f t="shared" si="226"/>
        <v>542897</v>
      </c>
      <c r="AR686" s="1044"/>
      <c r="AS686" s="1044"/>
    </row>
    <row r="687" spans="3:45" hidden="1" outlineLevel="2">
      <c r="C687" s="9" t="s">
        <v>16</v>
      </c>
      <c r="D687" s="9"/>
      <c r="E687" s="20" t="s">
        <v>141</v>
      </c>
      <c r="F687" s="20"/>
      <c r="G687" s="20"/>
      <c r="H687" s="20"/>
      <c r="I687" s="20"/>
      <c r="J687" s="20"/>
      <c r="K687" s="20"/>
      <c r="L687" s="20"/>
      <c r="M687" s="20"/>
      <c r="N687" s="20"/>
      <c r="O687" s="20"/>
      <c r="P687" s="20"/>
      <c r="Q687" s="20"/>
      <c r="R687" s="20"/>
      <c r="S687" s="20"/>
      <c r="T687" s="20"/>
      <c r="U687" s="20"/>
      <c r="V687" s="20"/>
      <c r="W687" s="20"/>
      <c r="X687" s="20"/>
      <c r="Y687" s="20"/>
      <c r="Z687" s="20"/>
      <c r="AA687" s="20"/>
      <c r="AB687" s="12"/>
      <c r="AC687" s="12"/>
      <c r="AD687" s="12"/>
      <c r="AE687" s="12"/>
      <c r="AF687" s="12"/>
      <c r="AG687" s="12">
        <v>352458</v>
      </c>
      <c r="AH687" s="12">
        <v>331123</v>
      </c>
      <c r="AI687" s="12">
        <v>198478</v>
      </c>
      <c r="AJ687" s="12">
        <v>216172</v>
      </c>
      <c r="AK687" s="12">
        <v>223428</v>
      </c>
      <c r="AL687" s="843">
        <v>232138</v>
      </c>
      <c r="AM687" s="844">
        <v>250531</v>
      </c>
      <c r="AN687" s="1071">
        <v>342987.99</v>
      </c>
      <c r="AO687" s="1071">
        <v>347165</v>
      </c>
      <c r="AP687" s="1071">
        <f t="shared" si="227"/>
        <v>397395</v>
      </c>
      <c r="AQ687" s="1071">
        <f t="shared" si="226"/>
        <v>397395</v>
      </c>
      <c r="AR687" s="1044"/>
      <c r="AS687" s="1044"/>
    </row>
    <row r="688" spans="3:45" hidden="1" outlineLevel="2">
      <c r="C688" s="9" t="s">
        <v>16</v>
      </c>
      <c r="D688" s="9"/>
      <c r="E688" s="20" t="s">
        <v>142</v>
      </c>
      <c r="F688" s="20"/>
      <c r="G688" s="20"/>
      <c r="H688" s="20"/>
      <c r="I688" s="20"/>
      <c r="J688" s="20"/>
      <c r="K688" s="20"/>
      <c r="L688" s="20"/>
      <c r="M688" s="20"/>
      <c r="N688" s="20"/>
      <c r="O688" s="20"/>
      <c r="P688" s="20"/>
      <c r="Q688" s="20"/>
      <c r="R688" s="20"/>
      <c r="S688" s="20"/>
      <c r="T688" s="20"/>
      <c r="U688" s="20"/>
      <c r="V688" s="20"/>
      <c r="W688" s="20"/>
      <c r="X688" s="20"/>
      <c r="Y688" s="20"/>
      <c r="Z688" s="20"/>
      <c r="AA688" s="20"/>
      <c r="AB688" s="12"/>
      <c r="AC688" s="12"/>
      <c r="AD688" s="12"/>
      <c r="AE688" s="12"/>
      <c r="AF688" s="12"/>
      <c r="AG688" s="12">
        <v>37597</v>
      </c>
      <c r="AH688" s="12">
        <v>38523</v>
      </c>
      <c r="AI688" s="12">
        <v>61969</v>
      </c>
      <c r="AJ688" s="12">
        <v>162590</v>
      </c>
      <c r="AK688" s="12">
        <v>183899</v>
      </c>
      <c r="AL688" s="843">
        <v>188451</v>
      </c>
      <c r="AM688" s="844">
        <v>247134</v>
      </c>
      <c r="AN688" s="1071">
        <v>91248.560000000056</v>
      </c>
      <c r="AO688" s="1071">
        <v>96859</v>
      </c>
      <c r="AP688" s="1071">
        <f t="shared" si="227"/>
        <v>110873</v>
      </c>
      <c r="AQ688" s="1071">
        <f t="shared" si="226"/>
        <v>110873</v>
      </c>
      <c r="AR688" s="1044"/>
      <c r="AS688" s="1044"/>
    </row>
    <row r="689" spans="3:45" hidden="1" outlineLevel="2">
      <c r="C689" s="9" t="s">
        <v>16</v>
      </c>
      <c r="D689" s="9"/>
      <c r="E689" s="20" t="s">
        <v>164</v>
      </c>
      <c r="F689" s="20"/>
      <c r="G689" s="20"/>
      <c r="H689" s="20"/>
      <c r="I689" s="20"/>
      <c r="J689" s="20"/>
      <c r="K689" s="20"/>
      <c r="L689" s="20"/>
      <c r="M689" s="20"/>
      <c r="N689" s="20"/>
      <c r="O689" s="20"/>
      <c r="P689" s="20"/>
      <c r="Q689" s="20"/>
      <c r="R689" s="20"/>
      <c r="S689" s="20"/>
      <c r="T689" s="20"/>
      <c r="U689" s="20"/>
      <c r="V689" s="20"/>
      <c r="W689" s="20"/>
      <c r="X689" s="20"/>
      <c r="Y689" s="20"/>
      <c r="Z689" s="20"/>
      <c r="AA689" s="20"/>
      <c r="AB689" s="12"/>
      <c r="AC689" s="12"/>
      <c r="AD689" s="12"/>
      <c r="AE689" s="12"/>
      <c r="AF689" s="12"/>
      <c r="AG689" s="12">
        <v>650984</v>
      </c>
      <c r="AH689" s="12">
        <v>615145</v>
      </c>
      <c r="AI689" s="12">
        <v>361127</v>
      </c>
      <c r="AJ689" s="12">
        <v>372712</v>
      </c>
      <c r="AK689" s="12">
        <v>408095</v>
      </c>
      <c r="AL689" s="843">
        <v>422418</v>
      </c>
      <c r="AM689" s="844">
        <v>445054</v>
      </c>
      <c r="AN689" s="1071">
        <v>547682.10000000009</v>
      </c>
      <c r="AO689" s="1071">
        <v>555818</v>
      </c>
      <c r="AP689" s="1071">
        <f t="shared" si="227"/>
        <v>636236</v>
      </c>
      <c r="AQ689" s="1071">
        <f t="shared" si="226"/>
        <v>636236</v>
      </c>
      <c r="AR689" s="1044"/>
      <c r="AS689" s="1044"/>
    </row>
    <row r="690" spans="3:45" hidden="1" outlineLevel="2">
      <c r="C690" s="9" t="s">
        <v>16</v>
      </c>
      <c r="D690" s="9"/>
      <c r="E690" s="20" t="s">
        <v>144</v>
      </c>
      <c r="F690" s="20"/>
      <c r="G690" s="20"/>
      <c r="H690" s="20"/>
      <c r="I690" s="20"/>
      <c r="J690" s="20"/>
      <c r="K690" s="20"/>
      <c r="L690" s="20"/>
      <c r="M690" s="20"/>
      <c r="N690" s="20"/>
      <c r="O690" s="20"/>
      <c r="P690" s="20"/>
      <c r="Q690" s="20"/>
      <c r="R690" s="20"/>
      <c r="S690" s="20"/>
      <c r="T690" s="20"/>
      <c r="U690" s="20"/>
      <c r="V690" s="20"/>
      <c r="W690" s="20"/>
      <c r="X690" s="20"/>
      <c r="Y690" s="20"/>
      <c r="Z690" s="20"/>
      <c r="AA690" s="20"/>
      <c r="AB690" s="12"/>
      <c r="AC690" s="12"/>
      <c r="AD690" s="12"/>
      <c r="AE690" s="12"/>
      <c r="AF690" s="12"/>
      <c r="AG690" s="12">
        <v>1034907</v>
      </c>
      <c r="AH690" s="12">
        <v>951242</v>
      </c>
      <c r="AI690" s="12">
        <v>448746</v>
      </c>
      <c r="AJ690" s="12">
        <v>617568</v>
      </c>
      <c r="AK690" s="12">
        <v>636547</v>
      </c>
      <c r="AL690" s="843">
        <v>688190</v>
      </c>
      <c r="AM690" s="844">
        <v>208770</v>
      </c>
      <c r="AN690" s="1071">
        <v>1012033.3199999998</v>
      </c>
      <c r="AO690" s="1071">
        <v>1084409</v>
      </c>
      <c r="AP690" s="1071">
        <f t="shared" si="227"/>
        <v>1241307</v>
      </c>
      <c r="AQ690" s="1071">
        <f t="shared" si="226"/>
        <v>1241307</v>
      </c>
      <c r="AR690" s="1044"/>
      <c r="AS690" s="1044"/>
    </row>
    <row r="691" spans="3:45" hidden="1" outlineLevel="2">
      <c r="C691" s="9" t="s">
        <v>16</v>
      </c>
      <c r="D691" s="9"/>
      <c r="E691" s="20" t="s">
        <v>180</v>
      </c>
      <c r="F691" s="20"/>
      <c r="G691" s="20"/>
      <c r="H691" s="20"/>
      <c r="I691" s="20"/>
      <c r="J691" s="20"/>
      <c r="K691" s="20"/>
      <c r="L691" s="20"/>
      <c r="M691" s="20"/>
      <c r="N691" s="20"/>
      <c r="O691" s="20"/>
      <c r="P691" s="20"/>
      <c r="Q691" s="20"/>
      <c r="R691" s="20"/>
      <c r="S691" s="20"/>
      <c r="T691" s="20"/>
      <c r="U691" s="20"/>
      <c r="V691" s="20"/>
      <c r="W691" s="20"/>
      <c r="X691" s="20"/>
      <c r="Y691" s="20"/>
      <c r="Z691" s="20"/>
      <c r="AA691" s="20"/>
      <c r="AB691" s="12"/>
      <c r="AC691" s="12"/>
      <c r="AD691" s="12"/>
      <c r="AE691" s="12"/>
      <c r="AF691" s="12"/>
      <c r="AG691" s="12">
        <v>353456</v>
      </c>
      <c r="AH691" s="12">
        <v>333282</v>
      </c>
      <c r="AI691" s="12">
        <v>182228</v>
      </c>
      <c r="AJ691" s="12">
        <v>215139</v>
      </c>
      <c r="AK691" s="12">
        <v>222792</v>
      </c>
      <c r="AL691" s="843">
        <v>232169</v>
      </c>
      <c r="AM691" s="844">
        <v>228526</v>
      </c>
      <c r="AN691" s="1071">
        <v>310216.99</v>
      </c>
      <c r="AO691" s="1071">
        <v>316240</v>
      </c>
      <c r="AP691" s="1071">
        <f t="shared" si="227"/>
        <v>361995</v>
      </c>
      <c r="AQ691" s="1071">
        <f t="shared" si="226"/>
        <v>361995</v>
      </c>
      <c r="AR691" s="1044"/>
      <c r="AS691" s="1044"/>
    </row>
    <row r="692" spans="3:45" hidden="1" outlineLevel="2">
      <c r="C692" s="9" t="s">
        <v>16</v>
      </c>
      <c r="D692" s="9"/>
      <c r="E692" s="20" t="s">
        <v>146</v>
      </c>
      <c r="F692" s="20"/>
      <c r="G692" s="20"/>
      <c r="H692" s="20"/>
      <c r="I692" s="20"/>
      <c r="J692" s="20"/>
      <c r="K692" s="20"/>
      <c r="L692" s="20"/>
      <c r="M692" s="20"/>
      <c r="N692" s="20"/>
      <c r="O692" s="20"/>
      <c r="P692" s="20"/>
      <c r="Q692" s="20"/>
      <c r="R692" s="20"/>
      <c r="S692" s="20"/>
      <c r="T692" s="20"/>
      <c r="U692" s="20"/>
      <c r="V692" s="20"/>
      <c r="W692" s="20"/>
      <c r="X692" s="20"/>
      <c r="Y692" s="20"/>
      <c r="Z692" s="20"/>
      <c r="AA692" s="20"/>
      <c r="AB692" s="12"/>
      <c r="AC692" s="12"/>
      <c r="AD692" s="12"/>
      <c r="AE692" s="12"/>
      <c r="AF692" s="12"/>
      <c r="AG692" s="12">
        <v>498960</v>
      </c>
      <c r="AH692" s="12">
        <v>441680</v>
      </c>
      <c r="AI692" s="12">
        <v>144361</v>
      </c>
      <c r="AJ692" s="12">
        <v>300608</v>
      </c>
      <c r="AK692" s="12">
        <v>299369</v>
      </c>
      <c r="AL692" s="843">
        <v>308662</v>
      </c>
      <c r="AM692" s="844">
        <v>328243</v>
      </c>
      <c r="AN692" s="1071">
        <v>460897.75</v>
      </c>
      <c r="AO692" s="1071">
        <v>475891</v>
      </c>
      <c r="AP692" s="1071">
        <f t="shared" si="227"/>
        <v>544745</v>
      </c>
      <c r="AQ692" s="1071">
        <f t="shared" si="226"/>
        <v>544745</v>
      </c>
      <c r="AR692" s="1044"/>
      <c r="AS692" s="1044"/>
    </row>
    <row r="693" spans="3:45" hidden="1" outlineLevel="2">
      <c r="C693" s="9" t="s">
        <v>16</v>
      </c>
      <c r="D693" s="9"/>
      <c r="E693" s="20" t="s">
        <v>147</v>
      </c>
      <c r="F693" s="20"/>
      <c r="G693" s="20"/>
      <c r="H693" s="20"/>
      <c r="I693" s="20"/>
      <c r="J693" s="20"/>
      <c r="K693" s="20"/>
      <c r="L693" s="20"/>
      <c r="M693" s="20"/>
      <c r="N693" s="20"/>
      <c r="O693" s="20"/>
      <c r="P693" s="20"/>
      <c r="Q693" s="20"/>
      <c r="R693" s="20"/>
      <c r="S693" s="20"/>
      <c r="T693" s="20"/>
      <c r="U693" s="20"/>
      <c r="V693" s="20"/>
      <c r="W693" s="20"/>
      <c r="X693" s="20"/>
      <c r="Y693" s="20"/>
      <c r="Z693" s="20"/>
      <c r="AA693" s="20"/>
      <c r="AB693" s="12"/>
      <c r="AC693" s="12"/>
      <c r="AD693" s="12"/>
      <c r="AE693" s="12"/>
      <c r="AF693" s="12"/>
      <c r="AG693" s="12">
        <v>582115</v>
      </c>
      <c r="AH693" s="12">
        <v>532206</v>
      </c>
      <c r="AI693" s="12">
        <v>127355</v>
      </c>
      <c r="AJ693" s="12">
        <v>321865</v>
      </c>
      <c r="AK693" s="12">
        <v>337518</v>
      </c>
      <c r="AL693" s="843">
        <v>345889</v>
      </c>
      <c r="AM693" s="844">
        <v>354151</v>
      </c>
      <c r="AN693" s="1071">
        <v>453098.36999999988</v>
      </c>
      <c r="AO693" s="1071">
        <v>469384</v>
      </c>
      <c r="AP693" s="1071">
        <f t="shared" si="227"/>
        <v>537297</v>
      </c>
      <c r="AQ693" s="1071">
        <f t="shared" si="226"/>
        <v>537297</v>
      </c>
      <c r="AR693" s="1044"/>
      <c r="AS693" s="1044"/>
    </row>
    <row r="694" spans="3:45" hidden="1" outlineLevel="2">
      <c r="C694" s="9" t="s">
        <v>16</v>
      </c>
      <c r="D694" s="9"/>
      <c r="E694" s="20" t="s">
        <v>148</v>
      </c>
      <c r="F694" s="20"/>
      <c r="G694" s="20"/>
      <c r="H694" s="20"/>
      <c r="I694" s="20"/>
      <c r="J694" s="20"/>
      <c r="K694" s="20"/>
      <c r="L694" s="20"/>
      <c r="M694" s="20"/>
      <c r="N694" s="20"/>
      <c r="O694" s="20"/>
      <c r="P694" s="20"/>
      <c r="Q694" s="20"/>
      <c r="R694" s="20"/>
      <c r="S694" s="20"/>
      <c r="T694" s="20"/>
      <c r="U694" s="20"/>
      <c r="V694" s="20"/>
      <c r="W694" s="20"/>
      <c r="X694" s="20"/>
      <c r="Y694" s="20"/>
      <c r="Z694" s="20"/>
      <c r="AA694" s="20"/>
      <c r="AB694" s="12"/>
      <c r="AC694" s="12"/>
      <c r="AD694" s="12"/>
      <c r="AE694" s="12"/>
      <c r="AF694" s="12"/>
      <c r="AG694" s="12">
        <v>209472</v>
      </c>
      <c r="AH694" s="12">
        <v>188668</v>
      </c>
      <c r="AI694" s="12">
        <v>38130</v>
      </c>
      <c r="AJ694" s="12">
        <v>114218</v>
      </c>
      <c r="AK694" s="12">
        <v>122263</v>
      </c>
      <c r="AL694" s="843">
        <v>117743</v>
      </c>
      <c r="AM694" s="844">
        <v>111293</v>
      </c>
      <c r="AN694" s="1071">
        <v>163305.15999999997</v>
      </c>
      <c r="AO694" s="1071">
        <v>165940</v>
      </c>
      <c r="AP694" s="1071">
        <f t="shared" si="227"/>
        <v>189949</v>
      </c>
      <c r="AQ694" s="1071">
        <f t="shared" si="226"/>
        <v>189949</v>
      </c>
      <c r="AR694" s="1044"/>
      <c r="AS694" s="1044"/>
    </row>
    <row r="695" spans="3:45" hidden="1" outlineLevel="2">
      <c r="C695" s="9" t="s">
        <v>16</v>
      </c>
      <c r="D695" s="9"/>
      <c r="E695" s="20" t="s">
        <v>181</v>
      </c>
      <c r="F695" s="20"/>
      <c r="G695" s="20"/>
      <c r="H695" s="20"/>
      <c r="I695" s="20"/>
      <c r="J695" s="20"/>
      <c r="K695" s="20"/>
      <c r="L695" s="20"/>
      <c r="M695" s="20"/>
      <c r="N695" s="20"/>
      <c r="O695" s="20"/>
      <c r="P695" s="20"/>
      <c r="Q695" s="20"/>
      <c r="R695" s="20"/>
      <c r="S695" s="20"/>
      <c r="T695" s="20"/>
      <c r="U695" s="20"/>
      <c r="V695" s="20"/>
      <c r="W695" s="20"/>
      <c r="X695" s="20"/>
      <c r="Y695" s="20"/>
      <c r="Z695" s="20"/>
      <c r="AA695" s="20"/>
      <c r="AB695" s="12"/>
      <c r="AC695" s="12"/>
      <c r="AD695" s="12"/>
      <c r="AE695" s="12"/>
      <c r="AF695" s="12"/>
      <c r="AG695" s="12">
        <v>497577</v>
      </c>
      <c r="AH695" s="12">
        <v>457233</v>
      </c>
      <c r="AI695" s="12">
        <v>53736</v>
      </c>
      <c r="AJ695" s="12">
        <v>304035</v>
      </c>
      <c r="AK695" s="12">
        <v>330846</v>
      </c>
      <c r="AL695" s="843">
        <v>353890</v>
      </c>
      <c r="AM695" s="844">
        <v>385373</v>
      </c>
      <c r="AN695" s="1071">
        <v>537359.80000000028</v>
      </c>
      <c r="AO695" s="1071">
        <v>554203</v>
      </c>
      <c r="AP695" s="1071">
        <f>ROUND(AO695/AO$696*AP$696,0)-3</f>
        <v>634385</v>
      </c>
      <c r="AQ695" s="1071">
        <f>ROUND(AP695/AP$696*AQ$696,0)-1</f>
        <v>634384</v>
      </c>
      <c r="AR695" s="1044"/>
      <c r="AS695" s="1044"/>
    </row>
    <row r="696" spans="3:45" ht="25.5" hidden="1" outlineLevel="2">
      <c r="C696" s="9" t="s">
        <v>16</v>
      </c>
      <c r="D696" s="9"/>
      <c r="E696" s="368" t="s">
        <v>1639</v>
      </c>
      <c r="F696" s="39"/>
      <c r="G696" s="39"/>
      <c r="H696" s="39"/>
      <c r="I696" s="39"/>
      <c r="J696" s="39"/>
      <c r="K696" s="39"/>
      <c r="L696" s="39"/>
      <c r="M696" s="39"/>
      <c r="N696" s="39"/>
      <c r="O696" s="39"/>
      <c r="P696" s="39"/>
      <c r="Q696" s="39"/>
      <c r="R696" s="39"/>
      <c r="S696" s="39"/>
      <c r="T696" s="39"/>
      <c r="U696" s="39"/>
      <c r="V696" s="39"/>
      <c r="W696" s="39"/>
      <c r="X696" s="39"/>
      <c r="Y696" s="39"/>
      <c r="Z696" s="39"/>
      <c r="AA696" s="39"/>
      <c r="AB696" s="40"/>
      <c r="AC696" s="34"/>
      <c r="AD696" s="40"/>
      <c r="AE696" s="34"/>
      <c r="AF696" s="40"/>
      <c r="AG696" s="34">
        <f t="shared" ref="AG696:AN696" si="228">SUM(AG646:AG695)</f>
        <v>66892730</v>
      </c>
      <c r="AH696" s="34">
        <f t="shared" si="228"/>
        <v>57604842</v>
      </c>
      <c r="AI696" s="34">
        <f t="shared" si="228"/>
        <v>26893451</v>
      </c>
      <c r="AJ696" s="34">
        <f t="shared" si="228"/>
        <v>35916823</v>
      </c>
      <c r="AK696" s="34">
        <f t="shared" si="228"/>
        <v>39069889</v>
      </c>
      <c r="AL696" s="34">
        <f t="shared" si="228"/>
        <v>42787748</v>
      </c>
      <c r="AM696" s="845">
        <f t="shared" si="228"/>
        <v>43089676</v>
      </c>
      <c r="AN696" s="1072">
        <f t="shared" si="228"/>
        <v>62764669.110000014</v>
      </c>
      <c r="AO696" s="1072">
        <f t="shared" ref="AO696" si="229">SUM(AO646:AO695)</f>
        <v>66735393</v>
      </c>
      <c r="AP696" s="1072">
        <v>76390994</v>
      </c>
      <c r="AQ696" s="1072">
        <v>76390993</v>
      </c>
      <c r="AR696" s="1044"/>
      <c r="AS696" s="1044"/>
    </row>
    <row r="697" spans="3:45" ht="26.25" hidden="1" customHeight="1" outlineLevel="1" collapsed="1">
      <c r="C697" s="25" t="s">
        <v>1636</v>
      </c>
      <c r="D697" s="367"/>
      <c r="E697" s="367"/>
      <c r="F697" s="672"/>
      <c r="G697" s="672"/>
      <c r="H697" s="672"/>
      <c r="I697" s="672"/>
      <c r="J697" s="672"/>
      <c r="K697" s="672"/>
      <c r="L697" s="672"/>
      <c r="M697" s="672"/>
      <c r="N697" s="672"/>
      <c r="O697" s="672"/>
      <c r="P697" s="672"/>
      <c r="Q697" s="672"/>
      <c r="R697" s="672"/>
      <c r="S697" s="672"/>
      <c r="T697" s="672"/>
      <c r="U697" s="672"/>
      <c r="V697" s="672"/>
      <c r="W697" s="672"/>
      <c r="X697" s="365"/>
      <c r="Y697" s="365"/>
      <c r="Z697" s="365"/>
      <c r="AA697" s="365"/>
      <c r="AB697" s="7"/>
      <c r="AC697" s="7"/>
      <c r="AD697" s="7"/>
      <c r="AE697" s="7"/>
      <c r="AF697" s="7"/>
      <c r="AG697" s="7"/>
      <c r="AH697" s="1305"/>
      <c r="AI697" s="1307"/>
      <c r="AJ697" s="662"/>
      <c r="AK697" s="662"/>
      <c r="AL697" s="782"/>
      <c r="AM697" s="842"/>
      <c r="AN697" s="842"/>
      <c r="AO697" s="842"/>
      <c r="AP697" s="1208" t="s">
        <v>2129</v>
      </c>
      <c r="AQ697" s="1111" t="s">
        <v>2130</v>
      </c>
      <c r="AR697" s="1044"/>
      <c r="AS697" s="1044"/>
    </row>
    <row r="698" spans="3:45" hidden="1" outlineLevel="2">
      <c r="C698" s="9" t="s">
        <v>16</v>
      </c>
      <c r="D698" s="9"/>
      <c r="E698" s="20" t="s">
        <v>101</v>
      </c>
      <c r="F698" s="20"/>
      <c r="G698" s="20"/>
      <c r="H698" s="20"/>
      <c r="I698" s="20"/>
      <c r="J698" s="20"/>
      <c r="K698" s="20"/>
      <c r="L698" s="20"/>
      <c r="M698" s="20"/>
      <c r="N698" s="20"/>
      <c r="O698" s="20"/>
      <c r="P698" s="20"/>
      <c r="Q698" s="20"/>
      <c r="R698" s="20"/>
      <c r="S698" s="20"/>
      <c r="T698" s="20"/>
      <c r="U698" s="20"/>
      <c r="V698" s="20"/>
      <c r="W698" s="20"/>
      <c r="X698" s="12">
        <v>3544858</v>
      </c>
      <c r="Y698" s="12">
        <v>3697274</v>
      </c>
      <c r="Z698" s="12">
        <v>3686588</v>
      </c>
      <c r="AA698" s="12">
        <v>3744011</v>
      </c>
      <c r="AB698" s="12">
        <v>3702667</v>
      </c>
      <c r="AC698" s="12">
        <v>3782607</v>
      </c>
      <c r="AD698" s="12">
        <v>3904404</v>
      </c>
      <c r="AE698" s="12">
        <v>3948645</v>
      </c>
      <c r="AF698" s="12">
        <v>4019521.38</v>
      </c>
      <c r="AG698" s="12">
        <v>3533047</v>
      </c>
      <c r="AH698" s="12">
        <v>2350471</v>
      </c>
      <c r="AI698" s="12">
        <v>2447956</v>
      </c>
      <c r="AJ698" s="12">
        <v>2576355</v>
      </c>
      <c r="AK698" s="14">
        <v>2280533</v>
      </c>
      <c r="AL698" s="849">
        <v>2177699</v>
      </c>
      <c r="AM698" s="1071">
        <v>2218393</v>
      </c>
      <c r="AN698" s="1071">
        <v>2086535</v>
      </c>
      <c r="AO698" s="1071">
        <v>2021152</v>
      </c>
      <c r="AP698" s="1071">
        <f t="shared" ref="AP698:AQ746" si="230">ROUND(AO698/AO$748*AP$748,0)</f>
        <v>2000576</v>
      </c>
      <c r="AQ698" s="1071">
        <f t="shared" si="230"/>
        <v>2000576</v>
      </c>
      <c r="AR698" s="1044"/>
      <c r="AS698" s="1044"/>
    </row>
    <row r="699" spans="3:45" hidden="1" outlineLevel="2">
      <c r="C699" s="9" t="s">
        <v>16</v>
      </c>
      <c r="D699" s="9"/>
      <c r="E699" s="20" t="s">
        <v>166</v>
      </c>
      <c r="F699" s="20"/>
      <c r="G699" s="20"/>
      <c r="H699" s="20"/>
      <c r="I699" s="20"/>
      <c r="J699" s="20"/>
      <c r="K699" s="20"/>
      <c r="L699" s="20"/>
      <c r="M699" s="20"/>
      <c r="N699" s="20"/>
      <c r="O699" s="20"/>
      <c r="P699" s="20"/>
      <c r="Q699" s="20"/>
      <c r="R699" s="20"/>
      <c r="S699" s="20"/>
      <c r="T699" s="20"/>
      <c r="U699" s="20"/>
      <c r="V699" s="20"/>
      <c r="W699" s="20"/>
      <c r="X699" s="12">
        <v>488053</v>
      </c>
      <c r="Y699" s="12">
        <v>466940</v>
      </c>
      <c r="Z699" s="12">
        <v>460109</v>
      </c>
      <c r="AA699" s="12">
        <v>493096</v>
      </c>
      <c r="AB699" s="12">
        <v>501321</v>
      </c>
      <c r="AC699" s="12">
        <v>503628</v>
      </c>
      <c r="AD699" s="12">
        <v>515158</v>
      </c>
      <c r="AE699" s="12">
        <v>507958</v>
      </c>
      <c r="AF699" s="12">
        <v>402675.23</v>
      </c>
      <c r="AG699" s="12">
        <v>479653</v>
      </c>
      <c r="AH699" s="12">
        <v>452880</v>
      </c>
      <c r="AI699" s="12">
        <v>438813</v>
      </c>
      <c r="AJ699" s="12">
        <v>474153</v>
      </c>
      <c r="AK699" s="14">
        <v>398261</v>
      </c>
      <c r="AL699" s="849">
        <v>322075</v>
      </c>
      <c r="AM699" s="1071">
        <v>371170</v>
      </c>
      <c r="AN699" s="1071">
        <v>374266</v>
      </c>
      <c r="AO699" s="1071">
        <v>318717</v>
      </c>
      <c r="AP699" s="1071">
        <f t="shared" si="230"/>
        <v>315472</v>
      </c>
      <c r="AQ699" s="1071">
        <f t="shared" si="230"/>
        <v>315472</v>
      </c>
      <c r="AR699" s="1044"/>
      <c r="AS699" s="1044"/>
    </row>
    <row r="700" spans="3:45" hidden="1" outlineLevel="2">
      <c r="C700" s="9" t="s">
        <v>16</v>
      </c>
      <c r="D700" s="9"/>
      <c r="E700" s="20" t="s">
        <v>103</v>
      </c>
      <c r="F700" s="20"/>
      <c r="G700" s="20"/>
      <c r="H700" s="20"/>
      <c r="I700" s="20"/>
      <c r="J700" s="20"/>
      <c r="K700" s="20"/>
      <c r="L700" s="20"/>
      <c r="M700" s="20"/>
      <c r="N700" s="20"/>
      <c r="O700" s="20"/>
      <c r="P700" s="20"/>
      <c r="Q700" s="20"/>
      <c r="R700" s="20"/>
      <c r="S700" s="20"/>
      <c r="T700" s="20"/>
      <c r="U700" s="20"/>
      <c r="V700" s="20"/>
      <c r="W700" s="20"/>
      <c r="X700" s="12">
        <v>761818</v>
      </c>
      <c r="Y700" s="12">
        <v>732180</v>
      </c>
      <c r="Z700" s="12">
        <v>679334</v>
      </c>
      <c r="AA700" s="12">
        <v>674876</v>
      </c>
      <c r="AB700" s="12">
        <v>681116</v>
      </c>
      <c r="AC700" s="12">
        <v>685762</v>
      </c>
      <c r="AD700" s="12">
        <v>716507</v>
      </c>
      <c r="AE700" s="12">
        <v>717215</v>
      </c>
      <c r="AF700" s="12">
        <v>728829</v>
      </c>
      <c r="AG700" s="12">
        <v>709407</v>
      </c>
      <c r="AH700" s="12">
        <v>624604</v>
      </c>
      <c r="AI700" s="12">
        <v>630721</v>
      </c>
      <c r="AJ700" s="12">
        <v>665612</v>
      </c>
      <c r="AK700" s="14">
        <v>557700</v>
      </c>
      <c r="AL700" s="849">
        <v>563714</v>
      </c>
      <c r="AM700" s="1071">
        <v>532821</v>
      </c>
      <c r="AN700" s="1071">
        <v>525111</v>
      </c>
      <c r="AO700" s="1071">
        <v>507805</v>
      </c>
      <c r="AP700" s="1071">
        <f t="shared" si="230"/>
        <v>502635</v>
      </c>
      <c r="AQ700" s="1071">
        <f t="shared" si="230"/>
        <v>502635</v>
      </c>
      <c r="AR700" s="1044"/>
      <c r="AS700" s="1044"/>
    </row>
    <row r="701" spans="3:45" hidden="1" outlineLevel="2">
      <c r="C701" s="9" t="s">
        <v>16</v>
      </c>
      <c r="D701" s="9"/>
      <c r="E701" s="20" t="s">
        <v>104</v>
      </c>
      <c r="F701" s="20"/>
      <c r="G701" s="20"/>
      <c r="H701" s="20"/>
      <c r="I701" s="20"/>
      <c r="J701" s="20"/>
      <c r="K701" s="20"/>
      <c r="L701" s="20"/>
      <c r="M701" s="20"/>
      <c r="N701" s="20"/>
      <c r="O701" s="20"/>
      <c r="P701" s="20"/>
      <c r="Q701" s="20"/>
      <c r="R701" s="20"/>
      <c r="S701" s="20"/>
      <c r="T701" s="20"/>
      <c r="U701" s="20"/>
      <c r="V701" s="20"/>
      <c r="W701" s="20"/>
      <c r="X701" s="12">
        <v>285831</v>
      </c>
      <c r="Y701" s="12">
        <v>285831</v>
      </c>
      <c r="Z701" s="12">
        <v>301280</v>
      </c>
      <c r="AA701" s="12">
        <v>316727</v>
      </c>
      <c r="AB701" s="12">
        <v>314731</v>
      </c>
      <c r="AC701" s="12">
        <v>327116</v>
      </c>
      <c r="AD701" s="12">
        <v>361521</v>
      </c>
      <c r="AE701" s="12">
        <v>377953</v>
      </c>
      <c r="AF701" s="12">
        <v>376572</v>
      </c>
      <c r="AG701" s="12">
        <v>359488</v>
      </c>
      <c r="AH701" s="12">
        <v>336061</v>
      </c>
      <c r="AI701" s="12">
        <v>328090</v>
      </c>
      <c r="AJ701" s="12">
        <v>285023</v>
      </c>
      <c r="AK701" s="14">
        <v>338279</v>
      </c>
      <c r="AL701" s="849">
        <v>320171</v>
      </c>
      <c r="AM701" s="1071">
        <v>348001</v>
      </c>
      <c r="AN701" s="1071">
        <v>354510</v>
      </c>
      <c r="AO701" s="1071">
        <v>330653</v>
      </c>
      <c r="AP701" s="1071">
        <f t="shared" si="230"/>
        <v>327287</v>
      </c>
      <c r="AQ701" s="1071">
        <f t="shared" si="230"/>
        <v>327287</v>
      </c>
      <c r="AR701" s="1044"/>
      <c r="AS701" s="1044"/>
    </row>
    <row r="702" spans="3:45" hidden="1" outlineLevel="2">
      <c r="C702" s="9" t="s">
        <v>16</v>
      </c>
      <c r="D702" s="9"/>
      <c r="E702" s="20" t="s">
        <v>105</v>
      </c>
      <c r="F702" s="20"/>
      <c r="G702" s="20"/>
      <c r="H702" s="20"/>
      <c r="I702" s="20"/>
      <c r="J702" s="20"/>
      <c r="K702" s="20"/>
      <c r="L702" s="20"/>
      <c r="M702" s="20"/>
      <c r="N702" s="20"/>
      <c r="O702" s="20"/>
      <c r="P702" s="20"/>
      <c r="Q702" s="20"/>
      <c r="R702" s="20"/>
      <c r="S702" s="20"/>
      <c r="T702" s="20"/>
      <c r="U702" s="20"/>
      <c r="V702" s="20"/>
      <c r="W702" s="20"/>
      <c r="X702" s="12">
        <v>1677820</v>
      </c>
      <c r="Y702" s="12">
        <v>1700650</v>
      </c>
      <c r="Z702" s="12">
        <v>1772298</v>
      </c>
      <c r="AA702" s="12">
        <v>1891737</v>
      </c>
      <c r="AB702" s="12">
        <v>1957603</v>
      </c>
      <c r="AC702" s="12">
        <v>2081537</v>
      </c>
      <c r="AD702" s="12">
        <v>2217827</v>
      </c>
      <c r="AE702" s="12">
        <v>2354614</v>
      </c>
      <c r="AF702" s="12">
        <v>2370515.1100000003</v>
      </c>
      <c r="AG702" s="12">
        <v>2395852</v>
      </c>
      <c r="AH702" s="12">
        <v>2348317</v>
      </c>
      <c r="AI702" s="12">
        <v>2342849</v>
      </c>
      <c r="AJ702" s="12">
        <v>2431154</v>
      </c>
      <c r="AK702" s="14">
        <v>2069595</v>
      </c>
      <c r="AL702" s="849">
        <v>2091711</v>
      </c>
      <c r="AM702" s="1071">
        <v>2365580</v>
      </c>
      <c r="AN702" s="1071">
        <v>2326847</v>
      </c>
      <c r="AO702" s="1071">
        <v>2257665</v>
      </c>
      <c r="AP702" s="1071">
        <f t="shared" si="230"/>
        <v>2234681</v>
      </c>
      <c r="AQ702" s="1071">
        <f t="shared" si="230"/>
        <v>2234681</v>
      </c>
      <c r="AR702" s="1044"/>
      <c r="AS702" s="1044"/>
    </row>
    <row r="703" spans="3:45" hidden="1" outlineLevel="2">
      <c r="C703" s="9" t="s">
        <v>16</v>
      </c>
      <c r="D703" s="9"/>
      <c r="E703" s="20" t="s">
        <v>106</v>
      </c>
      <c r="F703" s="20"/>
      <c r="G703" s="20"/>
      <c r="H703" s="20"/>
      <c r="I703" s="20"/>
      <c r="J703" s="20"/>
      <c r="K703" s="20"/>
      <c r="L703" s="20"/>
      <c r="M703" s="20"/>
      <c r="N703" s="20"/>
      <c r="O703" s="20"/>
      <c r="P703" s="20"/>
      <c r="Q703" s="20"/>
      <c r="R703" s="20"/>
      <c r="S703" s="20"/>
      <c r="T703" s="20"/>
      <c r="U703" s="20"/>
      <c r="V703" s="20"/>
      <c r="W703" s="20"/>
      <c r="X703" s="12">
        <v>711256</v>
      </c>
      <c r="Y703" s="12">
        <v>735599</v>
      </c>
      <c r="Z703" s="12">
        <v>723736</v>
      </c>
      <c r="AA703" s="12">
        <v>751027</v>
      </c>
      <c r="AB703" s="12">
        <v>794570</v>
      </c>
      <c r="AC703" s="12">
        <v>770373</v>
      </c>
      <c r="AD703" s="12">
        <v>732099</v>
      </c>
      <c r="AE703" s="12">
        <v>812555</v>
      </c>
      <c r="AF703" s="12">
        <v>796018</v>
      </c>
      <c r="AG703" s="12">
        <v>834163</v>
      </c>
      <c r="AH703" s="12">
        <v>816292</v>
      </c>
      <c r="AI703" s="12">
        <v>798917</v>
      </c>
      <c r="AJ703" s="12">
        <v>821338</v>
      </c>
      <c r="AK703" s="14">
        <v>735007</v>
      </c>
      <c r="AL703" s="849">
        <v>714796</v>
      </c>
      <c r="AM703" s="1071">
        <v>765502</v>
      </c>
      <c r="AN703" s="1071">
        <v>730078</v>
      </c>
      <c r="AO703" s="1071">
        <v>741050</v>
      </c>
      <c r="AP703" s="1071">
        <f t="shared" si="230"/>
        <v>733506</v>
      </c>
      <c r="AQ703" s="1071">
        <f t="shared" si="230"/>
        <v>733506</v>
      </c>
      <c r="AR703" s="1044"/>
      <c r="AS703" s="1044"/>
    </row>
    <row r="704" spans="3:45" hidden="1" outlineLevel="2">
      <c r="C704" s="9" t="s">
        <v>16</v>
      </c>
      <c r="D704" s="9"/>
      <c r="E704" s="20" t="s">
        <v>107</v>
      </c>
      <c r="F704" s="20"/>
      <c r="G704" s="20"/>
      <c r="H704" s="20"/>
      <c r="I704" s="20"/>
      <c r="J704" s="20"/>
      <c r="K704" s="20"/>
      <c r="L704" s="20"/>
      <c r="M704" s="20"/>
      <c r="N704" s="20"/>
      <c r="O704" s="20"/>
      <c r="P704" s="20"/>
      <c r="Q704" s="20"/>
      <c r="R704" s="20"/>
      <c r="S704" s="20"/>
      <c r="T704" s="20"/>
      <c r="U704" s="20"/>
      <c r="V704" s="20"/>
      <c r="W704" s="20"/>
      <c r="X704" s="12">
        <v>273508</v>
      </c>
      <c r="Y704" s="12">
        <v>280636</v>
      </c>
      <c r="Z704" s="12">
        <v>292476</v>
      </c>
      <c r="AA704" s="12">
        <v>318061</v>
      </c>
      <c r="AB704" s="12">
        <v>320253</v>
      </c>
      <c r="AC704" s="12">
        <v>327159</v>
      </c>
      <c r="AD704" s="12">
        <v>355415</v>
      </c>
      <c r="AE704" s="12">
        <v>384460</v>
      </c>
      <c r="AF704" s="12">
        <v>400121</v>
      </c>
      <c r="AG704" s="12">
        <v>399552</v>
      </c>
      <c r="AH704" s="12">
        <v>349074</v>
      </c>
      <c r="AI704" s="12">
        <v>348143</v>
      </c>
      <c r="AJ704" s="12">
        <v>359871</v>
      </c>
      <c r="AK704" s="14">
        <v>344361</v>
      </c>
      <c r="AL704" s="849">
        <v>350623</v>
      </c>
      <c r="AM704" s="1071">
        <v>368465</v>
      </c>
      <c r="AN704" s="1071">
        <v>356399</v>
      </c>
      <c r="AO704" s="1071">
        <v>365260</v>
      </c>
      <c r="AP704" s="1071">
        <f t="shared" si="230"/>
        <v>361541</v>
      </c>
      <c r="AQ704" s="1071">
        <f t="shared" si="230"/>
        <v>361541</v>
      </c>
      <c r="AR704" s="1044"/>
      <c r="AS704" s="1044"/>
    </row>
    <row r="705" spans="3:45" hidden="1" outlineLevel="2">
      <c r="C705" s="9" t="s">
        <v>16</v>
      </c>
      <c r="D705" s="9"/>
      <c r="E705" s="20" t="s">
        <v>108</v>
      </c>
      <c r="F705" s="20"/>
      <c r="G705" s="20"/>
      <c r="H705" s="20"/>
      <c r="I705" s="20"/>
      <c r="J705" s="20"/>
      <c r="K705" s="20"/>
      <c r="L705" s="20"/>
      <c r="M705" s="20"/>
      <c r="N705" s="20"/>
      <c r="O705" s="20"/>
      <c r="P705" s="20"/>
      <c r="Q705" s="20"/>
      <c r="R705" s="20"/>
      <c r="S705" s="20"/>
      <c r="T705" s="20"/>
      <c r="U705" s="20"/>
      <c r="V705" s="20"/>
      <c r="W705" s="20"/>
      <c r="X705" s="12">
        <v>615733.54</v>
      </c>
      <c r="Y705" s="12">
        <v>639315</v>
      </c>
      <c r="Z705" s="12">
        <v>654931</v>
      </c>
      <c r="AA705" s="12">
        <v>656613</v>
      </c>
      <c r="AB705" s="12">
        <v>688984</v>
      </c>
      <c r="AC705" s="12">
        <v>731558</v>
      </c>
      <c r="AD705" s="12">
        <v>749116</v>
      </c>
      <c r="AE705" s="12">
        <v>756377</v>
      </c>
      <c r="AF705" s="12">
        <v>763962.88</v>
      </c>
      <c r="AG705" s="12">
        <v>541297</v>
      </c>
      <c r="AH705" s="12">
        <v>627763</v>
      </c>
      <c r="AI705" s="12">
        <v>629607</v>
      </c>
      <c r="AJ705" s="12">
        <v>633188</v>
      </c>
      <c r="AK705" s="14">
        <v>528806</v>
      </c>
      <c r="AL705" s="849">
        <v>474576</v>
      </c>
      <c r="AM705" s="1071">
        <v>457972</v>
      </c>
      <c r="AN705" s="1071">
        <v>426989</v>
      </c>
      <c r="AO705" s="1071">
        <v>414292</v>
      </c>
      <c r="AP705" s="1071">
        <f t="shared" si="230"/>
        <v>410074</v>
      </c>
      <c r="AQ705" s="1071">
        <f t="shared" si="230"/>
        <v>410074</v>
      </c>
      <c r="AR705" s="1044"/>
      <c r="AS705" s="1044"/>
    </row>
    <row r="706" spans="3:45" hidden="1" outlineLevel="2">
      <c r="C706" s="9" t="s">
        <v>16</v>
      </c>
      <c r="D706" s="9"/>
      <c r="E706" s="20" t="s">
        <v>109</v>
      </c>
      <c r="F706" s="20"/>
      <c r="G706" s="20"/>
      <c r="H706" s="20"/>
      <c r="I706" s="20"/>
      <c r="J706" s="20"/>
      <c r="K706" s="20"/>
      <c r="L706" s="20"/>
      <c r="M706" s="20"/>
      <c r="N706" s="20"/>
      <c r="O706" s="20"/>
      <c r="P706" s="20"/>
      <c r="Q706" s="20"/>
      <c r="R706" s="20"/>
      <c r="S706" s="20"/>
      <c r="T706" s="20"/>
      <c r="U706" s="20"/>
      <c r="V706" s="20"/>
      <c r="W706" s="20"/>
      <c r="X706" s="12">
        <v>159256</v>
      </c>
      <c r="Y706" s="12">
        <v>156681</v>
      </c>
      <c r="Z706" s="12">
        <v>149555</v>
      </c>
      <c r="AA706" s="12">
        <v>144302</v>
      </c>
      <c r="AB706" s="12">
        <v>167681</v>
      </c>
      <c r="AC706" s="12">
        <v>173694</v>
      </c>
      <c r="AD706" s="12">
        <v>202118</v>
      </c>
      <c r="AE706" s="12">
        <v>192377</v>
      </c>
      <c r="AF706" s="12">
        <v>194428.72999999998</v>
      </c>
      <c r="AG706" s="12">
        <v>202227</v>
      </c>
      <c r="AH706" s="12">
        <v>175857</v>
      </c>
      <c r="AI706" s="12">
        <v>169284</v>
      </c>
      <c r="AJ706" s="12">
        <v>182465</v>
      </c>
      <c r="AK706" s="14">
        <v>170431</v>
      </c>
      <c r="AL706" s="849">
        <v>149031</v>
      </c>
      <c r="AM706" s="1071">
        <v>127745</v>
      </c>
      <c r="AN706" s="1071">
        <v>116986</v>
      </c>
      <c r="AO706" s="1071">
        <v>110962</v>
      </c>
      <c r="AP706" s="1071">
        <f t="shared" si="230"/>
        <v>109832</v>
      </c>
      <c r="AQ706" s="1071">
        <f t="shared" si="230"/>
        <v>109832</v>
      </c>
      <c r="AR706" s="1044"/>
      <c r="AS706" s="1044"/>
    </row>
    <row r="707" spans="3:45" hidden="1" outlineLevel="2">
      <c r="C707" s="9" t="s">
        <v>16</v>
      </c>
      <c r="D707" s="9"/>
      <c r="E707" s="20" t="s">
        <v>110</v>
      </c>
      <c r="F707" s="20"/>
      <c r="G707" s="20"/>
      <c r="H707" s="20"/>
      <c r="I707" s="20"/>
      <c r="J707" s="20"/>
      <c r="K707" s="20"/>
      <c r="L707" s="20"/>
      <c r="M707" s="20"/>
      <c r="N707" s="20"/>
      <c r="O707" s="20"/>
      <c r="P707" s="20"/>
      <c r="Q707" s="20"/>
      <c r="R707" s="20"/>
      <c r="S707" s="20"/>
      <c r="T707" s="20"/>
      <c r="U707" s="20"/>
      <c r="V707" s="20"/>
      <c r="W707" s="20"/>
      <c r="X707" s="12">
        <v>23532</v>
      </c>
      <c r="Y707" s="12">
        <v>25743</v>
      </c>
      <c r="Z707" s="12">
        <v>21813</v>
      </c>
      <c r="AA707" s="12">
        <v>26593</v>
      </c>
      <c r="AB707" s="12">
        <v>30283</v>
      </c>
      <c r="AC707" s="12">
        <v>27471</v>
      </c>
      <c r="AD707" s="12">
        <v>15717</v>
      </c>
      <c r="AE707" s="12">
        <v>14956</v>
      </c>
      <c r="AF707" s="12">
        <v>12536</v>
      </c>
      <c r="AG707" s="12">
        <v>11238</v>
      </c>
      <c r="AH707" s="12">
        <v>6420</v>
      </c>
      <c r="AI707" s="12">
        <v>8835</v>
      </c>
      <c r="AJ707" s="12">
        <v>8280</v>
      </c>
      <c r="AK707" s="14">
        <v>6203</v>
      </c>
      <c r="AL707" s="849">
        <v>4633</v>
      </c>
      <c r="AM707" s="1071">
        <v>0</v>
      </c>
      <c r="AN707" s="1071">
        <v>0</v>
      </c>
      <c r="AO707" s="1071">
        <v>0</v>
      </c>
      <c r="AP707" s="1071">
        <f t="shared" si="230"/>
        <v>0</v>
      </c>
      <c r="AQ707" s="1071">
        <f t="shared" si="230"/>
        <v>0</v>
      </c>
      <c r="AR707" s="1044"/>
      <c r="AS707" s="1044"/>
    </row>
    <row r="708" spans="3:45" hidden="1" outlineLevel="2">
      <c r="C708" s="9" t="s">
        <v>16</v>
      </c>
      <c r="D708" s="9"/>
      <c r="E708" s="20" t="s">
        <v>167</v>
      </c>
      <c r="F708" s="20"/>
      <c r="G708" s="20"/>
      <c r="H708" s="20"/>
      <c r="I708" s="20"/>
      <c r="J708" s="20"/>
      <c r="K708" s="20"/>
      <c r="L708" s="20"/>
      <c r="M708" s="20"/>
      <c r="N708" s="20"/>
      <c r="O708" s="20"/>
      <c r="P708" s="20"/>
      <c r="Q708" s="20"/>
      <c r="R708" s="20"/>
      <c r="S708" s="20"/>
      <c r="T708" s="20"/>
      <c r="U708" s="20"/>
      <c r="V708" s="20"/>
      <c r="W708" s="20"/>
      <c r="X708" s="12">
        <v>246638</v>
      </c>
      <c r="Y708" s="12">
        <v>280300</v>
      </c>
      <c r="Z708" s="12">
        <v>272211</v>
      </c>
      <c r="AA708" s="12">
        <v>276944</v>
      </c>
      <c r="AB708" s="12">
        <v>275245</v>
      </c>
      <c r="AC708" s="12">
        <v>266096</v>
      </c>
      <c r="AD708" s="12">
        <v>238344</v>
      </c>
      <c r="AE708" s="12">
        <v>230527</v>
      </c>
      <c r="AF708" s="12">
        <v>240119</v>
      </c>
      <c r="AG708" s="12">
        <v>240620</v>
      </c>
      <c r="AH708" s="12">
        <v>231461</v>
      </c>
      <c r="AI708" s="12">
        <v>197677</v>
      </c>
      <c r="AJ708" s="12">
        <v>183975</v>
      </c>
      <c r="AK708" s="14">
        <v>107210</v>
      </c>
      <c r="AL708" s="849">
        <v>109426</v>
      </c>
      <c r="AM708" s="1071">
        <v>98302</v>
      </c>
      <c r="AN708" s="1071">
        <v>85763</v>
      </c>
      <c r="AO708" s="1071">
        <v>83434</v>
      </c>
      <c r="AP708" s="1071">
        <f t="shared" si="230"/>
        <v>82585</v>
      </c>
      <c r="AQ708" s="1071">
        <f t="shared" si="230"/>
        <v>82585</v>
      </c>
      <c r="AR708" s="1044"/>
      <c r="AS708" s="1044"/>
    </row>
    <row r="709" spans="3:45" hidden="1" outlineLevel="2">
      <c r="C709" s="9" t="s">
        <v>16</v>
      </c>
      <c r="D709" s="9"/>
      <c r="E709" s="20" t="s">
        <v>112</v>
      </c>
      <c r="F709" s="20"/>
      <c r="G709" s="20"/>
      <c r="H709" s="20"/>
      <c r="I709" s="20"/>
      <c r="J709" s="20"/>
      <c r="K709" s="20"/>
      <c r="L709" s="20"/>
      <c r="M709" s="20"/>
      <c r="N709" s="20"/>
      <c r="O709" s="20"/>
      <c r="P709" s="20"/>
      <c r="Q709" s="20"/>
      <c r="R709" s="20"/>
      <c r="S709" s="20"/>
      <c r="T709" s="20"/>
      <c r="U709" s="20"/>
      <c r="V709" s="20"/>
      <c r="W709" s="20"/>
      <c r="X709" s="12">
        <v>459714</v>
      </c>
      <c r="Y709" s="12">
        <v>454433</v>
      </c>
      <c r="Z709" s="12">
        <v>434189</v>
      </c>
      <c r="AA709" s="12">
        <v>415963</v>
      </c>
      <c r="AB709" s="12">
        <v>417775</v>
      </c>
      <c r="AC709" s="12">
        <v>462154</v>
      </c>
      <c r="AD709" s="12">
        <v>457498</v>
      </c>
      <c r="AE709" s="12">
        <v>437156</v>
      </c>
      <c r="AF709" s="12">
        <v>442567.24</v>
      </c>
      <c r="AG709" s="12">
        <v>339245</v>
      </c>
      <c r="AH709" s="12">
        <v>315161</v>
      </c>
      <c r="AI709" s="12">
        <v>288918</v>
      </c>
      <c r="AJ709" s="12">
        <v>315020</v>
      </c>
      <c r="AK709" s="14">
        <v>264857</v>
      </c>
      <c r="AL709" s="849">
        <v>262495</v>
      </c>
      <c r="AM709" s="1071">
        <v>247686</v>
      </c>
      <c r="AN709" s="1071">
        <v>237406</v>
      </c>
      <c r="AO709" s="1071">
        <v>239341</v>
      </c>
      <c r="AP709" s="1071">
        <f t="shared" si="230"/>
        <v>236904</v>
      </c>
      <c r="AQ709" s="1071">
        <f t="shared" si="230"/>
        <v>236904</v>
      </c>
      <c r="AR709" s="1044"/>
      <c r="AS709" s="1044"/>
    </row>
    <row r="710" spans="3:45" hidden="1" outlineLevel="2">
      <c r="C710" s="9" t="s">
        <v>16</v>
      </c>
      <c r="D710" s="9"/>
      <c r="E710" s="20" t="s">
        <v>168</v>
      </c>
      <c r="F710" s="20"/>
      <c r="G710" s="20"/>
      <c r="H710" s="20"/>
      <c r="I710" s="20"/>
      <c r="J710" s="20"/>
      <c r="K710" s="20"/>
      <c r="L710" s="20"/>
      <c r="M710" s="20"/>
      <c r="N710" s="20"/>
      <c r="O710" s="20"/>
      <c r="P710" s="20"/>
      <c r="Q710" s="20"/>
      <c r="R710" s="20"/>
      <c r="S710" s="20"/>
      <c r="T710" s="20"/>
      <c r="U710" s="20"/>
      <c r="V710" s="20"/>
      <c r="W710" s="20"/>
      <c r="X710" s="12">
        <v>888724</v>
      </c>
      <c r="Y710" s="12">
        <v>914630</v>
      </c>
      <c r="Z710" s="12">
        <v>913693</v>
      </c>
      <c r="AA710" s="12">
        <v>947069</v>
      </c>
      <c r="AB710" s="12">
        <v>1039099</v>
      </c>
      <c r="AC710" s="12">
        <v>1072311</v>
      </c>
      <c r="AD710" s="12">
        <v>829244</v>
      </c>
      <c r="AE710" s="12">
        <v>1243720</v>
      </c>
      <c r="AF710" s="12">
        <v>1328224</v>
      </c>
      <c r="AG710" s="12">
        <v>1368252</v>
      </c>
      <c r="AH710" s="12">
        <v>1366954</v>
      </c>
      <c r="AI710" s="12">
        <v>1112794</v>
      </c>
      <c r="AJ710" s="12">
        <v>1395274</v>
      </c>
      <c r="AK710" s="14">
        <v>1150102</v>
      </c>
      <c r="AL710" s="849">
        <v>1221183</v>
      </c>
      <c r="AM710" s="1071">
        <v>1522170</v>
      </c>
      <c r="AN710" s="1071">
        <v>1605454</v>
      </c>
      <c r="AO710" s="1071">
        <v>1618840</v>
      </c>
      <c r="AP710" s="1071">
        <f t="shared" si="230"/>
        <v>1602359</v>
      </c>
      <c r="AQ710" s="1071">
        <f t="shared" si="230"/>
        <v>1602359</v>
      </c>
      <c r="AR710" s="1044"/>
      <c r="AS710" s="1044"/>
    </row>
    <row r="711" spans="3:45" hidden="1" outlineLevel="2">
      <c r="C711" s="9" t="s">
        <v>16</v>
      </c>
      <c r="D711" s="9"/>
      <c r="E711" s="20" t="s">
        <v>169</v>
      </c>
      <c r="F711" s="20"/>
      <c r="G711" s="20"/>
      <c r="H711" s="20"/>
      <c r="I711" s="20"/>
      <c r="J711" s="20"/>
      <c r="K711" s="20"/>
      <c r="L711" s="20"/>
      <c r="M711" s="20"/>
      <c r="N711" s="20"/>
      <c r="O711" s="20"/>
      <c r="P711" s="20"/>
      <c r="Q711" s="20"/>
      <c r="R711" s="20"/>
      <c r="S711" s="20"/>
      <c r="T711" s="20"/>
      <c r="U711" s="20"/>
      <c r="V711" s="20"/>
      <c r="W711" s="20"/>
      <c r="X711" s="12">
        <v>4276856</v>
      </c>
      <c r="Y711" s="12">
        <v>4328317</v>
      </c>
      <c r="Z711" s="12">
        <v>4297448</v>
      </c>
      <c r="AA711" s="12">
        <v>4391266</v>
      </c>
      <c r="AB711" s="12">
        <v>4488220</v>
      </c>
      <c r="AC711" s="12">
        <v>4572198</v>
      </c>
      <c r="AD711" s="12">
        <v>4722294</v>
      </c>
      <c r="AE711" s="12">
        <v>4766406</v>
      </c>
      <c r="AF711" s="12">
        <v>4799611</v>
      </c>
      <c r="AG711" s="12">
        <v>4688625</v>
      </c>
      <c r="AH711" s="12">
        <v>4000514</v>
      </c>
      <c r="AI711" s="12">
        <v>4326594</v>
      </c>
      <c r="AJ711" s="12">
        <v>4370248</v>
      </c>
      <c r="AK711" s="14">
        <v>3871865</v>
      </c>
      <c r="AL711" s="849">
        <v>3809442</v>
      </c>
      <c r="AM711" s="1071">
        <v>4198498</v>
      </c>
      <c r="AN711" s="1071">
        <v>4112164</v>
      </c>
      <c r="AO711" s="1071">
        <v>3874459</v>
      </c>
      <c r="AP711" s="1071">
        <f t="shared" si="230"/>
        <v>3835015</v>
      </c>
      <c r="AQ711" s="1071">
        <f t="shared" si="230"/>
        <v>3835015</v>
      </c>
      <c r="AR711" s="1044"/>
      <c r="AS711" s="1044"/>
    </row>
    <row r="712" spans="3:45" hidden="1" outlineLevel="2">
      <c r="C712" s="9" t="s">
        <v>16</v>
      </c>
      <c r="D712" s="9"/>
      <c r="E712" s="20" t="s">
        <v>114</v>
      </c>
      <c r="F712" s="20"/>
      <c r="G712" s="20"/>
      <c r="H712" s="20"/>
      <c r="I712" s="20"/>
      <c r="J712" s="20"/>
      <c r="K712" s="20"/>
      <c r="L712" s="20"/>
      <c r="M712" s="20"/>
      <c r="N712" s="20"/>
      <c r="O712" s="20"/>
      <c r="P712" s="20"/>
      <c r="Q712" s="20"/>
      <c r="R712" s="20"/>
      <c r="S712" s="20"/>
      <c r="T712" s="20"/>
      <c r="U712" s="20"/>
      <c r="V712" s="20"/>
      <c r="W712" s="20"/>
      <c r="X712" s="12">
        <v>1264584</v>
      </c>
      <c r="Y712" s="12">
        <v>1262167.55</v>
      </c>
      <c r="Z712" s="12">
        <v>1236144</v>
      </c>
      <c r="AA712" s="12">
        <v>1267043</v>
      </c>
      <c r="AB712" s="12">
        <v>1311136</v>
      </c>
      <c r="AC712" s="12">
        <v>1300126</v>
      </c>
      <c r="AD712" s="12">
        <v>1311843</v>
      </c>
      <c r="AE712" s="12">
        <v>1311843</v>
      </c>
      <c r="AF712" s="12">
        <v>944540</v>
      </c>
      <c r="AG712" s="12">
        <v>1131625</v>
      </c>
      <c r="AH712" s="12">
        <v>974615</v>
      </c>
      <c r="AI712" s="12">
        <v>912618</v>
      </c>
      <c r="AJ712" s="12">
        <v>995695</v>
      </c>
      <c r="AK712" s="14">
        <v>775528</v>
      </c>
      <c r="AL712" s="849">
        <v>892974</v>
      </c>
      <c r="AM712" s="1071">
        <v>1083191</v>
      </c>
      <c r="AN712" s="1071">
        <v>1050727</v>
      </c>
      <c r="AO712" s="1071">
        <v>943104</v>
      </c>
      <c r="AP712" s="1071">
        <f t="shared" si="230"/>
        <v>933503</v>
      </c>
      <c r="AQ712" s="1071">
        <f t="shared" si="230"/>
        <v>933503</v>
      </c>
      <c r="AR712" s="1044"/>
      <c r="AS712" s="1044"/>
    </row>
    <row r="713" spans="3:45" hidden="1" outlineLevel="2">
      <c r="C713" s="9" t="s">
        <v>16</v>
      </c>
      <c r="D713" s="9"/>
      <c r="E713" s="20" t="s">
        <v>170</v>
      </c>
      <c r="F713" s="20"/>
      <c r="G713" s="20"/>
      <c r="H713" s="20"/>
      <c r="I713" s="20"/>
      <c r="J713" s="20"/>
      <c r="K713" s="20"/>
      <c r="L713" s="20"/>
      <c r="M713" s="20"/>
      <c r="N713" s="20"/>
      <c r="O713" s="20"/>
      <c r="P713" s="20"/>
      <c r="Q713" s="20"/>
      <c r="R713" s="20"/>
      <c r="S713" s="20"/>
      <c r="T713" s="20"/>
      <c r="U713" s="20"/>
      <c r="V713" s="20"/>
      <c r="W713" s="20"/>
      <c r="X713" s="12">
        <v>1503022</v>
      </c>
      <c r="Y713" s="12">
        <v>1472316</v>
      </c>
      <c r="Z713" s="12">
        <v>1417845</v>
      </c>
      <c r="AA713" s="12">
        <v>1398627</v>
      </c>
      <c r="AB713" s="12">
        <v>1417340</v>
      </c>
      <c r="AC713" s="12">
        <v>1482034</v>
      </c>
      <c r="AD713" s="12">
        <v>1477449</v>
      </c>
      <c r="AE713" s="12">
        <v>1498609</v>
      </c>
      <c r="AF713" s="12">
        <v>1510781</v>
      </c>
      <c r="AG713" s="12">
        <v>1510600</v>
      </c>
      <c r="AH713" s="12">
        <v>1413591</v>
      </c>
      <c r="AI713" s="12">
        <v>1382170</v>
      </c>
      <c r="AJ713" s="12">
        <v>1400620</v>
      </c>
      <c r="AK713" s="14">
        <v>1095812</v>
      </c>
      <c r="AL713" s="849">
        <v>1057795</v>
      </c>
      <c r="AM713" s="1071">
        <v>1183342</v>
      </c>
      <c r="AN713" s="1071">
        <v>1148614</v>
      </c>
      <c r="AO713" s="1071">
        <v>1086402</v>
      </c>
      <c r="AP713" s="1071">
        <f t="shared" si="230"/>
        <v>1075342</v>
      </c>
      <c r="AQ713" s="1071">
        <f t="shared" si="230"/>
        <v>1075342</v>
      </c>
      <c r="AR713" s="1044"/>
      <c r="AS713" s="1044"/>
    </row>
    <row r="714" spans="3:45" hidden="1" outlineLevel="2">
      <c r="C714" s="9" t="s">
        <v>16</v>
      </c>
      <c r="D714" s="9"/>
      <c r="E714" s="20" t="s">
        <v>116</v>
      </c>
      <c r="F714" s="20"/>
      <c r="G714" s="20"/>
      <c r="H714" s="20"/>
      <c r="I714" s="20"/>
      <c r="J714" s="20"/>
      <c r="K714" s="20"/>
      <c r="L714" s="20"/>
      <c r="M714" s="20"/>
      <c r="N714" s="20"/>
      <c r="O714" s="20"/>
      <c r="P714" s="20"/>
      <c r="Q714" s="20"/>
      <c r="R714" s="20"/>
      <c r="S714" s="20"/>
      <c r="T714" s="20"/>
      <c r="U714" s="20"/>
      <c r="V714" s="20"/>
      <c r="W714" s="20"/>
      <c r="X714" s="12">
        <v>53404</v>
      </c>
      <c r="Y714" s="12">
        <v>47767</v>
      </c>
      <c r="Z714" s="12">
        <v>45611</v>
      </c>
      <c r="AA714" s="12">
        <v>54930</v>
      </c>
      <c r="AB714" s="12">
        <v>53657</v>
      </c>
      <c r="AC714" s="12">
        <v>55237</v>
      </c>
      <c r="AD714" s="12">
        <v>54083</v>
      </c>
      <c r="AE714" s="12">
        <v>45130</v>
      </c>
      <c r="AF714" s="12">
        <v>42308</v>
      </c>
      <c r="AG714" s="12">
        <v>35249</v>
      </c>
      <c r="AH714" s="12">
        <v>21676</v>
      </c>
      <c r="AI714" s="12">
        <v>21945</v>
      </c>
      <c r="AJ714" s="12">
        <v>24053</v>
      </c>
      <c r="AK714" s="14">
        <v>27492</v>
      </c>
      <c r="AL714" s="849">
        <v>27154</v>
      </c>
      <c r="AM714" s="1071">
        <v>28617</v>
      </c>
      <c r="AN714" s="1071">
        <v>30471</v>
      </c>
      <c r="AO714" s="1071">
        <v>29050</v>
      </c>
      <c r="AP714" s="1071">
        <f t="shared" si="230"/>
        <v>28754</v>
      </c>
      <c r="AQ714" s="1071">
        <f t="shared" si="230"/>
        <v>28754</v>
      </c>
      <c r="AR714" s="1044"/>
      <c r="AS714" s="1044"/>
    </row>
    <row r="715" spans="3:45" hidden="1" outlineLevel="2">
      <c r="C715" s="9" t="s">
        <v>16</v>
      </c>
      <c r="D715" s="9"/>
      <c r="E715" s="20" t="s">
        <v>117</v>
      </c>
      <c r="F715" s="20"/>
      <c r="G715" s="20"/>
      <c r="H715" s="20"/>
      <c r="I715" s="20"/>
      <c r="J715" s="20"/>
      <c r="K715" s="20"/>
      <c r="L715" s="20"/>
      <c r="M715" s="20"/>
      <c r="N715" s="20"/>
      <c r="O715" s="20"/>
      <c r="P715" s="20"/>
      <c r="Q715" s="20"/>
      <c r="R715" s="20"/>
      <c r="S715" s="20"/>
      <c r="T715" s="20"/>
      <c r="U715" s="20"/>
      <c r="V715" s="20"/>
      <c r="W715" s="20"/>
      <c r="X715" s="12">
        <v>230451</v>
      </c>
      <c r="Y715" s="12">
        <v>230449.72</v>
      </c>
      <c r="Z715" s="12">
        <v>235952</v>
      </c>
      <c r="AA715" s="12">
        <v>186267</v>
      </c>
      <c r="AB715" s="12">
        <v>204827</v>
      </c>
      <c r="AC715" s="12">
        <v>195057</v>
      </c>
      <c r="AD715" s="12">
        <v>212876</v>
      </c>
      <c r="AE715" s="12">
        <v>197840</v>
      </c>
      <c r="AF715" s="12">
        <v>166660</v>
      </c>
      <c r="AG715" s="12">
        <v>171430</v>
      </c>
      <c r="AH715" s="12">
        <v>146645</v>
      </c>
      <c r="AI715" s="12">
        <v>147704</v>
      </c>
      <c r="AJ715" s="12">
        <v>143764</v>
      </c>
      <c r="AK715" s="14">
        <v>120840</v>
      </c>
      <c r="AL715" s="849">
        <v>116768</v>
      </c>
      <c r="AM715" s="1071">
        <v>123672</v>
      </c>
      <c r="AN715" s="1071">
        <v>136864</v>
      </c>
      <c r="AO715" s="1071">
        <v>129298</v>
      </c>
      <c r="AP715" s="1071">
        <f t="shared" si="230"/>
        <v>127982</v>
      </c>
      <c r="AQ715" s="1071">
        <f t="shared" si="230"/>
        <v>127982</v>
      </c>
      <c r="AR715" s="1044"/>
      <c r="AS715" s="1044"/>
    </row>
    <row r="716" spans="3:45" hidden="1" outlineLevel="2">
      <c r="C716" s="9" t="s">
        <v>16</v>
      </c>
      <c r="D716" s="9"/>
      <c r="E716" s="20" t="s">
        <v>118</v>
      </c>
      <c r="F716" s="20"/>
      <c r="G716" s="20"/>
      <c r="H716" s="20"/>
      <c r="I716" s="20"/>
      <c r="J716" s="20"/>
      <c r="K716" s="20"/>
      <c r="L716" s="20"/>
      <c r="M716" s="20"/>
      <c r="N716" s="20"/>
      <c r="O716" s="20"/>
      <c r="P716" s="20"/>
      <c r="Q716" s="20"/>
      <c r="R716" s="20"/>
      <c r="S716" s="20"/>
      <c r="T716" s="20"/>
      <c r="U716" s="20"/>
      <c r="V716" s="20"/>
      <c r="W716" s="20"/>
      <c r="X716" s="12">
        <v>258206</v>
      </c>
      <c r="Y716" s="12">
        <v>274569</v>
      </c>
      <c r="Z716" s="12">
        <v>254523</v>
      </c>
      <c r="AA716" s="12">
        <v>261647</v>
      </c>
      <c r="AB716" s="12">
        <v>256647</v>
      </c>
      <c r="AC716" s="12">
        <v>264556</v>
      </c>
      <c r="AD716" s="12">
        <v>285708</v>
      </c>
      <c r="AE716" s="12">
        <v>323180</v>
      </c>
      <c r="AF716" s="12">
        <v>326275</v>
      </c>
      <c r="AG716" s="12">
        <v>320915</v>
      </c>
      <c r="AH716" s="12">
        <v>276800</v>
      </c>
      <c r="AI716" s="12">
        <v>248269</v>
      </c>
      <c r="AJ716" s="12">
        <v>262462</v>
      </c>
      <c r="AK716" s="14">
        <v>232016</v>
      </c>
      <c r="AL716" s="849">
        <v>215102</v>
      </c>
      <c r="AM716" s="1071">
        <v>229902</v>
      </c>
      <c r="AN716" s="1071">
        <v>247570</v>
      </c>
      <c r="AO716" s="1071">
        <v>262000</v>
      </c>
      <c r="AP716" s="1071">
        <f t="shared" si="230"/>
        <v>259333</v>
      </c>
      <c r="AQ716" s="1071">
        <f t="shared" si="230"/>
        <v>259333</v>
      </c>
      <c r="AR716" s="1044"/>
      <c r="AS716" s="1044"/>
    </row>
    <row r="717" spans="3:45" hidden="1" outlineLevel="2">
      <c r="C717" s="9" t="s">
        <v>16</v>
      </c>
      <c r="D717" s="9"/>
      <c r="E717" s="20" t="s">
        <v>119</v>
      </c>
      <c r="F717" s="20"/>
      <c r="G717" s="20"/>
      <c r="H717" s="20"/>
      <c r="I717" s="20"/>
      <c r="J717" s="20"/>
      <c r="K717" s="20"/>
      <c r="L717" s="20"/>
      <c r="M717" s="20"/>
      <c r="N717" s="20"/>
      <c r="O717" s="20"/>
      <c r="P717" s="20"/>
      <c r="Q717" s="20"/>
      <c r="R717" s="20"/>
      <c r="S717" s="20"/>
      <c r="T717" s="20"/>
      <c r="U717" s="20"/>
      <c r="V717" s="20"/>
      <c r="W717" s="20"/>
      <c r="X717" s="12">
        <v>236449</v>
      </c>
      <c r="Y717" s="12">
        <v>232095</v>
      </c>
      <c r="Z717" s="12">
        <v>226031</v>
      </c>
      <c r="AA717" s="12">
        <v>230749</v>
      </c>
      <c r="AB717" s="12">
        <v>255402</v>
      </c>
      <c r="AC717" s="12">
        <v>241421</v>
      </c>
      <c r="AD717" s="12">
        <v>239344</v>
      </c>
      <c r="AE717" s="12">
        <v>224914</v>
      </c>
      <c r="AF717" s="12">
        <v>233243.64</v>
      </c>
      <c r="AG717" s="12">
        <v>236197</v>
      </c>
      <c r="AH717" s="12">
        <v>219718</v>
      </c>
      <c r="AI717" s="12">
        <v>219853</v>
      </c>
      <c r="AJ717" s="12">
        <v>247586</v>
      </c>
      <c r="AK717" s="14">
        <v>213478</v>
      </c>
      <c r="AL717" s="849">
        <v>198093</v>
      </c>
      <c r="AM717" s="1071">
        <v>233272</v>
      </c>
      <c r="AN717" s="1071">
        <v>248040</v>
      </c>
      <c r="AO717" s="1071">
        <v>240895</v>
      </c>
      <c r="AP717" s="1071">
        <f t="shared" si="230"/>
        <v>238443</v>
      </c>
      <c r="AQ717" s="1071">
        <f t="shared" si="230"/>
        <v>238443</v>
      </c>
      <c r="AR717" s="1044"/>
      <c r="AS717" s="1044"/>
    </row>
    <row r="718" spans="3:45" hidden="1" outlineLevel="2">
      <c r="C718" s="9" t="s">
        <v>16</v>
      </c>
      <c r="D718" s="9"/>
      <c r="E718" s="20" t="s">
        <v>171</v>
      </c>
      <c r="F718" s="20"/>
      <c r="G718" s="20"/>
      <c r="H718" s="20"/>
      <c r="I718" s="20"/>
      <c r="J718" s="20"/>
      <c r="K718" s="20"/>
      <c r="L718" s="20"/>
      <c r="M718" s="20"/>
      <c r="N718" s="20"/>
      <c r="O718" s="20"/>
      <c r="P718" s="20"/>
      <c r="Q718" s="20"/>
      <c r="R718" s="20"/>
      <c r="S718" s="20"/>
      <c r="T718" s="20"/>
      <c r="U718" s="20"/>
      <c r="V718" s="20"/>
      <c r="W718" s="20"/>
      <c r="X718" s="12">
        <v>2710528.8</v>
      </c>
      <c r="Y718" s="12">
        <v>2746961.17</v>
      </c>
      <c r="Z718" s="12">
        <v>2754744</v>
      </c>
      <c r="AA718" s="12">
        <v>2872619</v>
      </c>
      <c r="AB718" s="12">
        <v>2907239</v>
      </c>
      <c r="AC718" s="12">
        <v>2881771</v>
      </c>
      <c r="AD718" s="12">
        <v>3118100</v>
      </c>
      <c r="AE718" s="12">
        <v>3322296</v>
      </c>
      <c r="AF718" s="12">
        <v>3332387.94</v>
      </c>
      <c r="AG718" s="12">
        <v>3322667</v>
      </c>
      <c r="AH718" s="12">
        <v>2537138</v>
      </c>
      <c r="AI718" s="12">
        <v>2495434</v>
      </c>
      <c r="AJ718" s="12">
        <v>2692475</v>
      </c>
      <c r="AK718" s="14">
        <v>2616948</v>
      </c>
      <c r="AL718" s="849">
        <v>2629919</v>
      </c>
      <c r="AM718" s="1071">
        <v>2647682</v>
      </c>
      <c r="AN718" s="1071">
        <v>2605511</v>
      </c>
      <c r="AO718" s="1071">
        <v>2488392</v>
      </c>
      <c r="AP718" s="1071">
        <f t="shared" si="230"/>
        <v>2463059</v>
      </c>
      <c r="AQ718" s="1071">
        <f t="shared" si="230"/>
        <v>2463059</v>
      </c>
      <c r="AR718" s="1044"/>
      <c r="AS718" s="1044"/>
    </row>
    <row r="719" spans="3:45" hidden="1" outlineLevel="2">
      <c r="C719" s="9" t="s">
        <v>16</v>
      </c>
      <c r="D719" s="9"/>
      <c r="E719" s="20" t="s">
        <v>172</v>
      </c>
      <c r="F719" s="20"/>
      <c r="G719" s="20"/>
      <c r="H719" s="20"/>
      <c r="I719" s="20"/>
      <c r="J719" s="20"/>
      <c r="K719" s="20"/>
      <c r="L719" s="20"/>
      <c r="M719" s="20"/>
      <c r="N719" s="20"/>
      <c r="O719" s="20"/>
      <c r="P719" s="20"/>
      <c r="Q719" s="20"/>
      <c r="R719" s="20"/>
      <c r="S719" s="20"/>
      <c r="T719" s="20"/>
      <c r="U719" s="20"/>
      <c r="V719" s="20"/>
      <c r="W719" s="20"/>
      <c r="X719" s="12">
        <v>353429</v>
      </c>
      <c r="Y719" s="12">
        <v>348146</v>
      </c>
      <c r="Z719" s="12">
        <v>330449</v>
      </c>
      <c r="AA719" s="12">
        <v>347251</v>
      </c>
      <c r="AB719" s="12">
        <v>355872</v>
      </c>
      <c r="AC719" s="12">
        <v>366078</v>
      </c>
      <c r="AD719" s="12">
        <v>388361</v>
      </c>
      <c r="AE719" s="12">
        <v>401389</v>
      </c>
      <c r="AF719" s="12">
        <v>412172.74</v>
      </c>
      <c r="AG719" s="12">
        <v>407931</v>
      </c>
      <c r="AH719" s="12">
        <v>391171</v>
      </c>
      <c r="AI719" s="12">
        <v>358238</v>
      </c>
      <c r="AJ719" s="12">
        <v>357970</v>
      </c>
      <c r="AK719" s="14">
        <v>343934</v>
      </c>
      <c r="AL719" s="849">
        <v>329693</v>
      </c>
      <c r="AM719" s="1071">
        <v>325846</v>
      </c>
      <c r="AN719" s="1071">
        <v>359868</v>
      </c>
      <c r="AO719" s="1071">
        <v>368082</v>
      </c>
      <c r="AP719" s="1071">
        <f t="shared" si="230"/>
        <v>364335</v>
      </c>
      <c r="AQ719" s="1071">
        <f t="shared" si="230"/>
        <v>364335</v>
      </c>
      <c r="AR719" s="1044"/>
      <c r="AS719" s="1044"/>
    </row>
    <row r="720" spans="3:45" hidden="1" outlineLevel="2">
      <c r="C720" s="9" t="s">
        <v>16</v>
      </c>
      <c r="D720" s="9"/>
      <c r="E720" s="20" t="s">
        <v>122</v>
      </c>
      <c r="F720" s="20"/>
      <c r="G720" s="20"/>
      <c r="H720" s="20"/>
      <c r="I720" s="20"/>
      <c r="J720" s="20"/>
      <c r="K720" s="20"/>
      <c r="L720" s="20"/>
      <c r="M720" s="20"/>
      <c r="N720" s="20"/>
      <c r="O720" s="20"/>
      <c r="P720" s="20"/>
      <c r="Q720" s="20"/>
      <c r="R720" s="20"/>
      <c r="S720" s="20"/>
      <c r="T720" s="20"/>
      <c r="U720" s="20"/>
      <c r="V720" s="20"/>
      <c r="W720" s="20"/>
      <c r="X720" s="12">
        <v>450886</v>
      </c>
      <c r="Y720" s="12">
        <v>474754.63</v>
      </c>
      <c r="Z720" s="12">
        <v>468123</v>
      </c>
      <c r="AA720" s="12">
        <v>498616</v>
      </c>
      <c r="AB720" s="12">
        <v>507800</v>
      </c>
      <c r="AC720" s="12">
        <v>495853</v>
      </c>
      <c r="AD720" s="12">
        <v>529158</v>
      </c>
      <c r="AE720" s="12">
        <v>537016</v>
      </c>
      <c r="AF720" s="12">
        <v>556612</v>
      </c>
      <c r="AG720" s="12">
        <v>558423</v>
      </c>
      <c r="AH720" s="12">
        <v>497914</v>
      </c>
      <c r="AI720" s="12">
        <v>480627</v>
      </c>
      <c r="AJ720" s="12">
        <v>513723</v>
      </c>
      <c r="AK720" s="14">
        <v>420642</v>
      </c>
      <c r="AL720" s="849">
        <v>403496</v>
      </c>
      <c r="AM720" s="1071">
        <v>392421</v>
      </c>
      <c r="AN720" s="1071">
        <v>355807</v>
      </c>
      <c r="AO720" s="1071">
        <v>324808</v>
      </c>
      <c r="AP720" s="1071">
        <f t="shared" si="230"/>
        <v>321501</v>
      </c>
      <c r="AQ720" s="1071">
        <f t="shared" si="230"/>
        <v>321501</v>
      </c>
      <c r="AR720" s="1044"/>
      <c r="AS720" s="1044"/>
    </row>
    <row r="721" spans="3:45" hidden="1" outlineLevel="2">
      <c r="C721" s="9" t="s">
        <v>16</v>
      </c>
      <c r="D721" s="9"/>
      <c r="E721" s="20" t="s">
        <v>173</v>
      </c>
      <c r="F721" s="20"/>
      <c r="G721" s="20"/>
      <c r="H721" s="20"/>
      <c r="I721" s="20"/>
      <c r="J721" s="20"/>
      <c r="K721" s="20"/>
      <c r="L721" s="20"/>
      <c r="M721" s="20"/>
      <c r="N721" s="20"/>
      <c r="O721" s="20"/>
      <c r="P721" s="20"/>
      <c r="Q721" s="20"/>
      <c r="R721" s="20"/>
      <c r="S721" s="20"/>
      <c r="T721" s="20"/>
      <c r="U721" s="20"/>
      <c r="V721" s="20"/>
      <c r="W721" s="20"/>
      <c r="X721" s="12">
        <v>781267.82</v>
      </c>
      <c r="Y721" s="12">
        <v>781268</v>
      </c>
      <c r="Z721" s="12">
        <v>760355</v>
      </c>
      <c r="AA721" s="12">
        <v>818390</v>
      </c>
      <c r="AB721" s="12">
        <v>800360</v>
      </c>
      <c r="AC721" s="12">
        <v>823859</v>
      </c>
      <c r="AD721" s="12">
        <v>835476</v>
      </c>
      <c r="AE721" s="12">
        <v>816658</v>
      </c>
      <c r="AF721" s="12">
        <v>815783.21</v>
      </c>
      <c r="AG721" s="12">
        <v>775083</v>
      </c>
      <c r="AH721" s="12">
        <v>719348</v>
      </c>
      <c r="AI721" s="12">
        <v>715844</v>
      </c>
      <c r="AJ721" s="12">
        <v>686811</v>
      </c>
      <c r="AK721" s="14">
        <v>582326</v>
      </c>
      <c r="AL721" s="849">
        <v>592610</v>
      </c>
      <c r="AM721" s="1071">
        <v>628651</v>
      </c>
      <c r="AN721" s="1071">
        <v>607330</v>
      </c>
      <c r="AO721" s="1071">
        <v>594128</v>
      </c>
      <c r="AP721" s="1071">
        <f t="shared" si="230"/>
        <v>588079</v>
      </c>
      <c r="AQ721" s="1071">
        <f t="shared" si="230"/>
        <v>588079</v>
      </c>
      <c r="AR721" s="1044"/>
      <c r="AS721" s="1044"/>
    </row>
    <row r="722" spans="3:45" hidden="1" outlineLevel="2">
      <c r="C722" s="9" t="s">
        <v>16</v>
      </c>
      <c r="D722" s="9"/>
      <c r="E722" s="20" t="s">
        <v>174</v>
      </c>
      <c r="F722" s="20"/>
      <c r="G722" s="20"/>
      <c r="H722" s="20"/>
      <c r="I722" s="20"/>
      <c r="J722" s="20"/>
      <c r="K722" s="20"/>
      <c r="L722" s="20"/>
      <c r="M722" s="20"/>
      <c r="N722" s="20"/>
      <c r="O722" s="20"/>
      <c r="P722" s="20"/>
      <c r="Q722" s="20"/>
      <c r="R722" s="20"/>
      <c r="S722" s="20"/>
      <c r="T722" s="20"/>
      <c r="U722" s="20"/>
      <c r="V722" s="20"/>
      <c r="W722" s="20"/>
      <c r="X722" s="12">
        <v>843839.77</v>
      </c>
      <c r="Y722" s="12">
        <v>821092</v>
      </c>
      <c r="Z722" s="12">
        <v>806886</v>
      </c>
      <c r="AA722" s="12">
        <v>777689</v>
      </c>
      <c r="AB722" s="12">
        <v>751497</v>
      </c>
      <c r="AC722" s="12">
        <v>802905</v>
      </c>
      <c r="AD722" s="12">
        <v>824415</v>
      </c>
      <c r="AE722" s="12">
        <v>712001</v>
      </c>
      <c r="AF722" s="12">
        <v>745292.16</v>
      </c>
      <c r="AG722" s="12">
        <v>714484</v>
      </c>
      <c r="AH722" s="12">
        <v>661119</v>
      </c>
      <c r="AI722" s="12">
        <v>668774</v>
      </c>
      <c r="AJ722" s="12">
        <v>678593</v>
      </c>
      <c r="AK722" s="14">
        <v>611283</v>
      </c>
      <c r="AL722" s="849">
        <v>627820</v>
      </c>
      <c r="AM722" s="1071">
        <v>722681</v>
      </c>
      <c r="AN722" s="1071">
        <v>696636</v>
      </c>
      <c r="AO722" s="1071">
        <v>649740</v>
      </c>
      <c r="AP722" s="1071">
        <f t="shared" si="230"/>
        <v>643125</v>
      </c>
      <c r="AQ722" s="1071">
        <f t="shared" si="230"/>
        <v>643125</v>
      </c>
      <c r="AR722" s="1044"/>
      <c r="AS722" s="1044"/>
    </row>
    <row r="723" spans="3:45" hidden="1" outlineLevel="2">
      <c r="C723" s="9" t="s">
        <v>16</v>
      </c>
      <c r="D723" s="9"/>
      <c r="E723" s="20" t="s">
        <v>175</v>
      </c>
      <c r="F723" s="20"/>
      <c r="G723" s="20"/>
      <c r="H723" s="20"/>
      <c r="I723" s="20"/>
      <c r="J723" s="20"/>
      <c r="K723" s="20"/>
      <c r="L723" s="20"/>
      <c r="M723" s="20"/>
      <c r="N723" s="20"/>
      <c r="O723" s="20"/>
      <c r="P723" s="20"/>
      <c r="Q723" s="20"/>
      <c r="R723" s="20"/>
      <c r="S723" s="20"/>
      <c r="T723" s="20"/>
      <c r="U723" s="20"/>
      <c r="V723" s="20"/>
      <c r="W723" s="20"/>
      <c r="X723" s="12">
        <v>716468</v>
      </c>
      <c r="Y723" s="12">
        <v>722284</v>
      </c>
      <c r="Z723" s="12">
        <v>774764</v>
      </c>
      <c r="AA723" s="12">
        <v>799308</v>
      </c>
      <c r="AB723" s="12">
        <v>841545</v>
      </c>
      <c r="AC723" s="12">
        <v>862446</v>
      </c>
      <c r="AD723" s="12">
        <v>2688962</v>
      </c>
      <c r="AE723" s="12">
        <v>2793518</v>
      </c>
      <c r="AF723" s="12">
        <v>2720023.9</v>
      </c>
      <c r="AG723" s="12">
        <v>2688186</v>
      </c>
      <c r="AH723" s="12">
        <v>2351549</v>
      </c>
      <c r="AI723" s="12">
        <v>2325994</v>
      </c>
      <c r="AJ723" s="12">
        <v>2608510</v>
      </c>
      <c r="AK723" s="14">
        <v>2305478</v>
      </c>
      <c r="AL723" s="849">
        <v>2184360</v>
      </c>
      <c r="AM723" s="1071">
        <v>2303050</v>
      </c>
      <c r="AN723" s="1071">
        <v>2194309</v>
      </c>
      <c r="AO723" s="1071">
        <v>2148383</v>
      </c>
      <c r="AP723" s="1071">
        <f t="shared" si="230"/>
        <v>2126511</v>
      </c>
      <c r="AQ723" s="1071">
        <f t="shared" si="230"/>
        <v>2126511</v>
      </c>
      <c r="AR723" s="1044"/>
      <c r="AS723" s="1044"/>
    </row>
    <row r="724" spans="3:45" hidden="1" outlineLevel="2">
      <c r="C724" s="9" t="s">
        <v>16</v>
      </c>
      <c r="D724" s="9"/>
      <c r="E724" s="20" t="s">
        <v>176</v>
      </c>
      <c r="F724" s="20"/>
      <c r="G724" s="20"/>
      <c r="H724" s="20"/>
      <c r="I724" s="20"/>
      <c r="J724" s="20"/>
      <c r="K724" s="20"/>
      <c r="L724" s="20"/>
      <c r="M724" s="20"/>
      <c r="N724" s="20"/>
      <c r="O724" s="20"/>
      <c r="P724" s="20"/>
      <c r="Q724" s="20"/>
      <c r="R724" s="20"/>
      <c r="S724" s="20"/>
      <c r="T724" s="20"/>
      <c r="U724" s="20"/>
      <c r="V724" s="20"/>
      <c r="W724" s="20"/>
      <c r="X724" s="12">
        <v>456871</v>
      </c>
      <c r="Y724" s="12">
        <v>484728</v>
      </c>
      <c r="Z724" s="12">
        <v>480566</v>
      </c>
      <c r="AA724" s="12">
        <v>494483</v>
      </c>
      <c r="AB724" s="12">
        <v>513635</v>
      </c>
      <c r="AC724" s="12">
        <v>536203</v>
      </c>
      <c r="AD724" s="12">
        <v>868766</v>
      </c>
      <c r="AE724" s="12">
        <v>912698</v>
      </c>
      <c r="AF724" s="12">
        <v>983177.8</v>
      </c>
      <c r="AG724" s="12">
        <v>1025976</v>
      </c>
      <c r="AH724" s="12">
        <v>1007572</v>
      </c>
      <c r="AI724" s="12">
        <v>989064</v>
      </c>
      <c r="AJ724" s="12">
        <v>996654</v>
      </c>
      <c r="AK724" s="14">
        <v>780092</v>
      </c>
      <c r="AL724" s="849">
        <v>759465</v>
      </c>
      <c r="AM724" s="1071">
        <v>941711</v>
      </c>
      <c r="AN724" s="1071">
        <v>895931</v>
      </c>
      <c r="AO724" s="1071">
        <v>829968</v>
      </c>
      <c r="AP724" s="1071">
        <f t="shared" si="230"/>
        <v>821519</v>
      </c>
      <c r="AQ724" s="1071">
        <f t="shared" si="230"/>
        <v>821519</v>
      </c>
      <c r="AR724" s="1044"/>
      <c r="AS724" s="1044"/>
    </row>
    <row r="725" spans="3:45" hidden="1" outlineLevel="2">
      <c r="C725" s="9" t="s">
        <v>16</v>
      </c>
      <c r="D725" s="9"/>
      <c r="E725" s="20" t="s">
        <v>127</v>
      </c>
      <c r="F725" s="20"/>
      <c r="G725" s="20"/>
      <c r="H725" s="20"/>
      <c r="I725" s="20"/>
      <c r="J725" s="20"/>
      <c r="K725" s="20"/>
      <c r="L725" s="20"/>
      <c r="M725" s="20"/>
      <c r="N725" s="20"/>
      <c r="O725" s="20"/>
      <c r="P725" s="20"/>
      <c r="Q725" s="20"/>
      <c r="R725" s="20"/>
      <c r="S725" s="20"/>
      <c r="T725" s="20"/>
      <c r="U725" s="20"/>
      <c r="V725" s="20"/>
      <c r="W725" s="20"/>
      <c r="X725" s="12">
        <v>265119</v>
      </c>
      <c r="Y725" s="12">
        <v>259526</v>
      </c>
      <c r="Z725" s="12">
        <v>243480</v>
      </c>
      <c r="AA725" s="12">
        <v>250446</v>
      </c>
      <c r="AB725" s="12">
        <v>278184</v>
      </c>
      <c r="AC725" s="12">
        <v>281451</v>
      </c>
      <c r="AD725" s="12">
        <v>564544</v>
      </c>
      <c r="AE725" s="12">
        <v>573122</v>
      </c>
      <c r="AF725" s="12">
        <v>568735.06999999995</v>
      </c>
      <c r="AG725" s="12">
        <v>554691</v>
      </c>
      <c r="AH725" s="12">
        <v>512942</v>
      </c>
      <c r="AI725" s="12">
        <v>495582</v>
      </c>
      <c r="AJ725" s="12">
        <v>500691</v>
      </c>
      <c r="AK725" s="14">
        <v>472931</v>
      </c>
      <c r="AL725" s="849">
        <v>473332</v>
      </c>
      <c r="AM725" s="1071">
        <v>515651</v>
      </c>
      <c r="AN725" s="1071">
        <v>514661</v>
      </c>
      <c r="AO725" s="1071">
        <v>470456</v>
      </c>
      <c r="AP725" s="1071">
        <f t="shared" si="230"/>
        <v>465667</v>
      </c>
      <c r="AQ725" s="1071">
        <f t="shared" si="230"/>
        <v>465667</v>
      </c>
      <c r="AR725" s="1044"/>
      <c r="AS725" s="1044"/>
    </row>
    <row r="726" spans="3:45" hidden="1" outlineLevel="2">
      <c r="C726" s="9" t="s">
        <v>16</v>
      </c>
      <c r="D726" s="9"/>
      <c r="E726" s="20" t="s">
        <v>128</v>
      </c>
      <c r="F726" s="20"/>
      <c r="G726" s="20"/>
      <c r="H726" s="20"/>
      <c r="I726" s="20"/>
      <c r="J726" s="20"/>
      <c r="K726" s="20"/>
      <c r="L726" s="20"/>
      <c r="M726" s="20"/>
      <c r="N726" s="20"/>
      <c r="O726" s="20"/>
      <c r="P726" s="20"/>
      <c r="Q726" s="20"/>
      <c r="R726" s="20"/>
      <c r="S726" s="20"/>
      <c r="T726" s="20"/>
      <c r="U726" s="20"/>
      <c r="V726" s="20"/>
      <c r="W726" s="20"/>
      <c r="X726" s="12">
        <v>279342.34999999998</v>
      </c>
      <c r="Y726" s="12">
        <v>292872</v>
      </c>
      <c r="Z726" s="12">
        <v>307890</v>
      </c>
      <c r="AA726" s="12">
        <v>293664</v>
      </c>
      <c r="AB726" s="12">
        <v>308297</v>
      </c>
      <c r="AC726" s="12">
        <v>319021</v>
      </c>
      <c r="AD726" s="12">
        <v>315443</v>
      </c>
      <c r="AE726" s="12">
        <v>304798</v>
      </c>
      <c r="AF726" s="12">
        <v>308266.67</v>
      </c>
      <c r="AG726" s="12">
        <v>304276</v>
      </c>
      <c r="AH726" s="12">
        <v>294287</v>
      </c>
      <c r="AI726" s="12">
        <v>307947</v>
      </c>
      <c r="AJ726" s="12">
        <v>313795</v>
      </c>
      <c r="AK726" s="14">
        <v>283236</v>
      </c>
      <c r="AL726" s="849">
        <v>283488</v>
      </c>
      <c r="AM726" s="1071">
        <v>299402</v>
      </c>
      <c r="AN726" s="1071">
        <v>293484</v>
      </c>
      <c r="AO726" s="1071">
        <v>238090</v>
      </c>
      <c r="AP726" s="1071">
        <f t="shared" si="230"/>
        <v>235666</v>
      </c>
      <c r="AQ726" s="1071">
        <f t="shared" si="230"/>
        <v>235666</v>
      </c>
      <c r="AR726" s="1044"/>
      <c r="AS726" s="1044"/>
    </row>
    <row r="727" spans="3:45" hidden="1" outlineLevel="2">
      <c r="C727" s="9" t="s">
        <v>16</v>
      </c>
      <c r="D727" s="9"/>
      <c r="E727" s="20" t="s">
        <v>163</v>
      </c>
      <c r="F727" s="20"/>
      <c r="G727" s="20"/>
      <c r="H727" s="20"/>
      <c r="I727" s="20"/>
      <c r="J727" s="20"/>
      <c r="K727" s="20"/>
      <c r="L727" s="20"/>
      <c r="M727" s="20"/>
      <c r="N727" s="20"/>
      <c r="O727" s="20"/>
      <c r="P727" s="20"/>
      <c r="Q727" s="20"/>
      <c r="R727" s="20"/>
      <c r="S727" s="20"/>
      <c r="T727" s="20"/>
      <c r="U727" s="20"/>
      <c r="V727" s="20"/>
      <c r="W727" s="20"/>
      <c r="X727" s="12">
        <v>1949986</v>
      </c>
      <c r="Y727" s="12">
        <v>2149318</v>
      </c>
      <c r="Z727" s="12">
        <v>2171603</v>
      </c>
      <c r="AA727" s="12">
        <v>2277516</v>
      </c>
      <c r="AB727" s="12">
        <v>2382672</v>
      </c>
      <c r="AC727" s="12">
        <v>2503674</v>
      </c>
      <c r="AD727" s="12">
        <v>318942</v>
      </c>
      <c r="AE727" s="12">
        <v>318458</v>
      </c>
      <c r="AF727" s="12">
        <v>317689.21000000002</v>
      </c>
      <c r="AG727" s="12">
        <v>296485</v>
      </c>
      <c r="AH727" s="12">
        <v>185737</v>
      </c>
      <c r="AI727" s="12">
        <v>257671</v>
      </c>
      <c r="AJ727" s="12">
        <v>251976</v>
      </c>
      <c r="AK727" s="14">
        <v>186445</v>
      </c>
      <c r="AL727" s="849">
        <v>188304</v>
      </c>
      <c r="AM727" s="1071">
        <v>232964</v>
      </c>
      <c r="AN727" s="1071">
        <v>240442</v>
      </c>
      <c r="AO727" s="1071">
        <v>251188</v>
      </c>
      <c r="AP727" s="1071">
        <f t="shared" si="230"/>
        <v>248631</v>
      </c>
      <c r="AQ727" s="1071">
        <f t="shared" si="230"/>
        <v>248631</v>
      </c>
      <c r="AR727" s="1044"/>
      <c r="AS727" s="1044"/>
    </row>
    <row r="728" spans="3:45" hidden="1" outlineLevel="2">
      <c r="C728" s="9" t="s">
        <v>16</v>
      </c>
      <c r="D728" s="9"/>
      <c r="E728" s="20" t="s">
        <v>177</v>
      </c>
      <c r="F728" s="20"/>
      <c r="G728" s="20"/>
      <c r="H728" s="20"/>
      <c r="I728" s="20"/>
      <c r="J728" s="20"/>
      <c r="K728" s="20"/>
      <c r="L728" s="20"/>
      <c r="M728" s="20"/>
      <c r="N728" s="20"/>
      <c r="O728" s="20"/>
      <c r="P728" s="20"/>
      <c r="Q728" s="20"/>
      <c r="R728" s="20"/>
      <c r="S728" s="20"/>
      <c r="T728" s="20"/>
      <c r="U728" s="20"/>
      <c r="V728" s="20"/>
      <c r="W728" s="20"/>
      <c r="X728" s="12">
        <v>265783</v>
      </c>
      <c r="Y728" s="12">
        <v>283950.12</v>
      </c>
      <c r="Z728" s="12">
        <v>283951</v>
      </c>
      <c r="AA728" s="12">
        <v>260971</v>
      </c>
      <c r="AB728" s="12">
        <v>260971</v>
      </c>
      <c r="AC728" s="12">
        <v>284919</v>
      </c>
      <c r="AD728" s="12">
        <v>292513</v>
      </c>
      <c r="AE728" s="12">
        <v>286125</v>
      </c>
      <c r="AF728" s="12">
        <v>303001.5</v>
      </c>
      <c r="AG728" s="12">
        <v>289248</v>
      </c>
      <c r="AH728" s="12">
        <v>72636</v>
      </c>
      <c r="AI728" s="12">
        <v>258480</v>
      </c>
      <c r="AJ728" s="12">
        <v>257826</v>
      </c>
      <c r="AK728" s="14">
        <v>225067</v>
      </c>
      <c r="AL728" s="849">
        <v>214792</v>
      </c>
      <c r="AM728" s="1071">
        <v>215759</v>
      </c>
      <c r="AN728" s="1071">
        <v>202611</v>
      </c>
      <c r="AO728" s="1071">
        <v>193145</v>
      </c>
      <c r="AP728" s="1071">
        <f t="shared" si="230"/>
        <v>191179</v>
      </c>
      <c r="AQ728" s="1071">
        <f t="shared" si="230"/>
        <v>191179</v>
      </c>
      <c r="AR728" s="1044"/>
      <c r="AS728" s="1044"/>
    </row>
    <row r="729" spans="3:45" hidden="1" outlineLevel="2">
      <c r="C729" s="9" t="s">
        <v>16</v>
      </c>
      <c r="D729" s="9"/>
      <c r="E729" s="20" t="s">
        <v>131</v>
      </c>
      <c r="F729" s="20"/>
      <c r="G729" s="20"/>
      <c r="H729" s="20"/>
      <c r="I729" s="20"/>
      <c r="J729" s="20"/>
      <c r="K729" s="20"/>
      <c r="L729" s="20"/>
      <c r="M729" s="20"/>
      <c r="N729" s="20"/>
      <c r="O729" s="20"/>
      <c r="P729" s="20"/>
      <c r="Q729" s="20"/>
      <c r="R729" s="20"/>
      <c r="S729" s="20"/>
      <c r="T729" s="20"/>
      <c r="U729" s="20"/>
      <c r="V729" s="20"/>
      <c r="W729" s="20"/>
      <c r="X729" s="12">
        <v>438057</v>
      </c>
      <c r="Y729" s="12">
        <v>432896</v>
      </c>
      <c r="Z729" s="12">
        <v>396560</v>
      </c>
      <c r="AA729" s="12">
        <v>387821</v>
      </c>
      <c r="AB729" s="12">
        <v>374291</v>
      </c>
      <c r="AC729" s="12">
        <v>368426</v>
      </c>
      <c r="AD729" s="12">
        <v>366588</v>
      </c>
      <c r="AE729" s="12">
        <v>370497</v>
      </c>
      <c r="AF729" s="12">
        <v>378528.83999999997</v>
      </c>
      <c r="AG729" s="12">
        <v>370303</v>
      </c>
      <c r="AH729" s="12">
        <v>311800</v>
      </c>
      <c r="AI729" s="12">
        <v>287580</v>
      </c>
      <c r="AJ729" s="12">
        <v>284924</v>
      </c>
      <c r="AK729" s="14">
        <v>238240</v>
      </c>
      <c r="AL729" s="849">
        <v>243707</v>
      </c>
      <c r="AM729" s="1071">
        <v>283750</v>
      </c>
      <c r="AN729" s="1071">
        <v>311433</v>
      </c>
      <c r="AO729" s="1071">
        <v>338094</v>
      </c>
      <c r="AP729" s="1071">
        <f t="shared" si="230"/>
        <v>334652</v>
      </c>
      <c r="AQ729" s="1071">
        <f t="shared" si="230"/>
        <v>334652</v>
      </c>
      <c r="AR729" s="1044"/>
      <c r="AS729" s="1044"/>
    </row>
    <row r="730" spans="3:45" hidden="1" outlineLevel="2">
      <c r="C730" s="9" t="s">
        <v>16</v>
      </c>
      <c r="D730" s="9"/>
      <c r="E730" s="20" t="s">
        <v>132</v>
      </c>
      <c r="F730" s="20"/>
      <c r="G730" s="20"/>
      <c r="H730" s="20"/>
      <c r="I730" s="20"/>
      <c r="J730" s="20"/>
      <c r="K730" s="20"/>
      <c r="L730" s="20"/>
      <c r="M730" s="20"/>
      <c r="N730" s="20"/>
      <c r="O730" s="20"/>
      <c r="P730" s="20"/>
      <c r="Q730" s="20"/>
      <c r="R730" s="20"/>
      <c r="S730" s="20"/>
      <c r="T730" s="20"/>
      <c r="U730" s="20"/>
      <c r="V730" s="20"/>
      <c r="W730" s="20"/>
      <c r="X730" s="12">
        <v>184376</v>
      </c>
      <c r="Y730" s="12">
        <v>179945.15</v>
      </c>
      <c r="Z730" s="12">
        <v>152909</v>
      </c>
      <c r="AA730" s="12">
        <v>153421</v>
      </c>
      <c r="AB730" s="12">
        <v>163874</v>
      </c>
      <c r="AC730" s="12">
        <v>151992</v>
      </c>
      <c r="AD730" s="12">
        <v>172757</v>
      </c>
      <c r="AE730" s="12">
        <v>169954</v>
      </c>
      <c r="AF730" s="12">
        <v>163865.18</v>
      </c>
      <c r="AG730" s="12">
        <v>167156</v>
      </c>
      <c r="AH730" s="12">
        <v>152311</v>
      </c>
      <c r="AI730" s="12">
        <v>157254</v>
      </c>
      <c r="AJ730" s="12">
        <v>144243</v>
      </c>
      <c r="AK730" s="14">
        <v>119609</v>
      </c>
      <c r="AL730" s="849">
        <v>120798</v>
      </c>
      <c r="AM730" s="1071">
        <v>128406</v>
      </c>
      <c r="AN730" s="1071">
        <v>118693</v>
      </c>
      <c r="AO730" s="1071">
        <v>125422</v>
      </c>
      <c r="AP730" s="1071">
        <f t="shared" si="230"/>
        <v>124145</v>
      </c>
      <c r="AQ730" s="1071">
        <f t="shared" si="230"/>
        <v>124145</v>
      </c>
      <c r="AR730" s="1044"/>
      <c r="AS730" s="1044"/>
    </row>
    <row r="731" spans="3:45" hidden="1" outlineLevel="2">
      <c r="C731" s="9" t="s">
        <v>16</v>
      </c>
      <c r="D731" s="9"/>
      <c r="E731" s="20" t="s">
        <v>133</v>
      </c>
      <c r="F731" s="20"/>
      <c r="G731" s="20"/>
      <c r="H731" s="20"/>
      <c r="I731" s="20"/>
      <c r="J731" s="20"/>
      <c r="K731" s="20"/>
      <c r="L731" s="20"/>
      <c r="M731" s="20"/>
      <c r="N731" s="20"/>
      <c r="O731" s="20"/>
      <c r="P731" s="20"/>
      <c r="Q731" s="20"/>
      <c r="R731" s="20"/>
      <c r="S731" s="20"/>
      <c r="T731" s="20"/>
      <c r="U731" s="20"/>
      <c r="V731" s="20"/>
      <c r="W731" s="20"/>
      <c r="X731" s="12">
        <v>311494.51</v>
      </c>
      <c r="Y731" s="12">
        <v>317215</v>
      </c>
      <c r="Z731" s="12">
        <v>325392</v>
      </c>
      <c r="AA731" s="12">
        <v>347272</v>
      </c>
      <c r="AB731" s="12">
        <v>338216</v>
      </c>
      <c r="AC731" s="12">
        <v>361988</v>
      </c>
      <c r="AD731" s="12">
        <v>386815</v>
      </c>
      <c r="AE731" s="12">
        <v>372518</v>
      </c>
      <c r="AF731" s="12">
        <v>391030.87</v>
      </c>
      <c r="AG731" s="12">
        <v>394156</v>
      </c>
      <c r="AH731" s="12">
        <v>347244</v>
      </c>
      <c r="AI731" s="12">
        <v>352962</v>
      </c>
      <c r="AJ731" s="12">
        <v>345418</v>
      </c>
      <c r="AK731" s="14">
        <v>296566</v>
      </c>
      <c r="AL731" s="849">
        <v>276852</v>
      </c>
      <c r="AM731" s="1071">
        <v>242796</v>
      </c>
      <c r="AN731" s="1071">
        <v>225130</v>
      </c>
      <c r="AO731" s="1071">
        <v>209384</v>
      </c>
      <c r="AP731" s="1071">
        <f t="shared" si="230"/>
        <v>207252</v>
      </c>
      <c r="AQ731" s="1071">
        <f t="shared" si="230"/>
        <v>207252</v>
      </c>
      <c r="AR731" s="1044"/>
      <c r="AS731" s="1044"/>
    </row>
    <row r="732" spans="3:45" hidden="1" outlineLevel="2">
      <c r="C732" s="9" t="s">
        <v>16</v>
      </c>
      <c r="D732" s="9"/>
      <c r="E732" s="20" t="s">
        <v>134</v>
      </c>
      <c r="F732" s="20"/>
      <c r="G732" s="20"/>
      <c r="H732" s="20"/>
      <c r="I732" s="20"/>
      <c r="J732" s="20"/>
      <c r="K732" s="20"/>
      <c r="L732" s="20"/>
      <c r="M732" s="20"/>
      <c r="N732" s="20"/>
      <c r="O732" s="20"/>
      <c r="P732" s="20"/>
      <c r="Q732" s="20"/>
      <c r="R732" s="20"/>
      <c r="S732" s="20"/>
      <c r="T732" s="20"/>
      <c r="U732" s="20"/>
      <c r="V732" s="20"/>
      <c r="W732" s="20"/>
      <c r="X732" s="12">
        <v>78921.94</v>
      </c>
      <c r="Y732" s="12">
        <v>81011</v>
      </c>
      <c r="Z732" s="12">
        <v>65796</v>
      </c>
      <c r="AA732" s="12">
        <v>54052</v>
      </c>
      <c r="AB732" s="12">
        <v>51153</v>
      </c>
      <c r="AC732" s="12">
        <v>51236</v>
      </c>
      <c r="AD732" s="12">
        <v>51737</v>
      </c>
      <c r="AE732" s="12">
        <v>41695</v>
      </c>
      <c r="AF732" s="12">
        <v>58732.91</v>
      </c>
      <c r="AG732" s="12">
        <v>58405</v>
      </c>
      <c r="AH732" s="12">
        <v>57025</v>
      </c>
      <c r="AI732" s="12">
        <v>113783</v>
      </c>
      <c r="AJ732" s="12">
        <v>64799</v>
      </c>
      <c r="AK732" s="14">
        <v>86178</v>
      </c>
      <c r="AL732" s="849">
        <v>99118</v>
      </c>
      <c r="AM732" s="1071">
        <v>102714</v>
      </c>
      <c r="AN732" s="1071">
        <v>93176</v>
      </c>
      <c r="AO732" s="1071">
        <v>85423</v>
      </c>
      <c r="AP732" s="1071">
        <f t="shared" si="230"/>
        <v>84553</v>
      </c>
      <c r="AQ732" s="1071">
        <f t="shared" si="230"/>
        <v>84553</v>
      </c>
      <c r="AR732" s="1044"/>
      <c r="AS732" s="1044"/>
    </row>
    <row r="733" spans="3:45" hidden="1" outlineLevel="2">
      <c r="C733" s="9" t="s">
        <v>16</v>
      </c>
      <c r="D733" s="9"/>
      <c r="E733" s="20" t="s">
        <v>135</v>
      </c>
      <c r="F733" s="20"/>
      <c r="G733" s="20"/>
      <c r="H733" s="20"/>
      <c r="I733" s="20"/>
      <c r="J733" s="20"/>
      <c r="K733" s="20"/>
      <c r="L733" s="20"/>
      <c r="M733" s="20"/>
      <c r="N733" s="20"/>
      <c r="O733" s="20"/>
      <c r="P733" s="20"/>
      <c r="Q733" s="20"/>
      <c r="R733" s="20"/>
      <c r="S733" s="20"/>
      <c r="T733" s="20"/>
      <c r="U733" s="20"/>
      <c r="V733" s="20"/>
      <c r="W733" s="20"/>
      <c r="X733" s="12">
        <v>1700921</v>
      </c>
      <c r="Y733" s="12">
        <v>1775493</v>
      </c>
      <c r="Z733" s="12">
        <v>1683863</v>
      </c>
      <c r="AA733" s="12">
        <v>1652940</v>
      </c>
      <c r="AB733" s="12">
        <v>1667661</v>
      </c>
      <c r="AC733" s="12">
        <v>1619887</v>
      </c>
      <c r="AD733" s="12">
        <v>1788941</v>
      </c>
      <c r="AE733" s="12">
        <v>1710790</v>
      </c>
      <c r="AF733" s="12">
        <v>1640343</v>
      </c>
      <c r="AG733" s="12">
        <v>1614687</v>
      </c>
      <c r="AH733" s="12">
        <v>1178851</v>
      </c>
      <c r="AI733" s="12">
        <v>1439685</v>
      </c>
      <c r="AJ733" s="12">
        <v>1492588</v>
      </c>
      <c r="AK733" s="14">
        <v>1221706</v>
      </c>
      <c r="AL733" s="849">
        <v>1188117</v>
      </c>
      <c r="AM733" s="1071">
        <v>1185417</v>
      </c>
      <c r="AN733" s="1071">
        <v>1077514</v>
      </c>
      <c r="AO733" s="1071">
        <v>1000538</v>
      </c>
      <c r="AP733" s="1071">
        <f t="shared" si="230"/>
        <v>990352</v>
      </c>
      <c r="AQ733" s="1071">
        <f t="shared" si="230"/>
        <v>990352</v>
      </c>
      <c r="AR733" s="1044"/>
      <c r="AS733" s="1044"/>
    </row>
    <row r="734" spans="3:45" hidden="1" outlineLevel="2">
      <c r="C734" s="9" t="s">
        <v>16</v>
      </c>
      <c r="D734" s="9"/>
      <c r="E734" s="20" t="s">
        <v>136</v>
      </c>
      <c r="F734" s="20"/>
      <c r="G734" s="20"/>
      <c r="H734" s="20"/>
      <c r="I734" s="20"/>
      <c r="J734" s="20"/>
      <c r="K734" s="20"/>
      <c r="L734" s="20"/>
      <c r="M734" s="20"/>
      <c r="N734" s="20"/>
      <c r="O734" s="20"/>
      <c r="P734" s="20"/>
      <c r="Q734" s="20"/>
      <c r="R734" s="20"/>
      <c r="S734" s="20"/>
      <c r="T734" s="20"/>
      <c r="U734" s="20"/>
      <c r="V734" s="20"/>
      <c r="W734" s="20"/>
      <c r="X734" s="12">
        <v>552358</v>
      </c>
      <c r="Y734" s="12">
        <v>632573.87</v>
      </c>
      <c r="Z734" s="12">
        <v>663541</v>
      </c>
      <c r="AA734" s="12">
        <v>690243</v>
      </c>
      <c r="AB734" s="12">
        <v>727694</v>
      </c>
      <c r="AC734" s="12">
        <v>676338</v>
      </c>
      <c r="AD734" s="12">
        <v>818365</v>
      </c>
      <c r="AE734" s="12">
        <v>812456</v>
      </c>
      <c r="AF734" s="12">
        <v>770602.95</v>
      </c>
      <c r="AG734" s="12">
        <v>837866</v>
      </c>
      <c r="AH734" s="12">
        <v>667713</v>
      </c>
      <c r="AI734" s="12">
        <v>684681</v>
      </c>
      <c r="AJ734" s="12">
        <v>801075</v>
      </c>
      <c r="AK734" s="14">
        <v>713651</v>
      </c>
      <c r="AL734" s="849">
        <v>692340</v>
      </c>
      <c r="AM734" s="1071">
        <v>695924</v>
      </c>
      <c r="AN734" s="1071">
        <v>600396</v>
      </c>
      <c r="AO734" s="1071">
        <v>655453</v>
      </c>
      <c r="AP734" s="1071">
        <f t="shared" si="230"/>
        <v>648780</v>
      </c>
      <c r="AQ734" s="1071">
        <f t="shared" si="230"/>
        <v>648780</v>
      </c>
      <c r="AR734" s="1044"/>
      <c r="AS734" s="1044"/>
    </row>
    <row r="735" spans="3:45" hidden="1" outlineLevel="2">
      <c r="C735" s="9" t="s">
        <v>16</v>
      </c>
      <c r="D735" s="9"/>
      <c r="E735" s="20" t="s">
        <v>137</v>
      </c>
      <c r="F735" s="20"/>
      <c r="G735" s="20"/>
      <c r="H735" s="20"/>
      <c r="I735" s="20"/>
      <c r="J735" s="20"/>
      <c r="K735" s="20"/>
      <c r="L735" s="20"/>
      <c r="M735" s="20"/>
      <c r="N735" s="20"/>
      <c r="O735" s="20"/>
      <c r="P735" s="20"/>
      <c r="Q735" s="20"/>
      <c r="R735" s="20"/>
      <c r="S735" s="20"/>
      <c r="T735" s="20"/>
      <c r="U735" s="20"/>
      <c r="V735" s="20"/>
      <c r="W735" s="20"/>
      <c r="X735" s="12">
        <v>499707</v>
      </c>
      <c r="Y735" s="12">
        <v>650074</v>
      </c>
      <c r="Z735" s="12">
        <v>656223</v>
      </c>
      <c r="AA735" s="12">
        <v>636468</v>
      </c>
      <c r="AB735" s="12">
        <v>692243</v>
      </c>
      <c r="AC735" s="12">
        <v>717703</v>
      </c>
      <c r="AD735" s="12">
        <v>805953</v>
      </c>
      <c r="AE735" s="12">
        <v>854881</v>
      </c>
      <c r="AF735" s="12">
        <v>873731</v>
      </c>
      <c r="AG735" s="12">
        <v>897455</v>
      </c>
      <c r="AH735" s="12">
        <v>806357</v>
      </c>
      <c r="AI735" s="12">
        <v>802641</v>
      </c>
      <c r="AJ735" s="12">
        <v>843006</v>
      </c>
      <c r="AK735" s="14">
        <v>827188</v>
      </c>
      <c r="AL735" s="849">
        <v>832661</v>
      </c>
      <c r="AM735" s="1071">
        <v>834175</v>
      </c>
      <c r="AN735" s="1071">
        <v>839458</v>
      </c>
      <c r="AO735" s="1071">
        <v>816377</v>
      </c>
      <c r="AP735" s="1071">
        <f t="shared" si="230"/>
        <v>808066</v>
      </c>
      <c r="AQ735" s="1071">
        <f t="shared" si="230"/>
        <v>808066</v>
      </c>
      <c r="AR735" s="1044"/>
      <c r="AS735" s="1044"/>
    </row>
    <row r="736" spans="3:45" hidden="1" outlineLevel="2">
      <c r="C736" s="9" t="s">
        <v>16</v>
      </c>
      <c r="D736" s="9"/>
      <c r="E736" s="20" t="s">
        <v>178</v>
      </c>
      <c r="F736" s="20"/>
      <c r="G736" s="20"/>
      <c r="H736" s="20"/>
      <c r="I736" s="20"/>
      <c r="J736" s="20"/>
      <c r="K736" s="20"/>
      <c r="L736" s="20"/>
      <c r="M736" s="20"/>
      <c r="N736" s="20"/>
      <c r="O736" s="20"/>
      <c r="P736" s="20"/>
      <c r="Q736" s="20"/>
      <c r="R736" s="20"/>
      <c r="S736" s="20"/>
      <c r="T736" s="20"/>
      <c r="U736" s="20"/>
      <c r="V736" s="20"/>
      <c r="W736" s="20"/>
      <c r="X736" s="12">
        <v>214327</v>
      </c>
      <c r="Y736" s="12">
        <v>214514.95</v>
      </c>
      <c r="Z736" s="12">
        <v>213033</v>
      </c>
      <c r="AA736" s="12">
        <v>230692</v>
      </c>
      <c r="AB736" s="12">
        <v>251407</v>
      </c>
      <c r="AC736" s="12">
        <v>248262</v>
      </c>
      <c r="AD736" s="12">
        <v>251768</v>
      </c>
      <c r="AE736" s="12">
        <v>250894</v>
      </c>
      <c r="AF736" s="12">
        <v>245421.69</v>
      </c>
      <c r="AG736" s="12">
        <v>253351</v>
      </c>
      <c r="AH736" s="12">
        <v>231246</v>
      </c>
      <c r="AI736" s="12">
        <v>212565</v>
      </c>
      <c r="AJ736" s="12">
        <v>201569</v>
      </c>
      <c r="AK736" s="14">
        <v>168145</v>
      </c>
      <c r="AL736" s="849">
        <v>175636</v>
      </c>
      <c r="AM736" s="1071">
        <v>185105</v>
      </c>
      <c r="AN736" s="1071">
        <v>198153</v>
      </c>
      <c r="AO736" s="1071">
        <v>185182</v>
      </c>
      <c r="AP736" s="1071">
        <f t="shared" si="230"/>
        <v>183297</v>
      </c>
      <c r="AQ736" s="1071">
        <f t="shared" si="230"/>
        <v>183297</v>
      </c>
      <c r="AR736" s="1044"/>
      <c r="AS736" s="1044"/>
    </row>
    <row r="737" spans="3:45" hidden="1" outlineLevel="2">
      <c r="C737" s="9" t="s">
        <v>16</v>
      </c>
      <c r="D737" s="9"/>
      <c r="E737" s="20" t="s">
        <v>179</v>
      </c>
      <c r="F737" s="20"/>
      <c r="G737" s="20"/>
      <c r="H737" s="20"/>
      <c r="I737" s="20"/>
      <c r="J737" s="20"/>
      <c r="K737" s="20"/>
      <c r="L737" s="20"/>
      <c r="M737" s="20"/>
      <c r="N737" s="20"/>
      <c r="O737" s="20"/>
      <c r="P737" s="20"/>
      <c r="Q737" s="20"/>
      <c r="R737" s="20"/>
      <c r="S737" s="20"/>
      <c r="T737" s="20"/>
      <c r="U737" s="20"/>
      <c r="V737" s="20"/>
      <c r="W737" s="20"/>
      <c r="X737" s="12">
        <v>2170634.0699999998</v>
      </c>
      <c r="Y737" s="12">
        <v>2190418.77</v>
      </c>
      <c r="Z737" s="12">
        <v>2077935</v>
      </c>
      <c r="AA737" s="12">
        <v>2080198</v>
      </c>
      <c r="AB737" s="12">
        <v>2142794</v>
      </c>
      <c r="AC737" s="12">
        <v>2221390</v>
      </c>
      <c r="AD737" s="12">
        <v>2317558</v>
      </c>
      <c r="AE737" s="12">
        <v>2379609</v>
      </c>
      <c r="AF737" s="12">
        <v>2478271.81</v>
      </c>
      <c r="AG737" s="12">
        <v>2436055</v>
      </c>
      <c r="AH737" s="12">
        <v>2039588</v>
      </c>
      <c r="AI737" s="12">
        <v>2094523</v>
      </c>
      <c r="AJ737" s="12">
        <v>2231036</v>
      </c>
      <c r="AK737" s="14">
        <v>1955788</v>
      </c>
      <c r="AL737" s="849">
        <v>1892224</v>
      </c>
      <c r="AM737" s="1071">
        <v>2089054</v>
      </c>
      <c r="AN737" s="1071">
        <v>2045373</v>
      </c>
      <c r="AO737" s="1071">
        <v>1957152</v>
      </c>
      <c r="AP737" s="1071">
        <f t="shared" si="230"/>
        <v>1937227</v>
      </c>
      <c r="AQ737" s="1071">
        <f t="shared" si="230"/>
        <v>1937227</v>
      </c>
      <c r="AR737" s="1044"/>
      <c r="AS737" s="1044"/>
    </row>
    <row r="738" spans="3:45" hidden="1" outlineLevel="2">
      <c r="C738" s="9" t="s">
        <v>16</v>
      </c>
      <c r="D738" s="9"/>
      <c r="E738" s="20" t="s">
        <v>140</v>
      </c>
      <c r="F738" s="20"/>
      <c r="G738" s="20"/>
      <c r="H738" s="20"/>
      <c r="I738" s="20"/>
      <c r="J738" s="20"/>
      <c r="K738" s="20"/>
      <c r="L738" s="20"/>
      <c r="M738" s="20"/>
      <c r="N738" s="20"/>
      <c r="O738" s="20"/>
      <c r="P738" s="20"/>
      <c r="Q738" s="20"/>
      <c r="R738" s="20"/>
      <c r="S738" s="20"/>
      <c r="T738" s="20"/>
      <c r="U738" s="20"/>
      <c r="V738" s="20"/>
      <c r="W738" s="20"/>
      <c r="X738" s="12">
        <v>330510</v>
      </c>
      <c r="Y738" s="12">
        <v>319257</v>
      </c>
      <c r="Z738" s="12">
        <v>359395</v>
      </c>
      <c r="AA738" s="12">
        <v>358037</v>
      </c>
      <c r="AB738" s="12">
        <v>351635</v>
      </c>
      <c r="AC738" s="12">
        <v>368764</v>
      </c>
      <c r="AD738" s="12">
        <v>420777</v>
      </c>
      <c r="AE738" s="12">
        <v>448380</v>
      </c>
      <c r="AF738" s="12">
        <v>474002.32</v>
      </c>
      <c r="AG738" s="12">
        <v>463291</v>
      </c>
      <c r="AH738" s="12">
        <v>346469</v>
      </c>
      <c r="AI738" s="12">
        <v>349030</v>
      </c>
      <c r="AJ738" s="12">
        <v>371887</v>
      </c>
      <c r="AK738" s="14">
        <v>365879</v>
      </c>
      <c r="AL738" s="849">
        <v>344245</v>
      </c>
      <c r="AM738" s="1071">
        <v>315610</v>
      </c>
      <c r="AN738" s="1071">
        <v>315106</v>
      </c>
      <c r="AO738" s="1071">
        <v>296567</v>
      </c>
      <c r="AP738" s="1071">
        <f t="shared" si="230"/>
        <v>293548</v>
      </c>
      <c r="AQ738" s="1071">
        <f t="shared" si="230"/>
        <v>293548</v>
      </c>
      <c r="AR738" s="1044"/>
      <c r="AS738" s="1044"/>
    </row>
    <row r="739" spans="3:45" hidden="1" outlineLevel="2">
      <c r="C739" s="9" t="s">
        <v>16</v>
      </c>
      <c r="D739" s="9"/>
      <c r="E739" s="20" t="s">
        <v>141</v>
      </c>
      <c r="F739" s="20"/>
      <c r="G739" s="20"/>
      <c r="H739" s="20"/>
      <c r="I739" s="20"/>
      <c r="J739" s="20"/>
      <c r="K739" s="20"/>
      <c r="L739" s="20"/>
      <c r="M739" s="20"/>
      <c r="N739" s="20"/>
      <c r="O739" s="20"/>
      <c r="P739" s="20"/>
      <c r="Q739" s="20"/>
      <c r="R739" s="20"/>
      <c r="S739" s="20"/>
      <c r="T739" s="20"/>
      <c r="U739" s="20"/>
      <c r="V739" s="20"/>
      <c r="W739" s="20"/>
      <c r="X739" s="12">
        <v>453911</v>
      </c>
      <c r="Y739" s="12">
        <v>463069</v>
      </c>
      <c r="Z739" s="12">
        <v>465906</v>
      </c>
      <c r="AA739" s="12">
        <v>481263</v>
      </c>
      <c r="AB739" s="12">
        <v>505658</v>
      </c>
      <c r="AC739" s="12">
        <v>518776</v>
      </c>
      <c r="AD739" s="12">
        <v>542477</v>
      </c>
      <c r="AE739" s="12">
        <v>500848</v>
      </c>
      <c r="AF739" s="12">
        <v>496934.44</v>
      </c>
      <c r="AG739" s="12">
        <v>474345</v>
      </c>
      <c r="AH739" s="12">
        <v>303695</v>
      </c>
      <c r="AI739" s="12">
        <v>252649</v>
      </c>
      <c r="AJ739" s="12">
        <v>272240</v>
      </c>
      <c r="AK739" s="14">
        <v>257383</v>
      </c>
      <c r="AL739" s="849">
        <v>231807</v>
      </c>
      <c r="AM739" s="1071">
        <v>211725</v>
      </c>
      <c r="AN739" s="1071">
        <v>211214</v>
      </c>
      <c r="AO739" s="1071">
        <v>207744</v>
      </c>
      <c r="AP739" s="1071">
        <f t="shared" si="230"/>
        <v>205629</v>
      </c>
      <c r="AQ739" s="1071">
        <f t="shared" si="230"/>
        <v>205629</v>
      </c>
      <c r="AR739" s="1044"/>
      <c r="AS739" s="1044"/>
    </row>
    <row r="740" spans="3:45" hidden="1" outlineLevel="2">
      <c r="C740" s="9" t="s">
        <v>16</v>
      </c>
      <c r="D740" s="9"/>
      <c r="E740" s="20" t="s">
        <v>142</v>
      </c>
      <c r="F740" s="20"/>
      <c r="G740" s="20"/>
      <c r="H740" s="20"/>
      <c r="I740" s="20"/>
      <c r="J740" s="20"/>
      <c r="K740" s="20"/>
      <c r="L740" s="20"/>
      <c r="M740" s="20"/>
      <c r="N740" s="20"/>
      <c r="O740" s="20"/>
      <c r="P740" s="20"/>
      <c r="Q740" s="20"/>
      <c r="R740" s="20"/>
      <c r="S740" s="20"/>
      <c r="T740" s="20"/>
      <c r="U740" s="20"/>
      <c r="V740" s="20"/>
      <c r="W740" s="20"/>
      <c r="X740" s="12"/>
      <c r="Y740" s="12"/>
      <c r="Z740" s="12"/>
      <c r="AA740" s="12"/>
      <c r="AB740" s="12"/>
      <c r="AC740" s="12"/>
      <c r="AD740" s="12"/>
      <c r="AE740" s="12"/>
      <c r="AF740" s="12"/>
      <c r="AG740" s="12"/>
      <c r="AH740" s="12"/>
      <c r="AI740" s="12">
        <v>0</v>
      </c>
      <c r="AJ740" s="12">
        <v>0</v>
      </c>
      <c r="AK740" s="14">
        <v>0</v>
      </c>
      <c r="AL740" s="849">
        <v>193574</v>
      </c>
      <c r="AM740" s="1071">
        <v>209087</v>
      </c>
      <c r="AN740" s="1071">
        <v>235100</v>
      </c>
      <c r="AO740" s="1071">
        <v>231875</v>
      </c>
      <c r="AP740" s="1071">
        <f t="shared" si="230"/>
        <v>229514</v>
      </c>
      <c r="AQ740" s="1071">
        <f t="shared" si="230"/>
        <v>229514</v>
      </c>
      <c r="AR740" s="1044"/>
      <c r="AS740" s="1044"/>
    </row>
    <row r="741" spans="3:45" hidden="1" outlineLevel="2">
      <c r="C741" s="9" t="s">
        <v>16</v>
      </c>
      <c r="D741" s="9"/>
      <c r="E741" s="20" t="s">
        <v>164</v>
      </c>
      <c r="F741" s="20"/>
      <c r="G741" s="20"/>
      <c r="H741" s="20"/>
      <c r="I741" s="20"/>
      <c r="J741" s="20"/>
      <c r="K741" s="20"/>
      <c r="L741" s="20"/>
      <c r="M741" s="20"/>
      <c r="N741" s="20"/>
      <c r="O741" s="20"/>
      <c r="P741" s="20"/>
      <c r="Q741" s="20"/>
      <c r="R741" s="20"/>
      <c r="S741" s="20"/>
      <c r="T741" s="20"/>
      <c r="U741" s="20"/>
      <c r="V741" s="20"/>
      <c r="W741" s="20"/>
      <c r="X741" s="12">
        <v>438005</v>
      </c>
      <c r="Y741" s="12">
        <v>441747</v>
      </c>
      <c r="Z741" s="12">
        <v>448328</v>
      </c>
      <c r="AA741" s="12">
        <v>456741</v>
      </c>
      <c r="AB741" s="12">
        <v>464778</v>
      </c>
      <c r="AC741" s="12">
        <v>458573</v>
      </c>
      <c r="AD741" s="12">
        <v>452286</v>
      </c>
      <c r="AE741" s="12">
        <v>443044</v>
      </c>
      <c r="AF741" s="12">
        <v>448146</v>
      </c>
      <c r="AG741" s="12">
        <v>459671</v>
      </c>
      <c r="AH741" s="12">
        <v>421916</v>
      </c>
      <c r="AI741" s="12">
        <v>403954</v>
      </c>
      <c r="AJ741" s="12">
        <v>413880</v>
      </c>
      <c r="AK741" s="14">
        <v>343767</v>
      </c>
      <c r="AL741" s="849">
        <v>326672</v>
      </c>
      <c r="AM741" s="1071">
        <v>349818</v>
      </c>
      <c r="AN741" s="1071">
        <v>315281</v>
      </c>
      <c r="AO741" s="1071">
        <v>335272</v>
      </c>
      <c r="AP741" s="1071">
        <f t="shared" si="230"/>
        <v>331859</v>
      </c>
      <c r="AQ741" s="1071">
        <f t="shared" si="230"/>
        <v>331859</v>
      </c>
      <c r="AR741" s="1044"/>
      <c r="AS741" s="1044"/>
    </row>
    <row r="742" spans="3:45" hidden="1" outlineLevel="2">
      <c r="C742" s="9" t="s">
        <v>16</v>
      </c>
      <c r="D742" s="9"/>
      <c r="E742" s="20" t="s">
        <v>144</v>
      </c>
      <c r="F742" s="20"/>
      <c r="G742" s="20"/>
      <c r="H742" s="20"/>
      <c r="I742" s="20"/>
      <c r="J742" s="20"/>
      <c r="K742" s="20"/>
      <c r="L742" s="20"/>
      <c r="M742" s="20"/>
      <c r="N742" s="20"/>
      <c r="O742" s="20"/>
      <c r="P742" s="20"/>
      <c r="Q742" s="20"/>
      <c r="R742" s="20"/>
      <c r="S742" s="20"/>
      <c r="T742" s="20"/>
      <c r="U742" s="20"/>
      <c r="V742" s="20"/>
      <c r="W742" s="20"/>
      <c r="X742" s="12">
        <v>799528</v>
      </c>
      <c r="Y742" s="12">
        <v>791504</v>
      </c>
      <c r="Z742" s="12">
        <v>751773</v>
      </c>
      <c r="AA742" s="12">
        <v>734788</v>
      </c>
      <c r="AB742" s="12">
        <v>725824</v>
      </c>
      <c r="AC742" s="12">
        <v>732229</v>
      </c>
      <c r="AD742" s="12">
        <v>747645</v>
      </c>
      <c r="AE742" s="12">
        <v>767395</v>
      </c>
      <c r="AF742" s="12">
        <v>807071</v>
      </c>
      <c r="AG742" s="12">
        <v>813540</v>
      </c>
      <c r="AH742" s="12">
        <v>744823</v>
      </c>
      <c r="AI742" s="12">
        <v>703898</v>
      </c>
      <c r="AJ742" s="12">
        <v>727899</v>
      </c>
      <c r="AK742" s="14">
        <v>650693</v>
      </c>
      <c r="AL742" s="849">
        <v>638945</v>
      </c>
      <c r="AM742" s="1071">
        <v>664210</v>
      </c>
      <c r="AN742" s="1071">
        <v>741494</v>
      </c>
      <c r="AO742" s="1071">
        <v>752071</v>
      </c>
      <c r="AP742" s="1071">
        <f t="shared" si="230"/>
        <v>744415</v>
      </c>
      <c r="AQ742" s="1071">
        <f t="shared" si="230"/>
        <v>744415</v>
      </c>
      <c r="AR742" s="1044"/>
      <c r="AS742" s="1044"/>
    </row>
    <row r="743" spans="3:45" hidden="1" outlineLevel="2">
      <c r="C743" s="9" t="s">
        <v>16</v>
      </c>
      <c r="D743" s="9"/>
      <c r="E743" s="20" t="s">
        <v>180</v>
      </c>
      <c r="F743" s="20"/>
      <c r="G743" s="20"/>
      <c r="H743" s="20"/>
      <c r="I743" s="20"/>
      <c r="J743" s="20"/>
      <c r="K743" s="20"/>
      <c r="L743" s="20"/>
      <c r="M743" s="20"/>
      <c r="N743" s="20"/>
      <c r="O743" s="20"/>
      <c r="P743" s="20"/>
      <c r="Q743" s="20"/>
      <c r="R743" s="20"/>
      <c r="S743" s="20"/>
      <c r="T743" s="20"/>
      <c r="U743" s="20"/>
      <c r="V743" s="20"/>
      <c r="W743" s="20"/>
      <c r="X743" s="12">
        <v>242603</v>
      </c>
      <c r="Y743" s="12">
        <v>242576</v>
      </c>
      <c r="Z743" s="12">
        <v>222598</v>
      </c>
      <c r="AA743" s="12">
        <v>227349</v>
      </c>
      <c r="AB743" s="12">
        <v>237414</v>
      </c>
      <c r="AC743" s="12">
        <v>242196</v>
      </c>
      <c r="AD743" s="12">
        <v>265403</v>
      </c>
      <c r="AE743" s="12">
        <v>252463</v>
      </c>
      <c r="AF743" s="12">
        <v>234194.21999999997</v>
      </c>
      <c r="AG743" s="12">
        <v>210403</v>
      </c>
      <c r="AH743" s="12">
        <v>189268</v>
      </c>
      <c r="AI743" s="12">
        <v>201110</v>
      </c>
      <c r="AJ743" s="12">
        <v>210857</v>
      </c>
      <c r="AK743" s="14">
        <v>176169</v>
      </c>
      <c r="AL743" s="849">
        <v>163647</v>
      </c>
      <c r="AM743" s="1071">
        <v>178402</v>
      </c>
      <c r="AN743" s="1071">
        <v>157743</v>
      </c>
      <c r="AO743" s="1071">
        <v>166634</v>
      </c>
      <c r="AP743" s="1071">
        <f t="shared" si="230"/>
        <v>164938</v>
      </c>
      <c r="AQ743" s="1071">
        <f t="shared" si="230"/>
        <v>164938</v>
      </c>
      <c r="AR743" s="1044"/>
      <c r="AS743" s="1044"/>
    </row>
    <row r="744" spans="3:45" hidden="1" outlineLevel="2">
      <c r="C744" s="9" t="s">
        <v>16</v>
      </c>
      <c r="D744" s="9"/>
      <c r="E744" s="20" t="s">
        <v>146</v>
      </c>
      <c r="F744" s="20"/>
      <c r="G744" s="20"/>
      <c r="H744" s="20"/>
      <c r="I744" s="20"/>
      <c r="J744" s="20"/>
      <c r="K744" s="20"/>
      <c r="L744" s="20"/>
      <c r="M744" s="20"/>
      <c r="N744" s="20"/>
      <c r="O744" s="20"/>
      <c r="P744" s="20"/>
      <c r="Q744" s="20"/>
      <c r="R744" s="20"/>
      <c r="S744" s="20"/>
      <c r="T744" s="20"/>
      <c r="U744" s="20"/>
      <c r="V744" s="20"/>
      <c r="W744" s="20"/>
      <c r="X744" s="12">
        <v>288682</v>
      </c>
      <c r="Y744" s="12">
        <v>297828</v>
      </c>
      <c r="Z744" s="12">
        <v>280166</v>
      </c>
      <c r="AA744" s="12">
        <v>276268</v>
      </c>
      <c r="AB744" s="12">
        <v>261030</v>
      </c>
      <c r="AC744" s="12">
        <v>280501</v>
      </c>
      <c r="AD744" s="12">
        <v>290482</v>
      </c>
      <c r="AE744" s="12">
        <v>287037</v>
      </c>
      <c r="AF744" s="12">
        <v>267103</v>
      </c>
      <c r="AG744" s="12">
        <v>225868</v>
      </c>
      <c r="AH744" s="12">
        <v>218617</v>
      </c>
      <c r="AI744" s="12">
        <v>220580</v>
      </c>
      <c r="AJ744" s="12">
        <v>218453</v>
      </c>
      <c r="AK744" s="14">
        <v>212833</v>
      </c>
      <c r="AL744" s="849">
        <v>186380</v>
      </c>
      <c r="AM744" s="1071">
        <v>205258</v>
      </c>
      <c r="AN744" s="1071">
        <v>191858</v>
      </c>
      <c r="AO744" s="1071">
        <v>182005</v>
      </c>
      <c r="AP744" s="1071">
        <f t="shared" si="230"/>
        <v>180152</v>
      </c>
      <c r="AQ744" s="1071">
        <f t="shared" si="230"/>
        <v>180152</v>
      </c>
      <c r="AR744" s="1044"/>
      <c r="AS744" s="1044"/>
    </row>
    <row r="745" spans="3:45" hidden="1" outlineLevel="2">
      <c r="C745" s="9" t="s">
        <v>16</v>
      </c>
      <c r="D745" s="9"/>
      <c r="E745" s="20" t="s">
        <v>147</v>
      </c>
      <c r="F745" s="20"/>
      <c r="G745" s="20"/>
      <c r="H745" s="20"/>
      <c r="I745" s="20"/>
      <c r="J745" s="20"/>
      <c r="K745" s="20"/>
      <c r="L745" s="20"/>
      <c r="M745" s="20"/>
      <c r="N745" s="20"/>
      <c r="O745" s="20"/>
      <c r="P745" s="20"/>
      <c r="Q745" s="20"/>
      <c r="R745" s="20"/>
      <c r="S745" s="20"/>
      <c r="T745" s="20"/>
      <c r="U745" s="20"/>
      <c r="V745" s="20"/>
      <c r="W745" s="20"/>
      <c r="X745" s="12">
        <v>293022.37</v>
      </c>
      <c r="Y745" s="12">
        <v>311186.21999999997</v>
      </c>
      <c r="Z745" s="12">
        <v>325392</v>
      </c>
      <c r="AA745" s="12">
        <v>361112</v>
      </c>
      <c r="AB745" s="12">
        <v>378479</v>
      </c>
      <c r="AC745" s="12">
        <v>377616</v>
      </c>
      <c r="AD745" s="12">
        <v>403278</v>
      </c>
      <c r="AE745" s="12">
        <v>399918</v>
      </c>
      <c r="AF745" s="12">
        <v>439319.76999999996</v>
      </c>
      <c r="AG745" s="12">
        <v>436838</v>
      </c>
      <c r="AH745" s="12">
        <v>414473</v>
      </c>
      <c r="AI745" s="12">
        <v>406708</v>
      </c>
      <c r="AJ745" s="12">
        <v>448617</v>
      </c>
      <c r="AK745" s="14">
        <v>403879</v>
      </c>
      <c r="AL745" s="849">
        <v>398512</v>
      </c>
      <c r="AM745" s="1071">
        <v>449488</v>
      </c>
      <c r="AN745" s="1071">
        <v>454235</v>
      </c>
      <c r="AO745" s="1071">
        <v>466930</v>
      </c>
      <c r="AP745" s="1071">
        <f t="shared" si="230"/>
        <v>462176</v>
      </c>
      <c r="AQ745" s="1071">
        <f t="shared" si="230"/>
        <v>462176</v>
      </c>
      <c r="AR745" s="1044"/>
      <c r="AS745" s="1044"/>
    </row>
    <row r="746" spans="3:45" hidden="1" outlineLevel="2">
      <c r="C746" s="9" t="s">
        <v>16</v>
      </c>
      <c r="D746" s="9"/>
      <c r="E746" s="20" t="s">
        <v>148</v>
      </c>
      <c r="F746" s="20"/>
      <c r="G746" s="20"/>
      <c r="H746" s="20"/>
      <c r="I746" s="20"/>
      <c r="J746" s="20"/>
      <c r="K746" s="20"/>
      <c r="L746" s="20"/>
      <c r="M746" s="20"/>
      <c r="N746" s="20"/>
      <c r="O746" s="20"/>
      <c r="P746" s="20"/>
      <c r="Q746" s="20"/>
      <c r="R746" s="20"/>
      <c r="S746" s="20"/>
      <c r="T746" s="20"/>
      <c r="U746" s="20"/>
      <c r="V746" s="20"/>
      <c r="W746" s="20"/>
      <c r="X746" s="12">
        <v>123874</v>
      </c>
      <c r="Y746" s="12">
        <v>116313.62</v>
      </c>
      <c r="Z746" s="12">
        <v>113918</v>
      </c>
      <c r="AA746" s="12">
        <v>110471</v>
      </c>
      <c r="AB746" s="12">
        <v>115751</v>
      </c>
      <c r="AC746" s="12">
        <v>117419</v>
      </c>
      <c r="AD746" s="12">
        <v>147767</v>
      </c>
      <c r="AE746" s="12">
        <v>155430</v>
      </c>
      <c r="AF746" s="12">
        <v>174745.27</v>
      </c>
      <c r="AG746" s="12">
        <v>153222</v>
      </c>
      <c r="AH746" s="12">
        <v>133189</v>
      </c>
      <c r="AI746" s="12">
        <v>135656</v>
      </c>
      <c r="AJ746" s="12">
        <v>151661</v>
      </c>
      <c r="AK746" s="14">
        <v>141506</v>
      </c>
      <c r="AL746" s="849">
        <v>135555</v>
      </c>
      <c r="AM746" s="1071">
        <v>149835</v>
      </c>
      <c r="AN746" s="1071">
        <v>132549</v>
      </c>
      <c r="AO746" s="1071">
        <v>131910</v>
      </c>
      <c r="AP746" s="1071">
        <f t="shared" si="230"/>
        <v>130567</v>
      </c>
      <c r="AQ746" s="1071">
        <f t="shared" si="230"/>
        <v>130567</v>
      </c>
      <c r="AR746" s="1044"/>
      <c r="AS746" s="1044"/>
    </row>
    <row r="747" spans="3:45" hidden="1" outlineLevel="2">
      <c r="C747" s="9" t="s">
        <v>16</v>
      </c>
      <c r="D747" s="9"/>
      <c r="E747" s="20" t="s">
        <v>181</v>
      </c>
      <c r="F747" s="20"/>
      <c r="G747" s="20"/>
      <c r="H747" s="20"/>
      <c r="I747" s="20"/>
      <c r="J747" s="20"/>
      <c r="K747" s="20"/>
      <c r="L747" s="20"/>
      <c r="M747" s="20"/>
      <c r="N747" s="20"/>
      <c r="O747" s="20"/>
      <c r="P747" s="20"/>
      <c r="Q747" s="20"/>
      <c r="R747" s="20"/>
      <c r="S747" s="20"/>
      <c r="T747" s="20"/>
      <c r="U747" s="20"/>
      <c r="V747" s="20"/>
      <c r="W747" s="20"/>
      <c r="X747" s="12">
        <v>476860</v>
      </c>
      <c r="Y747" s="12">
        <v>483212.05</v>
      </c>
      <c r="Z747" s="12">
        <v>475066</v>
      </c>
      <c r="AA747" s="12">
        <v>479834</v>
      </c>
      <c r="AB747" s="12">
        <v>492365</v>
      </c>
      <c r="AC747" s="12">
        <v>509777</v>
      </c>
      <c r="AD747" s="12">
        <v>543185</v>
      </c>
      <c r="AE747" s="12">
        <v>562237</v>
      </c>
      <c r="AF747" s="12">
        <v>558594</v>
      </c>
      <c r="AG747" s="12">
        <v>571578</v>
      </c>
      <c r="AH747" s="12">
        <v>553760</v>
      </c>
      <c r="AI747" s="12">
        <v>555413</v>
      </c>
      <c r="AJ747" s="12">
        <v>558968</v>
      </c>
      <c r="AK747" s="14">
        <v>506071</v>
      </c>
      <c r="AL747" s="849">
        <v>476551</v>
      </c>
      <c r="AM747" s="1071">
        <v>516125</v>
      </c>
      <c r="AN747" s="1071">
        <v>454958</v>
      </c>
      <c r="AO747" s="1071">
        <v>437419</v>
      </c>
      <c r="AP747" s="1071">
        <f>ROUND(AO747/AO$748*AP$748,0)+1</f>
        <v>432967</v>
      </c>
      <c r="AQ747" s="1071">
        <f>ROUND(AP747/AP$748*AQ$748,0)+1</f>
        <v>432968</v>
      </c>
      <c r="AR747" s="1044"/>
      <c r="AS747" s="1044"/>
    </row>
    <row r="748" spans="3:45" ht="25.5" hidden="1" outlineLevel="2">
      <c r="C748" s="9" t="s">
        <v>16</v>
      </c>
      <c r="D748" s="9"/>
      <c r="E748" s="368" t="s">
        <v>1638</v>
      </c>
      <c r="F748" s="39"/>
      <c r="G748" s="39"/>
      <c r="H748" s="39"/>
      <c r="I748" s="39"/>
      <c r="J748" s="39"/>
      <c r="K748" s="39"/>
      <c r="L748" s="39"/>
      <c r="M748" s="39"/>
      <c r="N748" s="39"/>
      <c r="O748" s="39"/>
      <c r="P748" s="39"/>
      <c r="Q748" s="39"/>
      <c r="R748" s="39"/>
      <c r="S748" s="39"/>
      <c r="T748" s="39"/>
      <c r="U748" s="39"/>
      <c r="V748" s="39"/>
      <c r="W748" s="39"/>
      <c r="X748" s="34">
        <f t="shared" ref="X748:AG748" si="231">SUM(X698:X747)</f>
        <v>36631026.170000002</v>
      </c>
      <c r="Y748" s="34">
        <f t="shared" si="231"/>
        <v>37523627.819999993</v>
      </c>
      <c r="Z748" s="34">
        <f t="shared" si="231"/>
        <v>37136372</v>
      </c>
      <c r="AA748" s="34">
        <f t="shared" si="231"/>
        <v>37857471</v>
      </c>
      <c r="AB748" s="34">
        <f t="shared" si="231"/>
        <v>38728896</v>
      </c>
      <c r="AC748" s="34">
        <f t="shared" si="231"/>
        <v>39503348</v>
      </c>
      <c r="AD748" s="34">
        <f t="shared" si="231"/>
        <v>41117027</v>
      </c>
      <c r="AE748" s="34">
        <f t="shared" si="231"/>
        <v>42104560</v>
      </c>
      <c r="AF748" s="34">
        <f t="shared" si="231"/>
        <v>42063288.680000015</v>
      </c>
      <c r="AG748" s="34">
        <f t="shared" si="231"/>
        <v>41284322</v>
      </c>
      <c r="AH748" s="34">
        <f t="shared" ref="AH748:AM748" si="232">SUM(AH698:AH747)</f>
        <v>35404632</v>
      </c>
      <c r="AI748" s="34">
        <f t="shared" si="232"/>
        <v>35730084</v>
      </c>
      <c r="AJ748" s="34">
        <f t="shared" si="232"/>
        <v>37418280</v>
      </c>
      <c r="AK748" s="34">
        <f t="shared" si="232"/>
        <v>32802009</v>
      </c>
      <c r="AL748" s="1073">
        <f t="shared" si="232"/>
        <v>32384081</v>
      </c>
      <c r="AM748" s="1073">
        <f t="shared" si="232"/>
        <v>34727018</v>
      </c>
      <c r="AN748" s="1073">
        <f t="shared" ref="AN748:AO748" si="233">SUM(AN698:AN747)</f>
        <v>33886248</v>
      </c>
      <c r="AO748" s="1073">
        <f t="shared" si="233"/>
        <v>32712211</v>
      </c>
      <c r="AP748" s="1072">
        <v>32379185</v>
      </c>
      <c r="AQ748" s="1072">
        <v>32379185</v>
      </c>
      <c r="AR748" s="1044"/>
      <c r="AS748" s="1044"/>
    </row>
    <row r="749" spans="3:45" ht="6.75" customHeight="1">
      <c r="C749" s="9"/>
      <c r="D749" s="9"/>
      <c r="E749" s="368"/>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635"/>
      <c r="AD749" s="39"/>
      <c r="AE749" s="635"/>
      <c r="AF749" s="39"/>
      <c r="AG749" s="636"/>
      <c r="AH749" s="635"/>
      <c r="AI749" s="637"/>
      <c r="AJ749" s="34"/>
      <c r="AK749" s="34"/>
      <c r="AL749" s="34"/>
      <c r="AM749" s="34"/>
      <c r="AP749" s="1044"/>
      <c r="AR749" s="1044"/>
      <c r="AS749" s="1044"/>
    </row>
    <row r="750" spans="3:45" collapsed="1">
      <c r="C750" s="816" t="s">
        <v>1454</v>
      </c>
      <c r="D750" s="25"/>
      <c r="E750" s="6"/>
      <c r="F750" s="30"/>
      <c r="G750" s="30"/>
      <c r="H750" s="30"/>
      <c r="I750" s="30"/>
      <c r="J750" s="30"/>
      <c r="K750" s="30"/>
      <c r="L750" s="30"/>
      <c r="M750" s="30"/>
      <c r="N750" s="30"/>
      <c r="O750" s="30"/>
      <c r="P750" s="30"/>
      <c r="Q750" s="30"/>
      <c r="R750" s="30"/>
      <c r="S750" s="30"/>
      <c r="T750" s="30"/>
      <c r="U750" s="30"/>
      <c r="V750" s="30"/>
      <c r="W750" s="30"/>
      <c r="X750" s="30"/>
      <c r="Y750" s="30"/>
      <c r="Z750" s="30"/>
      <c r="AA750" s="30"/>
      <c r="AB750" s="591"/>
      <c r="AC750" s="591"/>
      <c r="AD750" s="591" t="s">
        <v>1456</v>
      </c>
      <c r="AE750" s="591" t="s">
        <v>1456</v>
      </c>
      <c r="AF750" s="1308" t="s">
        <v>1656</v>
      </c>
      <c r="AG750" s="1306"/>
      <c r="AH750" s="1305" t="s">
        <v>153</v>
      </c>
      <c r="AI750" s="1307"/>
      <c r="AJ750" s="8" t="s">
        <v>154</v>
      </c>
      <c r="AK750" s="8" t="s">
        <v>154</v>
      </c>
      <c r="AL750" s="369" t="s">
        <v>1801</v>
      </c>
      <c r="AM750" s="369" t="s">
        <v>1801</v>
      </c>
      <c r="AN750" s="369" t="s">
        <v>1857</v>
      </c>
      <c r="AO750" s="369" t="s">
        <v>1857</v>
      </c>
      <c r="AP750" s="696" t="s">
        <v>2041</v>
      </c>
      <c r="AQ750" s="696" t="s">
        <v>2041</v>
      </c>
      <c r="AR750" s="1044"/>
      <c r="AS750" s="1044"/>
    </row>
    <row r="751" spans="3:45" hidden="1" outlineLevel="1">
      <c r="C751" s="816" t="s">
        <v>16</v>
      </c>
      <c r="D751" s="9"/>
      <c r="E751" s="32" t="s">
        <v>1231</v>
      </c>
      <c r="F751" s="32"/>
      <c r="G751" s="32"/>
      <c r="H751" s="32"/>
      <c r="I751" s="32"/>
      <c r="J751" s="32"/>
      <c r="K751" s="32"/>
      <c r="L751" s="32"/>
      <c r="M751" s="32"/>
      <c r="N751" s="32"/>
      <c r="O751" s="32"/>
      <c r="P751" s="32"/>
      <c r="Q751" s="32"/>
      <c r="R751" s="32"/>
      <c r="S751" s="32"/>
      <c r="T751" s="32"/>
      <c r="U751" s="32"/>
      <c r="V751" s="32"/>
      <c r="W751" s="32"/>
      <c r="X751" s="32"/>
      <c r="Y751" s="32"/>
      <c r="Z751" s="32"/>
      <c r="AA751" s="32"/>
      <c r="AB751" s="12"/>
      <c r="AC751" s="12"/>
      <c r="AD751" s="12">
        <v>1846327</v>
      </c>
      <c r="AE751" s="12">
        <v>1888629</v>
      </c>
      <c r="AF751" s="12">
        <v>2031340</v>
      </c>
      <c r="AG751" s="12">
        <v>2201914</v>
      </c>
      <c r="AH751" s="12">
        <v>2438364</v>
      </c>
      <c r="AI751" s="12">
        <v>2655352</v>
      </c>
      <c r="AJ751" s="33">
        <v>2589996</v>
      </c>
      <c r="AK751" s="33">
        <v>2833179</v>
      </c>
      <c r="AL751" s="33">
        <v>2996826</v>
      </c>
      <c r="AM751" s="33">
        <v>3279113</v>
      </c>
      <c r="AN751" s="860">
        <v>3306538</v>
      </c>
      <c r="AO751" s="860">
        <v>3398650</v>
      </c>
      <c r="AP751" s="1229">
        <v>3438293</v>
      </c>
      <c r="AQ751" s="1229">
        <v>3509169</v>
      </c>
      <c r="AR751" s="1044"/>
      <c r="AS751" s="1044"/>
    </row>
    <row r="752" spans="3:45" hidden="1" outlineLevel="1">
      <c r="C752" s="816" t="s">
        <v>16</v>
      </c>
      <c r="D752" s="401" t="s">
        <v>836</v>
      </c>
      <c r="E752" s="20" t="s">
        <v>754</v>
      </c>
      <c r="F752" s="20"/>
      <c r="G752" s="20"/>
      <c r="H752" s="20"/>
      <c r="I752" s="20"/>
      <c r="J752" s="20"/>
      <c r="K752" s="20"/>
      <c r="L752" s="20"/>
      <c r="M752" s="20"/>
      <c r="N752" s="20"/>
      <c r="O752" s="20"/>
      <c r="P752" s="20"/>
      <c r="Q752" s="20"/>
      <c r="R752" s="20"/>
      <c r="S752" s="20"/>
      <c r="T752" s="20"/>
      <c r="U752" s="20"/>
      <c r="V752" s="20"/>
      <c r="W752" s="20"/>
      <c r="X752" s="20"/>
      <c r="Y752" s="20"/>
      <c r="Z752" s="20"/>
      <c r="AA752" s="20"/>
      <c r="AB752" s="12"/>
      <c r="AC752" s="12"/>
      <c r="AD752" s="12">
        <v>8715317</v>
      </c>
      <c r="AE752" s="12">
        <v>8715317</v>
      </c>
      <c r="AF752" s="12">
        <v>10785681</v>
      </c>
      <c r="AG752" s="12">
        <v>11519107</v>
      </c>
      <c r="AH752" s="12">
        <v>9792137</v>
      </c>
      <c r="AI752" s="12">
        <v>10322726</v>
      </c>
      <c r="AJ752" s="21">
        <v>11936629</v>
      </c>
      <c r="AK752" s="21">
        <v>12811584</v>
      </c>
      <c r="AL752" s="21">
        <v>13887513</v>
      </c>
      <c r="AM752" s="21">
        <v>14883249</v>
      </c>
      <c r="AN752" s="855">
        <v>11957136</v>
      </c>
      <c r="AO752" s="855">
        <v>12502668</v>
      </c>
      <c r="AP752" s="1058">
        <v>12280603</v>
      </c>
      <c r="AQ752" s="1058">
        <v>12280602</v>
      </c>
      <c r="AR752" s="1044"/>
      <c r="AS752" s="1044"/>
    </row>
    <row r="753" spans="3:45" hidden="1" outlineLevel="1">
      <c r="C753" s="816" t="s">
        <v>16</v>
      </c>
      <c r="D753" s="401" t="s">
        <v>836</v>
      </c>
      <c r="E753" s="20" t="s">
        <v>749</v>
      </c>
      <c r="F753" s="20"/>
      <c r="G753" s="20"/>
      <c r="H753" s="20"/>
      <c r="I753" s="20"/>
      <c r="J753" s="20"/>
      <c r="K753" s="20"/>
      <c r="L753" s="20"/>
      <c r="M753" s="20"/>
      <c r="N753" s="20"/>
      <c r="O753" s="20"/>
      <c r="P753" s="20"/>
      <c r="Q753" s="20"/>
      <c r="R753" s="20"/>
      <c r="S753" s="20"/>
      <c r="T753" s="20"/>
      <c r="U753" s="20"/>
      <c r="V753" s="20"/>
      <c r="W753" s="20"/>
      <c r="X753" s="20"/>
      <c r="Y753" s="20"/>
      <c r="Z753" s="20"/>
      <c r="AA753" s="20"/>
      <c r="AB753" s="12"/>
      <c r="AC753" s="12"/>
      <c r="AD753" s="12">
        <v>26640223</v>
      </c>
      <c r="AE753" s="12">
        <v>26640223</v>
      </c>
      <c r="AF753" s="12">
        <v>25676486</v>
      </c>
      <c r="AG753" s="12">
        <v>27422487</v>
      </c>
      <c r="AH753" s="12">
        <v>23361945</v>
      </c>
      <c r="AI753" s="12">
        <v>24627816</v>
      </c>
      <c r="AJ753" s="21">
        <v>26424674</v>
      </c>
      <c r="AK753" s="21">
        <v>28361603</v>
      </c>
      <c r="AL753" s="21">
        <v>29584339</v>
      </c>
      <c r="AM753" s="21">
        <v>31705535</v>
      </c>
      <c r="AN753" s="855">
        <v>28827132</v>
      </c>
      <c r="AO753" s="855">
        <v>30142343</v>
      </c>
      <c r="AP753" s="1058">
        <v>28143074</v>
      </c>
      <c r="AQ753" s="1058">
        <v>28143075</v>
      </c>
      <c r="AR753" s="1044"/>
      <c r="AS753" s="1044"/>
    </row>
    <row r="754" spans="3:45" hidden="1" outlineLevel="1">
      <c r="C754" s="816" t="s">
        <v>16</v>
      </c>
      <c r="D754" s="401" t="s">
        <v>836</v>
      </c>
      <c r="E754" s="20" t="s">
        <v>755</v>
      </c>
      <c r="F754" s="20"/>
      <c r="G754" s="20"/>
      <c r="H754" s="20"/>
      <c r="I754" s="20"/>
      <c r="J754" s="20"/>
      <c r="K754" s="20"/>
      <c r="L754" s="20"/>
      <c r="M754" s="20"/>
      <c r="N754" s="20"/>
      <c r="O754" s="20"/>
      <c r="P754" s="20"/>
      <c r="Q754" s="20"/>
      <c r="R754" s="20"/>
      <c r="S754" s="20"/>
      <c r="T754" s="20"/>
      <c r="U754" s="20"/>
      <c r="V754" s="20"/>
      <c r="W754" s="20"/>
      <c r="X754" s="20"/>
      <c r="Y754" s="20"/>
      <c r="Z754" s="20"/>
      <c r="AA754" s="20"/>
      <c r="AB754" s="12"/>
      <c r="AC754" s="12"/>
      <c r="AD754" s="12">
        <v>5526899</v>
      </c>
      <c r="AE754" s="12">
        <v>5526899</v>
      </c>
      <c r="AF754" s="12">
        <v>6351368</v>
      </c>
      <c r="AG754" s="12">
        <v>6783261</v>
      </c>
      <c r="AH754" s="12">
        <v>6806124</v>
      </c>
      <c r="AI754" s="12">
        <v>7174915</v>
      </c>
      <c r="AJ754" s="21">
        <v>9529945</v>
      </c>
      <c r="AK754" s="21">
        <v>10228490</v>
      </c>
      <c r="AL754" s="21">
        <v>8644380</v>
      </c>
      <c r="AM754" s="21">
        <v>9264181</v>
      </c>
      <c r="AN754" s="855">
        <v>9114499</v>
      </c>
      <c r="AO754" s="855">
        <v>9530339</v>
      </c>
      <c r="AP754" s="1058">
        <v>8292174</v>
      </c>
      <c r="AQ754" s="1058">
        <v>8292174</v>
      </c>
      <c r="AR754" s="1044"/>
      <c r="AS754" s="1044"/>
    </row>
    <row r="755" spans="3:45" hidden="1" outlineLevel="1">
      <c r="C755" s="816" t="s">
        <v>16</v>
      </c>
      <c r="D755" s="401" t="s">
        <v>836</v>
      </c>
      <c r="E755" s="20" t="s">
        <v>756</v>
      </c>
      <c r="F755" s="20"/>
      <c r="G755" s="20"/>
      <c r="H755" s="20"/>
      <c r="I755" s="20"/>
      <c r="J755" s="20"/>
      <c r="K755" s="20"/>
      <c r="L755" s="20"/>
      <c r="M755" s="20"/>
      <c r="N755" s="20"/>
      <c r="O755" s="20"/>
      <c r="P755" s="20"/>
      <c r="Q755" s="20"/>
      <c r="R755" s="20"/>
      <c r="S755" s="20"/>
      <c r="T755" s="20"/>
      <c r="U755" s="20"/>
      <c r="V755" s="20"/>
      <c r="W755" s="20"/>
      <c r="X755" s="20"/>
      <c r="Y755" s="20"/>
      <c r="Z755" s="20"/>
      <c r="AA755" s="20"/>
      <c r="AB755" s="12"/>
      <c r="AC755" s="12"/>
      <c r="AD755" s="12">
        <v>8787377</v>
      </c>
      <c r="AE755" s="12">
        <v>8787377</v>
      </c>
      <c r="AF755" s="12">
        <v>10228867</v>
      </c>
      <c r="AG755" s="12">
        <v>10924430</v>
      </c>
      <c r="AH755" s="12">
        <v>9989890</v>
      </c>
      <c r="AI755" s="12">
        <v>10531194</v>
      </c>
      <c r="AJ755" s="21">
        <v>12760044</v>
      </c>
      <c r="AK755" s="21">
        <v>13695355</v>
      </c>
      <c r="AL755" s="21">
        <v>15329458</v>
      </c>
      <c r="AM755" s="21">
        <v>16428581</v>
      </c>
      <c r="AN755" s="855">
        <v>12855610</v>
      </c>
      <c r="AO755" s="855">
        <v>13442134</v>
      </c>
      <c r="AP755" s="1058">
        <v>14556051</v>
      </c>
      <c r="AQ755" s="1058">
        <v>14556053</v>
      </c>
      <c r="AR755" s="1044"/>
      <c r="AS755" s="1044"/>
    </row>
    <row r="756" spans="3:45" hidden="1" outlineLevel="1">
      <c r="C756" s="816" t="s">
        <v>16</v>
      </c>
      <c r="D756" s="401" t="s">
        <v>836</v>
      </c>
      <c r="E756" s="224" t="s">
        <v>1667</v>
      </c>
      <c r="F756" s="20"/>
      <c r="G756" s="20"/>
      <c r="H756" s="20"/>
      <c r="I756" s="20"/>
      <c r="J756" s="20"/>
      <c r="K756" s="20"/>
      <c r="L756" s="20"/>
      <c r="M756" s="20"/>
      <c r="N756" s="20"/>
      <c r="O756" s="20"/>
      <c r="P756" s="20"/>
      <c r="Q756" s="20"/>
      <c r="R756" s="20"/>
      <c r="S756" s="20"/>
      <c r="T756" s="20"/>
      <c r="U756" s="20"/>
      <c r="V756" s="20"/>
      <c r="W756" s="20"/>
      <c r="X756" s="20"/>
      <c r="Y756" s="20"/>
      <c r="Z756" s="20"/>
      <c r="AA756" s="20"/>
      <c r="AB756" s="12"/>
      <c r="AC756" s="12"/>
      <c r="AD756" s="12"/>
      <c r="AE756" s="12"/>
      <c r="AF756" s="12"/>
      <c r="AG756" s="12"/>
      <c r="AH756" s="12"/>
      <c r="AI756" s="12"/>
      <c r="AJ756" s="21"/>
      <c r="AK756" s="21"/>
      <c r="AL756" s="21">
        <v>13030799</v>
      </c>
      <c r="AM756" s="21">
        <v>13965105</v>
      </c>
      <c r="AN756" s="855">
        <v>15905910</v>
      </c>
      <c r="AO756" s="855">
        <v>16631600</v>
      </c>
      <c r="AP756" s="1058">
        <v>11768959</v>
      </c>
      <c r="AQ756" s="1058">
        <v>11768959</v>
      </c>
      <c r="AR756" s="1044"/>
      <c r="AS756" s="1044"/>
    </row>
    <row r="757" spans="3:45" hidden="1" outlineLevel="1">
      <c r="C757" s="816" t="s">
        <v>16</v>
      </c>
      <c r="D757" s="401" t="s">
        <v>836</v>
      </c>
      <c r="E757" s="20" t="s">
        <v>1356</v>
      </c>
      <c r="F757" s="20"/>
      <c r="G757" s="20"/>
      <c r="H757" s="20"/>
      <c r="I757" s="20"/>
      <c r="J757" s="20"/>
      <c r="K757" s="20"/>
      <c r="L757" s="20"/>
      <c r="M757" s="20"/>
      <c r="N757" s="20"/>
      <c r="O757" s="20"/>
      <c r="P757" s="20"/>
      <c r="Q757" s="20"/>
      <c r="R757" s="20"/>
      <c r="S757" s="20"/>
      <c r="T757" s="20"/>
      <c r="U757" s="20"/>
      <c r="V757" s="20"/>
      <c r="W757" s="20"/>
      <c r="X757" s="20"/>
      <c r="Y757" s="20"/>
      <c r="Z757" s="20"/>
      <c r="AA757" s="20"/>
      <c r="AB757" s="12"/>
      <c r="AC757" s="12"/>
      <c r="AD757" s="12">
        <v>5510664</v>
      </c>
      <c r="AE757" s="12">
        <v>5510664</v>
      </c>
      <c r="AF757" s="12">
        <v>6763497</v>
      </c>
      <c r="AG757" s="12">
        <v>7223415</v>
      </c>
      <c r="AH757" s="12">
        <v>6640149</v>
      </c>
      <c r="AI757" s="12">
        <v>6999947</v>
      </c>
      <c r="AJ757" s="21">
        <v>8343282</v>
      </c>
      <c r="AK757" s="21">
        <v>8954845</v>
      </c>
      <c r="AL757" s="21"/>
      <c r="AM757" s="21"/>
      <c r="AN757" s="855"/>
      <c r="AO757" s="855"/>
      <c r="AP757" s="1058"/>
      <c r="AQ757" s="1058"/>
      <c r="AR757" s="1044"/>
      <c r="AS757" s="1044"/>
    </row>
    <row r="758" spans="3:45" hidden="1" outlineLevel="1">
      <c r="C758" s="816" t="s">
        <v>16</v>
      </c>
      <c r="D758" s="401" t="s">
        <v>836</v>
      </c>
      <c r="E758" s="20" t="s">
        <v>1357</v>
      </c>
      <c r="F758" s="20"/>
      <c r="G758" s="20"/>
      <c r="H758" s="20"/>
      <c r="I758" s="20"/>
      <c r="J758" s="20"/>
      <c r="K758" s="20"/>
      <c r="L758" s="20"/>
      <c r="M758" s="20"/>
      <c r="N758" s="20"/>
      <c r="O758" s="20"/>
      <c r="P758" s="20"/>
      <c r="Q758" s="20"/>
      <c r="R758" s="20"/>
      <c r="S758" s="20"/>
      <c r="T758" s="20"/>
      <c r="U758" s="20"/>
      <c r="V758" s="20"/>
      <c r="W758" s="20"/>
      <c r="X758" s="20"/>
      <c r="Y758" s="20"/>
      <c r="Z758" s="20"/>
      <c r="AA758" s="20"/>
      <c r="AB758" s="12"/>
      <c r="AC758" s="12"/>
      <c r="AD758" s="12">
        <v>2050844</v>
      </c>
      <c r="AE758" s="12">
        <v>2050844</v>
      </c>
      <c r="AF758" s="12">
        <v>2567493</v>
      </c>
      <c r="AG758" s="12">
        <v>2742083</v>
      </c>
      <c r="AH758" s="12">
        <v>2937785</v>
      </c>
      <c r="AI758" s="12">
        <v>3096970</v>
      </c>
      <c r="AJ758" s="21">
        <v>3703129</v>
      </c>
      <c r="AK758" s="21">
        <v>3974568</v>
      </c>
      <c r="AL758" s="21"/>
      <c r="AM758" s="21"/>
      <c r="AN758" s="855"/>
      <c r="AO758" s="855"/>
      <c r="AP758" s="1058"/>
      <c r="AQ758" s="1058"/>
      <c r="AR758" s="1044"/>
      <c r="AS758" s="1044"/>
    </row>
    <row r="759" spans="3:45" hidden="1" outlineLevel="1">
      <c r="C759" s="816" t="s">
        <v>16</v>
      </c>
      <c r="D759" s="401" t="s">
        <v>836</v>
      </c>
      <c r="E759" s="20" t="s">
        <v>1358</v>
      </c>
      <c r="F759" s="20"/>
      <c r="G759" s="20"/>
      <c r="H759" s="20"/>
      <c r="I759" s="20"/>
      <c r="J759" s="20"/>
      <c r="K759" s="20"/>
      <c r="L759" s="20"/>
      <c r="M759" s="20"/>
      <c r="N759" s="20"/>
      <c r="O759" s="20"/>
      <c r="P759" s="20"/>
      <c r="Q759" s="20"/>
      <c r="R759" s="20"/>
      <c r="S759" s="20"/>
      <c r="T759" s="20"/>
      <c r="U759" s="20"/>
      <c r="V759" s="20"/>
      <c r="W759" s="20"/>
      <c r="X759" s="20"/>
      <c r="Y759" s="20"/>
      <c r="Z759" s="20"/>
      <c r="AA759" s="20"/>
      <c r="AB759" s="12"/>
      <c r="AC759" s="12"/>
      <c r="AD759" s="12">
        <v>1386049</v>
      </c>
      <c r="AE759" s="12">
        <v>1386049</v>
      </c>
      <c r="AF759" s="12">
        <v>1686919</v>
      </c>
      <c r="AG759" s="12">
        <v>1801629</v>
      </c>
      <c r="AH759" s="12">
        <v>1830784</v>
      </c>
      <c r="AI759" s="12">
        <v>1929985</v>
      </c>
      <c r="AJ759" s="21">
        <v>1953845</v>
      </c>
      <c r="AK759" s="21">
        <v>2097062</v>
      </c>
      <c r="AL759" s="21">
        <v>2040699</v>
      </c>
      <c r="AM759" s="21">
        <v>2187019</v>
      </c>
      <c r="AN759" s="855">
        <v>2436155</v>
      </c>
      <c r="AO759" s="855">
        <v>2547303</v>
      </c>
      <c r="AP759" s="1058">
        <v>1873620</v>
      </c>
      <c r="AQ759" s="1058">
        <v>1873620</v>
      </c>
      <c r="AR759" s="1044"/>
      <c r="AS759" s="1044"/>
    </row>
    <row r="760" spans="3:45" hidden="1" outlineLevel="1">
      <c r="C760" s="816" t="s">
        <v>16</v>
      </c>
      <c r="D760" s="401" t="s">
        <v>836</v>
      </c>
      <c r="E760" s="20" t="s">
        <v>757</v>
      </c>
      <c r="F760" s="20"/>
      <c r="G760" s="20"/>
      <c r="H760" s="20"/>
      <c r="I760" s="20"/>
      <c r="J760" s="20"/>
      <c r="K760" s="20"/>
      <c r="L760" s="20"/>
      <c r="M760" s="20"/>
      <c r="N760" s="20"/>
      <c r="O760" s="20"/>
      <c r="P760" s="20"/>
      <c r="Q760" s="20"/>
      <c r="R760" s="20"/>
      <c r="S760" s="20"/>
      <c r="T760" s="20"/>
      <c r="U760" s="20"/>
      <c r="V760" s="20"/>
      <c r="W760" s="20"/>
      <c r="X760" s="20"/>
      <c r="Y760" s="20"/>
      <c r="Z760" s="20"/>
      <c r="AA760" s="20"/>
      <c r="AB760" s="12"/>
      <c r="AC760" s="12"/>
      <c r="AD760" s="12">
        <v>8304535</v>
      </c>
      <c r="AE760" s="12">
        <v>8304535</v>
      </c>
      <c r="AF760" s="12">
        <v>9939493</v>
      </c>
      <c r="AG760" s="12">
        <v>10615378</v>
      </c>
      <c r="AH760" s="12">
        <v>10063441</v>
      </c>
      <c r="AI760" s="12">
        <v>10608730</v>
      </c>
      <c r="AJ760" s="21">
        <v>12924537</v>
      </c>
      <c r="AK760" s="21">
        <v>13871905</v>
      </c>
      <c r="AL760" s="21">
        <v>14217996</v>
      </c>
      <c r="AM760" s="21">
        <v>15237428</v>
      </c>
      <c r="AN760" s="855">
        <v>13672022</v>
      </c>
      <c r="AO760" s="855">
        <v>14295795</v>
      </c>
      <c r="AP760" s="1058">
        <v>12878929</v>
      </c>
      <c r="AQ760" s="1058">
        <v>12878928</v>
      </c>
      <c r="AR760" s="1044"/>
      <c r="AS760" s="1044"/>
    </row>
    <row r="761" spans="3:45" hidden="1" outlineLevel="1">
      <c r="C761" s="816" t="s">
        <v>16</v>
      </c>
      <c r="D761" s="401" t="s">
        <v>836</v>
      </c>
      <c r="E761" s="20" t="s">
        <v>1359</v>
      </c>
      <c r="F761" s="20"/>
      <c r="G761" s="20"/>
      <c r="H761" s="20"/>
      <c r="I761" s="20"/>
      <c r="J761" s="20"/>
      <c r="K761" s="20"/>
      <c r="L761" s="20"/>
      <c r="M761" s="20"/>
      <c r="N761" s="20"/>
      <c r="O761" s="20"/>
      <c r="P761" s="20"/>
      <c r="Q761" s="20"/>
      <c r="R761" s="20"/>
      <c r="S761" s="20"/>
      <c r="T761" s="20"/>
      <c r="U761" s="20"/>
      <c r="V761" s="20"/>
      <c r="W761" s="20"/>
      <c r="X761" s="20"/>
      <c r="Y761" s="20"/>
      <c r="Z761" s="20"/>
      <c r="AA761" s="20"/>
      <c r="AB761" s="12"/>
      <c r="AC761" s="12"/>
      <c r="AD761" s="12">
        <v>2649813</v>
      </c>
      <c r="AE761" s="12">
        <v>2649813</v>
      </c>
      <c r="AF761" s="12">
        <v>3059898</v>
      </c>
      <c r="AG761" s="12">
        <v>3267971</v>
      </c>
      <c r="AH761" s="12">
        <v>3022595</v>
      </c>
      <c r="AI761" s="12">
        <v>3186375</v>
      </c>
      <c r="AJ761" s="21">
        <v>3872292</v>
      </c>
      <c r="AK761" s="21">
        <v>4156131</v>
      </c>
      <c r="AL761" s="21">
        <v>3857541</v>
      </c>
      <c r="AM761" s="21">
        <v>4134127</v>
      </c>
      <c r="AN761" s="855">
        <v>4708757</v>
      </c>
      <c r="AO761" s="855">
        <v>4923590</v>
      </c>
      <c r="AP761" s="1058">
        <v>3342639</v>
      </c>
      <c r="AQ761" s="1058">
        <v>3342638</v>
      </c>
      <c r="AR761" s="1044"/>
      <c r="AS761" s="1044"/>
    </row>
    <row r="762" spans="3:45" hidden="1" outlineLevel="1">
      <c r="C762" s="816" t="s">
        <v>16</v>
      </c>
      <c r="D762" s="401" t="s">
        <v>1498</v>
      </c>
      <c r="E762" s="616" t="s">
        <v>1844</v>
      </c>
      <c r="F762" s="20"/>
      <c r="G762" s="20"/>
      <c r="H762" s="20"/>
      <c r="I762" s="20"/>
      <c r="J762" s="20"/>
      <c r="K762" s="20"/>
      <c r="L762" s="20"/>
      <c r="M762" s="20"/>
      <c r="N762" s="20"/>
      <c r="O762" s="20"/>
      <c r="P762" s="20"/>
      <c r="Q762" s="20"/>
      <c r="R762" s="20"/>
      <c r="S762" s="20"/>
      <c r="T762" s="20"/>
      <c r="U762" s="20"/>
      <c r="V762" s="20"/>
      <c r="W762" s="20"/>
      <c r="X762" s="20"/>
      <c r="Y762" s="20"/>
      <c r="Z762" s="20"/>
      <c r="AA762" s="20"/>
      <c r="AB762" s="12"/>
      <c r="AC762" s="12"/>
      <c r="AD762" s="12">
        <v>9205721</v>
      </c>
      <c r="AE762" s="12">
        <v>9205721</v>
      </c>
      <c r="AF762" s="12">
        <v>12586197</v>
      </c>
      <c r="AG762" s="12">
        <v>13442058</v>
      </c>
      <c r="AH762" s="12">
        <v>12158486</v>
      </c>
      <c r="AI762" s="12">
        <v>12817296</v>
      </c>
      <c r="AJ762" s="21">
        <v>13186711</v>
      </c>
      <c r="AK762" s="21">
        <v>14153297</v>
      </c>
      <c r="AL762" s="21">
        <v>16774666</v>
      </c>
      <c r="AM762" s="21">
        <v>17977409</v>
      </c>
      <c r="AN762" s="855">
        <v>16367508</v>
      </c>
      <c r="AO762" s="855">
        <v>17114258</v>
      </c>
      <c r="AP762" s="1058">
        <v>14180288</v>
      </c>
      <c r="AQ762" s="1058">
        <v>14180288</v>
      </c>
      <c r="AR762" s="1044"/>
      <c r="AS762" s="1044"/>
    </row>
    <row r="763" spans="3:45" hidden="1" outlineLevel="1">
      <c r="C763" s="816" t="s">
        <v>16</v>
      </c>
      <c r="D763" s="401" t="s">
        <v>1498</v>
      </c>
      <c r="E763" s="593" t="s">
        <v>1434</v>
      </c>
      <c r="F763" s="20"/>
      <c r="G763" s="20"/>
      <c r="H763" s="20"/>
      <c r="I763" s="20"/>
      <c r="J763" s="20"/>
      <c r="K763" s="20"/>
      <c r="L763" s="20"/>
      <c r="M763" s="20"/>
      <c r="N763" s="20"/>
      <c r="O763" s="20"/>
      <c r="P763" s="20"/>
      <c r="Q763" s="20"/>
      <c r="R763" s="20"/>
      <c r="S763" s="20"/>
      <c r="T763" s="20"/>
      <c r="U763" s="20"/>
      <c r="V763" s="20"/>
      <c r="W763" s="20"/>
      <c r="X763" s="20"/>
      <c r="Y763" s="20"/>
      <c r="Z763" s="20"/>
      <c r="AA763" s="20"/>
      <c r="AB763" s="12"/>
      <c r="AC763" s="12"/>
      <c r="AD763" s="12">
        <v>34450565</v>
      </c>
      <c r="AE763" s="12">
        <v>34450565</v>
      </c>
      <c r="AF763" s="12">
        <v>39327198</v>
      </c>
      <c r="AG763" s="12">
        <v>42001448</v>
      </c>
      <c r="AH763" s="12">
        <v>39301227</v>
      </c>
      <c r="AI763" s="12">
        <f>41430771-1400437</f>
        <v>40030334</v>
      </c>
      <c r="AJ763" s="21">
        <v>44475876</v>
      </c>
      <c r="AK763" s="21">
        <v>47735958</v>
      </c>
      <c r="AL763" s="21">
        <v>51979150</v>
      </c>
      <c r="AM763" s="21">
        <v>55706055</v>
      </c>
      <c r="AN763" s="855">
        <v>54405566</v>
      </c>
      <c r="AO763" s="855">
        <v>56887770</v>
      </c>
      <c r="AP763" s="1058">
        <v>57778532</v>
      </c>
      <c r="AQ763" s="1058">
        <v>57778530</v>
      </c>
      <c r="AR763" s="1044"/>
      <c r="AS763" s="1044"/>
    </row>
    <row r="764" spans="3:45" hidden="1" outlineLevel="1">
      <c r="C764" s="816" t="s">
        <v>16</v>
      </c>
      <c r="D764" s="401" t="s">
        <v>1498</v>
      </c>
      <c r="E764" s="593" t="s">
        <v>1435</v>
      </c>
      <c r="F764" s="20"/>
      <c r="G764" s="20"/>
      <c r="H764" s="20"/>
      <c r="I764" s="20"/>
      <c r="J764" s="20"/>
      <c r="K764" s="20"/>
      <c r="L764" s="20"/>
      <c r="M764" s="20"/>
      <c r="N764" s="20"/>
      <c r="O764" s="20"/>
      <c r="P764" s="20"/>
      <c r="Q764" s="20"/>
      <c r="R764" s="20"/>
      <c r="S764" s="20"/>
      <c r="T764" s="20"/>
      <c r="U764" s="20"/>
      <c r="V764" s="20"/>
      <c r="W764" s="20"/>
      <c r="X764" s="20"/>
      <c r="Y764" s="20"/>
      <c r="Z764" s="20"/>
      <c r="AA764" s="20"/>
      <c r="AB764" s="12"/>
      <c r="AC764" s="12"/>
      <c r="AD764" s="12">
        <v>11374480</v>
      </c>
      <c r="AE764" s="12">
        <v>11374480</v>
      </c>
      <c r="AF764" s="12">
        <v>12490841</v>
      </c>
      <c r="AG764" s="12">
        <v>13340219</v>
      </c>
      <c r="AH764" s="12">
        <v>15136959</v>
      </c>
      <c r="AI764" s="12">
        <v>15957158</v>
      </c>
      <c r="AJ764" s="21">
        <v>16751222</v>
      </c>
      <c r="AK764" s="21">
        <v>17979086</v>
      </c>
      <c r="AL764" s="21">
        <v>22197576</v>
      </c>
      <c r="AM764" s="21">
        <v>23789140</v>
      </c>
      <c r="AN764" s="855">
        <v>20636229</v>
      </c>
      <c r="AO764" s="855">
        <v>21577738</v>
      </c>
      <c r="AP764" s="1058">
        <v>24310015</v>
      </c>
      <c r="AQ764" s="1058">
        <v>24310014</v>
      </c>
      <c r="AR764" s="1044"/>
      <c r="AS764" s="1044"/>
    </row>
    <row r="765" spans="3:45" hidden="1" outlineLevel="1">
      <c r="C765" s="816" t="s">
        <v>16</v>
      </c>
      <c r="D765" s="401" t="s">
        <v>1498</v>
      </c>
      <c r="E765" s="593" t="s">
        <v>1436</v>
      </c>
      <c r="F765" s="20"/>
      <c r="G765" s="20"/>
      <c r="H765" s="20"/>
      <c r="I765" s="20"/>
      <c r="J765" s="20"/>
      <c r="K765" s="20"/>
      <c r="L765" s="20"/>
      <c r="M765" s="20"/>
      <c r="N765" s="20"/>
      <c r="O765" s="20"/>
      <c r="P765" s="20"/>
      <c r="Q765" s="20"/>
      <c r="R765" s="20"/>
      <c r="S765" s="20"/>
      <c r="T765" s="20"/>
      <c r="U765" s="20"/>
      <c r="V765" s="20"/>
      <c r="W765" s="20"/>
      <c r="X765" s="20"/>
      <c r="Y765" s="20"/>
      <c r="Z765" s="20"/>
      <c r="AA765" s="20"/>
      <c r="AB765" s="12"/>
      <c r="AC765" s="12"/>
      <c r="AD765" s="12">
        <v>15608599</v>
      </c>
      <c r="AE765" s="12">
        <v>15608599</v>
      </c>
      <c r="AF765" s="12">
        <v>15557455</v>
      </c>
      <c r="AG765" s="12">
        <v>16615362</v>
      </c>
      <c r="AH765" s="12">
        <v>14933474</v>
      </c>
      <c r="AI765" s="12">
        <v>15742647</v>
      </c>
      <c r="AJ765" s="21">
        <v>16398900</v>
      </c>
      <c r="AK765" s="21">
        <v>17600940</v>
      </c>
      <c r="AL765" s="21">
        <v>19129638</v>
      </c>
      <c r="AM765" s="21">
        <v>20501233</v>
      </c>
      <c r="AN765" s="855">
        <v>18896081</v>
      </c>
      <c r="AO765" s="855">
        <v>19758196</v>
      </c>
      <c r="AP765" s="1058">
        <v>20939282</v>
      </c>
      <c r="AQ765" s="1058">
        <v>20939282</v>
      </c>
      <c r="AR765" s="1044"/>
      <c r="AS765" s="1044"/>
    </row>
    <row r="766" spans="3:45" hidden="1" outlineLevel="1">
      <c r="C766" s="816" t="s">
        <v>16</v>
      </c>
      <c r="D766" s="401" t="s">
        <v>1498</v>
      </c>
      <c r="E766" s="593" t="s">
        <v>1437</v>
      </c>
      <c r="F766" s="20"/>
      <c r="G766" s="20"/>
      <c r="H766" s="20"/>
      <c r="I766" s="20"/>
      <c r="J766" s="20"/>
      <c r="K766" s="20"/>
      <c r="L766" s="20"/>
      <c r="M766" s="20"/>
      <c r="N766" s="20"/>
      <c r="O766" s="20"/>
      <c r="P766" s="20"/>
      <c r="Q766" s="20"/>
      <c r="R766" s="20"/>
      <c r="S766" s="20"/>
      <c r="T766" s="20"/>
      <c r="U766" s="20"/>
      <c r="V766" s="20"/>
      <c r="W766" s="20"/>
      <c r="X766" s="20"/>
      <c r="Y766" s="20"/>
      <c r="Z766" s="20"/>
      <c r="AA766" s="20"/>
      <c r="AB766" s="12"/>
      <c r="AC766" s="12"/>
      <c r="AD766" s="12">
        <v>6795194</v>
      </c>
      <c r="AE766" s="12">
        <v>6795194</v>
      </c>
      <c r="AF766" s="12">
        <v>6497666</v>
      </c>
      <c r="AG766" s="12">
        <v>6939507</v>
      </c>
      <c r="AH766" s="12">
        <v>5566514</v>
      </c>
      <c r="AI766" s="12">
        <v>5868137</v>
      </c>
      <c r="AJ766" s="21">
        <v>5893375</v>
      </c>
      <c r="AK766" s="21">
        <v>6325359</v>
      </c>
      <c r="AL766" s="21">
        <v>6653048</v>
      </c>
      <c r="AM766" s="21">
        <v>7130071</v>
      </c>
      <c r="AN766" s="855">
        <v>7616206</v>
      </c>
      <c r="AO766" s="855">
        <v>7963687</v>
      </c>
      <c r="AP766" s="1058">
        <v>7009502</v>
      </c>
      <c r="AQ766" s="1058">
        <v>7009502</v>
      </c>
      <c r="AR766" s="1044"/>
      <c r="AS766" s="1044"/>
    </row>
    <row r="767" spans="3:45" hidden="1" outlineLevel="1">
      <c r="C767" s="816" t="s">
        <v>16</v>
      </c>
      <c r="D767" s="401" t="s">
        <v>1498</v>
      </c>
      <c r="E767" s="593" t="s">
        <v>1438</v>
      </c>
      <c r="F767" s="20"/>
      <c r="G767" s="20"/>
      <c r="H767" s="20"/>
      <c r="I767" s="20"/>
      <c r="J767" s="20"/>
      <c r="K767" s="20"/>
      <c r="L767" s="20"/>
      <c r="M767" s="20"/>
      <c r="N767" s="20"/>
      <c r="O767" s="20"/>
      <c r="P767" s="20"/>
      <c r="Q767" s="20"/>
      <c r="R767" s="20"/>
      <c r="S767" s="20"/>
      <c r="T767" s="20"/>
      <c r="U767" s="20"/>
      <c r="V767" s="20"/>
      <c r="W767" s="20"/>
      <c r="X767" s="20"/>
      <c r="Y767" s="20"/>
      <c r="Z767" s="20"/>
      <c r="AA767" s="20"/>
      <c r="AB767" s="12"/>
      <c r="AC767" s="12"/>
      <c r="AD767" s="12">
        <v>2751761</v>
      </c>
      <c r="AE767" s="12">
        <v>2751761</v>
      </c>
      <c r="AF767" s="12">
        <v>2549138</v>
      </c>
      <c r="AG767" s="12">
        <v>2722480</v>
      </c>
      <c r="AH767" s="12">
        <v>2522170</v>
      </c>
      <c r="AI767" s="12">
        <v>2658834</v>
      </c>
      <c r="AJ767" s="21">
        <v>3392031</v>
      </c>
      <c r="AK767" s="21">
        <v>3640666</v>
      </c>
      <c r="AL767" s="21">
        <v>4382195</v>
      </c>
      <c r="AM767" s="21">
        <v>4696399</v>
      </c>
      <c r="AN767" s="855">
        <v>4369590</v>
      </c>
      <c r="AO767" s="855">
        <v>4568948</v>
      </c>
      <c r="AP767" s="1058">
        <v>4412027</v>
      </c>
      <c r="AQ767" s="1058">
        <v>4412027</v>
      </c>
      <c r="AR767" s="1044"/>
      <c r="AS767" s="1044"/>
    </row>
    <row r="768" spans="3:45" hidden="1" outlineLevel="1">
      <c r="C768" s="816" t="s">
        <v>16</v>
      </c>
      <c r="D768" s="401" t="s">
        <v>1498</v>
      </c>
      <c r="E768" s="616" t="s">
        <v>1668</v>
      </c>
      <c r="F768" s="20"/>
      <c r="G768" s="20"/>
      <c r="H768" s="20"/>
      <c r="I768" s="20"/>
      <c r="J768" s="20"/>
      <c r="K768" s="20"/>
      <c r="L768" s="20"/>
      <c r="M768" s="20"/>
      <c r="N768" s="20"/>
      <c r="O768" s="20"/>
      <c r="P768" s="20"/>
      <c r="Q768" s="20"/>
      <c r="R768" s="20"/>
      <c r="S768" s="20"/>
      <c r="T768" s="20"/>
      <c r="U768" s="20"/>
      <c r="V768" s="20"/>
      <c r="W768" s="20"/>
      <c r="X768" s="20"/>
      <c r="Y768" s="20"/>
      <c r="Z768" s="20"/>
      <c r="AA768" s="20"/>
      <c r="AB768" s="12"/>
      <c r="AC768" s="12"/>
      <c r="AD768" s="12"/>
      <c r="AE768" s="12"/>
      <c r="AF768" s="12"/>
      <c r="AG768" s="12"/>
      <c r="AH768" s="12"/>
      <c r="AI768" s="12"/>
      <c r="AJ768" s="21"/>
      <c r="AK768" s="21"/>
      <c r="AL768" s="21"/>
      <c r="AM768" s="21"/>
      <c r="AN768" s="855"/>
      <c r="AO768" s="855"/>
      <c r="AP768" s="1058">
        <v>1750151</v>
      </c>
      <c r="AQ768" s="1058">
        <v>1750151</v>
      </c>
      <c r="AR768" s="1044"/>
      <c r="AS768" s="1044"/>
    </row>
    <row r="769" spans="3:45" hidden="1" outlineLevel="1">
      <c r="C769" s="816" t="s">
        <v>16</v>
      </c>
      <c r="D769" s="401" t="s">
        <v>958</v>
      </c>
      <c r="E769" s="592" t="s">
        <v>1428</v>
      </c>
      <c r="F769" s="20"/>
      <c r="G769" s="20"/>
      <c r="H769" s="20"/>
      <c r="I769" s="20"/>
      <c r="J769" s="20"/>
      <c r="K769" s="20"/>
      <c r="L769" s="20"/>
      <c r="M769" s="20"/>
      <c r="N769" s="20"/>
      <c r="O769" s="20"/>
      <c r="P769" s="20"/>
      <c r="Q769" s="20"/>
      <c r="R769" s="20"/>
      <c r="S769" s="20"/>
      <c r="T769" s="20"/>
      <c r="U769" s="20"/>
      <c r="V769" s="20"/>
      <c r="W769" s="20"/>
      <c r="X769" s="20"/>
      <c r="Y769" s="20"/>
      <c r="Z769" s="20"/>
      <c r="AA769" s="20"/>
      <c r="AB769" s="12"/>
      <c r="AC769" s="12"/>
      <c r="AD769" s="12">
        <v>55634</v>
      </c>
      <c r="AE769" s="12">
        <v>55634</v>
      </c>
      <c r="AF769" s="12">
        <v>45874</v>
      </c>
      <c r="AG769" s="12">
        <v>48993</v>
      </c>
      <c r="AH769" s="12">
        <v>82973</v>
      </c>
      <c r="AI769" s="12">
        <v>87469</v>
      </c>
      <c r="AJ769" s="21">
        <v>105188</v>
      </c>
      <c r="AK769" s="21">
        <v>112899</v>
      </c>
      <c r="AL769" s="21">
        <v>80580</v>
      </c>
      <c r="AM769" s="21">
        <v>86358</v>
      </c>
      <c r="AN769" s="855"/>
      <c r="AO769" s="855"/>
      <c r="AP769" s="1058"/>
      <c r="AQ769" s="1058"/>
      <c r="AR769" s="1044"/>
      <c r="AS769" s="1044"/>
    </row>
    <row r="770" spans="3:45" hidden="1" outlineLevel="1">
      <c r="C770" s="816" t="s">
        <v>16</v>
      </c>
      <c r="D770" s="401" t="s">
        <v>836</v>
      </c>
      <c r="E770" s="20" t="s">
        <v>751</v>
      </c>
      <c r="F770" s="20"/>
      <c r="G770" s="20"/>
      <c r="H770" s="20"/>
      <c r="I770" s="20"/>
      <c r="J770" s="20"/>
      <c r="K770" s="20"/>
      <c r="L770" s="20"/>
      <c r="M770" s="20"/>
      <c r="N770" s="20"/>
      <c r="O770" s="20"/>
      <c r="P770" s="20"/>
      <c r="Q770" s="20"/>
      <c r="R770" s="20"/>
      <c r="S770" s="20"/>
      <c r="T770" s="20"/>
      <c r="U770" s="20"/>
      <c r="V770" s="20"/>
      <c r="W770" s="20"/>
      <c r="X770" s="20"/>
      <c r="Y770" s="20"/>
      <c r="Z770" s="20"/>
      <c r="AA770" s="20"/>
      <c r="AB770" s="12"/>
      <c r="AC770" s="12"/>
      <c r="AD770" s="12">
        <v>24548270</v>
      </c>
      <c r="AE770" s="12">
        <v>24548270</v>
      </c>
      <c r="AF770" s="12">
        <v>26302629</v>
      </c>
      <c r="AG770" s="12">
        <v>28091208</v>
      </c>
      <c r="AH770" s="12">
        <v>25637984</v>
      </c>
      <c r="AI770" s="12">
        <v>27027182</v>
      </c>
      <c r="AJ770" s="21">
        <v>26681726</v>
      </c>
      <c r="AK770" s="21">
        <v>28633112</v>
      </c>
      <c r="AL770" s="21">
        <v>35042109</v>
      </c>
      <c r="AM770" s="21">
        <v>37554630</v>
      </c>
      <c r="AN770" s="855">
        <v>34967681</v>
      </c>
      <c r="AO770" s="855">
        <v>36563046</v>
      </c>
      <c r="AP770" s="1058">
        <v>39074138</v>
      </c>
      <c r="AQ770" s="1058">
        <v>39074138</v>
      </c>
      <c r="AR770" s="1044"/>
      <c r="AS770" s="1044"/>
    </row>
    <row r="771" spans="3:45" hidden="1" outlineLevel="1">
      <c r="C771" s="816" t="s">
        <v>16</v>
      </c>
      <c r="D771" s="401" t="s">
        <v>1498</v>
      </c>
      <c r="E771" s="593" t="s">
        <v>1439</v>
      </c>
      <c r="F771" s="20"/>
      <c r="G771" s="20"/>
      <c r="H771" s="20"/>
      <c r="I771" s="20"/>
      <c r="J771" s="20"/>
      <c r="K771" s="20"/>
      <c r="L771" s="20"/>
      <c r="M771" s="20"/>
      <c r="N771" s="20"/>
      <c r="O771" s="20"/>
      <c r="P771" s="20"/>
      <c r="Q771" s="20"/>
      <c r="R771" s="20"/>
      <c r="S771" s="20"/>
      <c r="T771" s="20"/>
      <c r="U771" s="20"/>
      <c r="V771" s="20"/>
      <c r="W771" s="20"/>
      <c r="X771" s="20"/>
      <c r="Y771" s="20"/>
      <c r="Z771" s="20"/>
      <c r="AA771" s="20"/>
      <c r="AB771" s="12"/>
      <c r="AC771" s="12"/>
      <c r="AD771" s="12">
        <v>3756849</v>
      </c>
      <c r="AE771" s="12">
        <v>3756849</v>
      </c>
      <c r="AF771" s="12">
        <v>4978937</v>
      </c>
      <c r="AG771" s="12">
        <v>5317505</v>
      </c>
      <c r="AH771" s="12">
        <v>4904168</v>
      </c>
      <c r="AI771" s="12">
        <v>5169901</v>
      </c>
      <c r="AJ771" s="21">
        <v>6406179</v>
      </c>
      <c r="AK771" s="21">
        <v>6874078</v>
      </c>
      <c r="AL771" s="21">
        <v>8210429</v>
      </c>
      <c r="AM771" s="21">
        <v>8799117</v>
      </c>
      <c r="AN771" s="855">
        <v>7774793</v>
      </c>
      <c r="AO771" s="855">
        <v>8129511</v>
      </c>
      <c r="AP771" s="1058">
        <v>8698942</v>
      </c>
      <c r="AQ771" s="1058">
        <v>8698942</v>
      </c>
      <c r="AR771" s="1044"/>
      <c r="AS771" s="1044"/>
    </row>
    <row r="772" spans="3:45" hidden="1" outlineLevel="1">
      <c r="C772" s="816" t="s">
        <v>16</v>
      </c>
      <c r="D772" s="401" t="s">
        <v>836</v>
      </c>
      <c r="E772" s="20" t="s">
        <v>876</v>
      </c>
      <c r="F772" s="20"/>
      <c r="G772" s="20"/>
      <c r="H772" s="20"/>
      <c r="I772" s="20"/>
      <c r="J772" s="20"/>
      <c r="K772" s="20"/>
      <c r="L772" s="20"/>
      <c r="M772" s="20"/>
      <c r="N772" s="20"/>
      <c r="O772" s="20"/>
      <c r="P772" s="20"/>
      <c r="Q772" s="20"/>
      <c r="R772" s="20"/>
      <c r="S772" s="20"/>
      <c r="T772" s="20"/>
      <c r="U772" s="20"/>
      <c r="V772" s="20"/>
      <c r="W772" s="20"/>
      <c r="X772" s="20"/>
      <c r="Y772" s="20"/>
      <c r="Z772" s="20"/>
      <c r="AA772" s="20"/>
      <c r="AB772" s="12"/>
      <c r="AC772" s="12"/>
      <c r="AD772" s="12">
        <v>1187887</v>
      </c>
      <c r="AE772" s="12">
        <v>1187887</v>
      </c>
      <c r="AF772" s="12">
        <v>1256582</v>
      </c>
      <c r="AG772" s="12">
        <v>1342030</v>
      </c>
      <c r="AH772" s="12">
        <v>1258583</v>
      </c>
      <c r="AI772" s="12">
        <v>1326779</v>
      </c>
      <c r="AJ772" s="21">
        <v>1560843</v>
      </c>
      <c r="AK772" s="21">
        <v>1674947</v>
      </c>
      <c r="AL772" s="21">
        <v>1704497</v>
      </c>
      <c r="AM772" s="21">
        <v>1826709</v>
      </c>
      <c r="AN772" s="855">
        <v>1881721</v>
      </c>
      <c r="AO772" s="855">
        <v>1967573</v>
      </c>
      <c r="AP772" s="1058">
        <v>1911668</v>
      </c>
      <c r="AQ772" s="1058">
        <v>1911668</v>
      </c>
      <c r="AR772" s="1044"/>
      <c r="AS772" s="1044"/>
    </row>
    <row r="773" spans="3:45" hidden="1" outlineLevel="1">
      <c r="C773" s="816" t="s">
        <v>16</v>
      </c>
      <c r="D773" s="401" t="s">
        <v>836</v>
      </c>
      <c r="E773" s="20" t="s">
        <v>750</v>
      </c>
      <c r="F773" s="20"/>
      <c r="G773" s="20"/>
      <c r="H773" s="20"/>
      <c r="I773" s="20"/>
      <c r="J773" s="20"/>
      <c r="K773" s="20"/>
      <c r="L773" s="20"/>
      <c r="M773" s="20"/>
      <c r="N773" s="20"/>
      <c r="O773" s="20"/>
      <c r="P773" s="20"/>
      <c r="Q773" s="20"/>
      <c r="R773" s="20"/>
      <c r="S773" s="20"/>
      <c r="T773" s="20"/>
      <c r="U773" s="20"/>
      <c r="V773" s="20"/>
      <c r="W773" s="20"/>
      <c r="X773" s="20"/>
      <c r="Y773" s="20"/>
      <c r="Z773" s="20"/>
      <c r="AA773" s="20"/>
      <c r="AB773" s="12"/>
      <c r="AC773" s="12"/>
      <c r="AD773" s="12">
        <v>4426691</v>
      </c>
      <c r="AE773" s="12">
        <v>4426691</v>
      </c>
      <c r="AF773" s="12">
        <v>4794532</v>
      </c>
      <c r="AG773" s="12">
        <v>5120560</v>
      </c>
      <c r="AH773" s="12">
        <v>4436897</v>
      </c>
      <c r="AI773" s="12">
        <v>4677311</v>
      </c>
      <c r="AJ773" s="21">
        <v>4922127</v>
      </c>
      <c r="AK773" s="21">
        <v>5282247</v>
      </c>
      <c r="AL773" s="21">
        <v>5440564</v>
      </c>
      <c r="AM773" s="21">
        <v>5830654</v>
      </c>
      <c r="AN773" s="855">
        <v>5343153</v>
      </c>
      <c r="AO773" s="855">
        <v>5586928</v>
      </c>
      <c r="AP773" s="1058">
        <v>5519098</v>
      </c>
      <c r="AQ773" s="1058">
        <v>5519098</v>
      </c>
      <c r="AR773" s="1044"/>
      <c r="AS773" s="1044"/>
    </row>
    <row r="774" spans="3:45" hidden="1" outlineLevel="1">
      <c r="C774" s="816" t="s">
        <v>16</v>
      </c>
      <c r="D774" s="401" t="s">
        <v>836</v>
      </c>
      <c r="E774" s="20" t="s">
        <v>1209</v>
      </c>
      <c r="F774" s="20"/>
      <c r="G774" s="20"/>
      <c r="H774" s="20"/>
      <c r="I774" s="20"/>
      <c r="J774" s="20"/>
      <c r="K774" s="20"/>
      <c r="L774" s="20"/>
      <c r="M774" s="20"/>
      <c r="N774" s="20"/>
      <c r="O774" s="20"/>
      <c r="P774" s="20"/>
      <c r="Q774" s="20"/>
      <c r="R774" s="20"/>
      <c r="S774" s="20"/>
      <c r="T774" s="20"/>
      <c r="U774" s="20"/>
      <c r="V774" s="20"/>
      <c r="W774" s="20"/>
      <c r="X774" s="20"/>
      <c r="Y774" s="20"/>
      <c r="Z774" s="20"/>
      <c r="AA774" s="20"/>
      <c r="AB774" s="12"/>
      <c r="AC774" s="12"/>
      <c r="AD774" s="12">
        <v>3359264</v>
      </c>
      <c r="AE774" s="12">
        <v>3359264</v>
      </c>
      <c r="AF774" s="12">
        <v>3710152</v>
      </c>
      <c r="AG774" s="12">
        <v>3962443</v>
      </c>
      <c r="AH774" s="12">
        <v>3033691</v>
      </c>
      <c r="AI774" s="12">
        <v>3198072</v>
      </c>
      <c r="AJ774" s="21">
        <v>4392827</v>
      </c>
      <c r="AK774" s="21">
        <v>4714009</v>
      </c>
      <c r="AL774" s="21">
        <v>4674584</v>
      </c>
      <c r="AM774" s="21">
        <v>5009751</v>
      </c>
      <c r="AN774" s="855">
        <v>5056995</v>
      </c>
      <c r="AO774" s="855">
        <v>5287714</v>
      </c>
      <c r="AP774" s="1058">
        <v>5242887</v>
      </c>
      <c r="AQ774" s="1058">
        <v>5242887</v>
      </c>
      <c r="AR774" s="1044"/>
      <c r="AS774" s="1044"/>
    </row>
    <row r="775" spans="3:45" hidden="1" outlineLevel="1">
      <c r="C775" s="816" t="s">
        <v>16</v>
      </c>
      <c r="D775" s="401" t="s">
        <v>836</v>
      </c>
      <c r="E775" s="224" t="s">
        <v>1210</v>
      </c>
      <c r="F775" s="20"/>
      <c r="G775" s="20"/>
      <c r="H775" s="20"/>
      <c r="I775" s="20"/>
      <c r="J775" s="20"/>
      <c r="K775" s="20"/>
      <c r="L775" s="20"/>
      <c r="M775" s="20"/>
      <c r="N775" s="20"/>
      <c r="O775" s="20"/>
      <c r="P775" s="20"/>
      <c r="Q775" s="20"/>
      <c r="R775" s="20"/>
      <c r="S775" s="20"/>
      <c r="T775" s="20"/>
      <c r="U775" s="20"/>
      <c r="V775" s="20"/>
      <c r="W775" s="20"/>
      <c r="X775" s="20"/>
      <c r="Y775" s="20"/>
      <c r="Z775" s="20"/>
      <c r="AA775" s="20"/>
      <c r="AB775" s="12"/>
      <c r="AC775" s="12"/>
      <c r="AD775" s="12">
        <v>0</v>
      </c>
      <c r="AE775" s="12">
        <v>0</v>
      </c>
      <c r="AF775" s="12">
        <v>0</v>
      </c>
      <c r="AG775" s="12">
        <v>0</v>
      </c>
      <c r="AH775" s="12">
        <v>542655</v>
      </c>
      <c r="AI775" s="12">
        <v>572059</v>
      </c>
      <c r="AJ775" s="21">
        <v>760219</v>
      </c>
      <c r="AK775" s="21">
        <v>815414</v>
      </c>
      <c r="AL775" s="21">
        <v>803033</v>
      </c>
      <c r="AM775" s="21">
        <v>860611</v>
      </c>
      <c r="AN775" s="855">
        <v>987085</v>
      </c>
      <c r="AO775" s="855">
        <v>1032120</v>
      </c>
      <c r="AP775" s="1222">
        <v>928600</v>
      </c>
      <c r="AQ775" s="1222">
        <v>928600</v>
      </c>
      <c r="AR775" s="1044"/>
      <c r="AS775" s="1044"/>
    </row>
    <row r="776" spans="3:45" hidden="1" outlineLevel="1">
      <c r="C776" s="816" t="s">
        <v>16</v>
      </c>
      <c r="D776" s="401" t="s">
        <v>836</v>
      </c>
      <c r="E776" s="224" t="s">
        <v>1211</v>
      </c>
      <c r="F776" s="20"/>
      <c r="G776" s="20"/>
      <c r="H776" s="20"/>
      <c r="I776" s="20"/>
      <c r="J776" s="20"/>
      <c r="K776" s="20"/>
      <c r="L776" s="20"/>
      <c r="M776" s="20"/>
      <c r="N776" s="20"/>
      <c r="O776" s="20"/>
      <c r="P776" s="20"/>
      <c r="Q776" s="20"/>
      <c r="R776" s="20"/>
      <c r="S776" s="20"/>
      <c r="T776" s="20"/>
      <c r="U776" s="20"/>
      <c r="V776" s="20"/>
      <c r="W776" s="20"/>
      <c r="X776" s="20"/>
      <c r="Y776" s="20"/>
      <c r="Z776" s="20"/>
      <c r="AA776" s="20"/>
      <c r="AB776" s="12"/>
      <c r="AC776" s="12"/>
      <c r="AD776" s="12">
        <v>3773872</v>
      </c>
      <c r="AE776" s="12">
        <v>3773872</v>
      </c>
      <c r="AF776" s="12">
        <v>3936361</v>
      </c>
      <c r="AG776" s="12">
        <v>4204033</v>
      </c>
      <c r="AH776" s="12">
        <v>3894900</v>
      </c>
      <c r="AI776" s="12">
        <v>4105946</v>
      </c>
      <c r="AJ776" s="21">
        <v>4388029</v>
      </c>
      <c r="AK776" s="21">
        <v>4708157</v>
      </c>
      <c r="AL776" s="21">
        <v>5355265</v>
      </c>
      <c r="AM776" s="21">
        <v>5739237</v>
      </c>
      <c r="AN776" s="855">
        <v>5001881</v>
      </c>
      <c r="AO776" s="855">
        <v>5230086</v>
      </c>
      <c r="AP776" s="1222">
        <v>5077345</v>
      </c>
      <c r="AQ776" s="1222">
        <v>5077345</v>
      </c>
      <c r="AR776" s="1044"/>
      <c r="AS776" s="1044"/>
    </row>
    <row r="777" spans="3:45" hidden="1" outlineLevel="1">
      <c r="C777" s="816" t="s">
        <v>16</v>
      </c>
      <c r="D777" s="401" t="s">
        <v>836</v>
      </c>
      <c r="E777" s="224" t="s">
        <v>1212</v>
      </c>
      <c r="F777" s="20"/>
      <c r="G777" s="20"/>
      <c r="H777" s="20"/>
      <c r="I777" s="20"/>
      <c r="J777" s="20"/>
      <c r="K777" s="20"/>
      <c r="L777" s="20"/>
      <c r="M777" s="20"/>
      <c r="N777" s="20"/>
      <c r="O777" s="20"/>
      <c r="P777" s="20"/>
      <c r="Q777" s="20"/>
      <c r="R777" s="20"/>
      <c r="S777" s="20"/>
      <c r="T777" s="20"/>
      <c r="U777" s="20"/>
      <c r="V777" s="20"/>
      <c r="W777" s="20"/>
      <c r="X777" s="20"/>
      <c r="Y777" s="20"/>
      <c r="Z777" s="20"/>
      <c r="AA777" s="20"/>
      <c r="AB777" s="12"/>
      <c r="AC777" s="12"/>
      <c r="AD777" s="12">
        <v>4228942</v>
      </c>
      <c r="AE777" s="12">
        <v>4228942</v>
      </c>
      <c r="AF777" s="12">
        <v>4509339</v>
      </c>
      <c r="AG777" s="12">
        <v>4815974</v>
      </c>
      <c r="AH777" s="12">
        <v>3903403</v>
      </c>
      <c r="AI777" s="12">
        <v>4114910</v>
      </c>
      <c r="AJ777" s="21">
        <v>4346384</v>
      </c>
      <c r="AK777" s="21">
        <v>4663967</v>
      </c>
      <c r="AL777" s="21">
        <v>4617850</v>
      </c>
      <c r="AM777" s="21">
        <v>4948950</v>
      </c>
      <c r="AN777" s="855">
        <v>4536272</v>
      </c>
      <c r="AO777" s="855">
        <v>4743235</v>
      </c>
      <c r="AP777" s="1222">
        <v>5195445</v>
      </c>
      <c r="AQ777" s="1222">
        <v>5195445</v>
      </c>
      <c r="AR777" s="1044"/>
      <c r="AS777" s="1044"/>
    </row>
    <row r="778" spans="3:45" hidden="1" outlineLevel="1">
      <c r="C778" s="816" t="s">
        <v>16</v>
      </c>
      <c r="D778" s="401" t="s">
        <v>836</v>
      </c>
      <c r="E778" s="224" t="s">
        <v>1213</v>
      </c>
      <c r="F778" s="20"/>
      <c r="G778" s="20"/>
      <c r="H778" s="20"/>
      <c r="I778" s="20"/>
      <c r="J778" s="20"/>
      <c r="K778" s="20"/>
      <c r="L778" s="20"/>
      <c r="M778" s="20"/>
      <c r="N778" s="20"/>
      <c r="O778" s="20"/>
      <c r="P778" s="20"/>
      <c r="Q778" s="20"/>
      <c r="R778" s="20"/>
      <c r="S778" s="20"/>
      <c r="T778" s="20"/>
      <c r="U778" s="20"/>
      <c r="V778" s="20"/>
      <c r="W778" s="20"/>
      <c r="X778" s="20"/>
      <c r="Y778" s="20"/>
      <c r="Z778" s="20"/>
      <c r="AA778" s="20"/>
      <c r="AB778" s="12"/>
      <c r="AC778" s="12"/>
      <c r="AD778" s="12">
        <v>0</v>
      </c>
      <c r="AE778" s="12">
        <v>0</v>
      </c>
      <c r="AF778" s="12">
        <v>0</v>
      </c>
      <c r="AG778" s="12">
        <v>0</v>
      </c>
      <c r="AH778" s="12">
        <v>623251</v>
      </c>
      <c r="AI778" s="12">
        <v>657022</v>
      </c>
      <c r="AJ778" s="21">
        <v>925025</v>
      </c>
      <c r="AK778" s="21">
        <v>992158</v>
      </c>
      <c r="AL778" s="21">
        <v>1336975</v>
      </c>
      <c r="AM778" s="21">
        <v>1432837</v>
      </c>
      <c r="AN778" s="855">
        <v>1747116</v>
      </c>
      <c r="AO778" s="855">
        <v>1826826</v>
      </c>
      <c r="AP778" s="1222">
        <v>1933134</v>
      </c>
      <c r="AQ778" s="1222">
        <v>1933134</v>
      </c>
      <c r="AR778" s="1044"/>
      <c r="AS778" s="1044"/>
    </row>
    <row r="779" spans="3:45" hidden="1" outlineLevel="1">
      <c r="C779" s="816" t="s">
        <v>16</v>
      </c>
      <c r="D779" s="401" t="s">
        <v>836</v>
      </c>
      <c r="E779" s="20" t="s">
        <v>861</v>
      </c>
      <c r="F779" s="20"/>
      <c r="G779" s="20"/>
      <c r="H779" s="20"/>
      <c r="I779" s="20"/>
      <c r="J779" s="20"/>
      <c r="K779" s="20"/>
      <c r="L779" s="20"/>
      <c r="M779" s="20"/>
      <c r="N779" s="20"/>
      <c r="O779" s="20"/>
      <c r="P779" s="20"/>
      <c r="Q779" s="20"/>
      <c r="R779" s="20"/>
      <c r="S779" s="20"/>
      <c r="T779" s="20"/>
      <c r="U779" s="20"/>
      <c r="V779" s="20"/>
      <c r="W779" s="20"/>
      <c r="X779" s="20"/>
      <c r="Y779" s="20"/>
      <c r="Z779" s="20"/>
      <c r="AA779" s="20"/>
      <c r="AB779" s="12"/>
      <c r="AC779" s="12"/>
      <c r="AD779" s="12">
        <v>1940162</v>
      </c>
      <c r="AE779" s="12">
        <v>1940162</v>
      </c>
      <c r="AF779" s="12">
        <v>2095988</v>
      </c>
      <c r="AG779" s="12">
        <v>2238515</v>
      </c>
      <c r="AH779" s="12">
        <v>2074637</v>
      </c>
      <c r="AI779" s="12">
        <v>2187052</v>
      </c>
      <c r="AJ779" s="21">
        <v>2128024</v>
      </c>
      <c r="AK779" s="21">
        <v>2283589</v>
      </c>
      <c r="AL779" s="21">
        <v>2587625</v>
      </c>
      <c r="AM779" s="21">
        <v>2773157</v>
      </c>
      <c r="AN779" s="855">
        <v>2793561</v>
      </c>
      <c r="AO779" s="855">
        <v>2921014</v>
      </c>
      <c r="AP779" s="1058">
        <v>2849655</v>
      </c>
      <c r="AQ779" s="1058">
        <v>2849655</v>
      </c>
      <c r="AR779" s="1044"/>
      <c r="AS779" s="1044"/>
    </row>
    <row r="780" spans="3:45" hidden="1" outlineLevel="1">
      <c r="C780" s="816" t="s">
        <v>16</v>
      </c>
      <c r="D780" s="401" t="s">
        <v>836</v>
      </c>
      <c r="E780" s="20" t="s">
        <v>871</v>
      </c>
      <c r="F780" s="20"/>
      <c r="G780" s="20"/>
      <c r="H780" s="20"/>
      <c r="I780" s="20"/>
      <c r="J780" s="20"/>
      <c r="K780" s="20"/>
      <c r="L780" s="20"/>
      <c r="M780" s="20"/>
      <c r="N780" s="20"/>
      <c r="O780" s="20"/>
      <c r="P780" s="20"/>
      <c r="Q780" s="20"/>
      <c r="R780" s="20"/>
      <c r="S780" s="20"/>
      <c r="T780" s="20"/>
      <c r="U780" s="20"/>
      <c r="V780" s="20"/>
      <c r="W780" s="20"/>
      <c r="X780" s="20"/>
      <c r="Y780" s="20"/>
      <c r="Z780" s="20"/>
      <c r="AA780" s="20"/>
      <c r="AB780" s="12"/>
      <c r="AC780" s="12"/>
      <c r="AD780" s="12">
        <v>3733496</v>
      </c>
      <c r="AE780" s="12">
        <v>3733496</v>
      </c>
      <c r="AF780" s="12">
        <v>4013581</v>
      </c>
      <c r="AG780" s="12">
        <v>4286505</v>
      </c>
      <c r="AH780" s="12">
        <v>3863278</v>
      </c>
      <c r="AI780" s="12">
        <v>4072611</v>
      </c>
      <c r="AJ780" s="21">
        <v>3949987</v>
      </c>
      <c r="AK780" s="21">
        <v>4238944</v>
      </c>
      <c r="AL780" s="21">
        <v>4478764</v>
      </c>
      <c r="AM780" s="21">
        <v>4799892</v>
      </c>
      <c r="AN780" s="855">
        <v>4711387</v>
      </c>
      <c r="AO780" s="855">
        <v>4926340</v>
      </c>
      <c r="AP780" s="1058">
        <v>4715187</v>
      </c>
      <c r="AQ780" s="1058">
        <v>4715187</v>
      </c>
      <c r="AR780" s="1044"/>
      <c r="AS780" s="1044"/>
    </row>
    <row r="781" spans="3:45" hidden="1" outlineLevel="1">
      <c r="C781" s="816" t="s">
        <v>16</v>
      </c>
      <c r="D781" s="401" t="s">
        <v>836</v>
      </c>
      <c r="E781" s="224" t="s">
        <v>1361</v>
      </c>
      <c r="F781" s="20"/>
      <c r="G781" s="20"/>
      <c r="H781" s="20"/>
      <c r="I781" s="20"/>
      <c r="J781" s="20"/>
      <c r="K781" s="20"/>
      <c r="L781" s="20"/>
      <c r="M781" s="20"/>
      <c r="N781" s="20"/>
      <c r="O781" s="20"/>
      <c r="P781" s="20"/>
      <c r="Q781" s="20"/>
      <c r="R781" s="20"/>
      <c r="S781" s="20"/>
      <c r="T781" s="20"/>
      <c r="U781" s="20"/>
      <c r="V781" s="20"/>
      <c r="W781" s="20"/>
      <c r="X781" s="20"/>
      <c r="Y781" s="20"/>
      <c r="Z781" s="20"/>
      <c r="AA781" s="20"/>
      <c r="AB781" s="12"/>
      <c r="AC781" s="12"/>
      <c r="AD781" s="12">
        <v>4281863</v>
      </c>
      <c r="AE781" s="12">
        <v>4281863</v>
      </c>
      <c r="AF781" s="12">
        <v>4401314</v>
      </c>
      <c r="AG781" s="12">
        <v>4700603</v>
      </c>
      <c r="AH781" s="12">
        <v>4188936</v>
      </c>
      <c r="AI781" s="12">
        <v>4415914</v>
      </c>
      <c r="AJ781" s="21">
        <v>5209050</v>
      </c>
      <c r="AK781" s="21">
        <v>5590188</v>
      </c>
      <c r="AL781" s="21">
        <v>6487282</v>
      </c>
      <c r="AM781" s="21">
        <v>6952420</v>
      </c>
      <c r="AN781" s="855">
        <v>6017441</v>
      </c>
      <c r="AO781" s="855">
        <v>6291981</v>
      </c>
      <c r="AP781" s="1058">
        <v>6652994</v>
      </c>
      <c r="AQ781" s="1058">
        <v>6652994</v>
      </c>
      <c r="AR781" s="1044"/>
      <c r="AS781" s="1044"/>
    </row>
    <row r="782" spans="3:45" hidden="1" outlineLevel="1">
      <c r="C782" s="816" t="s">
        <v>16</v>
      </c>
      <c r="D782" s="401" t="s">
        <v>836</v>
      </c>
      <c r="E782" s="20" t="s">
        <v>1425</v>
      </c>
      <c r="F782" s="20"/>
      <c r="G782" s="20"/>
      <c r="H782" s="20"/>
      <c r="I782" s="20"/>
      <c r="J782" s="20"/>
      <c r="K782" s="20"/>
      <c r="L782" s="20"/>
      <c r="M782" s="20"/>
      <c r="N782" s="20"/>
      <c r="O782" s="20"/>
      <c r="P782" s="20"/>
      <c r="Q782" s="20"/>
      <c r="R782" s="20"/>
      <c r="S782" s="20"/>
      <c r="T782" s="20"/>
      <c r="U782" s="20"/>
      <c r="V782" s="20"/>
      <c r="W782" s="20"/>
      <c r="X782" s="20"/>
      <c r="Y782" s="20"/>
      <c r="Z782" s="20"/>
      <c r="AA782" s="20"/>
      <c r="AB782" s="12"/>
      <c r="AC782" s="12"/>
      <c r="AD782" s="12">
        <v>798988</v>
      </c>
      <c r="AE782" s="12">
        <v>798988</v>
      </c>
      <c r="AF782" s="12">
        <v>898667</v>
      </c>
      <c r="AG782" s="12">
        <v>959776</v>
      </c>
      <c r="AH782" s="12">
        <v>1057272</v>
      </c>
      <c r="AI782" s="12">
        <v>1114560</v>
      </c>
      <c r="AJ782" s="21">
        <v>1293345</v>
      </c>
      <c r="AK782" s="21">
        <v>1387890</v>
      </c>
      <c r="AL782" s="21">
        <v>1626099</v>
      </c>
      <c r="AM782" s="21">
        <v>1742691</v>
      </c>
      <c r="AN782" s="855">
        <v>1659624</v>
      </c>
      <c r="AO782" s="855">
        <v>1735345</v>
      </c>
      <c r="AP782" s="1058">
        <v>1839395</v>
      </c>
      <c r="AQ782" s="1058">
        <v>1839395</v>
      </c>
      <c r="AR782" s="1044"/>
      <c r="AS782" s="1044"/>
    </row>
    <row r="783" spans="3:45" ht="12" hidden="1" customHeight="1" outlineLevel="1">
      <c r="C783" s="816" t="s">
        <v>16</v>
      </c>
      <c r="D783" s="400" t="s">
        <v>1541</v>
      </c>
      <c r="E783" s="20" t="s">
        <v>83</v>
      </c>
      <c r="F783" s="20"/>
      <c r="G783" s="20"/>
      <c r="H783" s="20"/>
      <c r="I783" s="20"/>
      <c r="J783" s="20"/>
      <c r="K783" s="20"/>
      <c r="L783" s="20"/>
      <c r="M783" s="20"/>
      <c r="N783" s="20"/>
      <c r="O783" s="20"/>
      <c r="P783" s="20"/>
      <c r="Q783" s="20"/>
      <c r="R783" s="20"/>
      <c r="S783" s="20"/>
      <c r="T783" s="20"/>
      <c r="U783" s="20"/>
      <c r="V783" s="20"/>
      <c r="W783" s="20"/>
      <c r="X783" s="20"/>
      <c r="Y783" s="20"/>
      <c r="Z783" s="20"/>
      <c r="AA783" s="20"/>
      <c r="AB783" s="12"/>
      <c r="AC783" s="12"/>
      <c r="AD783" s="12">
        <v>6865376</v>
      </c>
      <c r="AE783" s="12">
        <v>6865376</v>
      </c>
      <c r="AF783" s="12">
        <v>7647272</v>
      </c>
      <c r="AG783" s="12">
        <v>8167287</v>
      </c>
      <c r="AH783" s="12">
        <v>7596396</v>
      </c>
      <c r="AI783" s="12">
        <v>8008008</v>
      </c>
      <c r="AJ783" s="21">
        <v>8704683</v>
      </c>
      <c r="AK783" s="21">
        <v>9341523</v>
      </c>
      <c r="AL783" s="21">
        <v>9072932</v>
      </c>
      <c r="AM783" s="21">
        <v>9723461</v>
      </c>
      <c r="AN783" s="855">
        <v>8854521</v>
      </c>
      <c r="AO783" s="855">
        <v>9258499</v>
      </c>
      <c r="AP783" s="1058">
        <v>9622317</v>
      </c>
      <c r="AQ783" s="1058">
        <v>9622317</v>
      </c>
      <c r="AR783" s="1044"/>
      <c r="AS783" s="1044"/>
    </row>
    <row r="784" spans="3:45" hidden="1" outlineLevel="1">
      <c r="C784" s="816" t="s">
        <v>16</v>
      </c>
      <c r="D784" s="400" t="s">
        <v>1541</v>
      </c>
      <c r="E784" s="20" t="s">
        <v>84</v>
      </c>
      <c r="F784" s="20"/>
      <c r="G784" s="20"/>
      <c r="H784" s="20"/>
      <c r="I784" s="20"/>
      <c r="J784" s="20"/>
      <c r="K784" s="20"/>
      <c r="L784" s="20"/>
      <c r="M784" s="20"/>
      <c r="N784" s="20"/>
      <c r="O784" s="20"/>
      <c r="P784" s="20"/>
      <c r="Q784" s="20"/>
      <c r="R784" s="20"/>
      <c r="S784" s="20"/>
      <c r="T784" s="20"/>
      <c r="U784" s="20"/>
      <c r="V784" s="20"/>
      <c r="W784" s="20"/>
      <c r="X784" s="20"/>
      <c r="Y784" s="20"/>
      <c r="Z784" s="20"/>
      <c r="AA784" s="20"/>
      <c r="AB784" s="12"/>
      <c r="AC784" s="12"/>
      <c r="AD784" s="12">
        <v>10428006</v>
      </c>
      <c r="AE784" s="12">
        <v>10428006</v>
      </c>
      <c r="AF784" s="12">
        <v>11353007</v>
      </c>
      <c r="AG784" s="12">
        <v>12125012</v>
      </c>
      <c r="AH784" s="12">
        <v>10415300</v>
      </c>
      <c r="AI784" s="12">
        <v>10979655</v>
      </c>
      <c r="AJ784" s="21">
        <v>12214554</v>
      </c>
      <c r="AK784" s="21">
        <v>13108701</v>
      </c>
      <c r="AL784" s="21">
        <v>15248328</v>
      </c>
      <c r="AM784" s="21">
        <v>16341632</v>
      </c>
      <c r="AN784" s="855">
        <v>13235285</v>
      </c>
      <c r="AO784" s="855">
        <v>13839131</v>
      </c>
      <c r="AP784" s="1058">
        <v>14226158</v>
      </c>
      <c r="AQ784" s="1058">
        <v>14226158</v>
      </c>
      <c r="AR784" s="1044"/>
      <c r="AS784" s="1044"/>
    </row>
    <row r="785" spans="2:45" hidden="1" outlineLevel="1">
      <c r="C785" s="816" t="s">
        <v>16</v>
      </c>
      <c r="D785" s="400" t="s">
        <v>1541</v>
      </c>
      <c r="E785" s="20" t="s">
        <v>85</v>
      </c>
      <c r="F785" s="20"/>
      <c r="G785" s="20"/>
      <c r="H785" s="20"/>
      <c r="I785" s="20"/>
      <c r="J785" s="20"/>
      <c r="K785" s="20"/>
      <c r="L785" s="20"/>
      <c r="M785" s="20"/>
      <c r="N785" s="20"/>
      <c r="O785" s="20"/>
      <c r="P785" s="20"/>
      <c r="Q785" s="20"/>
      <c r="R785" s="20"/>
      <c r="S785" s="20"/>
      <c r="T785" s="20"/>
      <c r="U785" s="20"/>
      <c r="V785" s="20"/>
      <c r="W785" s="20"/>
      <c r="X785" s="20"/>
      <c r="Y785" s="20"/>
      <c r="Z785" s="20"/>
      <c r="AA785" s="20"/>
      <c r="AB785" s="12"/>
      <c r="AC785" s="12"/>
      <c r="AD785" s="12">
        <v>1759776</v>
      </c>
      <c r="AE785" s="12">
        <v>1759776</v>
      </c>
      <c r="AF785" s="12">
        <v>1844812</v>
      </c>
      <c r="AG785" s="12">
        <v>1970259</v>
      </c>
      <c r="AH785" s="12">
        <v>1678186</v>
      </c>
      <c r="AI785" s="12">
        <v>1769119</v>
      </c>
      <c r="AJ785" s="21">
        <v>2032729</v>
      </c>
      <c r="AK785" s="21">
        <v>2181232</v>
      </c>
      <c r="AL785" s="21">
        <v>2386186</v>
      </c>
      <c r="AM785" s="21">
        <v>2557276</v>
      </c>
      <c r="AN785" s="855">
        <v>2250239</v>
      </c>
      <c r="AO785" s="855">
        <v>2352904</v>
      </c>
      <c r="AP785" s="1058">
        <v>2650481</v>
      </c>
      <c r="AQ785" s="1058">
        <v>2650481</v>
      </c>
      <c r="AR785" s="1044"/>
      <c r="AS785" s="1044"/>
    </row>
    <row r="786" spans="2:45" hidden="1" outlineLevel="1">
      <c r="C786" s="816" t="s">
        <v>16</v>
      </c>
      <c r="D786" s="400" t="s">
        <v>1541</v>
      </c>
      <c r="E786" s="20" t="s">
        <v>86</v>
      </c>
      <c r="F786" s="20"/>
      <c r="G786" s="20"/>
      <c r="H786" s="20"/>
      <c r="I786" s="20"/>
      <c r="J786" s="20"/>
      <c r="K786" s="20"/>
      <c r="L786" s="20"/>
      <c r="M786" s="20"/>
      <c r="N786" s="20"/>
      <c r="O786" s="20"/>
      <c r="P786" s="20"/>
      <c r="Q786" s="20"/>
      <c r="R786" s="20"/>
      <c r="S786" s="20"/>
      <c r="T786" s="20"/>
      <c r="U786" s="20"/>
      <c r="V786" s="20"/>
      <c r="W786" s="20"/>
      <c r="X786" s="20"/>
      <c r="Y786" s="20"/>
      <c r="Z786" s="20"/>
      <c r="AA786" s="20"/>
      <c r="AB786" s="36"/>
      <c r="AC786" s="36"/>
      <c r="AD786" s="36" t="s">
        <v>162</v>
      </c>
      <c r="AE786" s="36" t="s">
        <v>162</v>
      </c>
      <c r="AF786" s="36" t="s">
        <v>162</v>
      </c>
      <c r="AG786" s="36" t="s">
        <v>162</v>
      </c>
      <c r="AH786" s="36" t="s">
        <v>162</v>
      </c>
      <c r="AI786" s="36" t="s">
        <v>162</v>
      </c>
      <c r="AJ786" s="36">
        <v>0</v>
      </c>
      <c r="AK786" s="36">
        <v>0</v>
      </c>
      <c r="AL786" s="21">
        <v>1176910</v>
      </c>
      <c r="AM786" s="21">
        <v>1261295</v>
      </c>
      <c r="AN786" s="855">
        <v>1132267</v>
      </c>
      <c r="AO786" s="855">
        <v>1183925</v>
      </c>
      <c r="AP786" s="1058">
        <v>1730687</v>
      </c>
      <c r="AQ786" s="1058">
        <v>1730687</v>
      </c>
      <c r="AR786" s="1044"/>
      <c r="AS786" s="1044"/>
    </row>
    <row r="787" spans="2:45" hidden="1" outlineLevel="1">
      <c r="C787" s="816" t="s">
        <v>16</v>
      </c>
      <c r="D787" s="400" t="s">
        <v>1541</v>
      </c>
      <c r="E787" s="20" t="s">
        <v>87</v>
      </c>
      <c r="F787" s="20"/>
      <c r="G787" s="20"/>
      <c r="H787" s="20"/>
      <c r="I787" s="20"/>
      <c r="J787" s="20"/>
      <c r="K787" s="20"/>
      <c r="L787" s="20"/>
      <c r="M787" s="20"/>
      <c r="N787" s="20"/>
      <c r="O787" s="20"/>
      <c r="P787" s="20"/>
      <c r="Q787" s="20"/>
      <c r="R787" s="20"/>
      <c r="S787" s="20"/>
      <c r="T787" s="20"/>
      <c r="U787" s="20"/>
      <c r="V787" s="20"/>
      <c r="W787" s="20"/>
      <c r="X787" s="20"/>
      <c r="Y787" s="20"/>
      <c r="Z787" s="20"/>
      <c r="AA787" s="20"/>
      <c r="AB787" s="12"/>
      <c r="AC787" s="12"/>
      <c r="AD787" s="12">
        <v>331309</v>
      </c>
      <c r="AE787" s="12">
        <v>331309</v>
      </c>
      <c r="AF787" s="12">
        <v>317691</v>
      </c>
      <c r="AG787" s="12">
        <v>339294</v>
      </c>
      <c r="AH787" s="12">
        <v>279174</v>
      </c>
      <c r="AI787" s="12">
        <v>294301</v>
      </c>
      <c r="AJ787" s="21">
        <v>315480</v>
      </c>
      <c r="AK787" s="21">
        <v>338464</v>
      </c>
      <c r="AL787" s="21">
        <v>618092</v>
      </c>
      <c r="AM787" s="21">
        <v>662410</v>
      </c>
      <c r="AN787" s="855">
        <v>3796242</v>
      </c>
      <c r="AO787" s="855">
        <v>3969443</v>
      </c>
      <c r="AP787" s="1058">
        <v>633204</v>
      </c>
      <c r="AQ787" s="1058">
        <v>633204</v>
      </c>
      <c r="AR787" s="1044"/>
      <c r="AS787" s="1044"/>
    </row>
    <row r="788" spans="2:45" hidden="1" outlineLevel="1">
      <c r="C788" s="816" t="s">
        <v>16</v>
      </c>
      <c r="D788" s="400" t="s">
        <v>1541</v>
      </c>
      <c r="E788" s="20" t="s">
        <v>88</v>
      </c>
      <c r="F788" s="20"/>
      <c r="G788" s="20"/>
      <c r="H788" s="20"/>
      <c r="I788" s="20"/>
      <c r="J788" s="20"/>
      <c r="K788" s="20"/>
      <c r="L788" s="20"/>
      <c r="M788" s="20"/>
      <c r="N788" s="20"/>
      <c r="O788" s="20"/>
      <c r="P788" s="20"/>
      <c r="Q788" s="20"/>
      <c r="R788" s="20"/>
      <c r="S788" s="20"/>
      <c r="T788" s="20"/>
      <c r="U788" s="20"/>
      <c r="V788" s="20"/>
      <c r="W788" s="20"/>
      <c r="X788" s="20"/>
      <c r="Y788" s="20"/>
      <c r="Z788" s="20"/>
      <c r="AA788" s="20"/>
      <c r="AB788" s="12"/>
      <c r="AC788" s="12"/>
      <c r="AD788" s="12">
        <v>2448796</v>
      </c>
      <c r="AE788" s="12">
        <v>2448796</v>
      </c>
      <c r="AF788" s="12">
        <v>2638718</v>
      </c>
      <c r="AG788" s="12">
        <v>2818150</v>
      </c>
      <c r="AH788" s="12">
        <v>2176488</v>
      </c>
      <c r="AI788" s="12">
        <v>2294421</v>
      </c>
      <c r="AJ788" s="21">
        <v>2745353</v>
      </c>
      <c r="AK788" s="21">
        <v>2946153</v>
      </c>
      <c r="AL788" s="21">
        <v>3877491</v>
      </c>
      <c r="AM788" s="21">
        <v>4155507</v>
      </c>
      <c r="AN788" s="855">
        <v>3885336</v>
      </c>
      <c r="AO788" s="855">
        <v>4062601</v>
      </c>
      <c r="AP788" s="1058">
        <v>4153278</v>
      </c>
      <c r="AQ788" s="1058">
        <v>4153278</v>
      </c>
      <c r="AR788" s="1044"/>
      <c r="AS788" s="1044"/>
    </row>
    <row r="789" spans="2:45" hidden="1" outlineLevel="1">
      <c r="C789" s="816" t="s">
        <v>16</v>
      </c>
      <c r="D789" s="400" t="s">
        <v>1541</v>
      </c>
      <c r="E789" s="20" t="s">
        <v>89</v>
      </c>
      <c r="F789" s="20"/>
      <c r="G789" s="20"/>
      <c r="H789" s="20"/>
      <c r="I789" s="20"/>
      <c r="J789" s="20"/>
      <c r="K789" s="20"/>
      <c r="L789" s="20"/>
      <c r="M789" s="20"/>
      <c r="N789" s="20"/>
      <c r="O789" s="20"/>
      <c r="P789" s="20"/>
      <c r="Q789" s="20"/>
      <c r="R789" s="20"/>
      <c r="S789" s="20"/>
      <c r="T789" s="20"/>
      <c r="U789" s="20"/>
      <c r="V789" s="20"/>
      <c r="W789" s="20"/>
      <c r="X789" s="20"/>
      <c r="Y789" s="20"/>
      <c r="Z789" s="20"/>
      <c r="AA789" s="20"/>
      <c r="AB789" s="12"/>
      <c r="AC789" s="12"/>
      <c r="AD789" s="12">
        <v>483526</v>
      </c>
      <c r="AE789" s="12">
        <v>483526</v>
      </c>
      <c r="AF789" s="12">
        <v>516981</v>
      </c>
      <c r="AG789" s="12">
        <v>552135</v>
      </c>
      <c r="AH789" s="12">
        <v>403346</v>
      </c>
      <c r="AI789" s="12">
        <v>425202</v>
      </c>
      <c r="AJ789" s="21">
        <v>462970</v>
      </c>
      <c r="AK789" s="21">
        <v>496763</v>
      </c>
      <c r="AL789" s="21">
        <v>576627</v>
      </c>
      <c r="AM789" s="21">
        <v>617971</v>
      </c>
      <c r="AN789" s="855">
        <v>476163</v>
      </c>
      <c r="AO789" s="855">
        <v>497887</v>
      </c>
      <c r="AP789" s="1058">
        <v>505450</v>
      </c>
      <c r="AQ789" s="1058">
        <v>505450</v>
      </c>
      <c r="AR789" s="1044"/>
      <c r="AS789" s="1044"/>
    </row>
    <row r="790" spans="2:45" s="1044" customFormat="1" hidden="1" outlineLevel="1">
      <c r="B790" s="1045"/>
      <c r="C790" s="1053" t="s">
        <v>16</v>
      </c>
      <c r="D790" s="400" t="s">
        <v>1541</v>
      </c>
      <c r="E790" s="1054" t="s">
        <v>2040</v>
      </c>
      <c r="F790" s="1047"/>
      <c r="G790" s="1047"/>
      <c r="H790" s="1047"/>
      <c r="I790" s="1047"/>
      <c r="J790" s="1047"/>
      <c r="K790" s="1047"/>
      <c r="L790" s="1047"/>
      <c r="M790" s="1047"/>
      <c r="N790" s="1047"/>
      <c r="O790" s="1047"/>
      <c r="P790" s="1047"/>
      <c r="Q790" s="1047"/>
      <c r="R790" s="1047"/>
      <c r="S790" s="1047"/>
      <c r="T790" s="1047"/>
      <c r="U790" s="1047"/>
      <c r="V790" s="1047"/>
      <c r="W790" s="1047"/>
      <c r="X790" s="1047"/>
      <c r="Y790" s="1047"/>
      <c r="Z790" s="1047"/>
      <c r="AA790" s="1047"/>
      <c r="AB790" s="1070"/>
      <c r="AC790" s="1070"/>
      <c r="AD790" s="1070"/>
      <c r="AE790" s="1070"/>
      <c r="AF790" s="1070"/>
      <c r="AG790" s="1070"/>
      <c r="AH790" s="1070"/>
      <c r="AI790" s="1070"/>
      <c r="AJ790" s="1058"/>
      <c r="AK790" s="1058"/>
      <c r="AL790" s="1058"/>
      <c r="AM790" s="1058"/>
      <c r="AN790" s="1058"/>
      <c r="AO790" s="1058"/>
      <c r="AP790" s="1058">
        <v>1196545</v>
      </c>
      <c r="AQ790" s="1058">
        <v>1196545</v>
      </c>
    </row>
    <row r="791" spans="2:45" hidden="1" outlineLevel="1">
      <c r="C791" s="816" t="s">
        <v>16</v>
      </c>
      <c r="D791" s="401" t="s">
        <v>958</v>
      </c>
      <c r="E791" s="592" t="s">
        <v>1429</v>
      </c>
      <c r="F791" s="20"/>
      <c r="G791" s="20"/>
      <c r="H791" s="20"/>
      <c r="I791" s="20"/>
      <c r="J791" s="20"/>
      <c r="K791" s="20"/>
      <c r="L791" s="20"/>
      <c r="M791" s="20"/>
      <c r="N791" s="20"/>
      <c r="O791" s="20"/>
      <c r="P791" s="20"/>
      <c r="Q791" s="20"/>
      <c r="R791" s="20"/>
      <c r="S791" s="20"/>
      <c r="T791" s="20"/>
      <c r="U791" s="20"/>
      <c r="V791" s="20"/>
      <c r="W791" s="20"/>
      <c r="X791" s="20"/>
      <c r="Y791" s="20"/>
      <c r="Z791" s="20"/>
      <c r="AA791" s="20"/>
      <c r="AB791" s="12"/>
      <c r="AC791" s="12"/>
      <c r="AD791" s="12">
        <v>28905</v>
      </c>
      <c r="AE791" s="12">
        <v>28905</v>
      </c>
      <c r="AF791" s="12">
        <v>146416</v>
      </c>
      <c r="AG791" s="12">
        <v>156372</v>
      </c>
      <c r="AH791" s="12">
        <v>73468</v>
      </c>
      <c r="AI791" s="12">
        <v>77449</v>
      </c>
      <c r="AJ791" s="21">
        <v>41818</v>
      </c>
      <c r="AK791" s="21">
        <v>44878</v>
      </c>
      <c r="AL791" s="21">
        <v>57795</v>
      </c>
      <c r="AM791" s="21">
        <v>61939</v>
      </c>
      <c r="AN791" s="855"/>
      <c r="AO791" s="855"/>
      <c r="AP791" s="1058"/>
      <c r="AQ791" s="1058"/>
      <c r="AR791" s="1044"/>
      <c r="AS791" s="1044"/>
    </row>
    <row r="792" spans="2:45" hidden="1" outlineLevel="1">
      <c r="C792" s="816" t="s">
        <v>16</v>
      </c>
      <c r="D792" s="401" t="s">
        <v>836</v>
      </c>
      <c r="E792" s="20" t="s">
        <v>726</v>
      </c>
      <c r="F792" s="20"/>
      <c r="G792" s="20"/>
      <c r="H792" s="20"/>
      <c r="I792" s="20"/>
      <c r="J792" s="20"/>
      <c r="K792" s="20"/>
      <c r="L792" s="20"/>
      <c r="M792" s="20"/>
      <c r="N792" s="20"/>
      <c r="O792" s="20"/>
      <c r="P792" s="20"/>
      <c r="Q792" s="20"/>
      <c r="R792" s="20"/>
      <c r="S792" s="20"/>
      <c r="T792" s="20"/>
      <c r="U792" s="20"/>
      <c r="V792" s="20"/>
      <c r="W792" s="20"/>
      <c r="X792" s="20"/>
      <c r="Y792" s="20"/>
      <c r="Z792" s="20"/>
      <c r="AA792" s="20"/>
      <c r="AB792" s="12"/>
      <c r="AC792" s="12"/>
      <c r="AD792" s="12">
        <v>13265538</v>
      </c>
      <c r="AE792" s="12">
        <v>13265538</v>
      </c>
      <c r="AF792" s="12">
        <v>13878160</v>
      </c>
      <c r="AG792" s="12">
        <v>14821875</v>
      </c>
      <c r="AH792" s="12">
        <v>14229386</v>
      </c>
      <c r="AI792" s="12">
        <v>15000408</v>
      </c>
      <c r="AJ792" s="21">
        <v>15248001</v>
      </c>
      <c r="AK792" s="21">
        <v>16365087</v>
      </c>
      <c r="AL792" s="21">
        <v>17498272</v>
      </c>
      <c r="AM792" s="21">
        <v>18752223</v>
      </c>
      <c r="AN792" s="855">
        <v>15860002</v>
      </c>
      <c r="AO792" s="855">
        <v>16583263</v>
      </c>
      <c r="AP792" s="1058">
        <v>16934867</v>
      </c>
      <c r="AQ792" s="1058">
        <v>16934867</v>
      </c>
      <c r="AR792" s="1044"/>
      <c r="AS792" s="1044"/>
    </row>
    <row r="793" spans="2:45" hidden="1" outlineLevel="1">
      <c r="C793" s="816" t="s">
        <v>16</v>
      </c>
      <c r="D793" s="401" t="s">
        <v>836</v>
      </c>
      <c r="E793" s="20" t="s">
        <v>1363</v>
      </c>
      <c r="F793" s="20"/>
      <c r="G793" s="20"/>
      <c r="H793" s="20"/>
      <c r="I793" s="20"/>
      <c r="J793" s="20"/>
      <c r="K793" s="20"/>
      <c r="L793" s="20"/>
      <c r="M793" s="20"/>
      <c r="N793" s="20"/>
      <c r="O793" s="20"/>
      <c r="P793" s="20"/>
      <c r="Q793" s="20"/>
      <c r="R793" s="20"/>
      <c r="S793" s="20"/>
      <c r="T793" s="20"/>
      <c r="U793" s="20"/>
      <c r="V793" s="20"/>
      <c r="W793" s="20"/>
      <c r="X793" s="20"/>
      <c r="Y793" s="20"/>
      <c r="Z793" s="20"/>
      <c r="AA793" s="20"/>
      <c r="AB793" s="12"/>
      <c r="AC793" s="12"/>
      <c r="AD793" s="12">
        <v>2485893</v>
      </c>
      <c r="AE793" s="12">
        <v>2485893</v>
      </c>
      <c r="AF793" s="12">
        <v>2724656</v>
      </c>
      <c r="AG793" s="12">
        <v>2909933</v>
      </c>
      <c r="AH793" s="12">
        <v>2657098</v>
      </c>
      <c r="AI793" s="12">
        <v>2801073</v>
      </c>
      <c r="AJ793" s="21">
        <v>3235529</v>
      </c>
      <c r="AK793" s="21">
        <v>3472693</v>
      </c>
      <c r="AL793" s="21">
        <v>3675646</v>
      </c>
      <c r="AM793" s="21">
        <v>3939118</v>
      </c>
      <c r="AN793" s="855">
        <v>3664491</v>
      </c>
      <c r="AO793" s="855">
        <v>3831549</v>
      </c>
      <c r="AP793" s="1058">
        <v>3819432</v>
      </c>
      <c r="AQ793" s="1058">
        <v>3819432</v>
      </c>
      <c r="AR793" s="1044"/>
      <c r="AS793" s="1044"/>
    </row>
    <row r="794" spans="2:45" hidden="1" outlineLevel="1">
      <c r="C794" s="816" t="s">
        <v>16</v>
      </c>
      <c r="D794" s="401" t="s">
        <v>836</v>
      </c>
      <c r="E794" s="20" t="s">
        <v>1364</v>
      </c>
      <c r="F794" s="20"/>
      <c r="G794" s="20"/>
      <c r="H794" s="20"/>
      <c r="I794" s="20"/>
      <c r="J794" s="20"/>
      <c r="K794" s="20"/>
      <c r="L794" s="20"/>
      <c r="M794" s="20"/>
      <c r="N794" s="20"/>
      <c r="O794" s="20"/>
      <c r="P794" s="20"/>
      <c r="Q794" s="20"/>
      <c r="R794" s="20"/>
      <c r="S794" s="20"/>
      <c r="T794" s="20"/>
      <c r="U794" s="20"/>
      <c r="V794" s="20"/>
      <c r="W794" s="20"/>
      <c r="X794" s="20"/>
      <c r="Y794" s="20"/>
      <c r="Z794" s="20"/>
      <c r="AA794" s="20"/>
      <c r="AB794" s="12"/>
      <c r="AC794" s="12"/>
      <c r="AD794" s="12">
        <v>2054446</v>
      </c>
      <c r="AE794" s="12">
        <v>2054446</v>
      </c>
      <c r="AF794" s="12">
        <v>2349806</v>
      </c>
      <c r="AG794" s="12">
        <v>2509593</v>
      </c>
      <c r="AH794" s="12">
        <v>2173661</v>
      </c>
      <c r="AI794" s="12">
        <v>2291441</v>
      </c>
      <c r="AJ794" s="21">
        <v>2540687</v>
      </c>
      <c r="AK794" s="21">
        <v>2726680</v>
      </c>
      <c r="AL794" s="21">
        <v>3018598</v>
      </c>
      <c r="AM794" s="21">
        <v>3234392</v>
      </c>
      <c r="AN794" s="855">
        <v>3057491</v>
      </c>
      <c r="AO794" s="855">
        <v>3196816</v>
      </c>
      <c r="AP794" s="1058">
        <v>3432459</v>
      </c>
      <c r="AQ794" s="1058">
        <v>3432459</v>
      </c>
      <c r="AR794" s="1044"/>
      <c r="AS794" s="1044"/>
    </row>
    <row r="795" spans="2:45" hidden="1" outlineLevel="1">
      <c r="C795" s="816" t="s">
        <v>16</v>
      </c>
      <c r="D795" s="401" t="s">
        <v>836</v>
      </c>
      <c r="E795" s="20" t="s">
        <v>1365</v>
      </c>
      <c r="F795" s="20"/>
      <c r="G795" s="20"/>
      <c r="H795" s="20"/>
      <c r="I795" s="20"/>
      <c r="J795" s="20"/>
      <c r="K795" s="20"/>
      <c r="L795" s="20"/>
      <c r="M795" s="20"/>
      <c r="N795" s="20"/>
      <c r="O795" s="20"/>
      <c r="P795" s="20"/>
      <c r="Q795" s="20"/>
      <c r="R795" s="20"/>
      <c r="S795" s="20"/>
      <c r="T795" s="20"/>
      <c r="U795" s="20"/>
      <c r="V795" s="20"/>
      <c r="W795" s="20"/>
      <c r="X795" s="20"/>
      <c r="Y795" s="20"/>
      <c r="Z795" s="20"/>
      <c r="AA795" s="20"/>
      <c r="AB795" s="12"/>
      <c r="AC795" s="12"/>
      <c r="AD795" s="12">
        <v>1254405</v>
      </c>
      <c r="AE795" s="12">
        <v>1254405</v>
      </c>
      <c r="AF795" s="12">
        <v>1141298</v>
      </c>
      <c r="AG795" s="12">
        <v>1218906</v>
      </c>
      <c r="AH795" s="12">
        <v>1262762</v>
      </c>
      <c r="AI795" s="12">
        <v>1331186</v>
      </c>
      <c r="AJ795" s="21">
        <v>1644847</v>
      </c>
      <c r="AK795" s="21">
        <v>1765354</v>
      </c>
      <c r="AL795" s="21">
        <v>2026350</v>
      </c>
      <c r="AM795" s="21">
        <v>2171580</v>
      </c>
      <c r="AN795" s="855">
        <v>1996398</v>
      </c>
      <c r="AO795" s="855">
        <v>2087401</v>
      </c>
      <c r="AP795" s="1058">
        <v>1810849</v>
      </c>
      <c r="AQ795" s="1058">
        <v>1810849</v>
      </c>
      <c r="AR795" s="1044"/>
      <c r="AS795" s="1044"/>
    </row>
    <row r="796" spans="2:45" hidden="1" outlineLevel="1">
      <c r="C796" s="816" t="s">
        <v>16</v>
      </c>
      <c r="D796" s="401" t="s">
        <v>958</v>
      </c>
      <c r="E796" s="592" t="s">
        <v>1430</v>
      </c>
      <c r="F796" s="20"/>
      <c r="G796" s="20"/>
      <c r="H796" s="20"/>
      <c r="I796" s="20"/>
      <c r="J796" s="20"/>
      <c r="K796" s="20"/>
      <c r="L796" s="20"/>
      <c r="M796" s="20"/>
      <c r="N796" s="20"/>
      <c r="O796" s="20"/>
      <c r="P796" s="20"/>
      <c r="Q796" s="20"/>
      <c r="R796" s="20"/>
      <c r="S796" s="20"/>
      <c r="T796" s="20"/>
      <c r="U796" s="20"/>
      <c r="V796" s="20"/>
      <c r="W796" s="20"/>
      <c r="X796" s="20"/>
      <c r="Y796" s="20"/>
      <c r="Z796" s="20"/>
      <c r="AA796" s="20"/>
      <c r="AB796" s="12"/>
      <c r="AC796" s="12"/>
      <c r="AD796" s="12">
        <v>573884</v>
      </c>
      <c r="AE796" s="12">
        <v>573884</v>
      </c>
      <c r="AF796" s="12">
        <v>553837</v>
      </c>
      <c r="AG796" s="12">
        <v>591498</v>
      </c>
      <c r="AH796" s="12">
        <v>608901</v>
      </c>
      <c r="AI796" s="12">
        <v>641895</v>
      </c>
      <c r="AJ796" s="21">
        <v>550508</v>
      </c>
      <c r="AK796" s="21">
        <v>590807</v>
      </c>
      <c r="AL796" s="21">
        <v>331060</v>
      </c>
      <c r="AM796" s="21">
        <v>354796</v>
      </c>
      <c r="AN796" s="855">
        <v>482915</v>
      </c>
      <c r="AO796" s="855">
        <v>504948</v>
      </c>
      <c r="AP796" s="1058">
        <v>266848</v>
      </c>
      <c r="AQ796" s="1058">
        <v>266848</v>
      </c>
      <c r="AR796" s="1044"/>
      <c r="AS796" s="1044"/>
    </row>
    <row r="797" spans="2:45" ht="13.5" hidden="1" customHeight="1" outlineLevel="1">
      <c r="C797" s="816" t="s">
        <v>16</v>
      </c>
      <c r="D797" s="401" t="s">
        <v>836</v>
      </c>
      <c r="E797" s="20" t="s">
        <v>738</v>
      </c>
      <c r="F797" s="20"/>
      <c r="G797" s="20"/>
      <c r="H797" s="20"/>
      <c r="I797" s="20"/>
      <c r="J797" s="20"/>
      <c r="K797" s="20"/>
      <c r="L797" s="20"/>
      <c r="M797" s="20"/>
      <c r="N797" s="20"/>
      <c r="O797" s="20"/>
      <c r="P797" s="20"/>
      <c r="Q797" s="20"/>
      <c r="R797" s="20"/>
      <c r="S797" s="20"/>
      <c r="T797" s="20"/>
      <c r="U797" s="20"/>
      <c r="V797" s="20"/>
      <c r="W797" s="20"/>
      <c r="X797" s="20"/>
      <c r="Y797" s="20"/>
      <c r="Z797" s="20"/>
      <c r="AA797" s="20"/>
      <c r="AB797" s="12"/>
      <c r="AC797" s="12"/>
      <c r="AD797" s="12">
        <v>4809653</v>
      </c>
      <c r="AE797" s="12">
        <v>4809653</v>
      </c>
      <c r="AF797" s="12">
        <v>5491680</v>
      </c>
      <c r="AG797" s="12">
        <v>5865114</v>
      </c>
      <c r="AH797" s="12">
        <v>5767312</v>
      </c>
      <c r="AI797" s="12">
        <v>6079815</v>
      </c>
      <c r="AJ797" s="21">
        <v>6323712</v>
      </c>
      <c r="AK797" s="21">
        <v>6787139</v>
      </c>
      <c r="AL797" s="21">
        <v>8400781</v>
      </c>
      <c r="AM797" s="21">
        <v>9003001</v>
      </c>
      <c r="AN797" s="855">
        <v>8523877</v>
      </c>
      <c r="AO797" s="855">
        <v>8912745</v>
      </c>
      <c r="AP797" s="1058">
        <v>8192093</v>
      </c>
      <c r="AQ797" s="1058">
        <v>8192093</v>
      </c>
      <c r="AR797" s="1044"/>
      <c r="AS797" s="1044"/>
    </row>
    <row r="798" spans="2:45" hidden="1" outlineLevel="1">
      <c r="C798" s="816" t="s">
        <v>16</v>
      </c>
      <c r="D798" s="401" t="s">
        <v>2115</v>
      </c>
      <c r="E798" s="20" t="s">
        <v>1446</v>
      </c>
      <c r="F798" s="20"/>
      <c r="G798" s="20"/>
      <c r="H798" s="20"/>
      <c r="I798" s="20"/>
      <c r="J798" s="20"/>
      <c r="K798" s="20"/>
      <c r="L798" s="20"/>
      <c r="M798" s="20"/>
      <c r="N798" s="20"/>
      <c r="O798" s="20"/>
      <c r="P798" s="20"/>
      <c r="Q798" s="20"/>
      <c r="R798" s="20"/>
      <c r="S798" s="20"/>
      <c r="T798" s="20"/>
      <c r="U798" s="20"/>
      <c r="V798" s="20"/>
      <c r="W798" s="20"/>
      <c r="X798" s="20"/>
      <c r="Y798" s="20"/>
      <c r="Z798" s="20"/>
      <c r="AA798" s="20"/>
      <c r="AB798" s="12"/>
      <c r="AC798" s="12"/>
      <c r="AD798" s="12">
        <v>709699</v>
      </c>
      <c r="AE798" s="12">
        <v>709699</v>
      </c>
      <c r="AF798" s="12">
        <v>808569</v>
      </c>
      <c r="AG798" s="12">
        <v>863552</v>
      </c>
      <c r="AH798" s="12">
        <v>848137</v>
      </c>
      <c r="AI798" s="12">
        <v>894094</v>
      </c>
      <c r="AJ798" s="21">
        <v>978375</v>
      </c>
      <c r="AK798" s="21">
        <v>1050008</v>
      </c>
      <c r="AL798" s="21">
        <v>1143082</v>
      </c>
      <c r="AM798" s="21">
        <v>1224923</v>
      </c>
      <c r="AN798" s="855">
        <v>1346229</v>
      </c>
      <c r="AO798" s="855">
        <v>1407623</v>
      </c>
      <c r="AP798" s="1058">
        <v>1368070</v>
      </c>
      <c r="AQ798" s="1058">
        <v>1368070</v>
      </c>
      <c r="AR798" s="1044"/>
      <c r="AS798" s="1044"/>
    </row>
    <row r="799" spans="2:45" hidden="1" outlineLevel="1">
      <c r="C799" s="816" t="s">
        <v>16</v>
      </c>
      <c r="D799" s="852" t="s">
        <v>2115</v>
      </c>
      <c r="E799" s="20" t="s">
        <v>1447</v>
      </c>
      <c r="F799" s="20"/>
      <c r="G799" s="20"/>
      <c r="H799" s="20"/>
      <c r="I799" s="20"/>
      <c r="J799" s="20"/>
      <c r="K799" s="20"/>
      <c r="L799" s="20"/>
      <c r="M799" s="20"/>
      <c r="N799" s="20"/>
      <c r="O799" s="20"/>
      <c r="P799" s="20"/>
      <c r="Q799" s="20"/>
      <c r="R799" s="20"/>
      <c r="S799" s="20"/>
      <c r="T799" s="20"/>
      <c r="U799" s="20"/>
      <c r="V799" s="20"/>
      <c r="W799" s="20"/>
      <c r="X799" s="20"/>
      <c r="Y799" s="20"/>
      <c r="Z799" s="20"/>
      <c r="AA799" s="20"/>
      <c r="AB799" s="12"/>
      <c r="AC799" s="12"/>
      <c r="AD799" s="12">
        <v>678723</v>
      </c>
      <c r="AE799" s="12">
        <v>678723</v>
      </c>
      <c r="AF799" s="12">
        <v>698138</v>
      </c>
      <c r="AG799" s="12">
        <v>745612</v>
      </c>
      <c r="AH799" s="12">
        <v>660597</v>
      </c>
      <c r="AI799" s="12">
        <v>696391</v>
      </c>
      <c r="AJ799" s="21">
        <v>849980</v>
      </c>
      <c r="AK799" s="21">
        <v>912140</v>
      </c>
      <c r="AL799" s="21">
        <v>1066016</v>
      </c>
      <c r="AM799" s="21">
        <v>1142304</v>
      </c>
      <c r="AN799" s="855">
        <v>1019762</v>
      </c>
      <c r="AO799" s="855">
        <v>1066206</v>
      </c>
      <c r="AP799" s="1058">
        <v>1131300</v>
      </c>
      <c r="AQ799" s="1058">
        <v>1131300</v>
      </c>
      <c r="AR799" s="1044"/>
      <c r="AS799" s="1044"/>
    </row>
    <row r="800" spans="2:45" hidden="1" outlineLevel="1">
      <c r="C800" s="816" t="s">
        <v>16</v>
      </c>
      <c r="D800" s="852" t="s">
        <v>2115</v>
      </c>
      <c r="E800" s="20" t="s">
        <v>1448</v>
      </c>
      <c r="F800" s="20"/>
      <c r="G800" s="20"/>
      <c r="H800" s="20"/>
      <c r="I800" s="20"/>
      <c r="J800" s="20"/>
      <c r="K800" s="20"/>
      <c r="L800" s="20"/>
      <c r="M800" s="20"/>
      <c r="N800" s="20"/>
      <c r="O800" s="20"/>
      <c r="P800" s="20"/>
      <c r="Q800" s="20"/>
      <c r="R800" s="20"/>
      <c r="S800" s="20"/>
      <c r="T800" s="20"/>
      <c r="U800" s="20"/>
      <c r="V800" s="20"/>
      <c r="W800" s="20"/>
      <c r="X800" s="20"/>
      <c r="Y800" s="20"/>
      <c r="Z800" s="20"/>
      <c r="AA800" s="20"/>
      <c r="AB800" s="12"/>
      <c r="AC800" s="12"/>
      <c r="AD800" s="12">
        <v>1277899</v>
      </c>
      <c r="AE800" s="12">
        <v>1277899</v>
      </c>
      <c r="AF800" s="12">
        <v>1119249</v>
      </c>
      <c r="AG800" s="12">
        <v>1195358</v>
      </c>
      <c r="AH800" s="12">
        <v>876373</v>
      </c>
      <c r="AI800" s="12">
        <v>923859</v>
      </c>
      <c r="AJ800" s="21">
        <v>1202858</v>
      </c>
      <c r="AK800" s="21">
        <v>1290903</v>
      </c>
      <c r="AL800" s="21">
        <v>1627883</v>
      </c>
      <c r="AM800" s="21">
        <v>1744465</v>
      </c>
      <c r="AN800" s="855">
        <v>1361382</v>
      </c>
      <c r="AO800" s="855">
        <v>1423436</v>
      </c>
      <c r="AP800" s="1058">
        <v>1335184</v>
      </c>
      <c r="AQ800" s="1058">
        <v>1335184</v>
      </c>
      <c r="AR800" s="1044"/>
      <c r="AS800" s="1044"/>
    </row>
    <row r="801" spans="3:45" hidden="1" outlineLevel="1">
      <c r="C801" s="816" t="s">
        <v>16</v>
      </c>
      <c r="D801" s="401" t="s">
        <v>836</v>
      </c>
      <c r="E801" s="20" t="s">
        <v>855</v>
      </c>
      <c r="F801" s="20"/>
      <c r="G801" s="20"/>
      <c r="H801" s="20"/>
      <c r="I801" s="20"/>
      <c r="J801" s="20"/>
      <c r="K801" s="20"/>
      <c r="L801" s="20"/>
      <c r="M801" s="20"/>
      <c r="N801" s="20"/>
      <c r="O801" s="20"/>
      <c r="P801" s="20"/>
      <c r="Q801" s="20"/>
      <c r="R801" s="20"/>
      <c r="S801" s="20"/>
      <c r="T801" s="20"/>
      <c r="U801" s="20"/>
      <c r="V801" s="20"/>
      <c r="W801" s="20"/>
      <c r="X801" s="20"/>
      <c r="Y801" s="20"/>
      <c r="Z801" s="20"/>
      <c r="AA801" s="20"/>
      <c r="AB801" s="12"/>
      <c r="AC801" s="12"/>
      <c r="AD801" s="12">
        <v>2844757</v>
      </c>
      <c r="AE801" s="12">
        <v>2844757</v>
      </c>
      <c r="AF801" s="12">
        <v>4221985</v>
      </c>
      <c r="AG801" s="12">
        <v>4509080</v>
      </c>
      <c r="AH801" s="12">
        <v>3385691</v>
      </c>
      <c r="AI801" s="12">
        <v>3569146</v>
      </c>
      <c r="AJ801" s="21">
        <v>3943661</v>
      </c>
      <c r="AK801" s="21">
        <v>4232458</v>
      </c>
      <c r="AL801" s="21">
        <v>5126716</v>
      </c>
      <c r="AM801" s="21">
        <v>5494079</v>
      </c>
      <c r="AN801" s="855">
        <v>4894772</v>
      </c>
      <c r="AO801" s="855">
        <v>5117891</v>
      </c>
      <c r="AP801" s="1058">
        <v>5122498</v>
      </c>
      <c r="AQ801" s="1058">
        <v>5122498</v>
      </c>
      <c r="AR801" s="1044"/>
      <c r="AS801" s="1044"/>
    </row>
    <row r="802" spans="3:45" hidden="1" outlineLevel="1">
      <c r="C802" s="816" t="s">
        <v>16</v>
      </c>
      <c r="D802" s="401" t="s">
        <v>836</v>
      </c>
      <c r="E802" s="20" t="s">
        <v>1367</v>
      </c>
      <c r="F802" s="20"/>
      <c r="G802" s="20"/>
      <c r="H802" s="20"/>
      <c r="I802" s="20"/>
      <c r="J802" s="20"/>
      <c r="K802" s="20"/>
      <c r="L802" s="20"/>
      <c r="M802" s="20"/>
      <c r="N802" s="20"/>
      <c r="O802" s="20"/>
      <c r="P802" s="20"/>
      <c r="Q802" s="20"/>
      <c r="R802" s="20"/>
      <c r="S802" s="20"/>
      <c r="T802" s="20"/>
      <c r="U802" s="20"/>
      <c r="V802" s="20"/>
      <c r="W802" s="20"/>
      <c r="X802" s="20"/>
      <c r="Y802" s="20"/>
      <c r="Z802" s="20"/>
      <c r="AA802" s="20"/>
      <c r="AB802" s="12"/>
      <c r="AC802" s="12"/>
      <c r="AD802" s="12">
        <v>5776682</v>
      </c>
      <c r="AE802" s="12">
        <v>5776682</v>
      </c>
      <c r="AF802" s="12">
        <v>6553662</v>
      </c>
      <c r="AG802" s="12">
        <v>6999311</v>
      </c>
      <c r="AH802" s="12">
        <v>5729872</v>
      </c>
      <c r="AI802" s="12">
        <v>6040346</v>
      </c>
      <c r="AJ802" s="21">
        <v>6023760</v>
      </c>
      <c r="AK802" s="21">
        <v>6465010</v>
      </c>
      <c r="AL802" s="21">
        <v>8449863</v>
      </c>
      <c r="AM802" s="21">
        <v>9055468</v>
      </c>
      <c r="AN802" s="855">
        <v>7551924</v>
      </c>
      <c r="AO802" s="855">
        <v>7896306</v>
      </c>
      <c r="AP802" s="1058">
        <v>9127925</v>
      </c>
      <c r="AQ802" s="1058">
        <v>9127925</v>
      </c>
      <c r="AR802" s="1044"/>
      <c r="AS802" s="1044"/>
    </row>
    <row r="803" spans="3:45" hidden="1" outlineLevel="1">
      <c r="C803" s="816" t="s">
        <v>16</v>
      </c>
      <c r="D803" s="401" t="s">
        <v>836</v>
      </c>
      <c r="E803" s="224" t="s">
        <v>1094</v>
      </c>
      <c r="F803" s="20"/>
      <c r="G803" s="20"/>
      <c r="H803" s="20"/>
      <c r="I803" s="20"/>
      <c r="J803" s="20"/>
      <c r="K803" s="20"/>
      <c r="L803" s="20"/>
      <c r="M803" s="20"/>
      <c r="N803" s="20"/>
      <c r="O803" s="20"/>
      <c r="P803" s="20"/>
      <c r="Q803" s="20"/>
      <c r="R803" s="20"/>
      <c r="S803" s="20"/>
      <c r="T803" s="20"/>
      <c r="U803" s="20"/>
      <c r="V803" s="20"/>
      <c r="W803" s="20"/>
      <c r="X803" s="20"/>
      <c r="Y803" s="20"/>
      <c r="Z803" s="20"/>
      <c r="AA803" s="20"/>
      <c r="AB803" s="12"/>
      <c r="AC803" s="12"/>
      <c r="AD803" s="12">
        <v>8145828</v>
      </c>
      <c r="AE803" s="12">
        <v>8145828</v>
      </c>
      <c r="AF803" s="12">
        <v>9645991</v>
      </c>
      <c r="AG803" s="12">
        <v>10301918</v>
      </c>
      <c r="AH803" s="12">
        <v>9561472</v>
      </c>
      <c r="AI803" s="12">
        <v>10079562</v>
      </c>
      <c r="AJ803" s="21">
        <v>12309952</v>
      </c>
      <c r="AK803" s="21">
        <v>13211880</v>
      </c>
      <c r="AL803" s="21">
        <v>14422886</v>
      </c>
      <c r="AM803" s="21">
        <v>15456257</v>
      </c>
      <c r="AN803" s="855">
        <v>13088675</v>
      </c>
      <c r="AO803" s="855">
        <v>13685176</v>
      </c>
      <c r="AP803" s="1058">
        <v>14519107</v>
      </c>
      <c r="AQ803" s="1058">
        <v>14519107</v>
      </c>
      <c r="AR803" s="1044"/>
      <c r="AS803" s="1044"/>
    </row>
    <row r="804" spans="3:45" hidden="1" outlineLevel="1">
      <c r="C804" s="816" t="s">
        <v>16</v>
      </c>
      <c r="D804" s="401" t="s">
        <v>836</v>
      </c>
      <c r="E804" s="20" t="s">
        <v>859</v>
      </c>
      <c r="F804" s="20"/>
      <c r="G804" s="20"/>
      <c r="H804" s="20"/>
      <c r="I804" s="20"/>
      <c r="J804" s="20"/>
      <c r="K804" s="20"/>
      <c r="L804" s="20"/>
      <c r="M804" s="20"/>
      <c r="N804" s="20"/>
      <c r="O804" s="20"/>
      <c r="P804" s="20"/>
      <c r="Q804" s="20"/>
      <c r="R804" s="20"/>
      <c r="S804" s="20"/>
      <c r="T804" s="20"/>
      <c r="U804" s="20"/>
      <c r="V804" s="20"/>
      <c r="W804" s="20"/>
      <c r="X804" s="20"/>
      <c r="Y804" s="20"/>
      <c r="Z804" s="20"/>
      <c r="AA804" s="20"/>
      <c r="AB804" s="12"/>
      <c r="AC804" s="12"/>
      <c r="AD804" s="12">
        <v>1820226</v>
      </c>
      <c r="AE804" s="12">
        <v>1820226</v>
      </c>
      <c r="AF804" s="12">
        <v>1817448</v>
      </c>
      <c r="AG804" s="12">
        <v>1941035</v>
      </c>
      <c r="AH804" s="12">
        <v>1784687</v>
      </c>
      <c r="AI804" s="12">
        <v>1881390</v>
      </c>
      <c r="AJ804" s="21">
        <v>2187090</v>
      </c>
      <c r="AK804" s="21">
        <v>2347316</v>
      </c>
      <c r="AL804" s="21">
        <v>2692248</v>
      </c>
      <c r="AM804" s="21">
        <v>2885122</v>
      </c>
      <c r="AN804" s="855">
        <v>2517305</v>
      </c>
      <c r="AO804" s="855">
        <v>2632096</v>
      </c>
      <c r="AP804" s="1058">
        <v>2502470</v>
      </c>
      <c r="AQ804" s="1058">
        <v>2502470</v>
      </c>
      <c r="AR804" s="1044"/>
      <c r="AS804" s="1044"/>
    </row>
    <row r="805" spans="3:45" hidden="1" outlineLevel="1">
      <c r="C805" s="816" t="s">
        <v>16</v>
      </c>
      <c r="D805" s="401" t="s">
        <v>836</v>
      </c>
      <c r="E805" s="20" t="s">
        <v>1427</v>
      </c>
      <c r="F805" s="20"/>
      <c r="G805" s="20"/>
      <c r="H805" s="20"/>
      <c r="I805" s="20"/>
      <c r="J805" s="20"/>
      <c r="K805" s="20"/>
      <c r="L805" s="20"/>
      <c r="M805" s="20"/>
      <c r="N805" s="20"/>
      <c r="O805" s="20"/>
      <c r="P805" s="20"/>
      <c r="Q805" s="20"/>
      <c r="R805" s="20"/>
      <c r="S805" s="20"/>
      <c r="T805" s="20"/>
      <c r="U805" s="20"/>
      <c r="V805" s="20"/>
      <c r="W805" s="20"/>
      <c r="X805" s="20"/>
      <c r="Y805" s="20"/>
      <c r="Z805" s="20"/>
      <c r="AA805" s="20"/>
      <c r="AB805" s="12"/>
      <c r="AC805" s="12"/>
      <c r="AD805" s="12">
        <v>313744</v>
      </c>
      <c r="AE805" s="12">
        <v>313744</v>
      </c>
      <c r="AF805" s="12">
        <v>335585</v>
      </c>
      <c r="AG805" s="12">
        <v>358405</v>
      </c>
      <c r="AH805" s="12">
        <v>267345</v>
      </c>
      <c r="AI805" s="12">
        <v>281831</v>
      </c>
      <c r="AJ805" s="21">
        <v>290200</v>
      </c>
      <c r="AK805" s="21">
        <v>311472</v>
      </c>
      <c r="AL805" s="21">
        <v>351842</v>
      </c>
      <c r="AM805" s="21">
        <v>377024</v>
      </c>
      <c r="AN805" s="855">
        <v>350882</v>
      </c>
      <c r="AO805" s="855">
        <v>366861</v>
      </c>
      <c r="AP805" s="1058">
        <v>310383</v>
      </c>
      <c r="AQ805" s="1058">
        <v>310383</v>
      </c>
      <c r="AR805" s="1044"/>
      <c r="AS805" s="1044"/>
    </row>
    <row r="806" spans="3:45" hidden="1" outlineLevel="1">
      <c r="C806" s="816" t="s">
        <v>16</v>
      </c>
      <c r="D806" s="401" t="s">
        <v>958</v>
      </c>
      <c r="E806" s="592" t="s">
        <v>60</v>
      </c>
      <c r="F806" s="20"/>
      <c r="G806" s="20"/>
      <c r="H806" s="20"/>
      <c r="I806" s="20"/>
      <c r="J806" s="20"/>
      <c r="K806" s="20"/>
      <c r="L806" s="20"/>
      <c r="M806" s="20"/>
      <c r="N806" s="20"/>
      <c r="O806" s="20"/>
      <c r="P806" s="20"/>
      <c r="Q806" s="20"/>
      <c r="R806" s="20"/>
      <c r="S806" s="20"/>
      <c r="T806" s="20"/>
      <c r="U806" s="20"/>
      <c r="V806" s="20"/>
      <c r="W806" s="20"/>
      <c r="X806" s="20"/>
      <c r="Y806" s="20"/>
      <c r="Z806" s="20"/>
      <c r="AA806" s="20"/>
      <c r="AB806" s="12"/>
      <c r="AC806" s="12"/>
      <c r="AD806" s="12">
        <v>85853</v>
      </c>
      <c r="AE806" s="12">
        <v>85853</v>
      </c>
      <c r="AF806" s="12">
        <v>126065</v>
      </c>
      <c r="AG806" s="12">
        <v>134637</v>
      </c>
      <c r="AH806" s="12">
        <v>128340</v>
      </c>
      <c r="AI806" s="12">
        <v>135294</v>
      </c>
      <c r="AJ806" s="21">
        <v>183524</v>
      </c>
      <c r="AK806" s="21">
        <v>196976</v>
      </c>
      <c r="AL806" s="21">
        <v>123210</v>
      </c>
      <c r="AM806" s="21">
        <v>132044</v>
      </c>
      <c r="AN806" s="855">
        <v>113399</v>
      </c>
      <c r="AO806" s="855">
        <v>118574</v>
      </c>
      <c r="AP806" s="1058">
        <v>263127</v>
      </c>
      <c r="AQ806" s="1058">
        <v>263127</v>
      </c>
      <c r="AR806" s="1044"/>
      <c r="AS806" s="1044"/>
    </row>
    <row r="807" spans="3:45" hidden="1" outlineLevel="1">
      <c r="C807" s="816" t="s">
        <v>16</v>
      </c>
      <c r="D807" s="401" t="s">
        <v>836</v>
      </c>
      <c r="E807" s="20" t="s">
        <v>730</v>
      </c>
      <c r="F807" s="20"/>
      <c r="G807" s="20"/>
      <c r="H807" s="20"/>
      <c r="I807" s="20"/>
      <c r="J807" s="20"/>
      <c r="K807" s="20"/>
      <c r="L807" s="20"/>
      <c r="M807" s="20"/>
      <c r="N807" s="20"/>
      <c r="O807" s="20"/>
      <c r="P807" s="20"/>
      <c r="Q807" s="20"/>
      <c r="R807" s="20"/>
      <c r="S807" s="20"/>
      <c r="T807" s="20"/>
      <c r="U807" s="20"/>
      <c r="V807" s="20"/>
      <c r="W807" s="20"/>
      <c r="X807" s="20"/>
      <c r="Y807" s="20"/>
      <c r="Z807" s="20"/>
      <c r="AA807" s="20"/>
      <c r="AB807" s="12"/>
      <c r="AC807" s="12"/>
      <c r="AD807" s="12">
        <v>2438445</v>
      </c>
      <c r="AE807" s="12">
        <v>2438445</v>
      </c>
      <c r="AF807" s="12">
        <v>2506783</v>
      </c>
      <c r="AG807" s="12">
        <v>2677244</v>
      </c>
      <c r="AH807" s="12">
        <v>2424265</v>
      </c>
      <c r="AI807" s="12">
        <v>2555624</v>
      </c>
      <c r="AJ807" s="21">
        <v>2927907</v>
      </c>
      <c r="AK807" s="21">
        <v>3142284</v>
      </c>
      <c r="AL807" s="21">
        <v>3451880</v>
      </c>
      <c r="AM807" s="21">
        <v>3699302</v>
      </c>
      <c r="AN807" s="855">
        <v>3336070</v>
      </c>
      <c r="AO807" s="855">
        <v>3488172</v>
      </c>
      <c r="AP807" s="1058">
        <v>3629695</v>
      </c>
      <c r="AQ807" s="1058">
        <v>3629695</v>
      </c>
      <c r="AR807" s="1044"/>
      <c r="AS807" s="1044"/>
    </row>
    <row r="808" spans="3:45" hidden="1" outlineLevel="1">
      <c r="C808" s="816" t="s">
        <v>16</v>
      </c>
      <c r="D808" s="401" t="s">
        <v>836</v>
      </c>
      <c r="E808" s="20" t="s">
        <v>731</v>
      </c>
      <c r="F808" s="20"/>
      <c r="G808" s="20"/>
      <c r="H808" s="20"/>
      <c r="I808" s="20"/>
      <c r="J808" s="20"/>
      <c r="K808" s="20"/>
      <c r="L808" s="20"/>
      <c r="M808" s="20"/>
      <c r="N808" s="20"/>
      <c r="O808" s="20"/>
      <c r="P808" s="20"/>
      <c r="Q808" s="20"/>
      <c r="R808" s="20"/>
      <c r="S808" s="20"/>
      <c r="T808" s="20"/>
      <c r="U808" s="20"/>
      <c r="V808" s="20"/>
      <c r="W808" s="20"/>
      <c r="X808" s="20"/>
      <c r="Y808" s="20"/>
      <c r="Z808" s="20"/>
      <c r="AA808" s="20"/>
      <c r="AB808" s="12"/>
      <c r="AC808" s="12"/>
      <c r="AD808" s="12">
        <v>12615865</v>
      </c>
      <c r="AE808" s="12">
        <v>12615865</v>
      </c>
      <c r="AF808" s="12">
        <v>15141839</v>
      </c>
      <c r="AG808" s="12">
        <v>16171484</v>
      </c>
      <c r="AH808" s="12">
        <v>16635634</v>
      </c>
      <c r="AI808" s="12">
        <v>17537039</v>
      </c>
      <c r="AJ808" s="21">
        <v>20005338</v>
      </c>
      <c r="AK808" s="21">
        <v>21471334</v>
      </c>
      <c r="AL808" s="21">
        <v>15344258</v>
      </c>
      <c r="AM808" s="21">
        <v>16444157</v>
      </c>
      <c r="AN808" s="855">
        <v>14764651</v>
      </c>
      <c r="AO808" s="855">
        <v>15437711</v>
      </c>
      <c r="AP808" s="1058">
        <v>14845281</v>
      </c>
      <c r="AQ808" s="1058">
        <v>14845281</v>
      </c>
      <c r="AR808" s="1044"/>
      <c r="AS808" s="1044"/>
    </row>
    <row r="809" spans="3:45" hidden="1" outlineLevel="1">
      <c r="C809" s="816" t="s">
        <v>16</v>
      </c>
      <c r="D809" s="401" t="s">
        <v>836</v>
      </c>
      <c r="E809" s="224" t="s">
        <v>1453</v>
      </c>
      <c r="F809" s="20"/>
      <c r="G809" s="20"/>
      <c r="H809" s="20"/>
      <c r="I809" s="20"/>
      <c r="J809" s="20"/>
      <c r="K809" s="20"/>
      <c r="L809" s="20"/>
      <c r="M809" s="20"/>
      <c r="N809" s="20"/>
      <c r="O809" s="20"/>
      <c r="P809" s="20"/>
      <c r="Q809" s="20"/>
      <c r="R809" s="20"/>
      <c r="S809" s="20"/>
      <c r="T809" s="20"/>
      <c r="U809" s="20"/>
      <c r="V809" s="20"/>
      <c r="W809" s="20"/>
      <c r="X809" s="20"/>
      <c r="Y809" s="20"/>
      <c r="Z809" s="20"/>
      <c r="AA809" s="20"/>
      <c r="AB809" s="12"/>
      <c r="AC809" s="12"/>
      <c r="AD809" s="12">
        <v>0</v>
      </c>
      <c r="AE809" s="12">
        <v>0</v>
      </c>
      <c r="AF809" s="12">
        <v>0</v>
      </c>
      <c r="AG809" s="12">
        <v>0</v>
      </c>
      <c r="AH809" s="12">
        <v>455195</v>
      </c>
      <c r="AI809" s="12">
        <v>479860</v>
      </c>
      <c r="AJ809" s="21">
        <v>775263</v>
      </c>
      <c r="AK809" s="21">
        <v>832043</v>
      </c>
      <c r="AL809" s="21">
        <v>968388</v>
      </c>
      <c r="AM809" s="21">
        <v>1037690</v>
      </c>
      <c r="AN809" s="855">
        <v>1418266</v>
      </c>
      <c r="AO809" s="855">
        <v>1482862</v>
      </c>
      <c r="AP809" s="1058">
        <v>1499997</v>
      </c>
      <c r="AQ809" s="1058">
        <v>1499997</v>
      </c>
      <c r="AR809" s="1044"/>
      <c r="AS809" s="1044"/>
    </row>
    <row r="810" spans="3:45" hidden="1" outlineLevel="1">
      <c r="C810" s="816" t="s">
        <v>16</v>
      </c>
      <c r="D810" s="401" t="s">
        <v>1498</v>
      </c>
      <c r="E810" s="593" t="s">
        <v>1440</v>
      </c>
      <c r="F810" s="20"/>
      <c r="G810" s="20"/>
      <c r="H810" s="20"/>
      <c r="I810" s="20"/>
      <c r="J810" s="20"/>
      <c r="K810" s="20"/>
      <c r="L810" s="20"/>
      <c r="M810" s="20"/>
      <c r="N810" s="20"/>
      <c r="O810" s="20"/>
      <c r="P810" s="20"/>
      <c r="Q810" s="20"/>
      <c r="R810" s="20"/>
      <c r="S810" s="20"/>
      <c r="T810" s="20"/>
      <c r="U810" s="20"/>
      <c r="V810" s="20"/>
      <c r="W810" s="20"/>
      <c r="X810" s="20"/>
      <c r="Y810" s="20"/>
      <c r="Z810" s="20"/>
      <c r="AA810" s="20"/>
      <c r="AB810" s="12"/>
      <c r="AC810" s="12"/>
      <c r="AD810" s="12">
        <v>3755162</v>
      </c>
      <c r="AE810" s="12">
        <v>3755162</v>
      </c>
      <c r="AF810" s="12">
        <v>4249266</v>
      </c>
      <c r="AG810" s="12">
        <v>4538216</v>
      </c>
      <c r="AH810" s="12">
        <v>4080585</v>
      </c>
      <c r="AI810" s="12">
        <v>4301692</v>
      </c>
      <c r="AJ810" s="21">
        <v>4810579</v>
      </c>
      <c r="AK810" s="21">
        <v>5162819</v>
      </c>
      <c r="AL810" s="21">
        <v>6813892</v>
      </c>
      <c r="AM810" s="21">
        <v>7301983</v>
      </c>
      <c r="AN810" s="855">
        <v>6557580</v>
      </c>
      <c r="AO810" s="855">
        <v>6856488</v>
      </c>
      <c r="AP810" s="1058">
        <v>6501213</v>
      </c>
      <c r="AQ810" s="1058">
        <v>6501213</v>
      </c>
      <c r="AR810" s="1044"/>
      <c r="AS810" s="1044"/>
    </row>
    <row r="811" spans="3:45" hidden="1" outlineLevel="1">
      <c r="C811" s="816" t="s">
        <v>16</v>
      </c>
      <c r="D811" s="401" t="s">
        <v>836</v>
      </c>
      <c r="E811" s="20" t="s">
        <v>1426</v>
      </c>
      <c r="F811" s="20"/>
      <c r="G811" s="20"/>
      <c r="H811" s="20"/>
      <c r="I811" s="20"/>
      <c r="J811" s="20"/>
      <c r="K811" s="20"/>
      <c r="L811" s="20"/>
      <c r="M811" s="20"/>
      <c r="N811" s="20"/>
      <c r="O811" s="20"/>
      <c r="P811" s="20"/>
      <c r="Q811" s="20"/>
      <c r="R811" s="20"/>
      <c r="S811" s="20"/>
      <c r="T811" s="20"/>
      <c r="U811" s="20"/>
      <c r="V811" s="20"/>
      <c r="W811" s="20"/>
      <c r="X811" s="20"/>
      <c r="Y811" s="20"/>
      <c r="Z811" s="20"/>
      <c r="AA811" s="20"/>
      <c r="AB811" s="12"/>
      <c r="AC811" s="12"/>
      <c r="AD811" s="12">
        <v>5508131</v>
      </c>
      <c r="AE811" s="12">
        <v>5508131</v>
      </c>
      <c r="AF811" s="12">
        <v>6287327</v>
      </c>
      <c r="AG811" s="12">
        <v>6714866</v>
      </c>
      <c r="AH811" s="12">
        <v>6265593</v>
      </c>
      <c r="AI811" s="12">
        <v>6605095</v>
      </c>
      <c r="AJ811" s="21">
        <v>7670757</v>
      </c>
      <c r="AK811" s="21">
        <v>8232966</v>
      </c>
      <c r="AL811" s="21">
        <v>7116346</v>
      </c>
      <c r="AM811" s="21">
        <v>7626550</v>
      </c>
      <c r="AN811" s="855">
        <v>6723092</v>
      </c>
      <c r="AO811" s="855">
        <v>7029778</v>
      </c>
      <c r="AP811" s="1058">
        <v>6423580</v>
      </c>
      <c r="AQ811" s="1058">
        <v>6423580</v>
      </c>
      <c r="AR811" s="1044"/>
      <c r="AS811" s="1044"/>
    </row>
    <row r="812" spans="3:45" hidden="1" outlineLevel="1">
      <c r="C812" s="816" t="s">
        <v>16</v>
      </c>
      <c r="D812" s="401" t="s">
        <v>836</v>
      </c>
      <c r="E812" s="20" t="s">
        <v>733</v>
      </c>
      <c r="F812" s="20"/>
      <c r="G812" s="20"/>
      <c r="H812" s="20"/>
      <c r="I812" s="20"/>
      <c r="J812" s="20"/>
      <c r="K812" s="20"/>
      <c r="L812" s="20"/>
      <c r="M812" s="20"/>
      <c r="N812" s="20"/>
      <c r="O812" s="20"/>
      <c r="P812" s="20"/>
      <c r="Q812" s="20"/>
      <c r="R812" s="20"/>
      <c r="S812" s="20"/>
      <c r="T812" s="20"/>
      <c r="U812" s="20"/>
      <c r="V812" s="20"/>
      <c r="W812" s="20"/>
      <c r="X812" s="20"/>
      <c r="Y812" s="20"/>
      <c r="Z812" s="20"/>
      <c r="AA812" s="20"/>
      <c r="AB812" s="12"/>
      <c r="AC812" s="12"/>
      <c r="AD812" s="12">
        <v>3876050</v>
      </c>
      <c r="AE812" s="12">
        <v>3876050</v>
      </c>
      <c r="AF812" s="12">
        <v>4409873</v>
      </c>
      <c r="AG812" s="12">
        <v>4709744</v>
      </c>
      <c r="AH812" s="12">
        <v>3751544</v>
      </c>
      <c r="AI812" s="12">
        <v>3954821</v>
      </c>
      <c r="AJ812" s="21">
        <v>4806302</v>
      </c>
      <c r="AK812" s="21">
        <v>5158532</v>
      </c>
      <c r="AL812" s="21">
        <v>5467165</v>
      </c>
      <c r="AM812" s="21">
        <v>5859125</v>
      </c>
      <c r="AN812" s="855">
        <v>5284927</v>
      </c>
      <c r="AO812" s="855">
        <v>5525980</v>
      </c>
      <c r="AP812" s="1058">
        <v>5310788</v>
      </c>
      <c r="AQ812" s="1058">
        <v>5310788</v>
      </c>
      <c r="AR812" s="1044"/>
      <c r="AS812" s="1044"/>
    </row>
    <row r="813" spans="3:45" hidden="1" outlineLevel="1">
      <c r="C813" s="816" t="s">
        <v>16</v>
      </c>
      <c r="D813" s="401" t="s">
        <v>836</v>
      </c>
      <c r="E813" s="20" t="s">
        <v>735</v>
      </c>
      <c r="F813" s="20"/>
      <c r="G813" s="20"/>
      <c r="H813" s="20"/>
      <c r="I813" s="20"/>
      <c r="J813" s="20"/>
      <c r="K813" s="20"/>
      <c r="L813" s="20"/>
      <c r="M813" s="20"/>
      <c r="N813" s="20"/>
      <c r="O813" s="20"/>
      <c r="P813" s="20"/>
      <c r="Q813" s="20"/>
      <c r="R813" s="20"/>
      <c r="S813" s="20"/>
      <c r="T813" s="20"/>
      <c r="U813" s="20"/>
      <c r="V813" s="20"/>
      <c r="W813" s="20"/>
      <c r="X813" s="20"/>
      <c r="Y813" s="20"/>
      <c r="Z813" s="20"/>
      <c r="AA813" s="20"/>
      <c r="AB813" s="12"/>
      <c r="AC813" s="12"/>
      <c r="AD813" s="12">
        <v>14124693</v>
      </c>
      <c r="AE813" s="12">
        <v>14124693</v>
      </c>
      <c r="AF813" s="12">
        <v>15188237</v>
      </c>
      <c r="AG813" s="12">
        <v>16221037</v>
      </c>
      <c r="AH813" s="12">
        <v>14566101</v>
      </c>
      <c r="AI813" s="12">
        <v>15355368</v>
      </c>
      <c r="AJ813" s="21">
        <v>15963338</v>
      </c>
      <c r="AK813" s="21">
        <v>17133037</v>
      </c>
      <c r="AL813" s="21">
        <v>19949056</v>
      </c>
      <c r="AM813" s="21">
        <v>21378752</v>
      </c>
      <c r="AN813" s="855">
        <v>19899290</v>
      </c>
      <c r="AO813" s="855">
        <v>20806698</v>
      </c>
      <c r="AP813" s="1058">
        <v>21387701</v>
      </c>
      <c r="AQ813" s="1058">
        <v>21387701</v>
      </c>
      <c r="AR813" s="1044"/>
      <c r="AS813" s="1044"/>
    </row>
    <row r="814" spans="3:45" hidden="1" outlineLevel="1">
      <c r="C814" s="816" t="s">
        <v>16</v>
      </c>
      <c r="D814" s="401" t="s">
        <v>1498</v>
      </c>
      <c r="E814" s="593" t="s">
        <v>942</v>
      </c>
      <c r="F814" s="20"/>
      <c r="G814" s="20"/>
      <c r="H814" s="20"/>
      <c r="I814" s="20"/>
      <c r="J814" s="20"/>
      <c r="K814" s="20"/>
      <c r="L814" s="20"/>
      <c r="M814" s="20"/>
      <c r="N814" s="20"/>
      <c r="O814" s="20"/>
      <c r="P814" s="20"/>
      <c r="Q814" s="20"/>
      <c r="R814" s="20"/>
      <c r="S814" s="20"/>
      <c r="T814" s="20"/>
      <c r="U814" s="20"/>
      <c r="V814" s="20"/>
      <c r="W814" s="20"/>
      <c r="X814" s="20"/>
      <c r="Y814" s="20"/>
      <c r="Z814" s="20"/>
      <c r="AA814" s="20"/>
      <c r="AB814" s="12"/>
      <c r="AC814" s="12"/>
      <c r="AD814" s="12">
        <v>14487642</v>
      </c>
      <c r="AE814" s="12">
        <v>14487642</v>
      </c>
      <c r="AF814" s="12">
        <v>16740051</v>
      </c>
      <c r="AG814" s="12">
        <v>17878376</v>
      </c>
      <c r="AH814" s="12">
        <v>15246251</v>
      </c>
      <c r="AI814" s="12">
        <v>16072371</v>
      </c>
      <c r="AJ814" s="21">
        <v>17989293</v>
      </c>
      <c r="AK814" s="21">
        <v>19306985</v>
      </c>
      <c r="AL814" s="21">
        <v>17934922</v>
      </c>
      <c r="AM814" s="21">
        <v>19220441</v>
      </c>
      <c r="AN814" s="855">
        <v>18424166</v>
      </c>
      <c r="AO814" s="855">
        <v>19264069</v>
      </c>
      <c r="AP814" s="1058">
        <v>19150856</v>
      </c>
      <c r="AQ814" s="1058">
        <v>19150856</v>
      </c>
      <c r="AR814" s="1044"/>
      <c r="AS814" s="1044"/>
    </row>
    <row r="815" spans="3:45" hidden="1" outlineLevel="1">
      <c r="C815" s="816" t="s">
        <v>16</v>
      </c>
      <c r="D815" s="401" t="s">
        <v>1498</v>
      </c>
      <c r="E815" s="616" t="s">
        <v>1556</v>
      </c>
      <c r="F815" s="20"/>
      <c r="G815" s="20"/>
      <c r="H815" s="20"/>
      <c r="I815" s="20"/>
      <c r="J815" s="20"/>
      <c r="K815" s="20"/>
      <c r="L815" s="20"/>
      <c r="M815" s="20"/>
      <c r="N815" s="20"/>
      <c r="O815" s="20"/>
      <c r="P815" s="20"/>
      <c r="Q815" s="20"/>
      <c r="R815" s="20"/>
      <c r="S815" s="20"/>
      <c r="T815" s="20"/>
      <c r="U815" s="20"/>
      <c r="V815" s="20"/>
      <c r="W815" s="20"/>
      <c r="X815" s="20"/>
      <c r="Y815" s="20"/>
      <c r="Z815" s="20"/>
      <c r="AA815" s="20"/>
      <c r="AB815" s="12"/>
      <c r="AC815" s="12"/>
      <c r="AD815" s="12"/>
      <c r="AE815" s="12"/>
      <c r="AF815" s="12"/>
      <c r="AG815" s="12"/>
      <c r="AH815" s="12"/>
      <c r="AI815" s="12"/>
      <c r="AJ815" s="21"/>
      <c r="AK815" s="21"/>
      <c r="AL815" s="21">
        <v>4507047</v>
      </c>
      <c r="AM815" s="21">
        <v>4830052</v>
      </c>
      <c r="AN815" s="855">
        <v>4799108</v>
      </c>
      <c r="AO815" s="855">
        <v>5017793</v>
      </c>
      <c r="AP815" s="1058">
        <v>4990564</v>
      </c>
      <c r="AQ815" s="1058">
        <v>4990564</v>
      </c>
      <c r="AR815" s="1044"/>
      <c r="AS815" s="1044"/>
    </row>
    <row r="816" spans="3:45" hidden="1" outlineLevel="1">
      <c r="C816" s="816" t="s">
        <v>16</v>
      </c>
      <c r="D816" s="401" t="s">
        <v>836</v>
      </c>
      <c r="E816" s="20" t="s">
        <v>737</v>
      </c>
      <c r="F816" s="20"/>
      <c r="G816" s="20"/>
      <c r="H816" s="20"/>
      <c r="I816" s="20"/>
      <c r="J816" s="20"/>
      <c r="K816" s="20"/>
      <c r="L816" s="20"/>
      <c r="M816" s="20"/>
      <c r="N816" s="20"/>
      <c r="O816" s="20"/>
      <c r="P816" s="20"/>
      <c r="Q816" s="20"/>
      <c r="R816" s="20"/>
      <c r="S816" s="20"/>
      <c r="T816" s="20"/>
      <c r="U816" s="20"/>
      <c r="V816" s="20"/>
      <c r="W816" s="20"/>
      <c r="X816" s="20"/>
      <c r="Y816" s="20"/>
      <c r="Z816" s="20"/>
      <c r="AA816" s="20"/>
      <c r="AB816" s="12"/>
      <c r="AC816" s="12"/>
      <c r="AD816" s="12">
        <v>5188363</v>
      </c>
      <c r="AE816" s="12">
        <v>5188363</v>
      </c>
      <c r="AF816" s="12">
        <v>5802825</v>
      </c>
      <c r="AG816" s="12">
        <v>6197418</v>
      </c>
      <c r="AH816" s="12">
        <v>5577494</v>
      </c>
      <c r="AI816" s="12">
        <v>5879711</v>
      </c>
      <c r="AJ816" s="21">
        <v>6495223</v>
      </c>
      <c r="AK816" s="21">
        <v>6971055</v>
      </c>
      <c r="AL816" s="21">
        <v>7756438</v>
      </c>
      <c r="AM816" s="21">
        <v>8312114</v>
      </c>
      <c r="AN816" s="855">
        <v>7110548</v>
      </c>
      <c r="AO816" s="855">
        <v>7434616</v>
      </c>
      <c r="AP816" s="1058">
        <v>7133320</v>
      </c>
      <c r="AQ816" s="1058">
        <v>7133320</v>
      </c>
      <c r="AR816" s="1044"/>
      <c r="AS816" s="1044"/>
    </row>
    <row r="817" spans="2:45" hidden="1" outlineLevel="1">
      <c r="C817" s="816" t="s">
        <v>16</v>
      </c>
      <c r="D817" s="401" t="s">
        <v>2100</v>
      </c>
      <c r="E817" s="20" t="s">
        <v>1442</v>
      </c>
      <c r="F817" s="20"/>
      <c r="G817" s="20"/>
      <c r="H817" s="20"/>
      <c r="I817" s="20"/>
      <c r="J817" s="20"/>
      <c r="K817" s="20"/>
      <c r="L817" s="20"/>
      <c r="M817" s="20"/>
      <c r="N817" s="20"/>
      <c r="O817" s="20"/>
      <c r="P817" s="20"/>
      <c r="Q817" s="20"/>
      <c r="R817" s="20"/>
      <c r="S817" s="20"/>
      <c r="T817" s="20"/>
      <c r="U817" s="20"/>
      <c r="V817" s="20"/>
      <c r="W817" s="20"/>
      <c r="X817" s="20"/>
      <c r="Y817" s="20"/>
      <c r="Z817" s="20"/>
      <c r="AA817" s="20"/>
      <c r="AB817" s="12"/>
      <c r="AC817" s="12"/>
      <c r="AD817" s="12">
        <v>1785834</v>
      </c>
      <c r="AE817" s="12">
        <v>1785834</v>
      </c>
      <c r="AF817" s="12">
        <v>1885398</v>
      </c>
      <c r="AG817" s="12">
        <v>2013605</v>
      </c>
      <c r="AH817" s="12">
        <v>1629307</v>
      </c>
      <c r="AI817" s="12">
        <v>1717591</v>
      </c>
      <c r="AJ817" s="21">
        <v>1987068</v>
      </c>
      <c r="AK817" s="21">
        <v>2132682</v>
      </c>
      <c r="AL817" s="1222">
        <v>2287224</v>
      </c>
      <c r="AM817" s="1222">
        <v>2451106</v>
      </c>
      <c r="AN817" s="855">
        <v>2445448</v>
      </c>
      <c r="AO817" s="855">
        <v>2556937</v>
      </c>
      <c r="AP817" s="1058">
        <v>2808206</v>
      </c>
      <c r="AQ817" s="1058">
        <v>2808206</v>
      </c>
      <c r="AR817" s="1044"/>
      <c r="AS817" s="1044"/>
    </row>
    <row r="818" spans="2:45" hidden="1" outlineLevel="1">
      <c r="C818" s="816" t="s">
        <v>16</v>
      </c>
      <c r="D818" s="852" t="s">
        <v>2100</v>
      </c>
      <c r="E818" s="20" t="s">
        <v>1443</v>
      </c>
      <c r="F818" s="20"/>
      <c r="G818" s="20"/>
      <c r="H818" s="20"/>
      <c r="I818" s="20"/>
      <c r="J818" s="20"/>
      <c r="K818" s="20"/>
      <c r="L818" s="20"/>
      <c r="M818" s="20"/>
      <c r="N818" s="20"/>
      <c r="O818" s="20"/>
      <c r="P818" s="20"/>
      <c r="Q818" s="20"/>
      <c r="R818" s="20"/>
      <c r="S818" s="20"/>
      <c r="T818" s="20"/>
      <c r="U818" s="20"/>
      <c r="V818" s="20"/>
      <c r="W818" s="20"/>
      <c r="X818" s="20"/>
      <c r="Y818" s="20"/>
      <c r="Z818" s="20"/>
      <c r="AA818" s="20"/>
      <c r="AB818" s="12"/>
      <c r="AC818" s="12"/>
      <c r="AD818" s="12">
        <v>1104330</v>
      </c>
      <c r="AE818" s="12">
        <v>1104330</v>
      </c>
      <c r="AF818" s="12">
        <v>1177972</v>
      </c>
      <c r="AG818" s="12">
        <v>1258074</v>
      </c>
      <c r="AH818" s="12">
        <v>1086553</v>
      </c>
      <c r="AI818" s="12">
        <v>1145428</v>
      </c>
      <c r="AJ818" s="21">
        <v>1155284</v>
      </c>
      <c r="AK818" s="21">
        <v>1239920</v>
      </c>
      <c r="AL818" s="1222">
        <v>1142369</v>
      </c>
      <c r="AM818" s="1222">
        <v>1224233</v>
      </c>
      <c r="AN818" s="855">
        <v>1104598</v>
      </c>
      <c r="AO818" s="855">
        <v>1154942</v>
      </c>
      <c r="AP818" s="1058">
        <v>1330224</v>
      </c>
      <c r="AQ818" s="1058">
        <v>1330224</v>
      </c>
      <c r="AR818" s="1044"/>
      <c r="AS818" s="1044"/>
    </row>
    <row r="819" spans="2:45" hidden="1" outlineLevel="1">
      <c r="C819" s="816" t="s">
        <v>16</v>
      </c>
      <c r="D819" s="852" t="s">
        <v>2100</v>
      </c>
      <c r="E819" s="20" t="s">
        <v>1444</v>
      </c>
      <c r="F819" s="20"/>
      <c r="G819" s="20"/>
      <c r="H819" s="20"/>
      <c r="I819" s="20"/>
      <c r="J819" s="20"/>
      <c r="K819" s="20"/>
      <c r="L819" s="20"/>
      <c r="M819" s="20"/>
      <c r="N819" s="20"/>
      <c r="O819" s="20"/>
      <c r="P819" s="20"/>
      <c r="Q819" s="20"/>
      <c r="R819" s="20"/>
      <c r="S819" s="20"/>
      <c r="T819" s="20"/>
      <c r="U819" s="20"/>
      <c r="V819" s="20"/>
      <c r="W819" s="20"/>
      <c r="X819" s="20"/>
      <c r="Y819" s="20"/>
      <c r="Z819" s="20"/>
      <c r="AA819" s="20"/>
      <c r="AB819" s="12"/>
      <c r="AC819" s="12"/>
      <c r="AD819" s="12">
        <v>375982</v>
      </c>
      <c r="AE819" s="12">
        <v>375982</v>
      </c>
      <c r="AF819" s="12">
        <v>389495</v>
      </c>
      <c r="AG819" s="12">
        <v>415981</v>
      </c>
      <c r="AH819" s="12">
        <v>405574</v>
      </c>
      <c r="AI819" s="12">
        <v>427550</v>
      </c>
      <c r="AJ819" s="21">
        <v>426047</v>
      </c>
      <c r="AK819" s="21">
        <v>457235</v>
      </c>
      <c r="AL819" s="21">
        <v>673215</v>
      </c>
      <c r="AM819" s="21">
        <v>721485</v>
      </c>
      <c r="AN819" s="855">
        <v>483836</v>
      </c>
      <c r="AO819" s="855">
        <v>505910</v>
      </c>
      <c r="AP819" s="1222">
        <v>551937</v>
      </c>
      <c r="AQ819" s="1222">
        <v>551937</v>
      </c>
      <c r="AR819" s="1044"/>
      <c r="AS819" s="1044"/>
    </row>
    <row r="820" spans="2:45" hidden="1" outlineLevel="1">
      <c r="C820" s="816" t="s">
        <v>16</v>
      </c>
      <c r="D820" s="852" t="s">
        <v>2100</v>
      </c>
      <c r="E820" s="20" t="s">
        <v>1445</v>
      </c>
      <c r="F820" s="20"/>
      <c r="G820" s="20"/>
      <c r="H820" s="20"/>
      <c r="I820" s="20"/>
      <c r="J820" s="20"/>
      <c r="K820" s="20"/>
      <c r="L820" s="20"/>
      <c r="M820" s="20"/>
      <c r="N820" s="20"/>
      <c r="O820" s="20"/>
      <c r="P820" s="20"/>
      <c r="Q820" s="20"/>
      <c r="R820" s="20"/>
      <c r="S820" s="20"/>
      <c r="T820" s="20"/>
      <c r="U820" s="20"/>
      <c r="V820" s="20"/>
      <c r="W820" s="20"/>
      <c r="X820" s="20"/>
      <c r="Y820" s="20"/>
      <c r="Z820" s="20"/>
      <c r="AA820" s="20"/>
      <c r="AB820" s="12"/>
      <c r="AC820" s="12"/>
      <c r="AD820" s="12">
        <v>2437158</v>
      </c>
      <c r="AE820" s="12">
        <v>2437158</v>
      </c>
      <c r="AF820" s="12">
        <v>2583047</v>
      </c>
      <c r="AG820" s="12">
        <v>2758694</v>
      </c>
      <c r="AH820" s="12">
        <v>2258338</v>
      </c>
      <c r="AI820" s="12">
        <v>2380707</v>
      </c>
      <c r="AJ820" s="21">
        <v>2719497</v>
      </c>
      <c r="AK820" s="21">
        <v>2918757</v>
      </c>
      <c r="AL820" s="1222">
        <v>3124827</v>
      </c>
      <c r="AM820" s="1222">
        <v>3348463</v>
      </c>
      <c r="AN820" s="855">
        <v>3042400</v>
      </c>
      <c r="AO820" s="855">
        <v>3180828</v>
      </c>
      <c r="AP820" s="1222">
        <v>3392035</v>
      </c>
      <c r="AQ820" s="1222">
        <v>3392035</v>
      </c>
      <c r="AR820" s="1044"/>
      <c r="AS820" s="1044"/>
    </row>
    <row r="821" spans="2:45" s="846" customFormat="1" hidden="1" outlineLevel="1">
      <c r="B821" s="847"/>
      <c r="C821" s="848" t="s">
        <v>16</v>
      </c>
      <c r="D821" s="852" t="s">
        <v>2100</v>
      </c>
      <c r="E821" s="853" t="s">
        <v>1852</v>
      </c>
      <c r="F821" s="850"/>
      <c r="G821" s="850"/>
      <c r="H821" s="850"/>
      <c r="I821" s="850"/>
      <c r="J821" s="850"/>
      <c r="K821" s="850"/>
      <c r="L821" s="850"/>
      <c r="M821" s="850"/>
      <c r="N821" s="850"/>
      <c r="O821" s="850"/>
      <c r="P821" s="850"/>
      <c r="Q821" s="850"/>
      <c r="R821" s="850"/>
      <c r="S821" s="850"/>
      <c r="T821" s="850"/>
      <c r="U821" s="850"/>
      <c r="V821" s="850"/>
      <c r="W821" s="850"/>
      <c r="X821" s="850"/>
      <c r="Y821" s="850"/>
      <c r="Z821" s="850"/>
      <c r="AA821" s="850"/>
      <c r="AB821" s="849"/>
      <c r="AC821" s="849"/>
      <c r="AD821" s="849"/>
      <c r="AE821" s="849"/>
      <c r="AF821" s="849"/>
      <c r="AG821" s="849"/>
      <c r="AH821" s="849"/>
      <c r="AI821" s="849"/>
      <c r="AJ821" s="851"/>
      <c r="AK821" s="851"/>
      <c r="AL821" s="851"/>
      <c r="AM821" s="851"/>
      <c r="AN821" s="855">
        <v>218791</v>
      </c>
      <c r="AO821" s="855">
        <v>228775</v>
      </c>
      <c r="AP821" s="1058">
        <v>361312</v>
      </c>
      <c r="AQ821" s="1058">
        <v>361312</v>
      </c>
      <c r="AR821" s="1044"/>
      <c r="AS821" s="1044"/>
    </row>
    <row r="822" spans="2:45" s="846" customFormat="1" hidden="1" outlineLevel="1">
      <c r="B822" s="847"/>
      <c r="C822" s="848" t="s">
        <v>16</v>
      </c>
      <c r="D822" s="852" t="s">
        <v>2100</v>
      </c>
      <c r="E822" s="853" t="s">
        <v>1853</v>
      </c>
      <c r="F822" s="850"/>
      <c r="G822" s="850"/>
      <c r="H822" s="850"/>
      <c r="I822" s="850"/>
      <c r="J822" s="850"/>
      <c r="K822" s="850"/>
      <c r="L822" s="850"/>
      <c r="M822" s="850"/>
      <c r="N822" s="850"/>
      <c r="O822" s="850"/>
      <c r="P822" s="850"/>
      <c r="Q822" s="850"/>
      <c r="R822" s="850"/>
      <c r="S822" s="850"/>
      <c r="T822" s="850"/>
      <c r="U822" s="850"/>
      <c r="V822" s="850"/>
      <c r="W822" s="850"/>
      <c r="X822" s="850"/>
      <c r="Y822" s="850"/>
      <c r="Z822" s="850"/>
      <c r="AA822" s="850"/>
      <c r="AB822" s="849"/>
      <c r="AC822" s="849"/>
      <c r="AD822" s="849"/>
      <c r="AE822" s="849"/>
      <c r="AF822" s="849"/>
      <c r="AG822" s="849"/>
      <c r="AH822" s="849"/>
      <c r="AI822" s="849"/>
      <c r="AJ822" s="851"/>
      <c r="AK822" s="851"/>
      <c r="AL822" s="851"/>
      <c r="AM822" s="851"/>
      <c r="AN822" s="855">
        <v>177003</v>
      </c>
      <c r="AO822" s="855">
        <v>185026</v>
      </c>
      <c r="AP822" s="1058">
        <v>254770</v>
      </c>
      <c r="AQ822" s="1058">
        <v>254770</v>
      </c>
      <c r="AR822" s="1044"/>
      <c r="AS822" s="1044"/>
    </row>
    <row r="823" spans="2:45" hidden="1" outlineLevel="1">
      <c r="C823" s="816" t="s">
        <v>16</v>
      </c>
      <c r="D823" s="401" t="s">
        <v>1542</v>
      </c>
      <c r="E823" s="592" t="s">
        <v>1441</v>
      </c>
      <c r="F823" s="20"/>
      <c r="G823" s="20"/>
      <c r="H823" s="20"/>
      <c r="I823" s="20"/>
      <c r="J823" s="20"/>
      <c r="K823" s="20"/>
      <c r="L823" s="20"/>
      <c r="M823" s="20"/>
      <c r="N823" s="20"/>
      <c r="O823" s="20"/>
      <c r="P823" s="20"/>
      <c r="Q823" s="20"/>
      <c r="R823" s="20"/>
      <c r="S823" s="20"/>
      <c r="T823" s="20"/>
      <c r="U823" s="20"/>
      <c r="V823" s="20"/>
      <c r="W823" s="20"/>
      <c r="X823" s="20"/>
      <c r="Y823" s="20"/>
      <c r="Z823" s="20"/>
      <c r="AA823" s="20"/>
      <c r="AB823" s="12"/>
      <c r="AC823" s="12"/>
      <c r="AD823" s="12">
        <v>2686042</v>
      </c>
      <c r="AE823" s="12">
        <v>2686042</v>
      </c>
      <c r="AF823" s="12">
        <v>2975795</v>
      </c>
      <c r="AG823" s="12">
        <v>3178149</v>
      </c>
      <c r="AH823" s="12">
        <v>2843826</v>
      </c>
      <c r="AI823" s="12">
        <v>2997919</v>
      </c>
      <c r="AJ823" s="21">
        <v>3640555</v>
      </c>
      <c r="AK823" s="21">
        <v>3907408</v>
      </c>
      <c r="AL823" s="1222">
        <v>4424830</v>
      </c>
      <c r="AM823" s="1222">
        <v>4741989</v>
      </c>
      <c r="AN823" s="855">
        <v>8057878</v>
      </c>
      <c r="AO823" s="855">
        <v>8425485</v>
      </c>
      <c r="AP823" s="1058">
        <v>5465338</v>
      </c>
      <c r="AQ823" s="1058">
        <v>5465338</v>
      </c>
      <c r="AR823" s="1044"/>
      <c r="AS823" s="1044"/>
    </row>
    <row r="824" spans="2:45" hidden="1" outlineLevel="1">
      <c r="C824" s="816" t="s">
        <v>16</v>
      </c>
      <c r="D824" s="401" t="s">
        <v>958</v>
      </c>
      <c r="E824" s="592" t="s">
        <v>1431</v>
      </c>
      <c r="F824" s="20"/>
      <c r="G824" s="20"/>
      <c r="H824" s="20"/>
      <c r="I824" s="20"/>
      <c r="J824" s="20"/>
      <c r="K824" s="20"/>
      <c r="L824" s="20"/>
      <c r="M824" s="20"/>
      <c r="N824" s="20"/>
      <c r="O824" s="20"/>
      <c r="P824" s="20"/>
      <c r="Q824" s="20"/>
      <c r="R824" s="20"/>
      <c r="S824" s="20"/>
      <c r="T824" s="20"/>
      <c r="U824" s="20"/>
      <c r="V824" s="20"/>
      <c r="W824" s="20"/>
      <c r="X824" s="20"/>
      <c r="Y824" s="20"/>
      <c r="Z824" s="20"/>
      <c r="AA824" s="20"/>
      <c r="AB824" s="12"/>
      <c r="AC824" s="12"/>
      <c r="AD824" s="12">
        <v>497486</v>
      </c>
      <c r="AE824" s="12">
        <v>497486</v>
      </c>
      <c r="AF824" s="12">
        <v>762899</v>
      </c>
      <c r="AG824" s="12">
        <v>814776</v>
      </c>
      <c r="AH824" s="12">
        <v>467595</v>
      </c>
      <c r="AI824" s="12">
        <v>492932</v>
      </c>
      <c r="AJ824" s="24">
        <v>1994536</v>
      </c>
      <c r="AK824" s="24">
        <v>2140630</v>
      </c>
      <c r="AL824" s="24">
        <v>2408152</v>
      </c>
      <c r="AM824" s="24">
        <v>2580610</v>
      </c>
      <c r="AN824" s="858">
        <v>3710601</v>
      </c>
      <c r="AO824" s="858">
        <v>3879565</v>
      </c>
      <c r="AP824" s="1058">
        <v>1052832</v>
      </c>
      <c r="AQ824" s="1058">
        <v>1052832</v>
      </c>
      <c r="AR824" s="1044"/>
      <c r="AS824" s="1044"/>
    </row>
    <row r="825" spans="2:45" hidden="1" outlineLevel="1">
      <c r="C825" s="816" t="s">
        <v>16</v>
      </c>
      <c r="D825" s="401" t="s">
        <v>958</v>
      </c>
      <c r="E825" s="592" t="s">
        <v>1432</v>
      </c>
      <c r="F825" s="20"/>
      <c r="G825" s="20"/>
      <c r="H825" s="20"/>
      <c r="I825" s="20"/>
      <c r="J825" s="20"/>
      <c r="K825" s="20"/>
      <c r="L825" s="20"/>
      <c r="M825" s="20"/>
      <c r="N825" s="20"/>
      <c r="O825" s="20"/>
      <c r="P825" s="20"/>
      <c r="Q825" s="20"/>
      <c r="R825" s="20"/>
      <c r="S825" s="20"/>
      <c r="T825" s="20"/>
      <c r="U825" s="20"/>
      <c r="V825" s="20"/>
      <c r="W825" s="20"/>
      <c r="X825" s="20"/>
      <c r="Y825" s="20"/>
      <c r="Z825" s="20"/>
      <c r="AA825" s="20"/>
      <c r="AB825" s="12"/>
      <c r="AC825" s="12"/>
      <c r="AD825" s="12">
        <v>498829</v>
      </c>
      <c r="AE825" s="12">
        <v>498829</v>
      </c>
      <c r="AF825" s="12">
        <v>656132</v>
      </c>
      <c r="AG825" s="12">
        <v>700749</v>
      </c>
      <c r="AH825" s="12">
        <v>610756</v>
      </c>
      <c r="AI825" s="12">
        <v>643850</v>
      </c>
      <c r="AJ825" s="394">
        <f>560260+3</f>
        <v>560263</v>
      </c>
      <c r="AK825" s="394">
        <f>601327-1</f>
        <v>601326</v>
      </c>
      <c r="AL825" s="394">
        <v>705147</v>
      </c>
      <c r="AM825" s="394">
        <v>755705</v>
      </c>
      <c r="AN825" s="859">
        <v>703537</v>
      </c>
      <c r="AO825" s="859">
        <v>735634</v>
      </c>
      <c r="AP825" s="859">
        <v>742381</v>
      </c>
      <c r="AQ825" s="859">
        <v>742381</v>
      </c>
      <c r="AR825" s="1044"/>
      <c r="AS825" s="1044"/>
    </row>
    <row r="826" spans="2:45" hidden="1" outlineLevel="1">
      <c r="C826" s="816" t="s">
        <v>16</v>
      </c>
      <c r="D826" s="9"/>
      <c r="E826" s="226" t="s">
        <v>77</v>
      </c>
      <c r="F826" s="23"/>
      <c r="G826" s="23"/>
      <c r="H826" s="23"/>
      <c r="I826" s="23"/>
      <c r="J826" s="23"/>
      <c r="K826" s="23"/>
      <c r="L826" s="23"/>
      <c r="M826" s="23"/>
      <c r="N826" s="23"/>
      <c r="O826" s="23"/>
      <c r="P826" s="23"/>
      <c r="Q826" s="23"/>
      <c r="R826" s="23"/>
      <c r="S826" s="23"/>
      <c r="T826" s="23"/>
      <c r="U826" s="23"/>
      <c r="V826" s="23"/>
      <c r="W826" s="23"/>
      <c r="X826" s="23"/>
      <c r="Y826" s="23"/>
      <c r="Z826" s="23"/>
      <c r="AA826" s="23"/>
      <c r="AB826" s="34"/>
      <c r="AC826" s="34"/>
      <c r="AD826" s="34">
        <f>153979799+2524459</f>
        <v>156504258</v>
      </c>
      <c r="AE826" s="34">
        <v>2524459</v>
      </c>
      <c r="AF826" s="34">
        <f>156290646+2489341</f>
        <v>158779987</v>
      </c>
      <c r="AG826" s="34">
        <f>166918409+2658616</f>
        <v>169577025</v>
      </c>
      <c r="AH826" s="34">
        <f>95089990+1492481</f>
        <v>96582471</v>
      </c>
      <c r="AI826" s="34">
        <f>100242458+1573351</f>
        <v>101815809</v>
      </c>
      <c r="AJ826" s="230">
        <f>136322615+1663990</f>
        <v>137986605</v>
      </c>
      <c r="AK826" s="230">
        <f>146315063+1785965</f>
        <v>148101028</v>
      </c>
      <c r="AL826" s="230">
        <v>153911789</v>
      </c>
      <c r="AM826" s="230">
        <v>164932067</v>
      </c>
      <c r="AN826" s="856">
        <v>178406837</v>
      </c>
      <c r="AO826" s="856">
        <v>186532234</v>
      </c>
      <c r="AP826" s="920">
        <v>184094737</v>
      </c>
      <c r="AQ826" s="920">
        <v>184094737</v>
      </c>
      <c r="AR826" s="1044"/>
      <c r="AS826" s="1044"/>
    </row>
    <row r="827" spans="2:45" hidden="1" outlineLevel="1">
      <c r="C827" s="816" t="s">
        <v>16</v>
      </c>
      <c r="D827" s="9"/>
      <c r="E827" s="20" t="s">
        <v>155</v>
      </c>
      <c r="F827" s="20"/>
      <c r="G827" s="20"/>
      <c r="H827" s="20"/>
      <c r="I827" s="20"/>
      <c r="J827" s="20"/>
      <c r="K827" s="20"/>
      <c r="L827" s="20"/>
      <c r="M827" s="20"/>
      <c r="N827" s="20"/>
      <c r="O827" s="20"/>
      <c r="P827" s="20"/>
      <c r="Q827" s="20"/>
      <c r="R827" s="20"/>
      <c r="S827" s="20"/>
      <c r="T827" s="20"/>
      <c r="U827" s="20"/>
      <c r="V827" s="20"/>
      <c r="W827" s="20"/>
      <c r="X827" s="20"/>
      <c r="Y827" s="20"/>
      <c r="Z827" s="20"/>
      <c r="AA827" s="20"/>
      <c r="AB827" s="12"/>
      <c r="AC827" s="12"/>
      <c r="AD827" s="12">
        <v>722150</v>
      </c>
      <c r="AE827" s="12">
        <v>729372</v>
      </c>
      <c r="AF827" s="12">
        <v>500000</v>
      </c>
      <c r="AG827" s="12">
        <v>500000</v>
      </c>
      <c r="AH827" s="12">
        <v>0</v>
      </c>
      <c r="AI827" s="12">
        <v>0</v>
      </c>
      <c r="AJ827" s="21">
        <v>0</v>
      </c>
      <c r="AK827" s="21">
        <v>0</v>
      </c>
      <c r="AL827" s="21">
        <v>0</v>
      </c>
      <c r="AM827" s="21">
        <v>0</v>
      </c>
      <c r="AN827" s="855">
        <v>0</v>
      </c>
      <c r="AO827" s="855">
        <v>0</v>
      </c>
      <c r="AP827" s="1058">
        <v>0</v>
      </c>
      <c r="AQ827" s="1058">
        <v>0</v>
      </c>
      <c r="AR827" s="1044"/>
      <c r="AS827" s="1044"/>
    </row>
    <row r="828" spans="2:45" hidden="1" outlineLevel="1">
      <c r="C828" s="816" t="s">
        <v>16</v>
      </c>
      <c r="D828" s="9"/>
      <c r="E828" s="20" t="s">
        <v>156</v>
      </c>
      <c r="F828" s="20"/>
      <c r="G828" s="20"/>
      <c r="H828" s="20"/>
      <c r="I828" s="20"/>
      <c r="J828" s="20"/>
      <c r="K828" s="20"/>
      <c r="L828" s="20"/>
      <c r="M828" s="20"/>
      <c r="N828" s="20"/>
      <c r="O828" s="20"/>
      <c r="P828" s="20"/>
      <c r="Q828" s="20"/>
      <c r="R828" s="20"/>
      <c r="S828" s="20"/>
      <c r="T828" s="20"/>
      <c r="U828" s="20"/>
      <c r="V828" s="20"/>
      <c r="W828" s="20"/>
      <c r="X828" s="20"/>
      <c r="Y828" s="20"/>
      <c r="Z828" s="20"/>
      <c r="AA828" s="20"/>
      <c r="AB828" s="12"/>
      <c r="AC828" s="12"/>
      <c r="AD828" s="12">
        <v>0</v>
      </c>
      <c r="AE828" s="12">
        <v>0</v>
      </c>
      <c r="AF828" s="12">
        <v>108734</v>
      </c>
      <c r="AG828" s="12">
        <v>108734</v>
      </c>
      <c r="AH828" s="12">
        <v>0</v>
      </c>
      <c r="AI828" s="12">
        <v>0</v>
      </c>
      <c r="AJ828" s="21">
        <v>0</v>
      </c>
      <c r="AK828" s="21">
        <v>0</v>
      </c>
      <c r="AL828" s="21">
        <v>0</v>
      </c>
      <c r="AM828" s="21">
        <v>0</v>
      </c>
      <c r="AN828" s="855">
        <v>0</v>
      </c>
      <c r="AO828" s="855">
        <v>0</v>
      </c>
      <c r="AP828" s="1058">
        <v>0</v>
      </c>
      <c r="AQ828" s="1058">
        <v>0</v>
      </c>
      <c r="AR828" s="1044"/>
      <c r="AS828" s="1044"/>
    </row>
    <row r="829" spans="2:45" hidden="1" outlineLevel="1">
      <c r="C829" s="816" t="s">
        <v>16</v>
      </c>
      <c r="D829" s="9"/>
      <c r="E829" s="27" t="s">
        <v>157</v>
      </c>
      <c r="F829" s="27"/>
      <c r="G829" s="27"/>
      <c r="H829" s="27"/>
      <c r="I829" s="27"/>
      <c r="J829" s="27"/>
      <c r="K829" s="27"/>
      <c r="L829" s="27"/>
      <c r="M829" s="27"/>
      <c r="N829" s="27"/>
      <c r="O829" s="27"/>
      <c r="P829" s="27"/>
      <c r="Q829" s="27"/>
      <c r="R829" s="27"/>
      <c r="S829" s="27"/>
      <c r="T829" s="27"/>
      <c r="U829" s="27"/>
      <c r="V829" s="27"/>
      <c r="W829" s="27"/>
      <c r="X829" s="27"/>
      <c r="Y829" s="27"/>
      <c r="Z829" s="27"/>
      <c r="AA829" s="27"/>
      <c r="AB829" s="34"/>
      <c r="AC829" s="34"/>
      <c r="AD829" s="34">
        <v>502899303</v>
      </c>
      <c r="AE829" s="34">
        <v>348926726</v>
      </c>
      <c r="AF829" s="34">
        <f>543728398-639559</f>
        <v>543088839</v>
      </c>
      <c r="AG829" s="34">
        <f>580660537-683049</f>
        <v>579977488</v>
      </c>
      <c r="AH829" s="34">
        <f>471701364-683982</f>
        <v>471017382</v>
      </c>
      <c r="AI829" s="34">
        <f>497260586-1400437-721044</f>
        <v>495139105</v>
      </c>
      <c r="AJ829" s="45">
        <f t="shared" ref="AJ829:AQ829" si="234">SUM(AJ752:AJ828)</f>
        <v>574559571</v>
      </c>
      <c r="AK829" s="45">
        <f t="shared" si="234"/>
        <v>616652126</v>
      </c>
      <c r="AL829" s="45">
        <f t="shared" si="234"/>
        <v>665110413</v>
      </c>
      <c r="AM829" s="45">
        <f t="shared" si="234"/>
        <v>712776657</v>
      </c>
      <c r="AN829" s="857">
        <f t="shared" si="234"/>
        <v>690375295</v>
      </c>
      <c r="AO829" s="857">
        <f t="shared" si="234"/>
        <v>721852872</v>
      </c>
      <c r="AP829" s="983">
        <f t="shared" si="234"/>
        <v>708935833</v>
      </c>
      <c r="AQ829" s="983">
        <f t="shared" si="234"/>
        <v>708935830</v>
      </c>
      <c r="AR829" s="1236"/>
      <c r="AS829" s="1236"/>
    </row>
    <row r="830" spans="2:45" hidden="1" outlineLevel="1">
      <c r="C830" s="816"/>
      <c r="D830" s="25" t="s">
        <v>836</v>
      </c>
      <c r="E830" s="25" t="s">
        <v>1218</v>
      </c>
      <c r="F830" s="20"/>
      <c r="G830" s="20"/>
      <c r="H830" s="20"/>
      <c r="I830" s="20"/>
      <c r="J830" s="20"/>
      <c r="K830" s="20"/>
      <c r="L830" s="20"/>
      <c r="M830" s="20"/>
      <c r="N830" s="20"/>
      <c r="O830" s="20"/>
      <c r="P830" s="20"/>
      <c r="Q830" s="20"/>
      <c r="R830" s="20"/>
      <c r="S830" s="20"/>
      <c r="T830" s="20"/>
      <c r="U830" s="20"/>
      <c r="V830" s="20"/>
      <c r="W830" s="20"/>
      <c r="X830" s="20"/>
      <c r="Y830" s="20"/>
      <c r="Z830" s="20"/>
      <c r="AA830" s="20"/>
      <c r="AB830" s="12"/>
      <c r="AC830" s="12"/>
      <c r="AD830" s="12">
        <f t="shared" ref="AD830:AQ836" si="235">SUMIF($D$752:$D$828,$D830,AD$752:AD$828)</f>
        <v>208373875</v>
      </c>
      <c r="AE830" s="12">
        <f t="shared" si="235"/>
        <v>208373875</v>
      </c>
      <c r="AF830" s="12">
        <f t="shared" si="235"/>
        <v>230476002</v>
      </c>
      <c r="AG830" s="12">
        <f t="shared" si="235"/>
        <v>246148371</v>
      </c>
      <c r="AH830" s="12">
        <f t="shared" si="235"/>
        <v>225455449</v>
      </c>
      <c r="AI830" s="12">
        <f t="shared" si="235"/>
        <v>237671792</v>
      </c>
      <c r="AJ830" s="12">
        <f t="shared" si="235"/>
        <v>264397530</v>
      </c>
      <c r="AK830" s="12">
        <f t="shared" si="235"/>
        <v>283762505</v>
      </c>
      <c r="AL830" s="12">
        <f t="shared" si="235"/>
        <v>300464105</v>
      </c>
      <c r="AM830" s="12">
        <f t="shared" si="235"/>
        <v>322002718</v>
      </c>
      <c r="AN830" s="854">
        <f t="shared" si="235"/>
        <v>294223799</v>
      </c>
      <c r="AO830" s="854">
        <f t="shared" si="235"/>
        <v>307643901</v>
      </c>
      <c r="AP830" s="1070">
        <f t="shared" si="235"/>
        <v>300078040</v>
      </c>
      <c r="AQ830" s="1070">
        <f t="shared" si="235"/>
        <v>300078040</v>
      </c>
      <c r="AR830" s="1044"/>
      <c r="AS830" s="1044"/>
    </row>
    <row r="831" spans="2:45" hidden="1" outlineLevel="1">
      <c r="C831" s="816"/>
      <c r="D831" s="25" t="s">
        <v>958</v>
      </c>
      <c r="E831" s="25" t="s">
        <v>1548</v>
      </c>
      <c r="F831" s="20"/>
      <c r="G831" s="20"/>
      <c r="H831" s="20"/>
      <c r="I831" s="20"/>
      <c r="J831" s="20"/>
      <c r="K831" s="20"/>
      <c r="L831" s="20"/>
      <c r="M831" s="20"/>
      <c r="N831" s="20"/>
      <c r="O831" s="20"/>
      <c r="P831" s="20"/>
      <c r="Q831" s="20"/>
      <c r="R831" s="20"/>
      <c r="S831" s="20"/>
      <c r="T831" s="20"/>
      <c r="U831" s="20"/>
      <c r="V831" s="20"/>
      <c r="W831" s="20"/>
      <c r="X831" s="20"/>
      <c r="Y831" s="20"/>
      <c r="Z831" s="20"/>
      <c r="AA831" s="20"/>
      <c r="AB831" s="12"/>
      <c r="AC831" s="12"/>
      <c r="AD831" s="12">
        <f t="shared" si="235"/>
        <v>1740591</v>
      </c>
      <c r="AE831" s="12">
        <f t="shared" si="235"/>
        <v>1740591</v>
      </c>
      <c r="AF831" s="12">
        <f t="shared" si="235"/>
        <v>2291223</v>
      </c>
      <c r="AG831" s="12">
        <f t="shared" si="235"/>
        <v>2447025</v>
      </c>
      <c r="AH831" s="12">
        <f t="shared" si="235"/>
        <v>1972033</v>
      </c>
      <c r="AI831" s="12">
        <f t="shared" si="235"/>
        <v>2078889</v>
      </c>
      <c r="AJ831" s="12">
        <f t="shared" si="235"/>
        <v>3435837</v>
      </c>
      <c r="AK831" s="12">
        <f t="shared" si="235"/>
        <v>3687516</v>
      </c>
      <c r="AL831" s="12">
        <f t="shared" si="235"/>
        <v>3705944</v>
      </c>
      <c r="AM831" s="12">
        <f t="shared" si="235"/>
        <v>3971452</v>
      </c>
      <c r="AN831" s="854">
        <f t="shared" si="235"/>
        <v>5010452</v>
      </c>
      <c r="AO831" s="854">
        <f t="shared" si="235"/>
        <v>5238721</v>
      </c>
      <c r="AP831" s="1070">
        <f t="shared" si="235"/>
        <v>2325188</v>
      </c>
      <c r="AQ831" s="1070">
        <f t="shared" si="235"/>
        <v>2325188</v>
      </c>
      <c r="AR831" s="1044"/>
      <c r="AS831" s="1044"/>
    </row>
    <row r="832" spans="2:45" ht="12" hidden="1" customHeight="1" outlineLevel="1">
      <c r="C832" s="816"/>
      <c r="D832" s="25" t="s">
        <v>1498</v>
      </c>
      <c r="E832" s="25" t="s">
        <v>1263</v>
      </c>
      <c r="F832" s="20"/>
      <c r="G832" s="20"/>
      <c r="H832" s="20"/>
      <c r="I832" s="20"/>
      <c r="J832" s="20"/>
      <c r="K832" s="20"/>
      <c r="L832" s="20"/>
      <c r="M832" s="20"/>
      <c r="N832" s="20"/>
      <c r="O832" s="20"/>
      <c r="P832" s="20"/>
      <c r="Q832" s="20"/>
      <c r="R832" s="20"/>
      <c r="S832" s="20"/>
      <c r="T832" s="20"/>
      <c r="U832" s="20"/>
      <c r="V832" s="20"/>
      <c r="W832" s="20"/>
      <c r="X832" s="20"/>
      <c r="Y832" s="20"/>
      <c r="Z832" s="20"/>
      <c r="AA832" s="20"/>
      <c r="AB832" s="12"/>
      <c r="AC832" s="12"/>
      <c r="AD832" s="12">
        <f t="shared" si="235"/>
        <v>102185973</v>
      </c>
      <c r="AE832" s="12">
        <f t="shared" si="235"/>
        <v>102185973</v>
      </c>
      <c r="AF832" s="12">
        <f t="shared" si="235"/>
        <v>114976749</v>
      </c>
      <c r="AG832" s="12">
        <f t="shared" si="235"/>
        <v>122795171</v>
      </c>
      <c r="AH832" s="12">
        <f t="shared" si="235"/>
        <v>113849834</v>
      </c>
      <c r="AI832" s="12">
        <f t="shared" si="235"/>
        <v>118618370</v>
      </c>
      <c r="AJ832" s="12">
        <f t="shared" si="235"/>
        <v>129304166</v>
      </c>
      <c r="AK832" s="12">
        <f t="shared" si="235"/>
        <v>138779188</v>
      </c>
      <c r="AL832" s="12">
        <f t="shared" si="235"/>
        <v>158582563</v>
      </c>
      <c r="AM832" s="12">
        <f t="shared" si="235"/>
        <v>169951900</v>
      </c>
      <c r="AN832" s="854">
        <f t="shared" si="235"/>
        <v>159846827</v>
      </c>
      <c r="AO832" s="854">
        <f t="shared" si="235"/>
        <v>167138458</v>
      </c>
      <c r="AP832" s="1070">
        <f t="shared" si="235"/>
        <v>169721372</v>
      </c>
      <c r="AQ832" s="1070">
        <f t="shared" si="235"/>
        <v>169721369</v>
      </c>
      <c r="AR832" s="1044"/>
      <c r="AS832" s="1044"/>
    </row>
    <row r="833" spans="2:45" hidden="1" outlineLevel="1">
      <c r="C833" s="816"/>
      <c r="D833" s="25" t="s">
        <v>2100</v>
      </c>
      <c r="E833" s="25" t="s">
        <v>2113</v>
      </c>
      <c r="F833" s="20"/>
      <c r="G833" s="20"/>
      <c r="H833" s="20"/>
      <c r="I833" s="20"/>
      <c r="J833" s="20"/>
      <c r="K833" s="20"/>
      <c r="L833" s="20"/>
      <c r="M833" s="20"/>
      <c r="N833" s="20"/>
      <c r="O833" s="20"/>
      <c r="P833" s="20"/>
      <c r="Q833" s="20"/>
      <c r="R833" s="20"/>
      <c r="S833" s="20"/>
      <c r="T833" s="20"/>
      <c r="U833" s="20"/>
      <c r="V833" s="20"/>
      <c r="W833" s="20"/>
      <c r="X833" s="20"/>
      <c r="Y833" s="20"/>
      <c r="Z833" s="20"/>
      <c r="AA833" s="20"/>
      <c r="AB833" s="12"/>
      <c r="AC833" s="12"/>
      <c r="AD833" s="12">
        <f t="shared" si="235"/>
        <v>5703304</v>
      </c>
      <c r="AE833" s="12">
        <f t="shared" si="235"/>
        <v>5703304</v>
      </c>
      <c r="AF833" s="12">
        <f t="shared" si="235"/>
        <v>6035912</v>
      </c>
      <c r="AG833" s="12">
        <f t="shared" si="235"/>
        <v>6446354</v>
      </c>
      <c r="AH833" s="12">
        <f t="shared" si="235"/>
        <v>5379772</v>
      </c>
      <c r="AI833" s="12">
        <f t="shared" si="235"/>
        <v>5671276</v>
      </c>
      <c r="AJ833" s="12">
        <f t="shared" si="235"/>
        <v>6287896</v>
      </c>
      <c r="AK833" s="12">
        <f t="shared" si="235"/>
        <v>6748594</v>
      </c>
      <c r="AL833" s="12">
        <f t="shared" si="235"/>
        <v>7227635</v>
      </c>
      <c r="AM833" s="12">
        <f t="shared" si="235"/>
        <v>7745287</v>
      </c>
      <c r="AN833" s="854">
        <f t="shared" si="235"/>
        <v>7472076</v>
      </c>
      <c r="AO833" s="854">
        <f t="shared" si="235"/>
        <v>7812418</v>
      </c>
      <c r="AP833" s="1070">
        <f t="shared" si="235"/>
        <v>8698484</v>
      </c>
      <c r="AQ833" s="1070">
        <f t="shared" si="235"/>
        <v>8698484</v>
      </c>
      <c r="AR833" s="1044"/>
      <c r="AS833" s="1044"/>
    </row>
    <row r="834" spans="2:45" s="1044" customFormat="1" hidden="1" outlineLevel="1">
      <c r="B834" s="1045"/>
      <c r="C834" s="1053"/>
      <c r="D834" s="1048" t="s">
        <v>2115</v>
      </c>
      <c r="E834" s="1048" t="s">
        <v>2114</v>
      </c>
      <c r="F834" s="1047"/>
      <c r="G834" s="1047"/>
      <c r="H834" s="1047"/>
      <c r="I834" s="1047"/>
      <c r="J834" s="1047"/>
      <c r="K834" s="1047"/>
      <c r="L834" s="1047"/>
      <c r="M834" s="1047"/>
      <c r="N834" s="1047"/>
      <c r="O834" s="1047"/>
      <c r="P834" s="1047"/>
      <c r="Q834" s="1047"/>
      <c r="R834" s="1047"/>
      <c r="S834" s="1047"/>
      <c r="T834" s="1047"/>
      <c r="U834" s="1047"/>
      <c r="V834" s="1047"/>
      <c r="W834" s="1047"/>
      <c r="X834" s="1047"/>
      <c r="Y834" s="1047"/>
      <c r="Z834" s="1047"/>
      <c r="AA834" s="1047"/>
      <c r="AB834" s="1070"/>
      <c r="AC834" s="1070"/>
      <c r="AD834" s="1070">
        <f t="shared" si="235"/>
        <v>2666321</v>
      </c>
      <c r="AE834" s="1070">
        <f t="shared" si="235"/>
        <v>2666321</v>
      </c>
      <c r="AF834" s="1070">
        <f t="shared" si="235"/>
        <v>2625956</v>
      </c>
      <c r="AG834" s="1070">
        <f t="shared" si="235"/>
        <v>2804522</v>
      </c>
      <c r="AH834" s="1070">
        <f t="shared" si="235"/>
        <v>2385107</v>
      </c>
      <c r="AI834" s="1070">
        <f t="shared" si="235"/>
        <v>2514344</v>
      </c>
      <c r="AJ834" s="1070">
        <f t="shared" si="235"/>
        <v>3031213</v>
      </c>
      <c r="AK834" s="1070">
        <f t="shared" si="235"/>
        <v>3253051</v>
      </c>
      <c r="AL834" s="1070">
        <f t="shared" si="235"/>
        <v>3836981</v>
      </c>
      <c r="AM834" s="1070">
        <f t="shared" si="235"/>
        <v>4111692</v>
      </c>
      <c r="AN834" s="1070">
        <f t="shared" si="235"/>
        <v>3727373</v>
      </c>
      <c r="AO834" s="1070">
        <f t="shared" si="235"/>
        <v>3897265</v>
      </c>
      <c r="AP834" s="1070">
        <f t="shared" si="235"/>
        <v>3834554</v>
      </c>
      <c r="AQ834" s="1070">
        <f t="shared" si="235"/>
        <v>3834554</v>
      </c>
    </row>
    <row r="835" spans="2:45" hidden="1" outlineLevel="1">
      <c r="C835" s="816"/>
      <c r="D835" s="25" t="s">
        <v>1542</v>
      </c>
      <c r="E835" s="25" t="s">
        <v>1549</v>
      </c>
      <c r="F835" s="20"/>
      <c r="G835" s="20"/>
      <c r="H835" s="20"/>
      <c r="I835" s="20"/>
      <c r="J835" s="20"/>
      <c r="K835" s="20"/>
      <c r="L835" s="20"/>
      <c r="M835" s="20"/>
      <c r="N835" s="20"/>
      <c r="O835" s="20"/>
      <c r="P835" s="20"/>
      <c r="Q835" s="20"/>
      <c r="R835" s="20"/>
      <c r="S835" s="20"/>
      <c r="T835" s="20"/>
      <c r="U835" s="20"/>
      <c r="V835" s="20"/>
      <c r="W835" s="20"/>
      <c r="X835" s="20"/>
      <c r="Y835" s="20"/>
      <c r="Z835" s="20"/>
      <c r="AA835" s="20"/>
      <c r="AB835" s="12"/>
      <c r="AC835" s="12"/>
      <c r="AD835" s="12">
        <f t="shared" si="235"/>
        <v>2686042</v>
      </c>
      <c r="AE835" s="12">
        <f t="shared" si="235"/>
        <v>2686042</v>
      </c>
      <c r="AF835" s="12">
        <f t="shared" si="235"/>
        <v>2975795</v>
      </c>
      <c r="AG835" s="12">
        <f t="shared" si="235"/>
        <v>3178149</v>
      </c>
      <c r="AH835" s="12">
        <f t="shared" si="235"/>
        <v>2843826</v>
      </c>
      <c r="AI835" s="12">
        <f t="shared" si="235"/>
        <v>2997919</v>
      </c>
      <c r="AJ835" s="12">
        <f t="shared" si="235"/>
        <v>3640555</v>
      </c>
      <c r="AK835" s="12">
        <f t="shared" si="235"/>
        <v>3907408</v>
      </c>
      <c r="AL835" s="12">
        <f t="shared" si="235"/>
        <v>4424830</v>
      </c>
      <c r="AM835" s="12">
        <f t="shared" si="235"/>
        <v>4741989</v>
      </c>
      <c r="AN835" s="854">
        <f t="shared" si="235"/>
        <v>8057878</v>
      </c>
      <c r="AO835" s="854">
        <f t="shared" si="235"/>
        <v>8425485</v>
      </c>
      <c r="AP835" s="1070">
        <f t="shared" si="235"/>
        <v>5465338</v>
      </c>
      <c r="AQ835" s="1070">
        <f t="shared" si="235"/>
        <v>5465338</v>
      </c>
      <c r="AR835" s="1044"/>
      <c r="AS835" s="1044"/>
    </row>
    <row r="836" spans="2:45" hidden="1" outlineLevel="1">
      <c r="C836" s="816"/>
      <c r="D836" s="25" t="s">
        <v>1541</v>
      </c>
      <c r="E836" s="25" t="s">
        <v>1550</v>
      </c>
      <c r="F836" s="20"/>
      <c r="G836" s="20"/>
      <c r="H836" s="20"/>
      <c r="I836" s="20"/>
      <c r="J836" s="20"/>
      <c r="K836" s="20"/>
      <c r="L836" s="20"/>
      <c r="M836" s="20"/>
      <c r="N836" s="20"/>
      <c r="O836" s="20"/>
      <c r="P836" s="20"/>
      <c r="Q836" s="20"/>
      <c r="R836" s="20"/>
      <c r="S836" s="20"/>
      <c r="T836" s="20"/>
      <c r="U836" s="20"/>
      <c r="V836" s="20"/>
      <c r="W836" s="20"/>
      <c r="X836" s="20"/>
      <c r="Y836" s="20"/>
      <c r="Z836" s="20"/>
      <c r="AA836" s="20"/>
      <c r="AB836" s="12"/>
      <c r="AC836" s="12"/>
      <c r="AD836" s="12">
        <f t="shared" si="235"/>
        <v>22316789</v>
      </c>
      <c r="AE836" s="12">
        <f t="shared" si="235"/>
        <v>22316789</v>
      </c>
      <c r="AF836" s="12">
        <f t="shared" si="235"/>
        <v>24318481</v>
      </c>
      <c r="AG836" s="12">
        <f t="shared" si="235"/>
        <v>25972137</v>
      </c>
      <c r="AH836" s="12">
        <f t="shared" si="235"/>
        <v>22548890</v>
      </c>
      <c r="AI836" s="12">
        <f t="shared" si="235"/>
        <v>23770706</v>
      </c>
      <c r="AJ836" s="12">
        <f t="shared" si="235"/>
        <v>26475769</v>
      </c>
      <c r="AK836" s="12">
        <f t="shared" si="235"/>
        <v>28412836</v>
      </c>
      <c r="AL836" s="12">
        <f t="shared" si="235"/>
        <v>32956566</v>
      </c>
      <c r="AM836" s="12">
        <f t="shared" si="235"/>
        <v>35319552</v>
      </c>
      <c r="AN836" s="854">
        <f t="shared" si="235"/>
        <v>33630053</v>
      </c>
      <c r="AO836" s="854">
        <f t="shared" si="235"/>
        <v>35164390</v>
      </c>
      <c r="AP836" s="1070">
        <f t="shared" si="235"/>
        <v>34718120</v>
      </c>
      <c r="AQ836" s="1070">
        <f t="shared" si="235"/>
        <v>34718120</v>
      </c>
      <c r="AR836" s="1044"/>
      <c r="AS836" s="1044"/>
    </row>
    <row r="837" spans="2:45" ht="12.75" customHeight="1" collapsed="1">
      <c r="C837" s="816" t="s">
        <v>1461</v>
      </c>
      <c r="D837" s="25"/>
      <c r="E837" s="25"/>
      <c r="F837" s="670"/>
      <c r="G837" s="670"/>
      <c r="H837" s="670"/>
      <c r="I837" s="670"/>
      <c r="J837" s="669"/>
      <c r="K837" s="669"/>
      <c r="L837" s="669"/>
      <c r="M837" s="669"/>
      <c r="N837" s="669"/>
      <c r="O837" s="669"/>
      <c r="P837" s="669"/>
      <c r="Q837" s="669"/>
      <c r="R837" s="669"/>
      <c r="S837" s="669"/>
      <c r="T837" s="669"/>
      <c r="U837" s="669"/>
      <c r="V837" s="669"/>
      <c r="W837" s="669"/>
      <c r="X837" s="669"/>
      <c r="Y837" s="669"/>
      <c r="Z837" s="669"/>
      <c r="AA837" s="669"/>
      <c r="AB837" s="669"/>
      <c r="AC837" s="669"/>
      <c r="AD837" s="1313" t="s">
        <v>1654</v>
      </c>
      <c r="AE837" s="1313"/>
      <c r="AF837" s="366"/>
      <c r="AG837" s="366"/>
      <c r="AH837" s="1305" t="s">
        <v>165</v>
      </c>
      <c r="AI837" s="1307"/>
      <c r="AJ837" s="1305" t="s">
        <v>165</v>
      </c>
      <c r="AK837" s="1307"/>
      <c r="AL837" s="1308" t="s">
        <v>1859</v>
      </c>
      <c r="AM837" s="1307"/>
      <c r="AN837" s="1308" t="s">
        <v>1859</v>
      </c>
      <c r="AO837" s="1307"/>
      <c r="AP837" s="1315" t="s">
        <v>1859</v>
      </c>
      <c r="AQ837" s="1316"/>
      <c r="AR837" s="1044"/>
      <c r="AS837" s="1044"/>
    </row>
    <row r="838" spans="2:45" hidden="1" outlineLevel="1">
      <c r="C838" s="816" t="s">
        <v>16</v>
      </c>
      <c r="D838" s="9"/>
      <c r="E838" s="20" t="s">
        <v>101</v>
      </c>
      <c r="F838" s="20"/>
      <c r="G838" s="20"/>
      <c r="H838" s="20"/>
      <c r="I838" s="20"/>
      <c r="J838" s="20"/>
      <c r="K838" s="20"/>
      <c r="L838" s="20"/>
      <c r="M838" s="20"/>
      <c r="N838" s="20"/>
      <c r="O838" s="20"/>
      <c r="P838" s="20"/>
      <c r="Q838" s="20"/>
      <c r="R838" s="20"/>
      <c r="S838" s="20"/>
      <c r="T838" s="20"/>
      <c r="U838" s="20"/>
      <c r="V838" s="20"/>
      <c r="W838" s="20"/>
      <c r="X838" s="20"/>
      <c r="Y838" s="20"/>
      <c r="Z838" s="20"/>
      <c r="AA838" s="20"/>
      <c r="AB838" s="12"/>
      <c r="AC838" s="12"/>
      <c r="AD838" s="671">
        <f t="shared" ref="AD838:AE857" si="236">ROUND(($AF838/$AF$888)*AD$888,0)</f>
        <v>12203115</v>
      </c>
      <c r="AE838" s="671">
        <f t="shared" si="236"/>
        <v>196840</v>
      </c>
      <c r="AF838" s="12">
        <v>12380561</v>
      </c>
      <c r="AG838" s="12">
        <v>13222439</v>
      </c>
      <c r="AH838" s="12">
        <v>7811768</v>
      </c>
      <c r="AI838" s="12">
        <v>8235050</v>
      </c>
      <c r="AJ838" s="37">
        <v>9936318</v>
      </c>
      <c r="AK838" s="37">
        <v>10664650</v>
      </c>
      <c r="AL838" s="684">
        <f>ROUND((AK838/AK$888)*AL$888,0)</f>
        <v>11083079</v>
      </c>
      <c r="AM838" s="684">
        <f t="shared" ref="AM838" si="237">ROUND((AL838/AL$888)*AM$888,0)</f>
        <v>11876641</v>
      </c>
      <c r="AN838" s="684">
        <f t="shared" ref="AN838:AQ857" si="238">ROUND((AM838/AM$888)*AN$888,0)</f>
        <v>12846950</v>
      </c>
      <c r="AO838" s="684">
        <f t="shared" si="238"/>
        <v>13432054</v>
      </c>
      <c r="AP838" s="684">
        <f t="shared" si="238"/>
        <v>13256532</v>
      </c>
      <c r="AQ838" s="684">
        <f t="shared" si="238"/>
        <v>13256532</v>
      </c>
      <c r="AR838" s="1044"/>
      <c r="AS838" s="1044"/>
    </row>
    <row r="839" spans="2:45" hidden="1" outlineLevel="1">
      <c r="C839" s="816" t="s">
        <v>16</v>
      </c>
      <c r="D839" s="9"/>
      <c r="E839" s="20" t="s">
        <v>166</v>
      </c>
      <c r="F839" s="20"/>
      <c r="G839" s="20"/>
      <c r="H839" s="20"/>
      <c r="I839" s="20"/>
      <c r="J839" s="20"/>
      <c r="K839" s="20"/>
      <c r="L839" s="20"/>
      <c r="M839" s="20"/>
      <c r="N839" s="20"/>
      <c r="O839" s="20"/>
      <c r="P839" s="20"/>
      <c r="Q839" s="20"/>
      <c r="R839" s="20"/>
      <c r="S839" s="20"/>
      <c r="T839" s="20"/>
      <c r="U839" s="20"/>
      <c r="V839" s="20"/>
      <c r="W839" s="20"/>
      <c r="X839" s="20"/>
      <c r="Y839" s="20"/>
      <c r="Z839" s="20"/>
      <c r="AA839" s="20"/>
      <c r="AB839" s="12"/>
      <c r="AC839" s="12"/>
      <c r="AD839" s="671">
        <f t="shared" si="236"/>
        <v>1532495</v>
      </c>
      <c r="AE839" s="671">
        <f t="shared" si="236"/>
        <v>24720</v>
      </c>
      <c r="AF839" s="12">
        <v>1554779</v>
      </c>
      <c r="AG839" s="12">
        <v>1660504</v>
      </c>
      <c r="AH839" s="12">
        <v>893729</v>
      </c>
      <c r="AI839" s="12">
        <v>942155</v>
      </c>
      <c r="AJ839" s="37">
        <v>1295698</v>
      </c>
      <c r="AK839" s="37">
        <v>1390672</v>
      </c>
      <c r="AL839" s="684">
        <f t="shared" ref="AL839:AM839" si="239">ROUND((AK839/AK$888)*AL$888,0)</f>
        <v>1445235</v>
      </c>
      <c r="AM839" s="684">
        <f t="shared" si="239"/>
        <v>1548716</v>
      </c>
      <c r="AN839" s="684">
        <f t="shared" si="238"/>
        <v>1675244</v>
      </c>
      <c r="AO839" s="684">
        <f t="shared" si="238"/>
        <v>1751542</v>
      </c>
      <c r="AP839" s="684">
        <f t="shared" si="238"/>
        <v>1728654</v>
      </c>
      <c r="AQ839" s="684">
        <f t="shared" si="238"/>
        <v>1728654</v>
      </c>
      <c r="AR839" s="1044"/>
      <c r="AS839" s="1044"/>
    </row>
    <row r="840" spans="2:45" hidden="1" outlineLevel="1">
      <c r="C840" s="816" t="s">
        <v>16</v>
      </c>
      <c r="D840" s="9"/>
      <c r="E840" s="20" t="s">
        <v>103</v>
      </c>
      <c r="F840" s="20"/>
      <c r="G840" s="20"/>
      <c r="H840" s="20"/>
      <c r="I840" s="20"/>
      <c r="J840" s="20"/>
      <c r="K840" s="20"/>
      <c r="L840" s="20"/>
      <c r="M840" s="20"/>
      <c r="N840" s="20"/>
      <c r="O840" s="20"/>
      <c r="P840" s="20"/>
      <c r="Q840" s="20"/>
      <c r="R840" s="20"/>
      <c r="S840" s="20"/>
      <c r="T840" s="20"/>
      <c r="U840" s="20"/>
      <c r="V840" s="20"/>
      <c r="W840" s="20"/>
      <c r="X840" s="20"/>
      <c r="Y840" s="20"/>
      <c r="Z840" s="20"/>
      <c r="AA840" s="20"/>
      <c r="AB840" s="12"/>
      <c r="AC840" s="12"/>
      <c r="AD840" s="671">
        <f t="shared" si="236"/>
        <v>3643783</v>
      </c>
      <c r="AE840" s="671">
        <f t="shared" si="236"/>
        <v>58775</v>
      </c>
      <c r="AF840" s="12">
        <v>3696767</v>
      </c>
      <c r="AG840" s="12">
        <v>3948147</v>
      </c>
      <c r="AH840" s="12">
        <v>2084021</v>
      </c>
      <c r="AI840" s="12">
        <v>2196944</v>
      </c>
      <c r="AJ840" s="37">
        <v>3001269</v>
      </c>
      <c r="AK840" s="37">
        <v>3221262</v>
      </c>
      <c r="AL840" s="684">
        <f t="shared" ref="AL840:AM840" si="240">ROUND((AK840/AK$888)*AL$888,0)</f>
        <v>3347649</v>
      </c>
      <c r="AM840" s="684">
        <f t="shared" si="240"/>
        <v>3587345</v>
      </c>
      <c r="AN840" s="684">
        <f t="shared" si="238"/>
        <v>3880427</v>
      </c>
      <c r="AO840" s="684">
        <f t="shared" si="238"/>
        <v>4057158</v>
      </c>
      <c r="AP840" s="684">
        <f t="shared" si="238"/>
        <v>4004141</v>
      </c>
      <c r="AQ840" s="684">
        <f t="shared" si="238"/>
        <v>4004141</v>
      </c>
      <c r="AR840" s="1044"/>
      <c r="AS840" s="1044"/>
    </row>
    <row r="841" spans="2:45" hidden="1" outlineLevel="1">
      <c r="C841" s="816" t="s">
        <v>16</v>
      </c>
      <c r="D841" s="9"/>
      <c r="E841" s="20" t="s">
        <v>104</v>
      </c>
      <c r="F841" s="20"/>
      <c r="G841" s="20"/>
      <c r="H841" s="20"/>
      <c r="I841" s="20"/>
      <c r="J841" s="20"/>
      <c r="K841" s="20"/>
      <c r="L841" s="20"/>
      <c r="M841" s="20"/>
      <c r="N841" s="20"/>
      <c r="O841" s="20"/>
      <c r="P841" s="20"/>
      <c r="Q841" s="20"/>
      <c r="R841" s="20"/>
      <c r="S841" s="20"/>
      <c r="T841" s="20"/>
      <c r="U841" s="20"/>
      <c r="V841" s="20"/>
      <c r="W841" s="20"/>
      <c r="X841" s="20"/>
      <c r="Y841" s="20"/>
      <c r="Z841" s="20"/>
      <c r="AA841" s="20"/>
      <c r="AB841" s="12"/>
      <c r="AC841" s="12"/>
      <c r="AD841" s="671">
        <f t="shared" si="236"/>
        <v>1294511</v>
      </c>
      <c r="AE841" s="671">
        <f t="shared" si="236"/>
        <v>20881</v>
      </c>
      <c r="AF841" s="12">
        <v>1313334</v>
      </c>
      <c r="AG841" s="12">
        <v>1402641</v>
      </c>
      <c r="AH841" s="12">
        <v>815658</v>
      </c>
      <c r="AI841" s="12">
        <v>859854</v>
      </c>
      <c r="AJ841" s="37">
        <v>1198643</v>
      </c>
      <c r="AK841" s="37">
        <v>1286503</v>
      </c>
      <c r="AL841" s="684">
        <f t="shared" ref="AL841:AM841" si="241">ROUND((AK841/AK$888)*AL$888,0)</f>
        <v>1336979</v>
      </c>
      <c r="AM841" s="684">
        <f t="shared" si="241"/>
        <v>1432708</v>
      </c>
      <c r="AN841" s="684">
        <f t="shared" si="238"/>
        <v>1549759</v>
      </c>
      <c r="AO841" s="684">
        <f t="shared" si="238"/>
        <v>1620342</v>
      </c>
      <c r="AP841" s="684">
        <f t="shared" si="238"/>
        <v>1599168</v>
      </c>
      <c r="AQ841" s="684">
        <f t="shared" si="238"/>
        <v>1599168</v>
      </c>
      <c r="AR841" s="1044"/>
      <c r="AS841" s="1044"/>
    </row>
    <row r="842" spans="2:45" hidden="1" outlineLevel="1">
      <c r="C842" s="816" t="s">
        <v>16</v>
      </c>
      <c r="D842" s="9"/>
      <c r="E842" s="20" t="s">
        <v>105</v>
      </c>
      <c r="F842" s="20"/>
      <c r="G842" s="20"/>
      <c r="H842" s="20"/>
      <c r="I842" s="20"/>
      <c r="J842" s="20"/>
      <c r="K842" s="20"/>
      <c r="L842" s="20"/>
      <c r="M842" s="20"/>
      <c r="N842" s="20"/>
      <c r="O842" s="20"/>
      <c r="P842" s="20"/>
      <c r="Q842" s="20"/>
      <c r="R842" s="20"/>
      <c r="S842" s="20"/>
      <c r="T842" s="20"/>
      <c r="U842" s="20"/>
      <c r="V842" s="20"/>
      <c r="W842" s="20"/>
      <c r="X842" s="20"/>
      <c r="Y842" s="20"/>
      <c r="Z842" s="20"/>
      <c r="AA842" s="20"/>
      <c r="AB842" s="12"/>
      <c r="AC842" s="12"/>
      <c r="AD842" s="671">
        <f t="shared" si="236"/>
        <v>8107113</v>
      </c>
      <c r="AE842" s="671">
        <f t="shared" si="236"/>
        <v>130770</v>
      </c>
      <c r="AF842" s="12">
        <v>8224999</v>
      </c>
      <c r="AG842" s="12">
        <v>8784299</v>
      </c>
      <c r="AH842" s="12">
        <v>5001580</v>
      </c>
      <c r="AI842" s="12">
        <v>5272591</v>
      </c>
      <c r="AJ842" s="37">
        <v>7891113</v>
      </c>
      <c r="AK842" s="37">
        <v>8469532</v>
      </c>
      <c r="AL842" s="684">
        <f t="shared" ref="AL842:AM842" si="242">ROUND((AK842/AK$888)*AL$888,0)</f>
        <v>8801835</v>
      </c>
      <c r="AM842" s="684">
        <f t="shared" si="242"/>
        <v>9432057</v>
      </c>
      <c r="AN842" s="684">
        <f t="shared" si="238"/>
        <v>10202646</v>
      </c>
      <c r="AO842" s="684">
        <f t="shared" si="238"/>
        <v>10667317</v>
      </c>
      <c r="AP842" s="684">
        <f t="shared" si="238"/>
        <v>10527923</v>
      </c>
      <c r="AQ842" s="684">
        <f t="shared" si="238"/>
        <v>10527923</v>
      </c>
      <c r="AR842" s="1044"/>
      <c r="AS842" s="1044"/>
    </row>
    <row r="843" spans="2:45" hidden="1" outlineLevel="1">
      <c r="C843" s="816" t="s">
        <v>16</v>
      </c>
      <c r="D843" s="9"/>
      <c r="E843" s="20" t="s">
        <v>106</v>
      </c>
      <c r="F843" s="20"/>
      <c r="G843" s="20"/>
      <c r="H843" s="20"/>
      <c r="I843" s="20"/>
      <c r="J843" s="20"/>
      <c r="K843" s="20"/>
      <c r="L843" s="20"/>
      <c r="M843" s="20"/>
      <c r="N843" s="20"/>
      <c r="O843" s="20"/>
      <c r="P843" s="20"/>
      <c r="Q843" s="20"/>
      <c r="R843" s="20"/>
      <c r="S843" s="20"/>
      <c r="T843" s="20"/>
      <c r="U843" s="20"/>
      <c r="V843" s="20"/>
      <c r="W843" s="20"/>
      <c r="X843" s="20"/>
      <c r="Y843" s="20"/>
      <c r="Z843" s="20"/>
      <c r="AA843" s="20"/>
      <c r="AB843" s="12"/>
      <c r="AC843" s="12"/>
      <c r="AD843" s="671">
        <f t="shared" si="236"/>
        <v>3205580</v>
      </c>
      <c r="AE843" s="671">
        <f t="shared" si="236"/>
        <v>51707</v>
      </c>
      <c r="AF843" s="12">
        <v>3252192</v>
      </c>
      <c r="AG843" s="12">
        <v>3473341</v>
      </c>
      <c r="AH843" s="12">
        <v>1961060</v>
      </c>
      <c r="AI843" s="12">
        <v>2067321</v>
      </c>
      <c r="AJ843" s="37">
        <v>2908188</v>
      </c>
      <c r="AK843" s="37">
        <v>3121358</v>
      </c>
      <c r="AL843" s="684">
        <f t="shared" ref="AL843:AM843" si="243">ROUND((AK843/AK$888)*AL$888,0)</f>
        <v>3243825</v>
      </c>
      <c r="AM843" s="684">
        <f t="shared" si="243"/>
        <v>3476087</v>
      </c>
      <c r="AN843" s="684">
        <f t="shared" si="238"/>
        <v>3760080</v>
      </c>
      <c r="AO843" s="684">
        <f t="shared" si="238"/>
        <v>3931330</v>
      </c>
      <c r="AP843" s="684">
        <f t="shared" si="238"/>
        <v>3879958</v>
      </c>
      <c r="AQ843" s="684">
        <f t="shared" si="238"/>
        <v>3879958</v>
      </c>
      <c r="AR843" s="1044"/>
      <c r="AS843" s="1044"/>
    </row>
    <row r="844" spans="2:45" hidden="1" outlineLevel="1">
      <c r="C844" s="816" t="s">
        <v>16</v>
      </c>
      <c r="D844" s="9"/>
      <c r="E844" s="20" t="s">
        <v>107</v>
      </c>
      <c r="F844" s="20"/>
      <c r="G844" s="20"/>
      <c r="H844" s="20"/>
      <c r="I844" s="20"/>
      <c r="J844" s="20"/>
      <c r="K844" s="20"/>
      <c r="L844" s="20"/>
      <c r="M844" s="20"/>
      <c r="N844" s="20"/>
      <c r="O844" s="20"/>
      <c r="P844" s="20"/>
      <c r="Q844" s="20"/>
      <c r="R844" s="20"/>
      <c r="S844" s="20"/>
      <c r="T844" s="20"/>
      <c r="U844" s="20"/>
      <c r="V844" s="20"/>
      <c r="W844" s="20"/>
      <c r="X844" s="20"/>
      <c r="Y844" s="20"/>
      <c r="Z844" s="20"/>
      <c r="AA844" s="20"/>
      <c r="AB844" s="12"/>
      <c r="AC844" s="12"/>
      <c r="AD844" s="671">
        <f t="shared" si="236"/>
        <v>1396045</v>
      </c>
      <c r="AE844" s="671">
        <f t="shared" si="236"/>
        <v>22519</v>
      </c>
      <c r="AF844" s="12">
        <v>1416345</v>
      </c>
      <c r="AG844" s="12">
        <v>1512656</v>
      </c>
      <c r="AH844" s="12">
        <v>826333</v>
      </c>
      <c r="AI844" s="12">
        <v>871108</v>
      </c>
      <c r="AJ844" s="37">
        <v>1136154</v>
      </c>
      <c r="AK844" s="37">
        <v>1219434</v>
      </c>
      <c r="AL844" s="684">
        <f t="shared" ref="AL844:AM844" si="244">ROUND((AK844/AK$888)*AL$888,0)</f>
        <v>1267279</v>
      </c>
      <c r="AM844" s="684">
        <f t="shared" si="244"/>
        <v>1358018</v>
      </c>
      <c r="AN844" s="684">
        <f t="shared" si="238"/>
        <v>1468967</v>
      </c>
      <c r="AO844" s="684">
        <f t="shared" si="238"/>
        <v>1535870</v>
      </c>
      <c r="AP844" s="684">
        <f t="shared" si="238"/>
        <v>1515800</v>
      </c>
      <c r="AQ844" s="684">
        <f t="shared" si="238"/>
        <v>1515800</v>
      </c>
      <c r="AR844" s="1044"/>
      <c r="AS844" s="1044"/>
    </row>
    <row r="845" spans="2:45" hidden="1" outlineLevel="1">
      <c r="C845" s="816" t="s">
        <v>16</v>
      </c>
      <c r="D845" s="9"/>
      <c r="E845" s="20" t="s">
        <v>108</v>
      </c>
      <c r="F845" s="20"/>
      <c r="G845" s="20"/>
      <c r="H845" s="20"/>
      <c r="I845" s="20"/>
      <c r="J845" s="20"/>
      <c r="K845" s="20"/>
      <c r="L845" s="20"/>
      <c r="M845" s="20"/>
      <c r="N845" s="20"/>
      <c r="O845" s="20"/>
      <c r="P845" s="20"/>
      <c r="Q845" s="20"/>
      <c r="R845" s="20"/>
      <c r="S845" s="20"/>
      <c r="T845" s="20"/>
      <c r="U845" s="20"/>
      <c r="V845" s="20"/>
      <c r="W845" s="20"/>
      <c r="X845" s="20"/>
      <c r="Y845" s="20"/>
      <c r="Z845" s="20"/>
      <c r="AA845" s="20"/>
      <c r="AB845" s="12"/>
      <c r="AC845" s="12"/>
      <c r="AD845" s="671">
        <f t="shared" si="236"/>
        <v>2766999</v>
      </c>
      <c r="AE845" s="671">
        <f t="shared" si="236"/>
        <v>44632</v>
      </c>
      <c r="AF845" s="12">
        <v>2807234</v>
      </c>
      <c r="AG845" s="12">
        <v>2998126</v>
      </c>
      <c r="AH845" s="12">
        <v>1577202</v>
      </c>
      <c r="AI845" s="12">
        <v>1662663</v>
      </c>
      <c r="AJ845" s="37">
        <v>2201890</v>
      </c>
      <c r="AK845" s="37">
        <v>2363289</v>
      </c>
      <c r="AL845" s="684">
        <f t="shared" ref="AL845:AM845" si="245">ROUND((AK845/AK$888)*AL$888,0)</f>
        <v>2456013</v>
      </c>
      <c r="AM845" s="684">
        <f t="shared" si="245"/>
        <v>2631867</v>
      </c>
      <c r="AN845" s="684">
        <f t="shared" si="238"/>
        <v>2846888</v>
      </c>
      <c r="AO845" s="684">
        <f t="shared" si="238"/>
        <v>2976547</v>
      </c>
      <c r="AP845" s="684">
        <f t="shared" si="238"/>
        <v>2937651</v>
      </c>
      <c r="AQ845" s="684">
        <f t="shared" si="238"/>
        <v>2937651</v>
      </c>
      <c r="AR845" s="1044"/>
      <c r="AS845" s="1044"/>
    </row>
    <row r="846" spans="2:45" hidden="1" outlineLevel="1">
      <c r="C846" s="816" t="s">
        <v>16</v>
      </c>
      <c r="D846" s="9"/>
      <c r="E846" s="20" t="s">
        <v>109</v>
      </c>
      <c r="F846" s="20"/>
      <c r="G846" s="20"/>
      <c r="H846" s="20"/>
      <c r="I846" s="20"/>
      <c r="J846" s="20"/>
      <c r="K846" s="20"/>
      <c r="L846" s="20"/>
      <c r="M846" s="20"/>
      <c r="N846" s="20"/>
      <c r="O846" s="20"/>
      <c r="P846" s="20"/>
      <c r="Q846" s="20"/>
      <c r="R846" s="20"/>
      <c r="S846" s="20"/>
      <c r="T846" s="20"/>
      <c r="U846" s="20"/>
      <c r="V846" s="20"/>
      <c r="W846" s="20"/>
      <c r="X846" s="20"/>
      <c r="Y846" s="20"/>
      <c r="Z846" s="20"/>
      <c r="AA846" s="20"/>
      <c r="AB846" s="12"/>
      <c r="AC846" s="12"/>
      <c r="AD846" s="671">
        <f t="shared" si="236"/>
        <v>945083</v>
      </c>
      <c r="AE846" s="671">
        <f t="shared" si="236"/>
        <v>15244</v>
      </c>
      <c r="AF846" s="12">
        <v>958825</v>
      </c>
      <c r="AG846" s="12">
        <v>1024025</v>
      </c>
      <c r="AH846" s="12">
        <v>517606</v>
      </c>
      <c r="AI846" s="12">
        <v>545653</v>
      </c>
      <c r="AJ846" s="37">
        <v>771063</v>
      </c>
      <c r="AK846" s="37">
        <v>827582</v>
      </c>
      <c r="AL846" s="684">
        <f t="shared" ref="AL846:AM846" si="246">ROUND((AK846/AK$888)*AL$888,0)</f>
        <v>860052</v>
      </c>
      <c r="AM846" s="684">
        <f t="shared" si="246"/>
        <v>921633</v>
      </c>
      <c r="AN846" s="684">
        <f t="shared" si="238"/>
        <v>996929</v>
      </c>
      <c r="AO846" s="684">
        <f t="shared" si="238"/>
        <v>1042333</v>
      </c>
      <c r="AP846" s="684">
        <f t="shared" si="238"/>
        <v>1028712</v>
      </c>
      <c r="AQ846" s="684">
        <f t="shared" si="238"/>
        <v>1028712</v>
      </c>
      <c r="AR846" s="1044"/>
      <c r="AS846" s="1044"/>
    </row>
    <row r="847" spans="2:45" hidden="1" outlineLevel="1">
      <c r="C847" s="816" t="s">
        <v>16</v>
      </c>
      <c r="D847" s="9"/>
      <c r="E847" s="20" t="s">
        <v>110</v>
      </c>
      <c r="F847" s="20"/>
      <c r="G847" s="20"/>
      <c r="H847" s="20"/>
      <c r="I847" s="20"/>
      <c r="J847" s="20"/>
      <c r="K847" s="20"/>
      <c r="L847" s="20"/>
      <c r="M847" s="20"/>
      <c r="N847" s="20"/>
      <c r="O847" s="20"/>
      <c r="P847" s="20"/>
      <c r="Q847" s="20"/>
      <c r="R847" s="20"/>
      <c r="S847" s="20"/>
      <c r="T847" s="20"/>
      <c r="U847" s="20"/>
      <c r="V847" s="20"/>
      <c r="W847" s="20"/>
      <c r="X847" s="20"/>
      <c r="Y847" s="20"/>
      <c r="Z847" s="20"/>
      <c r="AA847" s="20"/>
      <c r="AB847" s="12"/>
      <c r="AC847" s="12"/>
      <c r="AD847" s="671">
        <f t="shared" si="236"/>
        <v>434869</v>
      </c>
      <c r="AE847" s="671">
        <f t="shared" si="236"/>
        <v>7015</v>
      </c>
      <c r="AF847" s="12">
        <v>441192</v>
      </c>
      <c r="AG847" s="12">
        <v>471193</v>
      </c>
      <c r="AH847" s="12">
        <v>278712</v>
      </c>
      <c r="AI847" s="12">
        <v>293814</v>
      </c>
      <c r="AJ847" s="37">
        <v>388692</v>
      </c>
      <c r="AK847" s="37">
        <v>417183</v>
      </c>
      <c r="AL847" s="684">
        <f t="shared" ref="AL847:AM847" si="247">ROUND((AK847/AK$888)*AL$888,0)</f>
        <v>433551</v>
      </c>
      <c r="AM847" s="684">
        <f t="shared" si="247"/>
        <v>464594</v>
      </c>
      <c r="AN847" s="684">
        <f t="shared" si="238"/>
        <v>502551</v>
      </c>
      <c r="AO847" s="684">
        <f t="shared" si="238"/>
        <v>525439</v>
      </c>
      <c r="AP847" s="684">
        <f t="shared" si="238"/>
        <v>518573</v>
      </c>
      <c r="AQ847" s="684">
        <f t="shared" si="238"/>
        <v>518573</v>
      </c>
      <c r="AR847" s="1044"/>
      <c r="AS847" s="1044"/>
    </row>
    <row r="848" spans="2:45" hidden="1" outlineLevel="1">
      <c r="C848" s="816" t="s">
        <v>16</v>
      </c>
      <c r="D848" s="9"/>
      <c r="E848" s="20" t="s">
        <v>167</v>
      </c>
      <c r="F848" s="20"/>
      <c r="G848" s="20"/>
      <c r="H848" s="20"/>
      <c r="I848" s="20"/>
      <c r="J848" s="20"/>
      <c r="K848" s="20"/>
      <c r="L848" s="20"/>
      <c r="M848" s="20"/>
      <c r="N848" s="20"/>
      <c r="O848" s="20"/>
      <c r="P848" s="20"/>
      <c r="Q848" s="20"/>
      <c r="R848" s="20"/>
      <c r="S848" s="20"/>
      <c r="T848" s="20"/>
      <c r="U848" s="20"/>
      <c r="V848" s="20"/>
      <c r="W848" s="20"/>
      <c r="X848" s="20"/>
      <c r="Y848" s="20"/>
      <c r="Z848" s="20"/>
      <c r="AA848" s="20"/>
      <c r="AB848" s="12"/>
      <c r="AC848" s="12"/>
      <c r="AD848" s="671">
        <f t="shared" si="236"/>
        <v>1243559</v>
      </c>
      <c r="AE848" s="671">
        <f t="shared" si="236"/>
        <v>20059</v>
      </c>
      <c r="AF848" s="12">
        <v>1261642</v>
      </c>
      <c r="AG848" s="12">
        <v>1347434</v>
      </c>
      <c r="AH848" s="12">
        <v>821214</v>
      </c>
      <c r="AI848" s="12">
        <v>865711</v>
      </c>
      <c r="AJ848" s="37">
        <v>981024</v>
      </c>
      <c r="AK848" s="37">
        <v>1052933</v>
      </c>
      <c r="AL848" s="684">
        <f t="shared" ref="AL848:AM848" si="248">ROUND((AK848/AK$888)*AL$888,0)</f>
        <v>1094245</v>
      </c>
      <c r="AM848" s="684">
        <f t="shared" si="248"/>
        <v>1172594</v>
      </c>
      <c r="AN848" s="684">
        <f t="shared" si="238"/>
        <v>1268394</v>
      </c>
      <c r="AO848" s="684">
        <f t="shared" si="238"/>
        <v>1326162</v>
      </c>
      <c r="AP848" s="684">
        <f t="shared" si="238"/>
        <v>1308832</v>
      </c>
      <c r="AQ848" s="684">
        <f t="shared" si="238"/>
        <v>1308832</v>
      </c>
      <c r="AR848" s="1044"/>
      <c r="AS848" s="1044"/>
    </row>
    <row r="849" spans="3:45" hidden="1" outlineLevel="1">
      <c r="C849" s="816" t="s">
        <v>16</v>
      </c>
      <c r="D849" s="9"/>
      <c r="E849" s="20" t="s">
        <v>112</v>
      </c>
      <c r="F849" s="20"/>
      <c r="G849" s="20"/>
      <c r="H849" s="20"/>
      <c r="I849" s="20"/>
      <c r="J849" s="20"/>
      <c r="K849" s="20"/>
      <c r="L849" s="20"/>
      <c r="M849" s="20"/>
      <c r="N849" s="20"/>
      <c r="O849" s="20"/>
      <c r="P849" s="20"/>
      <c r="Q849" s="20"/>
      <c r="R849" s="20"/>
      <c r="S849" s="20"/>
      <c r="T849" s="20"/>
      <c r="U849" s="20"/>
      <c r="V849" s="20"/>
      <c r="W849" s="20"/>
      <c r="X849" s="20"/>
      <c r="Y849" s="20"/>
      <c r="Z849" s="20"/>
      <c r="AA849" s="20"/>
      <c r="AB849" s="12"/>
      <c r="AC849" s="12"/>
      <c r="AD849" s="671">
        <f t="shared" si="236"/>
        <v>2526586</v>
      </c>
      <c r="AE849" s="671">
        <f t="shared" si="236"/>
        <v>40755</v>
      </c>
      <c r="AF849" s="12">
        <v>2563325</v>
      </c>
      <c r="AG849" s="12">
        <v>2737631</v>
      </c>
      <c r="AH849" s="12">
        <v>1223164</v>
      </c>
      <c r="AI849" s="12">
        <v>1289441</v>
      </c>
      <c r="AJ849" s="37">
        <v>1817425</v>
      </c>
      <c r="AK849" s="37">
        <v>1950642</v>
      </c>
      <c r="AL849" s="684">
        <f t="shared" ref="AL849:AM849" si="249">ROUND((AK849/AK$888)*AL$888,0)</f>
        <v>2027176</v>
      </c>
      <c r="AM849" s="684">
        <f t="shared" si="249"/>
        <v>2172324</v>
      </c>
      <c r="AN849" s="684">
        <f t="shared" si="238"/>
        <v>2349801</v>
      </c>
      <c r="AO849" s="684">
        <f t="shared" si="238"/>
        <v>2456821</v>
      </c>
      <c r="AP849" s="684">
        <f t="shared" si="238"/>
        <v>2424717</v>
      </c>
      <c r="AQ849" s="684">
        <f t="shared" si="238"/>
        <v>2424717</v>
      </c>
      <c r="AR849" s="1044"/>
      <c r="AS849" s="1044"/>
    </row>
    <row r="850" spans="3:45" hidden="1" outlineLevel="1">
      <c r="C850" s="816" t="s">
        <v>16</v>
      </c>
      <c r="D850" s="9"/>
      <c r="E850" s="20" t="s">
        <v>168</v>
      </c>
      <c r="F850" s="20"/>
      <c r="G850" s="20"/>
      <c r="H850" s="20"/>
      <c r="I850" s="20"/>
      <c r="J850" s="20"/>
      <c r="K850" s="20"/>
      <c r="L850" s="20"/>
      <c r="M850" s="20"/>
      <c r="N850" s="20"/>
      <c r="O850" s="20"/>
      <c r="P850" s="20"/>
      <c r="Q850" s="20"/>
      <c r="R850" s="20"/>
      <c r="S850" s="20"/>
      <c r="T850" s="20"/>
      <c r="U850" s="20"/>
      <c r="V850" s="20"/>
      <c r="W850" s="20"/>
      <c r="X850" s="20"/>
      <c r="Y850" s="20"/>
      <c r="Z850" s="20"/>
      <c r="AA850" s="20"/>
      <c r="AB850" s="12"/>
      <c r="AC850" s="12"/>
      <c r="AD850" s="671">
        <f t="shared" si="236"/>
        <v>4038604</v>
      </c>
      <c r="AE850" s="671">
        <f t="shared" si="236"/>
        <v>65144</v>
      </c>
      <c r="AF850" s="12">
        <v>4097329</v>
      </c>
      <c r="AG850" s="12">
        <v>4375947</v>
      </c>
      <c r="AH850" s="12">
        <v>2405299</v>
      </c>
      <c r="AI850" s="12">
        <v>2535631</v>
      </c>
      <c r="AJ850" s="37">
        <v>3582043</v>
      </c>
      <c r="AK850" s="37">
        <v>3844607</v>
      </c>
      <c r="AL850" s="684">
        <f t="shared" ref="AL850:AM850" si="250">ROUND((AK850/AK$888)*AL$888,0)</f>
        <v>3995451</v>
      </c>
      <c r="AM850" s="684">
        <f t="shared" si="250"/>
        <v>4281530</v>
      </c>
      <c r="AN850" s="684">
        <f t="shared" si="238"/>
        <v>4631326</v>
      </c>
      <c r="AO850" s="684">
        <f t="shared" si="238"/>
        <v>4842256</v>
      </c>
      <c r="AP850" s="684">
        <f t="shared" si="238"/>
        <v>4778980</v>
      </c>
      <c r="AQ850" s="684">
        <f t="shared" si="238"/>
        <v>4778980</v>
      </c>
      <c r="AR850" s="1044"/>
      <c r="AS850" s="1044"/>
    </row>
    <row r="851" spans="3:45" hidden="1" outlineLevel="1">
      <c r="C851" s="816" t="s">
        <v>16</v>
      </c>
      <c r="D851" s="9"/>
      <c r="E851" s="20" t="s">
        <v>169</v>
      </c>
      <c r="F851" s="20"/>
      <c r="G851" s="20"/>
      <c r="H851" s="20"/>
      <c r="I851" s="20"/>
      <c r="J851" s="20"/>
      <c r="K851" s="20"/>
      <c r="L851" s="20"/>
      <c r="M851" s="20"/>
      <c r="N851" s="20"/>
      <c r="O851" s="20"/>
      <c r="P851" s="20"/>
      <c r="Q851" s="20"/>
      <c r="R851" s="20"/>
      <c r="S851" s="20"/>
      <c r="T851" s="20"/>
      <c r="U851" s="20"/>
      <c r="V851" s="20"/>
      <c r="W851" s="20"/>
      <c r="X851" s="20"/>
      <c r="Y851" s="20"/>
      <c r="Z851" s="20"/>
      <c r="AA851" s="20"/>
      <c r="AB851" s="12"/>
      <c r="AC851" s="12"/>
      <c r="AD851" s="671">
        <f t="shared" si="236"/>
        <v>15421312</v>
      </c>
      <c r="AE851" s="671">
        <f t="shared" si="236"/>
        <v>248750</v>
      </c>
      <c r="AF851" s="12">
        <v>15645553</v>
      </c>
      <c r="AG851" s="12">
        <v>16709450</v>
      </c>
      <c r="AH851" s="12">
        <v>9258438</v>
      </c>
      <c r="AI851" s="12">
        <v>9760108</v>
      </c>
      <c r="AJ851" s="37">
        <v>13641648</v>
      </c>
      <c r="AK851" s="37">
        <v>14641581</v>
      </c>
      <c r="AL851" s="684">
        <f t="shared" ref="AL851:AM851" si="251">ROUND((AK851/AK$888)*AL$888,0)</f>
        <v>15216045</v>
      </c>
      <c r="AM851" s="684">
        <f t="shared" si="251"/>
        <v>16305533</v>
      </c>
      <c r="AN851" s="684">
        <f t="shared" si="238"/>
        <v>17637677</v>
      </c>
      <c r="AO851" s="684">
        <f t="shared" si="238"/>
        <v>18440971</v>
      </c>
      <c r="AP851" s="684">
        <f t="shared" si="238"/>
        <v>18199995</v>
      </c>
      <c r="AQ851" s="684">
        <f t="shared" si="238"/>
        <v>18199995</v>
      </c>
      <c r="AR851" s="1044"/>
      <c r="AS851" s="1044"/>
    </row>
    <row r="852" spans="3:45" hidden="1" outlineLevel="1">
      <c r="C852" s="816" t="s">
        <v>16</v>
      </c>
      <c r="D852" s="9"/>
      <c r="E852" s="20" t="s">
        <v>114</v>
      </c>
      <c r="F852" s="20"/>
      <c r="G852" s="20"/>
      <c r="H852" s="20"/>
      <c r="I852" s="20"/>
      <c r="J852" s="20"/>
      <c r="K852" s="20"/>
      <c r="L852" s="20"/>
      <c r="M852" s="20"/>
      <c r="N852" s="20"/>
      <c r="O852" s="20"/>
      <c r="P852" s="20"/>
      <c r="Q852" s="20"/>
      <c r="R852" s="20"/>
      <c r="S852" s="20"/>
      <c r="T852" s="20"/>
      <c r="U852" s="20"/>
      <c r="V852" s="20"/>
      <c r="W852" s="20"/>
      <c r="X852" s="20"/>
      <c r="Y852" s="20"/>
      <c r="Z852" s="20"/>
      <c r="AA852" s="20"/>
      <c r="AB852" s="12"/>
      <c r="AC852" s="12"/>
      <c r="AD852" s="671">
        <f t="shared" si="236"/>
        <v>4354452</v>
      </c>
      <c r="AE852" s="671">
        <f t="shared" si="236"/>
        <v>70239</v>
      </c>
      <c r="AF852" s="12">
        <v>4417770</v>
      </c>
      <c r="AG852" s="12">
        <v>4718178</v>
      </c>
      <c r="AH852" s="12">
        <v>2365710</v>
      </c>
      <c r="AI852" s="12">
        <v>2493897</v>
      </c>
      <c r="AJ852" s="37">
        <v>3261904</v>
      </c>
      <c r="AK852" s="37">
        <v>3468803</v>
      </c>
      <c r="AL852" s="684">
        <f t="shared" ref="AL852:AM852" si="252">ROUND((AK852/AK$888)*AL$888,0)</f>
        <v>3604902</v>
      </c>
      <c r="AM852" s="684">
        <f t="shared" si="252"/>
        <v>3863018</v>
      </c>
      <c r="AN852" s="684">
        <f t="shared" si="238"/>
        <v>4178622</v>
      </c>
      <c r="AO852" s="684">
        <f t="shared" si="238"/>
        <v>4368934</v>
      </c>
      <c r="AP852" s="684">
        <f t="shared" si="238"/>
        <v>4311843</v>
      </c>
      <c r="AQ852" s="684">
        <f t="shared" si="238"/>
        <v>4311843</v>
      </c>
      <c r="AR852" s="1044"/>
      <c r="AS852" s="1044"/>
    </row>
    <row r="853" spans="3:45" hidden="1" outlineLevel="1">
      <c r="C853" s="816" t="s">
        <v>16</v>
      </c>
      <c r="D853" s="9"/>
      <c r="E853" s="20" t="s">
        <v>170</v>
      </c>
      <c r="F853" s="20"/>
      <c r="G853" s="20"/>
      <c r="H853" s="20"/>
      <c r="I853" s="20"/>
      <c r="J853" s="20"/>
      <c r="K853" s="20"/>
      <c r="L853" s="20"/>
      <c r="M853" s="20"/>
      <c r="N853" s="20"/>
      <c r="O853" s="20"/>
      <c r="P853" s="20"/>
      <c r="Q853" s="20"/>
      <c r="R853" s="20"/>
      <c r="S853" s="20"/>
      <c r="T853" s="20"/>
      <c r="U853" s="20"/>
      <c r="V853" s="20"/>
      <c r="W853" s="20"/>
      <c r="X853" s="20"/>
      <c r="Y853" s="20"/>
      <c r="Z853" s="20"/>
      <c r="AA853" s="20"/>
      <c r="AB853" s="12"/>
      <c r="AC853" s="12"/>
      <c r="AD853" s="671">
        <f t="shared" si="236"/>
        <v>6169347</v>
      </c>
      <c r="AE853" s="671">
        <f t="shared" si="236"/>
        <v>99513</v>
      </c>
      <c r="AF853" s="12">
        <v>6259056</v>
      </c>
      <c r="AG853" s="12">
        <v>6684672</v>
      </c>
      <c r="AH853" s="12">
        <v>3721265</v>
      </c>
      <c r="AI853" s="12">
        <v>3922902</v>
      </c>
      <c r="AJ853" s="37">
        <v>5289271</v>
      </c>
      <c r="AK853" s="37">
        <v>5676975</v>
      </c>
      <c r="AL853" s="684">
        <f t="shared" ref="AL853:AM853" si="253">ROUND((AK853/AK$888)*AL$888,0)</f>
        <v>5899712</v>
      </c>
      <c r="AM853" s="684">
        <f t="shared" si="253"/>
        <v>6322139</v>
      </c>
      <c r="AN853" s="684">
        <f t="shared" si="238"/>
        <v>6838651</v>
      </c>
      <c r="AO853" s="684">
        <f t="shared" si="238"/>
        <v>7150112</v>
      </c>
      <c r="AP853" s="684">
        <f t="shared" si="238"/>
        <v>7056678</v>
      </c>
      <c r="AQ853" s="684">
        <f t="shared" si="238"/>
        <v>7056678</v>
      </c>
      <c r="AR853" s="1044"/>
      <c r="AS853" s="1044"/>
    </row>
    <row r="854" spans="3:45" hidden="1" outlineLevel="1">
      <c r="C854" s="816" t="s">
        <v>16</v>
      </c>
      <c r="D854" s="9"/>
      <c r="E854" s="20" t="s">
        <v>116</v>
      </c>
      <c r="F854" s="20"/>
      <c r="G854" s="20"/>
      <c r="H854" s="20"/>
      <c r="I854" s="20"/>
      <c r="J854" s="20"/>
      <c r="K854" s="20"/>
      <c r="L854" s="20"/>
      <c r="M854" s="20"/>
      <c r="N854" s="20"/>
      <c r="O854" s="20"/>
      <c r="P854" s="20"/>
      <c r="Q854" s="20"/>
      <c r="R854" s="20"/>
      <c r="S854" s="20"/>
      <c r="T854" s="20"/>
      <c r="U854" s="20"/>
      <c r="V854" s="20"/>
      <c r="W854" s="20"/>
      <c r="X854" s="20"/>
      <c r="Y854" s="20"/>
      <c r="Z854" s="20"/>
      <c r="AA854" s="20"/>
      <c r="AB854" s="12"/>
      <c r="AC854" s="12"/>
      <c r="AD854" s="671">
        <f t="shared" si="236"/>
        <v>585133</v>
      </c>
      <c r="AE854" s="671">
        <f t="shared" si="236"/>
        <v>9438</v>
      </c>
      <c r="AF854" s="12">
        <v>593641</v>
      </c>
      <c r="AG854" s="12">
        <v>634009</v>
      </c>
      <c r="AH854" s="12">
        <v>312623</v>
      </c>
      <c r="AI854" s="12">
        <v>329562</v>
      </c>
      <c r="AJ854" s="37">
        <v>363617</v>
      </c>
      <c r="AK854" s="37">
        <v>390271</v>
      </c>
      <c r="AL854" s="684">
        <f t="shared" ref="AL854:AM854" si="254">ROUND((AK854/AK$888)*AL$888,0)</f>
        <v>405583</v>
      </c>
      <c r="AM854" s="684">
        <f t="shared" si="254"/>
        <v>434623</v>
      </c>
      <c r="AN854" s="684">
        <f t="shared" si="238"/>
        <v>470131</v>
      </c>
      <c r="AO854" s="684">
        <f t="shared" si="238"/>
        <v>491543</v>
      </c>
      <c r="AP854" s="684">
        <f t="shared" si="238"/>
        <v>485120</v>
      </c>
      <c r="AQ854" s="684">
        <f t="shared" si="238"/>
        <v>485120</v>
      </c>
      <c r="AR854" s="1044"/>
      <c r="AS854" s="1044"/>
    </row>
    <row r="855" spans="3:45" hidden="1" outlineLevel="1">
      <c r="C855" s="816" t="s">
        <v>16</v>
      </c>
      <c r="D855" s="9"/>
      <c r="E855" s="20" t="s">
        <v>117</v>
      </c>
      <c r="F855" s="20"/>
      <c r="G855" s="20"/>
      <c r="H855" s="20"/>
      <c r="I855" s="20"/>
      <c r="J855" s="20"/>
      <c r="K855" s="20"/>
      <c r="L855" s="20"/>
      <c r="M855" s="20"/>
      <c r="N855" s="20"/>
      <c r="O855" s="20"/>
      <c r="P855" s="20"/>
      <c r="Q855" s="20"/>
      <c r="R855" s="20"/>
      <c r="S855" s="20"/>
      <c r="T855" s="20"/>
      <c r="U855" s="20"/>
      <c r="V855" s="20"/>
      <c r="W855" s="20"/>
      <c r="X855" s="20"/>
      <c r="Y855" s="20"/>
      <c r="Z855" s="20"/>
      <c r="AA855" s="20"/>
      <c r="AB855" s="12"/>
      <c r="AC855" s="12"/>
      <c r="AD855" s="671">
        <f t="shared" si="236"/>
        <v>881846</v>
      </c>
      <c r="AE855" s="671">
        <f t="shared" si="236"/>
        <v>14224</v>
      </c>
      <c r="AF855" s="12">
        <v>894669</v>
      </c>
      <c r="AG855" s="12">
        <v>955506</v>
      </c>
      <c r="AH855" s="12">
        <v>473362</v>
      </c>
      <c r="AI855" s="12">
        <v>499011</v>
      </c>
      <c r="AJ855" s="37">
        <v>647350</v>
      </c>
      <c r="AK855" s="37">
        <v>694801</v>
      </c>
      <c r="AL855" s="684">
        <f t="shared" ref="AL855:AM855" si="255">ROUND((AK855/AK$888)*AL$888,0)</f>
        <v>722062</v>
      </c>
      <c r="AM855" s="684">
        <f t="shared" si="255"/>
        <v>773763</v>
      </c>
      <c r="AN855" s="684">
        <f t="shared" si="238"/>
        <v>836979</v>
      </c>
      <c r="AO855" s="684">
        <f t="shared" si="238"/>
        <v>875099</v>
      </c>
      <c r="AP855" s="684">
        <f t="shared" si="238"/>
        <v>863664</v>
      </c>
      <c r="AQ855" s="684">
        <f t="shared" si="238"/>
        <v>863664</v>
      </c>
      <c r="AR855" s="1044"/>
      <c r="AS855" s="1044"/>
    </row>
    <row r="856" spans="3:45" hidden="1" outlineLevel="1">
      <c r="C856" s="816" t="s">
        <v>16</v>
      </c>
      <c r="D856" s="9"/>
      <c r="E856" s="20" t="s">
        <v>118</v>
      </c>
      <c r="F856" s="20"/>
      <c r="G856" s="20"/>
      <c r="H856" s="20"/>
      <c r="I856" s="20"/>
      <c r="J856" s="20"/>
      <c r="K856" s="20"/>
      <c r="L856" s="20"/>
      <c r="M856" s="20"/>
      <c r="N856" s="20"/>
      <c r="O856" s="20"/>
      <c r="P856" s="20"/>
      <c r="Q856" s="20"/>
      <c r="R856" s="20"/>
      <c r="S856" s="20"/>
      <c r="T856" s="20"/>
      <c r="U856" s="20"/>
      <c r="V856" s="20"/>
      <c r="W856" s="20"/>
      <c r="X856" s="20"/>
      <c r="Y856" s="20"/>
      <c r="Z856" s="20"/>
      <c r="AA856" s="20"/>
      <c r="AB856" s="12"/>
      <c r="AC856" s="12"/>
      <c r="AD856" s="671">
        <f t="shared" si="236"/>
        <v>1463867</v>
      </c>
      <c r="AE856" s="671">
        <f t="shared" si="236"/>
        <v>23613</v>
      </c>
      <c r="AF856" s="12">
        <v>1485153</v>
      </c>
      <c r="AG856" s="12">
        <v>1586143</v>
      </c>
      <c r="AH856" s="12">
        <v>822397</v>
      </c>
      <c r="AI856" s="12">
        <v>866959</v>
      </c>
      <c r="AJ856" s="37">
        <v>1217494</v>
      </c>
      <c r="AK856" s="37">
        <v>1306737</v>
      </c>
      <c r="AL856" s="684">
        <f t="shared" ref="AL856:AM856" si="256">ROUND((AK856/AK$888)*AL$888,0)</f>
        <v>1358007</v>
      </c>
      <c r="AM856" s="684">
        <f t="shared" si="256"/>
        <v>1455242</v>
      </c>
      <c r="AN856" s="684">
        <f t="shared" si="238"/>
        <v>1574134</v>
      </c>
      <c r="AO856" s="684">
        <f t="shared" si="238"/>
        <v>1645827</v>
      </c>
      <c r="AP856" s="684">
        <f t="shared" si="238"/>
        <v>1624320</v>
      </c>
      <c r="AQ856" s="684">
        <f t="shared" si="238"/>
        <v>1624320</v>
      </c>
      <c r="AR856" s="1044"/>
      <c r="AS856" s="1044"/>
    </row>
    <row r="857" spans="3:45" hidden="1" outlineLevel="1">
      <c r="C857" s="816" t="s">
        <v>16</v>
      </c>
      <c r="D857" s="9"/>
      <c r="E857" s="20" t="s">
        <v>119</v>
      </c>
      <c r="F857" s="20"/>
      <c r="G857" s="20"/>
      <c r="H857" s="20"/>
      <c r="I857" s="20"/>
      <c r="J857" s="20"/>
      <c r="K857" s="20"/>
      <c r="L857" s="20"/>
      <c r="M857" s="20"/>
      <c r="N857" s="20"/>
      <c r="O857" s="20"/>
      <c r="P857" s="20"/>
      <c r="Q857" s="20"/>
      <c r="R857" s="20"/>
      <c r="S857" s="20"/>
      <c r="T857" s="20"/>
      <c r="U857" s="20"/>
      <c r="V857" s="20"/>
      <c r="W857" s="20"/>
      <c r="X857" s="20"/>
      <c r="Y857" s="20"/>
      <c r="Z857" s="20"/>
      <c r="AA857" s="20"/>
      <c r="AB857" s="12"/>
      <c r="AC857" s="12"/>
      <c r="AD857" s="671">
        <f t="shared" si="236"/>
        <v>1003460</v>
      </c>
      <c r="AE857" s="671">
        <f t="shared" si="236"/>
        <v>16186</v>
      </c>
      <c r="AF857" s="12">
        <v>1018051</v>
      </c>
      <c r="AG857" s="12">
        <v>1087278</v>
      </c>
      <c r="AH857" s="12">
        <v>613283</v>
      </c>
      <c r="AI857" s="12">
        <v>646513</v>
      </c>
      <c r="AJ857" s="37">
        <v>880045</v>
      </c>
      <c r="AK857" s="37">
        <v>944552</v>
      </c>
      <c r="AL857" s="684">
        <f t="shared" ref="AL857:AM857" si="257">ROUND((AK857/AK$888)*AL$888,0)</f>
        <v>981612</v>
      </c>
      <c r="AM857" s="684">
        <f t="shared" si="257"/>
        <v>1051897</v>
      </c>
      <c r="AN857" s="684">
        <f t="shared" si="238"/>
        <v>1137836</v>
      </c>
      <c r="AO857" s="684">
        <f t="shared" si="238"/>
        <v>1189658</v>
      </c>
      <c r="AP857" s="684">
        <f t="shared" si="238"/>
        <v>1174112</v>
      </c>
      <c r="AQ857" s="684">
        <f t="shared" si="238"/>
        <v>1174112</v>
      </c>
      <c r="AR857" s="1044"/>
      <c r="AS857" s="1044"/>
    </row>
    <row r="858" spans="3:45" hidden="1" outlineLevel="1">
      <c r="C858" s="816" t="s">
        <v>16</v>
      </c>
      <c r="D858" s="9"/>
      <c r="E858" s="20" t="s">
        <v>171</v>
      </c>
      <c r="F858" s="20"/>
      <c r="G858" s="20"/>
      <c r="H858" s="20"/>
      <c r="I858" s="20"/>
      <c r="J858" s="20"/>
      <c r="K858" s="20"/>
      <c r="L858" s="20"/>
      <c r="M858" s="20"/>
      <c r="N858" s="20"/>
      <c r="O858" s="20"/>
      <c r="P858" s="20"/>
      <c r="Q858" s="20"/>
      <c r="R858" s="20"/>
      <c r="S858" s="20"/>
      <c r="T858" s="20"/>
      <c r="U858" s="20"/>
      <c r="V858" s="20"/>
      <c r="W858" s="20"/>
      <c r="X858" s="20"/>
      <c r="Y858" s="20"/>
      <c r="Z858" s="20"/>
      <c r="AA858" s="20"/>
      <c r="AB858" s="12"/>
      <c r="AC858" s="12"/>
      <c r="AD858" s="671">
        <f t="shared" ref="AD858:AE877" si="258">ROUND(($AF858/$AF$888)*AD$888,0)</f>
        <v>10511777</v>
      </c>
      <c r="AE858" s="671">
        <f t="shared" si="258"/>
        <v>169558</v>
      </c>
      <c r="AF858" s="12">
        <v>10664629</v>
      </c>
      <c r="AG858" s="12">
        <v>11389824</v>
      </c>
      <c r="AH858" s="12">
        <v>7651060</v>
      </c>
      <c r="AI858" s="12">
        <v>8065635</v>
      </c>
      <c r="AJ858" s="37">
        <v>9302498</v>
      </c>
      <c r="AK858" s="37">
        <v>9984372</v>
      </c>
      <c r="AL858" s="684">
        <f t="shared" ref="AL858:AM858" si="259">ROUND((AK858/AK$888)*AL$888,0)</f>
        <v>10376110</v>
      </c>
      <c r="AM858" s="684">
        <f t="shared" si="259"/>
        <v>11119053</v>
      </c>
      <c r="AN858" s="684">
        <f t="shared" ref="AN858:AQ877" si="260">ROUND((AM858/AM$888)*AN$888,0)</f>
        <v>12027468</v>
      </c>
      <c r="AO858" s="684">
        <f t="shared" si="260"/>
        <v>12575249</v>
      </c>
      <c r="AP858" s="684">
        <f t="shared" si="260"/>
        <v>12410923</v>
      </c>
      <c r="AQ858" s="684">
        <f t="shared" si="260"/>
        <v>12410923</v>
      </c>
      <c r="AR858" s="1044"/>
      <c r="AS858" s="1044"/>
    </row>
    <row r="859" spans="3:45" hidden="1" outlineLevel="1">
      <c r="C859" s="816" t="s">
        <v>16</v>
      </c>
      <c r="D859" s="9"/>
      <c r="E859" s="20" t="s">
        <v>172</v>
      </c>
      <c r="F859" s="20"/>
      <c r="G859" s="20"/>
      <c r="H859" s="20"/>
      <c r="I859" s="20"/>
      <c r="J859" s="20"/>
      <c r="K859" s="20"/>
      <c r="L859" s="20"/>
      <c r="M859" s="20"/>
      <c r="N859" s="20"/>
      <c r="O859" s="20"/>
      <c r="P859" s="20"/>
      <c r="Q859" s="20"/>
      <c r="R859" s="20"/>
      <c r="S859" s="20"/>
      <c r="T859" s="20"/>
      <c r="U859" s="20"/>
      <c r="V859" s="20"/>
      <c r="W859" s="20"/>
      <c r="X859" s="20"/>
      <c r="Y859" s="20"/>
      <c r="Z859" s="20"/>
      <c r="AA859" s="20"/>
      <c r="AB859" s="12"/>
      <c r="AC859" s="12"/>
      <c r="AD859" s="671">
        <f t="shared" si="258"/>
        <v>1615190</v>
      </c>
      <c r="AE859" s="671">
        <f t="shared" si="258"/>
        <v>26053</v>
      </c>
      <c r="AF859" s="12">
        <v>1638676</v>
      </c>
      <c r="AG859" s="12">
        <v>1750106</v>
      </c>
      <c r="AH859" s="12">
        <v>905831</v>
      </c>
      <c r="AI859" s="12">
        <v>954913</v>
      </c>
      <c r="AJ859" s="37">
        <v>1263375</v>
      </c>
      <c r="AK859" s="37">
        <v>1355981</v>
      </c>
      <c r="AL859" s="684">
        <f t="shared" ref="AL859:AM859" si="261">ROUND((AK859/AK$888)*AL$888,0)</f>
        <v>1409183</v>
      </c>
      <c r="AM859" s="684">
        <f t="shared" si="261"/>
        <v>1510082</v>
      </c>
      <c r="AN859" s="684">
        <f t="shared" si="260"/>
        <v>1633454</v>
      </c>
      <c r="AO859" s="684">
        <f t="shared" si="260"/>
        <v>1707848</v>
      </c>
      <c r="AP859" s="684">
        <f t="shared" si="260"/>
        <v>1685531</v>
      </c>
      <c r="AQ859" s="684">
        <f t="shared" si="260"/>
        <v>1685531</v>
      </c>
      <c r="AR859" s="1044"/>
      <c r="AS859" s="1044"/>
    </row>
    <row r="860" spans="3:45" hidden="1" outlineLevel="1">
      <c r="C860" s="816" t="s">
        <v>16</v>
      </c>
      <c r="D860" s="9"/>
      <c r="E860" s="20" t="s">
        <v>122</v>
      </c>
      <c r="F860" s="20"/>
      <c r="G860" s="20"/>
      <c r="H860" s="20"/>
      <c r="I860" s="20"/>
      <c r="J860" s="20"/>
      <c r="K860" s="20"/>
      <c r="L860" s="20"/>
      <c r="M860" s="20"/>
      <c r="N860" s="20"/>
      <c r="O860" s="20"/>
      <c r="P860" s="20"/>
      <c r="Q860" s="20"/>
      <c r="R860" s="20"/>
      <c r="S860" s="20"/>
      <c r="T860" s="20"/>
      <c r="U860" s="20"/>
      <c r="V860" s="20"/>
      <c r="W860" s="20"/>
      <c r="X860" s="20"/>
      <c r="Y860" s="20"/>
      <c r="Z860" s="20"/>
      <c r="AA860" s="20"/>
      <c r="AB860" s="12"/>
      <c r="AC860" s="12"/>
      <c r="AD860" s="671">
        <f t="shared" si="258"/>
        <v>2241443</v>
      </c>
      <c r="AE860" s="671">
        <f t="shared" si="258"/>
        <v>36155</v>
      </c>
      <c r="AF860" s="12">
        <v>2274036</v>
      </c>
      <c r="AG860" s="12">
        <v>2428670</v>
      </c>
      <c r="AH860" s="12">
        <v>1269356</v>
      </c>
      <c r="AI860" s="12">
        <v>1338136</v>
      </c>
      <c r="AJ860" s="37">
        <v>1849952</v>
      </c>
      <c r="AK860" s="37">
        <v>1985554</v>
      </c>
      <c r="AL860" s="684">
        <f t="shared" ref="AL860:AM860" si="262">ROUND((AK860/AK$888)*AL$888,0)</f>
        <v>2063457</v>
      </c>
      <c r="AM860" s="684">
        <f t="shared" si="262"/>
        <v>2211203</v>
      </c>
      <c r="AN860" s="684">
        <f t="shared" si="260"/>
        <v>2391856</v>
      </c>
      <c r="AO860" s="684">
        <f t="shared" si="260"/>
        <v>2500791</v>
      </c>
      <c r="AP860" s="684">
        <f t="shared" si="260"/>
        <v>2468112</v>
      </c>
      <c r="AQ860" s="684">
        <f t="shared" si="260"/>
        <v>2468112</v>
      </c>
      <c r="AR860" s="1044"/>
      <c r="AS860" s="1044"/>
    </row>
    <row r="861" spans="3:45" hidden="1" outlineLevel="1">
      <c r="C861" s="816" t="s">
        <v>16</v>
      </c>
      <c r="D861" s="9"/>
      <c r="E861" s="20" t="s">
        <v>173</v>
      </c>
      <c r="F861" s="20"/>
      <c r="G861" s="20"/>
      <c r="H861" s="20"/>
      <c r="I861" s="20"/>
      <c r="J861" s="20"/>
      <c r="K861" s="20"/>
      <c r="L861" s="20"/>
      <c r="M861" s="20"/>
      <c r="N861" s="20"/>
      <c r="O861" s="20"/>
      <c r="P861" s="20"/>
      <c r="Q861" s="20"/>
      <c r="R861" s="20"/>
      <c r="S861" s="20"/>
      <c r="T861" s="20"/>
      <c r="U861" s="20"/>
      <c r="V861" s="20"/>
      <c r="W861" s="20"/>
      <c r="X861" s="20"/>
      <c r="Y861" s="20"/>
      <c r="Z861" s="20"/>
      <c r="AA861" s="20"/>
      <c r="AB861" s="12"/>
      <c r="AC861" s="12"/>
      <c r="AD861" s="671">
        <f t="shared" si="258"/>
        <v>3248829</v>
      </c>
      <c r="AE861" s="671">
        <f t="shared" si="258"/>
        <v>52405</v>
      </c>
      <c r="AF861" s="12">
        <v>3296070</v>
      </c>
      <c r="AG861" s="12">
        <v>3520203</v>
      </c>
      <c r="AH861" s="12">
        <v>1905887</v>
      </c>
      <c r="AI861" s="12">
        <v>2009157</v>
      </c>
      <c r="AJ861" s="37">
        <v>2721760</v>
      </c>
      <c r="AK861" s="37">
        <v>2921265</v>
      </c>
      <c r="AL861" s="684">
        <f t="shared" ref="AL861:AM861" si="263">ROUND((AK861/AK$888)*AL$888,0)</f>
        <v>3035881</v>
      </c>
      <c r="AM861" s="684">
        <f t="shared" si="263"/>
        <v>3253254</v>
      </c>
      <c r="AN861" s="684">
        <f t="shared" si="260"/>
        <v>3519041</v>
      </c>
      <c r="AO861" s="684">
        <f t="shared" si="260"/>
        <v>3679313</v>
      </c>
      <c r="AP861" s="684">
        <f t="shared" si="260"/>
        <v>3631234</v>
      </c>
      <c r="AQ861" s="684">
        <f t="shared" si="260"/>
        <v>3631234</v>
      </c>
      <c r="AR861" s="1044"/>
      <c r="AS861" s="1044"/>
    </row>
    <row r="862" spans="3:45" hidden="1" outlineLevel="1">
      <c r="C862" s="816" t="s">
        <v>16</v>
      </c>
      <c r="D862" s="9"/>
      <c r="E862" s="20" t="s">
        <v>174</v>
      </c>
      <c r="F862" s="20"/>
      <c r="G862" s="20"/>
      <c r="H862" s="20"/>
      <c r="I862" s="20"/>
      <c r="J862" s="20"/>
      <c r="K862" s="20"/>
      <c r="L862" s="20"/>
      <c r="M862" s="20"/>
      <c r="N862" s="20"/>
      <c r="O862" s="20"/>
      <c r="P862" s="20"/>
      <c r="Q862" s="20"/>
      <c r="R862" s="20"/>
      <c r="S862" s="20"/>
      <c r="T862" s="20"/>
      <c r="U862" s="20"/>
      <c r="V862" s="20"/>
      <c r="W862" s="20"/>
      <c r="X862" s="20"/>
      <c r="Y862" s="20"/>
      <c r="Z862" s="20"/>
      <c r="AA862" s="20"/>
      <c r="AB862" s="12"/>
      <c r="AC862" s="12"/>
      <c r="AD862" s="671">
        <f t="shared" si="258"/>
        <v>2142102</v>
      </c>
      <c r="AE862" s="671">
        <f t="shared" si="258"/>
        <v>34553</v>
      </c>
      <c r="AF862" s="12">
        <v>2173250</v>
      </c>
      <c r="AG862" s="12">
        <v>2321031</v>
      </c>
      <c r="AH862" s="12">
        <v>1191128</v>
      </c>
      <c r="AI862" s="12">
        <v>1255670</v>
      </c>
      <c r="AJ862" s="37">
        <v>1675626</v>
      </c>
      <c r="AK862" s="37">
        <v>1798449</v>
      </c>
      <c r="AL862" s="684">
        <f t="shared" ref="AL862:AM862" si="264">ROUND((AK862/AK$888)*AL$888,0)</f>
        <v>1869011</v>
      </c>
      <c r="AM862" s="684">
        <f t="shared" si="264"/>
        <v>2002835</v>
      </c>
      <c r="AN862" s="684">
        <f t="shared" si="260"/>
        <v>2166464</v>
      </c>
      <c r="AO862" s="684">
        <f t="shared" si="260"/>
        <v>2265134</v>
      </c>
      <c r="AP862" s="684">
        <f t="shared" si="260"/>
        <v>2235535</v>
      </c>
      <c r="AQ862" s="684">
        <f t="shared" si="260"/>
        <v>2235535</v>
      </c>
      <c r="AR862" s="1044"/>
      <c r="AS862" s="1044"/>
    </row>
    <row r="863" spans="3:45" hidden="1" outlineLevel="1">
      <c r="C863" s="816" t="s">
        <v>16</v>
      </c>
      <c r="D863" s="9"/>
      <c r="E863" s="20" t="s">
        <v>175</v>
      </c>
      <c r="F863" s="20"/>
      <c r="G863" s="20"/>
      <c r="H863" s="20"/>
      <c r="I863" s="20"/>
      <c r="J863" s="20"/>
      <c r="K863" s="20"/>
      <c r="L863" s="20"/>
      <c r="M863" s="20"/>
      <c r="N863" s="20"/>
      <c r="O863" s="20"/>
      <c r="P863" s="20"/>
      <c r="Q863" s="20"/>
      <c r="R863" s="20"/>
      <c r="S863" s="20"/>
      <c r="T863" s="20"/>
      <c r="U863" s="20"/>
      <c r="V863" s="20"/>
      <c r="W863" s="20"/>
      <c r="X863" s="20"/>
      <c r="Y863" s="20"/>
      <c r="Z863" s="20"/>
      <c r="AA863" s="20"/>
      <c r="AB863" s="12"/>
      <c r="AC863" s="12"/>
      <c r="AD863" s="671">
        <f t="shared" si="258"/>
        <v>8824311</v>
      </c>
      <c r="AE863" s="671">
        <f t="shared" si="258"/>
        <v>142339</v>
      </c>
      <c r="AF863" s="12">
        <v>8952625</v>
      </c>
      <c r="AG863" s="12">
        <v>9561403</v>
      </c>
      <c r="AH863" s="12">
        <v>5583801</v>
      </c>
      <c r="AI863" s="12">
        <v>5886360</v>
      </c>
      <c r="AJ863" s="37">
        <v>8633492</v>
      </c>
      <c r="AK863" s="37">
        <v>9266327</v>
      </c>
      <c r="AL863" s="684">
        <f t="shared" ref="AL863:AM863" si="265">ROUND((AK863/AK$888)*AL$888,0)</f>
        <v>9629892</v>
      </c>
      <c r="AM863" s="684">
        <f t="shared" si="265"/>
        <v>10319404</v>
      </c>
      <c r="AN863" s="684">
        <f t="shared" si="260"/>
        <v>11162488</v>
      </c>
      <c r="AO863" s="684">
        <f t="shared" si="260"/>
        <v>11670875</v>
      </c>
      <c r="AP863" s="684">
        <f t="shared" si="260"/>
        <v>11518367</v>
      </c>
      <c r="AQ863" s="684">
        <f t="shared" si="260"/>
        <v>11518367</v>
      </c>
      <c r="AR863" s="1044"/>
      <c r="AS863" s="1044"/>
    </row>
    <row r="864" spans="3:45" hidden="1" outlineLevel="1">
      <c r="C864" s="816" t="s">
        <v>16</v>
      </c>
      <c r="D864" s="9"/>
      <c r="E864" s="20" t="s">
        <v>176</v>
      </c>
      <c r="F864" s="20"/>
      <c r="G864" s="20"/>
      <c r="H864" s="20"/>
      <c r="I864" s="20"/>
      <c r="J864" s="20"/>
      <c r="K864" s="20"/>
      <c r="L864" s="20"/>
      <c r="M864" s="20"/>
      <c r="N864" s="20"/>
      <c r="O864" s="20"/>
      <c r="P864" s="20"/>
      <c r="Q864" s="20"/>
      <c r="R864" s="20"/>
      <c r="S864" s="20"/>
      <c r="T864" s="20"/>
      <c r="U864" s="20"/>
      <c r="V864" s="20"/>
      <c r="W864" s="20"/>
      <c r="X864" s="20"/>
      <c r="Y864" s="20"/>
      <c r="Z864" s="20"/>
      <c r="AA864" s="20"/>
      <c r="AB864" s="12"/>
      <c r="AC864" s="12"/>
      <c r="AD864" s="671">
        <f t="shared" si="258"/>
        <v>2696635</v>
      </c>
      <c r="AE864" s="671">
        <f t="shared" si="258"/>
        <v>43498</v>
      </c>
      <c r="AF864" s="12">
        <v>2735847</v>
      </c>
      <c r="AG864" s="12">
        <v>2921884</v>
      </c>
      <c r="AH864" s="12">
        <v>1610622</v>
      </c>
      <c r="AI864" s="12">
        <v>1697894</v>
      </c>
      <c r="AJ864" s="37">
        <v>2316707</v>
      </c>
      <c r="AK864" s="37">
        <v>2486521</v>
      </c>
      <c r="AL864" s="684">
        <f t="shared" ref="AL864:AM864" si="266">ROUND((AK864/AK$888)*AL$888,0)</f>
        <v>2584080</v>
      </c>
      <c r="AM864" s="684">
        <f t="shared" si="266"/>
        <v>2769103</v>
      </c>
      <c r="AN864" s="684">
        <f t="shared" si="260"/>
        <v>2995336</v>
      </c>
      <c r="AO864" s="684">
        <f t="shared" si="260"/>
        <v>3131756</v>
      </c>
      <c r="AP864" s="684">
        <f t="shared" si="260"/>
        <v>3090832</v>
      </c>
      <c r="AQ864" s="684">
        <f t="shared" si="260"/>
        <v>3090832</v>
      </c>
      <c r="AR864" s="1044"/>
      <c r="AS864" s="1044"/>
    </row>
    <row r="865" spans="3:45" hidden="1" outlineLevel="1">
      <c r="C865" s="816" t="s">
        <v>16</v>
      </c>
      <c r="D865" s="9"/>
      <c r="E865" s="20" t="s">
        <v>127</v>
      </c>
      <c r="F865" s="20"/>
      <c r="G865" s="20"/>
      <c r="H865" s="20"/>
      <c r="I865" s="20"/>
      <c r="J865" s="20"/>
      <c r="K865" s="20"/>
      <c r="L865" s="20"/>
      <c r="M865" s="20"/>
      <c r="N865" s="20"/>
      <c r="O865" s="20"/>
      <c r="P865" s="20"/>
      <c r="Q865" s="20"/>
      <c r="R865" s="20"/>
      <c r="S865" s="20"/>
      <c r="T865" s="20"/>
      <c r="U865" s="20"/>
      <c r="V865" s="20"/>
      <c r="W865" s="20"/>
      <c r="X865" s="20"/>
      <c r="Y865" s="20"/>
      <c r="Z865" s="20"/>
      <c r="AA865" s="20"/>
      <c r="AB865" s="12"/>
      <c r="AC865" s="12"/>
      <c r="AD865" s="671">
        <f t="shared" si="258"/>
        <v>2095158</v>
      </c>
      <c r="AE865" s="671">
        <f t="shared" si="258"/>
        <v>33796</v>
      </c>
      <c r="AF865" s="12">
        <v>2125624</v>
      </c>
      <c r="AG865" s="12">
        <v>2270166</v>
      </c>
      <c r="AH865" s="12">
        <v>1144065</v>
      </c>
      <c r="AI865" s="12">
        <v>1206056</v>
      </c>
      <c r="AJ865" s="37">
        <v>1610026</v>
      </c>
      <c r="AK865" s="37">
        <v>1728041</v>
      </c>
      <c r="AL865" s="684">
        <f t="shared" ref="AL865:AM865" si="267">ROUND((AK865/AK$888)*AL$888,0)</f>
        <v>1795841</v>
      </c>
      <c r="AM865" s="684">
        <f t="shared" si="267"/>
        <v>1924425</v>
      </c>
      <c r="AN865" s="684">
        <f t="shared" si="260"/>
        <v>2081648</v>
      </c>
      <c r="AO865" s="684">
        <f t="shared" si="260"/>
        <v>2176455</v>
      </c>
      <c r="AP865" s="684">
        <f t="shared" si="260"/>
        <v>2148014</v>
      </c>
      <c r="AQ865" s="684">
        <f t="shared" si="260"/>
        <v>2148014</v>
      </c>
      <c r="AR865" s="1044"/>
      <c r="AS865" s="1044"/>
    </row>
    <row r="866" spans="3:45" hidden="1" outlineLevel="1">
      <c r="C866" s="816" t="s">
        <v>16</v>
      </c>
      <c r="D866" s="9"/>
      <c r="E866" s="20" t="s">
        <v>128</v>
      </c>
      <c r="F866" s="20"/>
      <c r="G866" s="20"/>
      <c r="H866" s="20"/>
      <c r="I866" s="20"/>
      <c r="J866" s="20"/>
      <c r="K866" s="20"/>
      <c r="L866" s="20"/>
      <c r="M866" s="20"/>
      <c r="N866" s="20"/>
      <c r="O866" s="20"/>
      <c r="P866" s="20"/>
      <c r="Q866" s="20"/>
      <c r="R866" s="20"/>
      <c r="S866" s="20"/>
      <c r="T866" s="20"/>
      <c r="U866" s="20"/>
      <c r="V866" s="20"/>
      <c r="W866" s="20"/>
      <c r="X866" s="20"/>
      <c r="Y866" s="20"/>
      <c r="Z866" s="20"/>
      <c r="AA866" s="20"/>
      <c r="AB866" s="12"/>
      <c r="AC866" s="12"/>
      <c r="AD866" s="671">
        <f t="shared" si="258"/>
        <v>1259921</v>
      </c>
      <c r="AE866" s="671">
        <f t="shared" si="258"/>
        <v>20323</v>
      </c>
      <c r="AF866" s="12">
        <v>1278242</v>
      </c>
      <c r="AG866" s="12">
        <v>1365162</v>
      </c>
      <c r="AH866" s="12">
        <v>904354</v>
      </c>
      <c r="AI866" s="12">
        <v>953357</v>
      </c>
      <c r="AJ866" s="37">
        <v>1387971</v>
      </c>
      <c r="AK866" s="37">
        <v>1489709</v>
      </c>
      <c r="AL866" s="684">
        <f t="shared" ref="AL866:AM866" si="268">ROUND((AK866/AK$888)*AL$888,0)</f>
        <v>1548158</v>
      </c>
      <c r="AM866" s="684">
        <f t="shared" si="268"/>
        <v>1659008</v>
      </c>
      <c r="AN866" s="684">
        <f t="shared" si="260"/>
        <v>1794547</v>
      </c>
      <c r="AO866" s="684">
        <f t="shared" si="260"/>
        <v>1876278</v>
      </c>
      <c r="AP866" s="684">
        <f t="shared" si="260"/>
        <v>1851760</v>
      </c>
      <c r="AQ866" s="684">
        <f t="shared" si="260"/>
        <v>1851760</v>
      </c>
      <c r="AR866" s="1044"/>
      <c r="AS866" s="1044"/>
    </row>
    <row r="867" spans="3:45" hidden="1" outlineLevel="1">
      <c r="C867" s="816" t="s">
        <v>16</v>
      </c>
      <c r="D867" s="9"/>
      <c r="E867" s="20" t="s">
        <v>163</v>
      </c>
      <c r="F867" s="20"/>
      <c r="G867" s="20"/>
      <c r="H867" s="20"/>
      <c r="I867" s="20"/>
      <c r="J867" s="20"/>
      <c r="K867" s="20"/>
      <c r="L867" s="20"/>
      <c r="M867" s="20"/>
      <c r="N867" s="20"/>
      <c r="O867" s="20"/>
      <c r="P867" s="20"/>
      <c r="Q867" s="20"/>
      <c r="R867" s="20"/>
      <c r="S867" s="20"/>
      <c r="T867" s="20"/>
      <c r="U867" s="20"/>
      <c r="V867" s="20"/>
      <c r="W867" s="20"/>
      <c r="X867" s="20"/>
      <c r="Y867" s="20"/>
      <c r="Z867" s="20"/>
      <c r="AA867" s="20"/>
      <c r="AB867" s="12"/>
      <c r="AC867" s="12"/>
      <c r="AD867" s="671">
        <f t="shared" si="258"/>
        <v>1513461</v>
      </c>
      <c r="AE867" s="671">
        <f t="shared" si="258"/>
        <v>24413</v>
      </c>
      <c r="AF867" s="12">
        <v>1535468</v>
      </c>
      <c r="AG867" s="12">
        <v>1639880</v>
      </c>
      <c r="AH867" s="12">
        <v>884780</v>
      </c>
      <c r="AI867" s="12">
        <v>932722</v>
      </c>
      <c r="AJ867" s="37">
        <v>1287850</v>
      </c>
      <c r="AK867" s="37">
        <v>1382249</v>
      </c>
      <c r="AL867" s="684">
        <f t="shared" ref="AL867:AM867" si="269">ROUND((AK867/AK$888)*AL$888,0)</f>
        <v>1436482</v>
      </c>
      <c r="AM867" s="684">
        <f t="shared" si="269"/>
        <v>1539336</v>
      </c>
      <c r="AN867" s="684">
        <f t="shared" si="260"/>
        <v>1665098</v>
      </c>
      <c r="AO867" s="684">
        <f t="shared" si="260"/>
        <v>1740934</v>
      </c>
      <c r="AP867" s="684">
        <f t="shared" si="260"/>
        <v>1718184</v>
      </c>
      <c r="AQ867" s="684">
        <f t="shared" si="260"/>
        <v>1718184</v>
      </c>
      <c r="AR867" s="1044"/>
      <c r="AS867" s="1044"/>
    </row>
    <row r="868" spans="3:45" hidden="1" outlineLevel="1">
      <c r="C868" s="816" t="s">
        <v>16</v>
      </c>
      <c r="D868" s="9"/>
      <c r="E868" s="20" t="s">
        <v>177</v>
      </c>
      <c r="F868" s="20"/>
      <c r="G868" s="20"/>
      <c r="H868" s="20"/>
      <c r="I868" s="20"/>
      <c r="J868" s="20"/>
      <c r="K868" s="20"/>
      <c r="L868" s="20"/>
      <c r="M868" s="20"/>
      <c r="N868" s="20"/>
      <c r="O868" s="20"/>
      <c r="P868" s="20"/>
      <c r="Q868" s="20"/>
      <c r="R868" s="20"/>
      <c r="S868" s="20"/>
      <c r="T868" s="20"/>
      <c r="U868" s="20"/>
      <c r="V868" s="20"/>
      <c r="W868" s="20"/>
      <c r="X868" s="20"/>
      <c r="Y868" s="20"/>
      <c r="Z868" s="20"/>
      <c r="AA868" s="20"/>
      <c r="AB868" s="12"/>
      <c r="AC868" s="12"/>
      <c r="AD868" s="671">
        <f t="shared" si="258"/>
        <v>790544</v>
      </c>
      <c r="AE868" s="671">
        <f t="shared" si="258"/>
        <v>12752</v>
      </c>
      <c r="AF868" s="12">
        <v>802039</v>
      </c>
      <c r="AG868" s="12">
        <v>856578</v>
      </c>
      <c r="AH868" s="12">
        <v>448061</v>
      </c>
      <c r="AI868" s="12">
        <v>472339</v>
      </c>
      <c r="AJ868" s="37">
        <v>775183</v>
      </c>
      <c r="AK868" s="37">
        <v>832004</v>
      </c>
      <c r="AL868" s="684">
        <f t="shared" ref="AL868:AM868" si="270">ROUND((AK868/AK$888)*AL$888,0)</f>
        <v>864648</v>
      </c>
      <c r="AM868" s="684">
        <f t="shared" si="270"/>
        <v>926558</v>
      </c>
      <c r="AN868" s="684">
        <f t="shared" si="260"/>
        <v>1002257</v>
      </c>
      <c r="AO868" s="684">
        <f t="shared" si="260"/>
        <v>1047904</v>
      </c>
      <c r="AP868" s="684">
        <f t="shared" si="260"/>
        <v>1034211</v>
      </c>
      <c r="AQ868" s="684">
        <f t="shared" si="260"/>
        <v>1034211</v>
      </c>
      <c r="AR868" s="1044"/>
      <c r="AS868" s="1044"/>
    </row>
    <row r="869" spans="3:45" hidden="1" outlineLevel="1">
      <c r="C869" s="816" t="s">
        <v>16</v>
      </c>
      <c r="D869" s="9"/>
      <c r="E869" s="20" t="s">
        <v>131</v>
      </c>
      <c r="F869" s="20"/>
      <c r="G869" s="20"/>
      <c r="H869" s="20"/>
      <c r="I869" s="20"/>
      <c r="J869" s="20"/>
      <c r="K869" s="20"/>
      <c r="L869" s="20"/>
      <c r="M869" s="20"/>
      <c r="N869" s="20"/>
      <c r="O869" s="20"/>
      <c r="P869" s="20"/>
      <c r="Q869" s="20"/>
      <c r="R869" s="20"/>
      <c r="S869" s="20"/>
      <c r="T869" s="20"/>
      <c r="U869" s="20"/>
      <c r="V869" s="20"/>
      <c r="W869" s="20"/>
      <c r="X869" s="20"/>
      <c r="Y869" s="20"/>
      <c r="Z869" s="20"/>
      <c r="AA869" s="20"/>
      <c r="AB869" s="12"/>
      <c r="AC869" s="12"/>
      <c r="AD869" s="671">
        <f t="shared" si="258"/>
        <v>1972529</v>
      </c>
      <c r="AE869" s="671">
        <f t="shared" si="258"/>
        <v>31817</v>
      </c>
      <c r="AF869" s="12">
        <v>2001212</v>
      </c>
      <c r="AG869" s="12">
        <v>2137294</v>
      </c>
      <c r="AH869" s="12">
        <v>1123717</v>
      </c>
      <c r="AI869" s="12">
        <v>1184606</v>
      </c>
      <c r="AJ869" s="37">
        <v>1676865</v>
      </c>
      <c r="AK869" s="37">
        <v>1799779</v>
      </c>
      <c r="AL869" s="684">
        <f t="shared" ref="AL869:AM869" si="271">ROUND((AK869/AK$888)*AL$888,0)</f>
        <v>1870394</v>
      </c>
      <c r="AM869" s="684">
        <f t="shared" si="271"/>
        <v>2004317</v>
      </c>
      <c r="AN869" s="684">
        <f t="shared" si="260"/>
        <v>2168068</v>
      </c>
      <c r="AO869" s="684">
        <f t="shared" si="260"/>
        <v>2266811</v>
      </c>
      <c r="AP869" s="684">
        <f t="shared" si="260"/>
        <v>2237190</v>
      </c>
      <c r="AQ869" s="684">
        <f t="shared" si="260"/>
        <v>2237190</v>
      </c>
      <c r="AR869" s="1044"/>
      <c r="AS869" s="1044"/>
    </row>
    <row r="870" spans="3:45" hidden="1" outlineLevel="1">
      <c r="C870" s="816" t="s">
        <v>16</v>
      </c>
      <c r="D870" s="9"/>
      <c r="E870" s="20" t="s">
        <v>132</v>
      </c>
      <c r="F870" s="20"/>
      <c r="G870" s="20"/>
      <c r="H870" s="20"/>
      <c r="I870" s="20"/>
      <c r="J870" s="20"/>
      <c r="K870" s="20"/>
      <c r="L870" s="20"/>
      <c r="M870" s="20"/>
      <c r="N870" s="20"/>
      <c r="O870" s="20"/>
      <c r="P870" s="20"/>
      <c r="Q870" s="20"/>
      <c r="R870" s="20"/>
      <c r="S870" s="20"/>
      <c r="T870" s="20"/>
      <c r="U870" s="20"/>
      <c r="V870" s="20"/>
      <c r="W870" s="20"/>
      <c r="X870" s="20"/>
      <c r="Y870" s="20"/>
      <c r="Z870" s="20"/>
      <c r="AA870" s="20"/>
      <c r="AB870" s="12"/>
      <c r="AC870" s="12"/>
      <c r="AD870" s="671">
        <f t="shared" si="258"/>
        <v>628829</v>
      </c>
      <c r="AE870" s="671">
        <f t="shared" si="258"/>
        <v>10143</v>
      </c>
      <c r="AF870" s="12">
        <v>637973</v>
      </c>
      <c r="AG870" s="12">
        <v>681355</v>
      </c>
      <c r="AH870" s="12">
        <v>502592</v>
      </c>
      <c r="AI870" s="12">
        <v>529825</v>
      </c>
      <c r="AJ870" s="37">
        <v>747883</v>
      </c>
      <c r="AK870" s="37">
        <v>802702</v>
      </c>
      <c r="AL870" s="684">
        <f t="shared" ref="AL870:AM870" si="272">ROUND((AK870/AK$888)*AL$888,0)</f>
        <v>834196</v>
      </c>
      <c r="AM870" s="684">
        <f t="shared" si="272"/>
        <v>893925</v>
      </c>
      <c r="AN870" s="684">
        <f t="shared" si="260"/>
        <v>966958</v>
      </c>
      <c r="AO870" s="684">
        <f t="shared" si="260"/>
        <v>1010997</v>
      </c>
      <c r="AP870" s="684">
        <f t="shared" si="260"/>
        <v>997786</v>
      </c>
      <c r="AQ870" s="684">
        <f t="shared" si="260"/>
        <v>997786</v>
      </c>
      <c r="AR870" s="1044"/>
      <c r="AS870" s="1044"/>
    </row>
    <row r="871" spans="3:45" hidden="1" outlineLevel="1">
      <c r="C871" s="816" t="s">
        <v>16</v>
      </c>
      <c r="D871" s="9"/>
      <c r="E871" s="20" t="s">
        <v>133</v>
      </c>
      <c r="F871" s="20"/>
      <c r="G871" s="20"/>
      <c r="H871" s="20"/>
      <c r="I871" s="20"/>
      <c r="J871" s="20"/>
      <c r="K871" s="20"/>
      <c r="L871" s="20"/>
      <c r="M871" s="20"/>
      <c r="N871" s="20"/>
      <c r="O871" s="20"/>
      <c r="P871" s="20"/>
      <c r="Q871" s="20"/>
      <c r="R871" s="20"/>
      <c r="S871" s="20"/>
      <c r="T871" s="20"/>
      <c r="U871" s="20"/>
      <c r="V871" s="20"/>
      <c r="W871" s="20"/>
      <c r="X871" s="20"/>
      <c r="Y871" s="20"/>
      <c r="Z871" s="20"/>
      <c r="AA871" s="20"/>
      <c r="AB871" s="12"/>
      <c r="AC871" s="12"/>
      <c r="AD871" s="671">
        <f t="shared" si="258"/>
        <v>1300021</v>
      </c>
      <c r="AE871" s="671">
        <f t="shared" si="258"/>
        <v>20970</v>
      </c>
      <c r="AF871" s="12">
        <v>1318925</v>
      </c>
      <c r="AG871" s="12">
        <v>1408612</v>
      </c>
      <c r="AH871" s="12">
        <v>746724</v>
      </c>
      <c r="AI871" s="12">
        <v>787185</v>
      </c>
      <c r="AJ871" s="37">
        <v>1020921</v>
      </c>
      <c r="AK871" s="37">
        <v>1095755</v>
      </c>
      <c r="AL871" s="684">
        <f t="shared" ref="AL871:AM871" si="273">ROUND((AK871/AK$888)*AL$888,0)</f>
        <v>1138747</v>
      </c>
      <c r="AM871" s="684">
        <f t="shared" si="273"/>
        <v>1220283</v>
      </c>
      <c r="AN871" s="684">
        <f t="shared" si="260"/>
        <v>1319979</v>
      </c>
      <c r="AO871" s="684">
        <f t="shared" si="260"/>
        <v>1380096</v>
      </c>
      <c r="AP871" s="684">
        <f t="shared" si="260"/>
        <v>1362062</v>
      </c>
      <c r="AQ871" s="684">
        <f t="shared" si="260"/>
        <v>1362062</v>
      </c>
      <c r="AR871" s="1044"/>
      <c r="AS871" s="1044"/>
    </row>
    <row r="872" spans="3:45" hidden="1" outlineLevel="1">
      <c r="C872" s="816" t="s">
        <v>16</v>
      </c>
      <c r="D872" s="9"/>
      <c r="E872" s="20" t="s">
        <v>134</v>
      </c>
      <c r="F872" s="20"/>
      <c r="G872" s="20"/>
      <c r="H872" s="20"/>
      <c r="I872" s="20"/>
      <c r="J872" s="20"/>
      <c r="K872" s="20"/>
      <c r="L872" s="20"/>
      <c r="M872" s="20"/>
      <c r="N872" s="20"/>
      <c r="O872" s="20"/>
      <c r="P872" s="20"/>
      <c r="Q872" s="20"/>
      <c r="R872" s="20"/>
      <c r="S872" s="20"/>
      <c r="T872" s="20"/>
      <c r="U872" s="20"/>
      <c r="V872" s="20"/>
      <c r="W872" s="20"/>
      <c r="X872" s="20"/>
      <c r="Y872" s="20"/>
      <c r="Z872" s="20"/>
      <c r="AA872" s="20"/>
      <c r="AB872" s="12"/>
      <c r="AC872" s="12"/>
      <c r="AD872" s="671">
        <f t="shared" si="258"/>
        <v>372699</v>
      </c>
      <c r="AE872" s="671">
        <f t="shared" si="258"/>
        <v>6012</v>
      </c>
      <c r="AF872" s="12">
        <v>378118</v>
      </c>
      <c r="AG872" s="12">
        <v>403830</v>
      </c>
      <c r="AH872" s="12">
        <v>219503</v>
      </c>
      <c r="AI872" s="12">
        <v>231397</v>
      </c>
      <c r="AJ872" s="37">
        <v>380213</v>
      </c>
      <c r="AK872" s="37">
        <v>408083</v>
      </c>
      <c r="AL872" s="684">
        <f t="shared" ref="AL872:AM872" si="274">ROUND((AK872/AK$888)*AL$888,0)</f>
        <v>424094</v>
      </c>
      <c r="AM872" s="684">
        <f t="shared" si="274"/>
        <v>454460</v>
      </c>
      <c r="AN872" s="684">
        <f t="shared" si="260"/>
        <v>491589</v>
      </c>
      <c r="AO872" s="684">
        <f t="shared" si="260"/>
        <v>513978</v>
      </c>
      <c r="AP872" s="684">
        <f t="shared" si="260"/>
        <v>507262</v>
      </c>
      <c r="AQ872" s="684">
        <f t="shared" si="260"/>
        <v>507262</v>
      </c>
      <c r="AR872" s="1044"/>
      <c r="AS872" s="1044"/>
    </row>
    <row r="873" spans="3:45" hidden="1" outlineLevel="1">
      <c r="C873" s="816" t="s">
        <v>16</v>
      </c>
      <c r="D873" s="9"/>
      <c r="E873" s="20" t="s">
        <v>135</v>
      </c>
      <c r="F873" s="20"/>
      <c r="G873" s="20"/>
      <c r="H873" s="20"/>
      <c r="I873" s="20"/>
      <c r="J873" s="20"/>
      <c r="K873" s="20"/>
      <c r="L873" s="20"/>
      <c r="M873" s="20"/>
      <c r="N873" s="20"/>
      <c r="O873" s="20"/>
      <c r="P873" s="20"/>
      <c r="Q873" s="20"/>
      <c r="R873" s="20"/>
      <c r="S873" s="20"/>
      <c r="T873" s="20"/>
      <c r="U873" s="20"/>
      <c r="V873" s="20"/>
      <c r="W873" s="20"/>
      <c r="X873" s="20"/>
      <c r="Y873" s="20"/>
      <c r="Z873" s="20"/>
      <c r="AA873" s="20"/>
      <c r="AB873" s="12"/>
      <c r="AC873" s="12"/>
      <c r="AD873" s="671">
        <f t="shared" si="258"/>
        <v>6845651</v>
      </c>
      <c r="AE873" s="671">
        <f t="shared" si="258"/>
        <v>110422</v>
      </c>
      <c r="AF873" s="12">
        <v>6945194</v>
      </c>
      <c r="AG873" s="12">
        <v>7417468</v>
      </c>
      <c r="AH873" s="12">
        <v>4268081</v>
      </c>
      <c r="AI873" s="12">
        <v>4499348</v>
      </c>
      <c r="AJ873" s="37">
        <v>6232207</v>
      </c>
      <c r="AK873" s="37">
        <v>6689028</v>
      </c>
      <c r="AL873" s="684">
        <f t="shared" ref="AL873:AM873" si="275">ROUND((AK873/AK$888)*AL$888,0)</f>
        <v>6951473</v>
      </c>
      <c r="AM873" s="684">
        <f t="shared" si="275"/>
        <v>7449207</v>
      </c>
      <c r="AN873" s="684">
        <f t="shared" si="260"/>
        <v>8057799</v>
      </c>
      <c r="AO873" s="684">
        <f t="shared" si="260"/>
        <v>8424785</v>
      </c>
      <c r="AP873" s="684">
        <f t="shared" si="260"/>
        <v>8314695</v>
      </c>
      <c r="AQ873" s="684">
        <f t="shared" si="260"/>
        <v>8314695</v>
      </c>
      <c r="AR873" s="1044"/>
      <c r="AS873" s="1044"/>
    </row>
    <row r="874" spans="3:45" hidden="1" outlineLevel="1">
      <c r="C874" s="816" t="s">
        <v>16</v>
      </c>
      <c r="D874" s="9"/>
      <c r="E874" s="20" t="s">
        <v>136</v>
      </c>
      <c r="F874" s="20"/>
      <c r="G874" s="20"/>
      <c r="H874" s="20"/>
      <c r="I874" s="20"/>
      <c r="J874" s="20"/>
      <c r="K874" s="20"/>
      <c r="L874" s="20"/>
      <c r="M874" s="20"/>
      <c r="N874" s="20"/>
      <c r="O874" s="20"/>
      <c r="P874" s="20"/>
      <c r="Q874" s="20"/>
      <c r="R874" s="20"/>
      <c r="S874" s="20"/>
      <c r="T874" s="20"/>
      <c r="U874" s="20"/>
      <c r="V874" s="20"/>
      <c r="W874" s="20"/>
      <c r="X874" s="20"/>
      <c r="Y874" s="20"/>
      <c r="Z874" s="20"/>
      <c r="AA874" s="20"/>
      <c r="AB874" s="12"/>
      <c r="AC874" s="12"/>
      <c r="AD874" s="671">
        <f t="shared" si="258"/>
        <v>3463958</v>
      </c>
      <c r="AE874" s="671">
        <f t="shared" si="258"/>
        <v>55875</v>
      </c>
      <c r="AF874" s="12">
        <v>3514327</v>
      </c>
      <c r="AG874" s="12">
        <v>3753301</v>
      </c>
      <c r="AH874" s="12">
        <v>1943920</v>
      </c>
      <c r="AI874" s="12">
        <v>2049251</v>
      </c>
      <c r="AJ874" s="37">
        <v>2785855</v>
      </c>
      <c r="AK874" s="37">
        <v>2990058</v>
      </c>
      <c r="AL874" s="684">
        <f t="shared" ref="AL874:AM874" si="276">ROUND((AK874/AK$888)*AL$888,0)</f>
        <v>3107373</v>
      </c>
      <c r="AM874" s="684">
        <f t="shared" si="276"/>
        <v>3329865</v>
      </c>
      <c r="AN874" s="684">
        <f t="shared" si="260"/>
        <v>3601911</v>
      </c>
      <c r="AO874" s="684">
        <f t="shared" si="260"/>
        <v>3765957</v>
      </c>
      <c r="AP874" s="684">
        <f t="shared" si="260"/>
        <v>3716746</v>
      </c>
      <c r="AQ874" s="684">
        <f t="shared" si="260"/>
        <v>3716746</v>
      </c>
      <c r="AR874" s="1044"/>
      <c r="AS874" s="1044"/>
    </row>
    <row r="875" spans="3:45" hidden="1" outlineLevel="1">
      <c r="C875" s="816" t="s">
        <v>16</v>
      </c>
      <c r="D875" s="9"/>
      <c r="E875" s="20" t="s">
        <v>137</v>
      </c>
      <c r="F875" s="20"/>
      <c r="G875" s="20"/>
      <c r="H875" s="20"/>
      <c r="I875" s="20"/>
      <c r="J875" s="20"/>
      <c r="K875" s="20"/>
      <c r="L875" s="20"/>
      <c r="M875" s="20"/>
      <c r="N875" s="20"/>
      <c r="O875" s="20"/>
      <c r="P875" s="20"/>
      <c r="Q875" s="20"/>
      <c r="R875" s="20"/>
      <c r="S875" s="20"/>
      <c r="T875" s="20"/>
      <c r="U875" s="20"/>
      <c r="V875" s="20"/>
      <c r="W875" s="20"/>
      <c r="X875" s="20"/>
      <c r="Y875" s="20"/>
      <c r="Z875" s="20"/>
      <c r="AA875" s="20"/>
      <c r="AB875" s="12"/>
      <c r="AC875" s="12"/>
      <c r="AD875" s="671">
        <f t="shared" si="258"/>
        <v>4349831</v>
      </c>
      <c r="AE875" s="671">
        <f t="shared" si="258"/>
        <v>70164</v>
      </c>
      <c r="AF875" s="12">
        <v>4413082</v>
      </c>
      <c r="AG875" s="12">
        <v>4713172</v>
      </c>
      <c r="AH875" s="12">
        <v>2917183</v>
      </c>
      <c r="AI875" s="12">
        <v>3075251</v>
      </c>
      <c r="AJ875" s="37">
        <v>4152296</v>
      </c>
      <c r="AK875" s="37">
        <v>4488858</v>
      </c>
      <c r="AL875" s="684">
        <f t="shared" ref="AL875:AM875" si="277">ROUND((AK875/AK$888)*AL$888,0)</f>
        <v>4664979</v>
      </c>
      <c r="AM875" s="684">
        <f t="shared" si="277"/>
        <v>4998997</v>
      </c>
      <c r="AN875" s="684">
        <f t="shared" si="260"/>
        <v>5407410</v>
      </c>
      <c r="AO875" s="684">
        <f t="shared" si="260"/>
        <v>5653686</v>
      </c>
      <c r="AP875" s="684">
        <f t="shared" si="260"/>
        <v>5579807</v>
      </c>
      <c r="AQ875" s="684">
        <f t="shared" si="260"/>
        <v>5579807</v>
      </c>
      <c r="AR875" s="1044"/>
      <c r="AS875" s="1044"/>
    </row>
    <row r="876" spans="3:45" hidden="1" outlineLevel="1">
      <c r="C876" s="816" t="s">
        <v>16</v>
      </c>
      <c r="D876" s="9"/>
      <c r="E876" s="20" t="s">
        <v>178</v>
      </c>
      <c r="F876" s="20"/>
      <c r="G876" s="20"/>
      <c r="H876" s="20"/>
      <c r="I876" s="20"/>
      <c r="J876" s="20"/>
      <c r="K876" s="20"/>
      <c r="L876" s="20"/>
      <c r="M876" s="20"/>
      <c r="N876" s="20"/>
      <c r="O876" s="20"/>
      <c r="P876" s="20"/>
      <c r="Q876" s="20"/>
      <c r="R876" s="20"/>
      <c r="S876" s="20"/>
      <c r="T876" s="20"/>
      <c r="U876" s="20"/>
      <c r="V876" s="20"/>
      <c r="W876" s="20"/>
      <c r="X876" s="20"/>
      <c r="Y876" s="20"/>
      <c r="Z876" s="20"/>
      <c r="AA876" s="20"/>
      <c r="AB876" s="12"/>
      <c r="AC876" s="12"/>
      <c r="AD876" s="671">
        <f t="shared" si="258"/>
        <v>1387123</v>
      </c>
      <c r="AE876" s="671">
        <f t="shared" si="258"/>
        <v>22375</v>
      </c>
      <c r="AF876" s="12">
        <v>1407293</v>
      </c>
      <c r="AG876" s="12">
        <v>1502989</v>
      </c>
      <c r="AH876" s="12">
        <v>870380</v>
      </c>
      <c r="AI876" s="12">
        <v>917542</v>
      </c>
      <c r="AJ876" s="37">
        <v>1154648</v>
      </c>
      <c r="AK876" s="37">
        <v>1239284</v>
      </c>
      <c r="AL876" s="684">
        <f t="shared" ref="AL876:AM876" si="278">ROUND((AK876/AK$888)*AL$888,0)</f>
        <v>1287907</v>
      </c>
      <c r="AM876" s="684">
        <f t="shared" si="278"/>
        <v>1380123</v>
      </c>
      <c r="AN876" s="684">
        <f t="shared" si="260"/>
        <v>1492878</v>
      </c>
      <c r="AO876" s="684">
        <f t="shared" si="260"/>
        <v>1560870</v>
      </c>
      <c r="AP876" s="684">
        <f t="shared" si="260"/>
        <v>1540473</v>
      </c>
      <c r="AQ876" s="684">
        <f t="shared" si="260"/>
        <v>1540473</v>
      </c>
      <c r="AR876" s="1044"/>
      <c r="AS876" s="1044"/>
    </row>
    <row r="877" spans="3:45" hidden="1" outlineLevel="1">
      <c r="C877" s="816" t="s">
        <v>16</v>
      </c>
      <c r="D877" s="9"/>
      <c r="E877" s="20" t="s">
        <v>179</v>
      </c>
      <c r="F877" s="20"/>
      <c r="G877" s="20"/>
      <c r="H877" s="20"/>
      <c r="I877" s="20"/>
      <c r="J877" s="20"/>
      <c r="K877" s="20"/>
      <c r="L877" s="20"/>
      <c r="M877" s="20"/>
      <c r="N877" s="20"/>
      <c r="O877" s="20"/>
      <c r="P877" s="20"/>
      <c r="Q877" s="20"/>
      <c r="R877" s="20"/>
      <c r="S877" s="20"/>
      <c r="T877" s="20"/>
      <c r="U877" s="20"/>
      <c r="V877" s="20"/>
      <c r="W877" s="20"/>
      <c r="X877" s="20"/>
      <c r="Y877" s="20"/>
      <c r="Z877" s="20"/>
      <c r="AA877" s="20"/>
      <c r="AB877" s="12"/>
      <c r="AC877" s="12"/>
      <c r="AD877" s="671">
        <f t="shared" si="258"/>
        <v>9712076</v>
      </c>
      <c r="AE877" s="671">
        <f t="shared" si="258"/>
        <v>156659</v>
      </c>
      <c r="AF877" s="12">
        <v>9853299</v>
      </c>
      <c r="AG877" s="12">
        <v>10523323</v>
      </c>
      <c r="AH877" s="12">
        <v>6575248</v>
      </c>
      <c r="AI877" s="12">
        <v>6931529</v>
      </c>
      <c r="AJ877" s="37">
        <v>10604553</v>
      </c>
      <c r="AK877" s="37">
        <v>11381867</v>
      </c>
      <c r="AL877" s="684">
        <f t="shared" ref="AL877:AM877" si="279">ROUND((AK877/AK$888)*AL$888,0)</f>
        <v>11828436</v>
      </c>
      <c r="AM877" s="684">
        <f t="shared" si="279"/>
        <v>12675367</v>
      </c>
      <c r="AN877" s="684">
        <f t="shared" si="260"/>
        <v>13710931</v>
      </c>
      <c r="AO877" s="684">
        <f t="shared" si="260"/>
        <v>14335384</v>
      </c>
      <c r="AP877" s="684">
        <f t="shared" si="260"/>
        <v>14148057</v>
      </c>
      <c r="AQ877" s="684">
        <f t="shared" si="260"/>
        <v>14148057</v>
      </c>
      <c r="AR877" s="1044"/>
      <c r="AS877" s="1044"/>
    </row>
    <row r="878" spans="3:45" hidden="1" outlineLevel="1">
      <c r="C878" s="816" t="s">
        <v>16</v>
      </c>
      <c r="D878" s="9"/>
      <c r="E878" s="20" t="s">
        <v>140</v>
      </c>
      <c r="F878" s="20"/>
      <c r="G878" s="20"/>
      <c r="H878" s="20"/>
      <c r="I878" s="20"/>
      <c r="J878" s="20"/>
      <c r="K878" s="20"/>
      <c r="L878" s="20"/>
      <c r="M878" s="20"/>
      <c r="N878" s="20"/>
      <c r="O878" s="20"/>
      <c r="P878" s="20"/>
      <c r="Q878" s="20"/>
      <c r="R878" s="20"/>
      <c r="S878" s="20"/>
      <c r="T878" s="20"/>
      <c r="U878" s="20"/>
      <c r="V878" s="20"/>
      <c r="W878" s="20"/>
      <c r="X878" s="20"/>
      <c r="Y878" s="20"/>
      <c r="Z878" s="20"/>
      <c r="AA878" s="20"/>
      <c r="AB878" s="12"/>
      <c r="AC878" s="12"/>
      <c r="AD878" s="671">
        <f t="shared" ref="AD878:AE886" si="280">ROUND(($AF878/$AF$888)*AD$888,0)</f>
        <v>1417220</v>
      </c>
      <c r="AE878" s="671">
        <f t="shared" si="280"/>
        <v>22860</v>
      </c>
      <c r="AF878" s="12">
        <v>1437828</v>
      </c>
      <c r="AG878" s="12">
        <v>1535601</v>
      </c>
      <c r="AH878" s="12">
        <v>822753</v>
      </c>
      <c r="AI878" s="12">
        <v>867334</v>
      </c>
      <c r="AJ878" s="37">
        <v>1202730</v>
      </c>
      <c r="AK878" s="37">
        <v>1290890</v>
      </c>
      <c r="AL878" s="684">
        <f t="shared" ref="AL878:AM878" si="281">ROUND((AK878/AK$888)*AL$888,0)</f>
        <v>1341538</v>
      </c>
      <c r="AM878" s="684">
        <f t="shared" si="281"/>
        <v>1437594</v>
      </c>
      <c r="AN878" s="684">
        <f t="shared" ref="AN878:AQ886" si="282">ROUND((AM878/AM$888)*AN$888,0)</f>
        <v>1555044</v>
      </c>
      <c r="AO878" s="684">
        <f t="shared" si="282"/>
        <v>1625867</v>
      </c>
      <c r="AP878" s="684">
        <f t="shared" si="282"/>
        <v>1604621</v>
      </c>
      <c r="AQ878" s="684">
        <f t="shared" si="282"/>
        <v>1604621</v>
      </c>
      <c r="AR878" s="1044"/>
      <c r="AS878" s="1044"/>
    </row>
    <row r="879" spans="3:45" hidden="1" outlineLevel="1">
      <c r="C879" s="816" t="s">
        <v>16</v>
      </c>
      <c r="D879" s="9"/>
      <c r="E879" s="20" t="s">
        <v>141</v>
      </c>
      <c r="F879" s="20"/>
      <c r="G879" s="20"/>
      <c r="H879" s="20"/>
      <c r="I879" s="20"/>
      <c r="J879" s="20"/>
      <c r="K879" s="20"/>
      <c r="L879" s="20"/>
      <c r="M879" s="20"/>
      <c r="N879" s="20"/>
      <c r="O879" s="20"/>
      <c r="P879" s="20"/>
      <c r="Q879" s="20"/>
      <c r="R879" s="20"/>
      <c r="S879" s="20"/>
      <c r="T879" s="20"/>
      <c r="U879" s="20"/>
      <c r="V879" s="20"/>
      <c r="W879" s="20"/>
      <c r="X879" s="20"/>
      <c r="Y879" s="20"/>
      <c r="Z879" s="20"/>
      <c r="AA879" s="20"/>
      <c r="AB879" s="12"/>
      <c r="AC879" s="12"/>
      <c r="AD879" s="671">
        <f t="shared" si="280"/>
        <v>1657113</v>
      </c>
      <c r="AE879" s="671">
        <f t="shared" si="280"/>
        <v>26730</v>
      </c>
      <c r="AF879" s="12">
        <v>1681209</v>
      </c>
      <c r="AG879" s="12">
        <v>1795531</v>
      </c>
      <c r="AH879" s="12">
        <v>943196</v>
      </c>
      <c r="AI879" s="12">
        <v>994303</v>
      </c>
      <c r="AJ879" s="37">
        <v>1210059</v>
      </c>
      <c r="AK879" s="37">
        <v>1298757</v>
      </c>
      <c r="AL879" s="684">
        <f t="shared" ref="AL879:AM879" si="283">ROUND((AK879/AK$888)*AL$888,0)</f>
        <v>1349714</v>
      </c>
      <c r="AM879" s="684">
        <f t="shared" si="283"/>
        <v>1446355</v>
      </c>
      <c r="AN879" s="684">
        <f t="shared" si="282"/>
        <v>1564521</v>
      </c>
      <c r="AO879" s="684">
        <f t="shared" si="282"/>
        <v>1635776</v>
      </c>
      <c r="AP879" s="684">
        <f t="shared" si="282"/>
        <v>1614401</v>
      </c>
      <c r="AQ879" s="684">
        <f t="shared" si="282"/>
        <v>1614401</v>
      </c>
      <c r="AR879" s="1044"/>
      <c r="AS879" s="1044"/>
    </row>
    <row r="880" spans="3:45" hidden="1" outlineLevel="1">
      <c r="C880" s="816" t="s">
        <v>16</v>
      </c>
      <c r="D880" s="9"/>
      <c r="E880" s="278" t="s">
        <v>142</v>
      </c>
      <c r="F880" s="20"/>
      <c r="G880" s="20"/>
      <c r="H880" s="20"/>
      <c r="I880" s="20"/>
      <c r="J880" s="20"/>
      <c r="K880" s="20"/>
      <c r="L880" s="20"/>
      <c r="M880" s="20"/>
      <c r="N880" s="20"/>
      <c r="O880" s="20"/>
      <c r="P880" s="20"/>
      <c r="Q880" s="20"/>
      <c r="R880" s="20"/>
      <c r="S880" s="20"/>
      <c r="T880" s="20"/>
      <c r="U880" s="20"/>
      <c r="V880" s="20"/>
      <c r="W880" s="20"/>
      <c r="X880" s="20"/>
      <c r="Y880" s="20"/>
      <c r="Z880" s="20"/>
      <c r="AA880" s="20"/>
      <c r="AB880" s="12"/>
      <c r="AC880" s="12"/>
      <c r="AD880" s="671">
        <f t="shared" si="280"/>
        <v>2453662</v>
      </c>
      <c r="AE880" s="671">
        <f t="shared" si="280"/>
        <v>39578</v>
      </c>
      <c r="AF880" s="12">
        <v>2489341</v>
      </c>
      <c r="AG880" s="12">
        <v>2658616</v>
      </c>
      <c r="AH880" s="12">
        <v>1492481</v>
      </c>
      <c r="AI880" s="12">
        <v>1573351</v>
      </c>
      <c r="AJ880" s="37">
        <v>1663993</v>
      </c>
      <c r="AK880" s="37">
        <v>1785964</v>
      </c>
      <c r="AL880" s="684">
        <f t="shared" ref="AL880:AM880" si="284">ROUND((AK880/AK$888)*AL$888,0)</f>
        <v>1856037</v>
      </c>
      <c r="AM880" s="684">
        <f t="shared" si="284"/>
        <v>1988932</v>
      </c>
      <c r="AN880" s="684">
        <f t="shared" si="282"/>
        <v>2151426</v>
      </c>
      <c r="AO880" s="684">
        <f t="shared" si="282"/>
        <v>2249411</v>
      </c>
      <c r="AP880" s="684">
        <f t="shared" si="282"/>
        <v>2220017</v>
      </c>
      <c r="AQ880" s="684">
        <f t="shared" si="282"/>
        <v>2220017</v>
      </c>
      <c r="AR880" s="1044"/>
      <c r="AS880" s="1044"/>
    </row>
    <row r="881" spans="3:45" hidden="1" outlineLevel="1">
      <c r="C881" s="816" t="s">
        <v>16</v>
      </c>
      <c r="D881" s="9"/>
      <c r="E881" s="20" t="s">
        <v>164</v>
      </c>
      <c r="F881" s="20"/>
      <c r="G881" s="20"/>
      <c r="H881" s="20"/>
      <c r="I881" s="20"/>
      <c r="J881" s="20"/>
      <c r="K881" s="20"/>
      <c r="L881" s="20"/>
      <c r="M881" s="20"/>
      <c r="N881" s="20"/>
      <c r="O881" s="20"/>
      <c r="P881" s="20"/>
      <c r="Q881" s="20"/>
      <c r="R881" s="20"/>
      <c r="S881" s="20"/>
      <c r="T881" s="20"/>
      <c r="U881" s="20"/>
      <c r="V881" s="20"/>
      <c r="W881" s="20"/>
      <c r="X881" s="20"/>
      <c r="Y881" s="20"/>
      <c r="Z881" s="20"/>
      <c r="AA881" s="20"/>
      <c r="AB881" s="12"/>
      <c r="AC881" s="12"/>
      <c r="AD881" s="671">
        <f t="shared" si="280"/>
        <v>1663727</v>
      </c>
      <c r="AE881" s="671">
        <f t="shared" si="280"/>
        <v>26836</v>
      </c>
      <c r="AF881" s="12">
        <v>1687919</v>
      </c>
      <c r="AG881" s="12">
        <v>1802698</v>
      </c>
      <c r="AH881" s="12">
        <v>1072072</v>
      </c>
      <c r="AI881" s="12">
        <v>1130163</v>
      </c>
      <c r="AJ881" s="37">
        <v>1530794</v>
      </c>
      <c r="AK881" s="37">
        <v>1643001</v>
      </c>
      <c r="AL881" s="684">
        <f t="shared" ref="AL881:AM881" si="285">ROUND((AK881/AK$888)*AL$888,0)</f>
        <v>1707464</v>
      </c>
      <c r="AM881" s="684">
        <f t="shared" si="285"/>
        <v>1829721</v>
      </c>
      <c r="AN881" s="684">
        <f t="shared" si="282"/>
        <v>1979207</v>
      </c>
      <c r="AO881" s="684">
        <f t="shared" si="282"/>
        <v>2069348</v>
      </c>
      <c r="AP881" s="684">
        <f t="shared" si="282"/>
        <v>2042307</v>
      </c>
      <c r="AQ881" s="684">
        <f t="shared" si="282"/>
        <v>2042307</v>
      </c>
      <c r="AR881" s="1044"/>
      <c r="AS881" s="1044"/>
    </row>
    <row r="882" spans="3:45" hidden="1" outlineLevel="1">
      <c r="C882" s="816" t="s">
        <v>16</v>
      </c>
      <c r="D882" s="9"/>
      <c r="E882" s="20" t="s">
        <v>144</v>
      </c>
      <c r="F882" s="20"/>
      <c r="G882" s="20"/>
      <c r="H882" s="20"/>
      <c r="I882" s="20"/>
      <c r="J882" s="20"/>
      <c r="K882" s="20"/>
      <c r="L882" s="20"/>
      <c r="M882" s="20"/>
      <c r="N882" s="20"/>
      <c r="O882" s="20"/>
      <c r="P882" s="20"/>
      <c r="Q882" s="20"/>
      <c r="R882" s="20"/>
      <c r="S882" s="20"/>
      <c r="T882" s="20"/>
      <c r="U882" s="20"/>
      <c r="V882" s="20"/>
      <c r="W882" s="20"/>
      <c r="X882" s="20"/>
      <c r="Y882" s="20"/>
      <c r="Z882" s="20"/>
      <c r="AA882" s="20"/>
      <c r="AB882" s="12"/>
      <c r="AC882" s="12"/>
      <c r="AD882" s="671">
        <f t="shared" si="280"/>
        <v>2617475</v>
      </c>
      <c r="AE882" s="671">
        <f t="shared" si="280"/>
        <v>42221</v>
      </c>
      <c r="AF882" s="12">
        <v>2655536</v>
      </c>
      <c r="AG882" s="12">
        <v>2836113</v>
      </c>
      <c r="AH882" s="12">
        <v>1994919</v>
      </c>
      <c r="AI882" s="12">
        <v>2103014</v>
      </c>
      <c r="AJ882" s="37">
        <v>2906745</v>
      </c>
      <c r="AK882" s="37">
        <v>3119810</v>
      </c>
      <c r="AL882" s="684">
        <f t="shared" ref="AL882:AM882" si="286">ROUND((AK882/AK$888)*AL$888,0)</f>
        <v>3242216</v>
      </c>
      <c r="AM882" s="684">
        <f t="shared" si="286"/>
        <v>3474363</v>
      </c>
      <c r="AN882" s="684">
        <f t="shared" si="282"/>
        <v>3758215</v>
      </c>
      <c r="AO882" s="684">
        <f t="shared" si="282"/>
        <v>3929380</v>
      </c>
      <c r="AP882" s="684">
        <f t="shared" si="282"/>
        <v>3878033</v>
      </c>
      <c r="AQ882" s="684">
        <f t="shared" si="282"/>
        <v>3878033</v>
      </c>
      <c r="AR882" s="1044"/>
      <c r="AS882" s="1044"/>
    </row>
    <row r="883" spans="3:45" hidden="1" outlineLevel="1">
      <c r="C883" s="816" t="s">
        <v>16</v>
      </c>
      <c r="D883" s="9"/>
      <c r="E883" s="20" t="s">
        <v>180</v>
      </c>
      <c r="F883" s="20"/>
      <c r="G883" s="20"/>
      <c r="H883" s="20"/>
      <c r="I883" s="20"/>
      <c r="J883" s="20"/>
      <c r="K883" s="20"/>
      <c r="L883" s="20"/>
      <c r="M883" s="20"/>
      <c r="N883" s="20"/>
      <c r="O883" s="20"/>
      <c r="P883" s="20"/>
      <c r="Q883" s="20"/>
      <c r="R883" s="20"/>
      <c r="S883" s="20"/>
      <c r="T883" s="20"/>
      <c r="U883" s="20"/>
      <c r="V883" s="20"/>
      <c r="W883" s="20"/>
      <c r="X883" s="20"/>
      <c r="Y883" s="20"/>
      <c r="Z883" s="20"/>
      <c r="AA883" s="20"/>
      <c r="AB883" s="12"/>
      <c r="AC883" s="12"/>
      <c r="AD883" s="671">
        <f t="shared" si="280"/>
        <v>1027604</v>
      </c>
      <c r="AE883" s="671">
        <f t="shared" si="280"/>
        <v>16576</v>
      </c>
      <c r="AF883" s="12">
        <v>1042546</v>
      </c>
      <c r="AG883" s="12">
        <v>1113439</v>
      </c>
      <c r="AH883" s="12">
        <v>603993</v>
      </c>
      <c r="AI883" s="12">
        <v>636721</v>
      </c>
      <c r="AJ883" s="37">
        <v>896047</v>
      </c>
      <c r="AK883" s="37">
        <v>961727</v>
      </c>
      <c r="AL883" s="684">
        <f t="shared" ref="AL883:AM883" si="287">ROUND((AK883/AK$888)*AL$888,0)</f>
        <v>999460</v>
      </c>
      <c r="AM883" s="684">
        <f t="shared" si="287"/>
        <v>1071023</v>
      </c>
      <c r="AN883" s="684">
        <f t="shared" si="282"/>
        <v>1158524</v>
      </c>
      <c r="AO883" s="684">
        <f t="shared" si="282"/>
        <v>1211288</v>
      </c>
      <c r="AP883" s="684">
        <f t="shared" si="282"/>
        <v>1195460</v>
      </c>
      <c r="AQ883" s="684">
        <f t="shared" si="282"/>
        <v>1195460</v>
      </c>
      <c r="AR883" s="1044"/>
      <c r="AS883" s="1044"/>
    </row>
    <row r="884" spans="3:45" hidden="1" outlineLevel="1">
      <c r="C884" s="816" t="s">
        <v>16</v>
      </c>
      <c r="D884" s="9"/>
      <c r="E884" s="20" t="s">
        <v>146</v>
      </c>
      <c r="F884" s="20"/>
      <c r="G884" s="20"/>
      <c r="H884" s="20"/>
      <c r="I884" s="20"/>
      <c r="J884" s="20"/>
      <c r="K884" s="20"/>
      <c r="L884" s="20"/>
      <c r="M884" s="20"/>
      <c r="N884" s="20"/>
      <c r="O884" s="20"/>
      <c r="P884" s="20"/>
      <c r="Q884" s="20"/>
      <c r="R884" s="20"/>
      <c r="S884" s="20"/>
      <c r="T884" s="20"/>
      <c r="U884" s="20"/>
      <c r="V884" s="20"/>
      <c r="W884" s="20"/>
      <c r="X884" s="20"/>
      <c r="Y884" s="20"/>
      <c r="Z884" s="20"/>
      <c r="AA884" s="20"/>
      <c r="AB884" s="12"/>
      <c r="AC884" s="12"/>
      <c r="AD884" s="671">
        <f t="shared" si="280"/>
        <v>1497444</v>
      </c>
      <c r="AE884" s="671">
        <f t="shared" si="280"/>
        <v>24154</v>
      </c>
      <c r="AF884" s="12">
        <v>1519218</v>
      </c>
      <c r="AG884" s="12">
        <v>1622525</v>
      </c>
      <c r="AH884" s="12">
        <v>842559</v>
      </c>
      <c r="AI884" s="12">
        <v>888214</v>
      </c>
      <c r="AJ884" s="37">
        <v>1156679</v>
      </c>
      <c r="AK884" s="37">
        <v>1241463</v>
      </c>
      <c r="AL884" s="684">
        <f t="shared" ref="AL884:AM884" si="288">ROUND((AK884/AK$888)*AL$888,0)</f>
        <v>1290172</v>
      </c>
      <c r="AM884" s="684">
        <f t="shared" si="288"/>
        <v>1382550</v>
      </c>
      <c r="AN884" s="684">
        <f t="shared" si="282"/>
        <v>1495503</v>
      </c>
      <c r="AO884" s="684">
        <f t="shared" si="282"/>
        <v>1563614</v>
      </c>
      <c r="AP884" s="684">
        <f t="shared" si="282"/>
        <v>1543182</v>
      </c>
      <c r="AQ884" s="684">
        <f t="shared" si="282"/>
        <v>1543182</v>
      </c>
      <c r="AR884" s="1044"/>
      <c r="AS884" s="1044"/>
    </row>
    <row r="885" spans="3:45" hidden="1" outlineLevel="1">
      <c r="C885" s="816" t="s">
        <v>16</v>
      </c>
      <c r="D885" s="9"/>
      <c r="E885" s="20" t="s">
        <v>147</v>
      </c>
      <c r="F885" s="20"/>
      <c r="G885" s="20"/>
      <c r="H885" s="20"/>
      <c r="I885" s="20"/>
      <c r="J885" s="20"/>
      <c r="K885" s="20"/>
      <c r="L885" s="20"/>
      <c r="M885" s="20"/>
      <c r="N885" s="20"/>
      <c r="O885" s="20"/>
      <c r="P885" s="20"/>
      <c r="Q885" s="20"/>
      <c r="R885" s="20"/>
      <c r="S885" s="20"/>
      <c r="T885" s="20"/>
      <c r="U885" s="20"/>
      <c r="V885" s="20"/>
      <c r="W885" s="20"/>
      <c r="X885" s="20"/>
      <c r="Y885" s="20"/>
      <c r="Z885" s="20"/>
      <c r="AA885" s="20"/>
      <c r="AB885" s="12"/>
      <c r="AC885" s="12"/>
      <c r="AD885" s="671">
        <f t="shared" si="280"/>
        <v>1384205</v>
      </c>
      <c r="AE885" s="671">
        <f t="shared" si="280"/>
        <v>22328</v>
      </c>
      <c r="AF885" s="12">
        <v>1404333</v>
      </c>
      <c r="AG885" s="12">
        <v>1499828</v>
      </c>
      <c r="AH885" s="12">
        <v>875038</v>
      </c>
      <c r="AI885" s="12">
        <v>922452</v>
      </c>
      <c r="AJ885" s="37">
        <v>1304112</v>
      </c>
      <c r="AK885" s="37">
        <v>1399704</v>
      </c>
      <c r="AL885" s="684">
        <f t="shared" ref="AL885:AM885" si="289">ROUND((AK885/AK$888)*AL$888,0)</f>
        <v>1454622</v>
      </c>
      <c r="AM885" s="684">
        <f t="shared" si="289"/>
        <v>1558775</v>
      </c>
      <c r="AN885" s="684">
        <f t="shared" si="282"/>
        <v>1686125</v>
      </c>
      <c r="AO885" s="684">
        <f t="shared" si="282"/>
        <v>1762918</v>
      </c>
      <c r="AP885" s="684">
        <f t="shared" si="282"/>
        <v>1739881</v>
      </c>
      <c r="AQ885" s="684">
        <f t="shared" si="282"/>
        <v>1739881</v>
      </c>
      <c r="AR885" s="1044"/>
      <c r="AS885" s="1044"/>
    </row>
    <row r="886" spans="3:45" hidden="1" outlineLevel="1">
      <c r="C886" s="816" t="s">
        <v>16</v>
      </c>
      <c r="D886" s="9"/>
      <c r="E886" s="20" t="s">
        <v>148</v>
      </c>
      <c r="F886" s="20"/>
      <c r="G886" s="20"/>
      <c r="H886" s="20"/>
      <c r="I886" s="20"/>
      <c r="J886" s="20"/>
      <c r="K886" s="20"/>
      <c r="L886" s="20"/>
      <c r="M886" s="20"/>
      <c r="N886" s="20"/>
      <c r="O886" s="20"/>
      <c r="P886" s="20"/>
      <c r="Q886" s="20"/>
      <c r="R886" s="20"/>
      <c r="S886" s="20"/>
      <c r="T886" s="20"/>
      <c r="U886" s="20"/>
      <c r="V886" s="20"/>
      <c r="W886" s="20"/>
      <c r="X886" s="20"/>
      <c r="Y886" s="20"/>
      <c r="Z886" s="20"/>
      <c r="AA886" s="20"/>
      <c r="AB886" s="12"/>
      <c r="AC886" s="12"/>
      <c r="AD886" s="671">
        <f t="shared" si="280"/>
        <v>793718</v>
      </c>
      <c r="AE886" s="671">
        <f t="shared" si="280"/>
        <v>12803</v>
      </c>
      <c r="AF886" s="12">
        <v>805259</v>
      </c>
      <c r="AG886" s="12">
        <v>860017</v>
      </c>
      <c r="AH886" s="12">
        <v>448947</v>
      </c>
      <c r="AI886" s="12">
        <v>473273</v>
      </c>
      <c r="AJ886" s="37">
        <v>601028</v>
      </c>
      <c r="AK886" s="37">
        <v>645084</v>
      </c>
      <c r="AL886" s="684">
        <f t="shared" ref="AL886:AM886" si="290">ROUND((AK886/AK$888)*AL$888,0)</f>
        <v>670394</v>
      </c>
      <c r="AM886" s="684">
        <f t="shared" si="290"/>
        <v>718395</v>
      </c>
      <c r="AN886" s="684">
        <f t="shared" si="282"/>
        <v>777087</v>
      </c>
      <c r="AO886" s="684">
        <f t="shared" si="282"/>
        <v>812479</v>
      </c>
      <c r="AP886" s="684">
        <f t="shared" si="282"/>
        <v>801862</v>
      </c>
      <c r="AQ886" s="684">
        <f t="shared" si="282"/>
        <v>801862</v>
      </c>
      <c r="AR886" s="1044"/>
      <c r="AS886" s="1044"/>
    </row>
    <row r="887" spans="3:45" hidden="1" outlineLevel="1">
      <c r="C887" s="816" t="s">
        <v>16</v>
      </c>
      <c r="D887" s="9"/>
      <c r="E887" s="20" t="s">
        <v>181</v>
      </c>
      <c r="F887" s="20"/>
      <c r="G887" s="20"/>
      <c r="H887" s="20"/>
      <c r="I887" s="20"/>
      <c r="J887" s="20"/>
      <c r="K887" s="20"/>
      <c r="L887" s="20"/>
      <c r="M887" s="20"/>
      <c r="N887" s="20"/>
      <c r="O887" s="20"/>
      <c r="P887" s="20"/>
      <c r="Q887" s="20"/>
      <c r="R887" s="20"/>
      <c r="S887" s="20"/>
      <c r="T887" s="20"/>
      <c r="U887" s="20"/>
      <c r="V887" s="20"/>
      <c r="W887" s="20"/>
      <c r="X887" s="20"/>
      <c r="Y887" s="20"/>
      <c r="Z887" s="20"/>
      <c r="AA887" s="20"/>
      <c r="AB887" s="12"/>
      <c r="AC887" s="12"/>
      <c r="AD887" s="671">
        <f>ROUND(($AF887/$AF$888)*AD$888,0)-3</f>
        <v>1802243</v>
      </c>
      <c r="AE887" s="671">
        <f>ROUND(($AF887/$AF$888)*AE$888,0)-4</f>
        <v>29067</v>
      </c>
      <c r="AF887" s="12">
        <v>1828452</v>
      </c>
      <c r="AG887" s="12">
        <v>1952787</v>
      </c>
      <c r="AH887" s="12">
        <v>1035796</v>
      </c>
      <c r="AI887" s="12">
        <v>1091923</v>
      </c>
      <c r="AJ887" s="37">
        <v>1523688</v>
      </c>
      <c r="AK887" s="37">
        <v>1635375</v>
      </c>
      <c r="AL887" s="689">
        <f>ROUND((AK887/AK$888)*AL$888,0)-1</f>
        <v>1699538</v>
      </c>
      <c r="AM887" s="689">
        <f>ROUND((AL887/AL$888)*AM$888,0)-2</f>
        <v>1821225</v>
      </c>
      <c r="AN887" s="689">
        <f>ROUND((AM887/AM$888)*AN$888,0)-4</f>
        <v>1970013</v>
      </c>
      <c r="AO887" s="689">
        <f>ROUND((AN887/AN$888)*AO$888,0)+1</f>
        <v>2059737</v>
      </c>
      <c r="AP887" s="689">
        <f>ROUND((AO887/AO$888)*AP$888,0)-3</f>
        <v>2032819</v>
      </c>
      <c r="AQ887" s="689">
        <f>ROUND((AP887/AP$888)*AQ$888,0)</f>
        <v>2032819</v>
      </c>
      <c r="AR887" s="1044"/>
      <c r="AS887" s="1044"/>
    </row>
    <row r="888" spans="3:45" ht="25.5" hidden="1" outlineLevel="1">
      <c r="C888" s="816" t="s">
        <v>16</v>
      </c>
      <c r="D888" s="9"/>
      <c r="E888" s="368" t="s">
        <v>1198</v>
      </c>
      <c r="F888" s="38"/>
      <c r="G888" s="38"/>
      <c r="H888" s="38"/>
      <c r="I888" s="38"/>
      <c r="J888" s="38"/>
      <c r="K888" s="38"/>
      <c r="L888" s="38"/>
      <c r="M888" s="38"/>
      <c r="N888" s="38"/>
      <c r="O888" s="38"/>
      <c r="P888" s="38"/>
      <c r="Q888" s="38"/>
      <c r="R888" s="38"/>
      <c r="S888" s="38"/>
      <c r="T888" s="38"/>
      <c r="U888" s="38"/>
      <c r="V888" s="38"/>
      <c r="W888" s="38"/>
      <c r="X888" s="38"/>
      <c r="Y888" s="38"/>
      <c r="Z888" s="38"/>
      <c r="AA888" s="38"/>
      <c r="AB888" s="34"/>
      <c r="AC888" s="34"/>
      <c r="AD888" s="34">
        <v>156504258</v>
      </c>
      <c r="AE888" s="34">
        <v>2524459</v>
      </c>
      <c r="AF888" s="34">
        <f t="shared" ref="AF888:AK888" si="291">SUM(AF838:AF887)</f>
        <v>158779987</v>
      </c>
      <c r="AG888" s="34">
        <f t="shared" si="291"/>
        <v>169577025</v>
      </c>
      <c r="AH888" s="34">
        <f t="shared" si="291"/>
        <v>96582471</v>
      </c>
      <c r="AI888" s="34">
        <f t="shared" si="291"/>
        <v>101815809</v>
      </c>
      <c r="AJ888" s="34">
        <f t="shared" si="291"/>
        <v>137986605</v>
      </c>
      <c r="AK888" s="34">
        <f t="shared" si="291"/>
        <v>148101028</v>
      </c>
      <c r="AL888" s="34">
        <v>153911789</v>
      </c>
      <c r="AM888" s="34">
        <v>164932067</v>
      </c>
      <c r="AN888" s="865">
        <v>178406837</v>
      </c>
      <c r="AO888" s="865">
        <v>186532234</v>
      </c>
      <c r="AP888" s="1073">
        <v>184094737</v>
      </c>
      <c r="AQ888" s="1073">
        <v>184094737</v>
      </c>
      <c r="AR888" s="1044"/>
      <c r="AS888" s="1044"/>
    </row>
    <row r="889" spans="3:45" collapsed="1">
      <c r="C889" s="816" t="s">
        <v>1197</v>
      </c>
      <c r="D889" s="25"/>
      <c r="E889" s="6"/>
      <c r="F889" s="30"/>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1300" t="s">
        <v>159</v>
      </c>
      <c r="AE889" s="1301"/>
      <c r="AF889" s="1305" t="s">
        <v>158</v>
      </c>
      <c r="AG889" s="1306"/>
      <c r="AH889" s="1306"/>
      <c r="AI889" s="1307"/>
      <c r="AJ889" s="31" t="s">
        <v>159</v>
      </c>
      <c r="AK889" s="31" t="s">
        <v>159</v>
      </c>
      <c r="AL889" s="31" t="s">
        <v>159</v>
      </c>
      <c r="AM889" s="31" t="s">
        <v>159</v>
      </c>
      <c r="AN889" s="1300" t="s">
        <v>159</v>
      </c>
      <c r="AO889" s="1301"/>
      <c r="AP889" s="1302" t="s">
        <v>159</v>
      </c>
      <c r="AQ889" s="1303"/>
      <c r="AR889" s="1044"/>
      <c r="AS889" s="1044"/>
    </row>
    <row r="890" spans="3:45" hidden="1" outlineLevel="1">
      <c r="C890" s="816" t="s">
        <v>16</v>
      </c>
      <c r="D890" s="9"/>
      <c r="E890" s="32" t="s">
        <v>1231</v>
      </c>
      <c r="F890" s="32"/>
      <c r="G890" s="32"/>
      <c r="H890" s="32"/>
      <c r="I890" s="32"/>
      <c r="J890" s="32"/>
      <c r="K890" s="32"/>
      <c r="L890" s="32"/>
      <c r="M890" s="32"/>
      <c r="N890" s="32"/>
      <c r="O890" s="32"/>
      <c r="P890" s="32"/>
      <c r="Q890" s="32"/>
      <c r="R890" s="32"/>
      <c r="S890" s="32"/>
      <c r="T890" s="32"/>
      <c r="U890" s="32"/>
      <c r="V890" s="32"/>
      <c r="W890" s="32"/>
      <c r="X890" s="32"/>
      <c r="Y890" s="32"/>
      <c r="Z890" s="32"/>
      <c r="AA890" s="32"/>
      <c r="AB890" s="12"/>
      <c r="AC890" s="12"/>
      <c r="AD890" s="12">
        <v>1088998</v>
      </c>
      <c r="AE890" s="12">
        <v>1105743</v>
      </c>
      <c r="AF890" s="12">
        <v>1195166</v>
      </c>
      <c r="AG890" s="12">
        <v>1236997</v>
      </c>
      <c r="AH890" s="12">
        <f>1301959+76935</f>
        <v>1378894</v>
      </c>
      <c r="AI890" s="12">
        <f>1301959+71934</f>
        <v>1373893</v>
      </c>
      <c r="AJ890" s="33">
        <v>1174157</v>
      </c>
      <c r="AK890" s="33">
        <v>1196940</v>
      </c>
      <c r="AL890" s="33">
        <v>1139545</v>
      </c>
      <c r="AM890" s="33">
        <v>1185126</v>
      </c>
      <c r="AN890" s="876">
        <v>1265607</v>
      </c>
      <c r="AO890" s="876">
        <v>1303716</v>
      </c>
      <c r="AP890" s="876">
        <v>1236397</v>
      </c>
      <c r="AQ890" s="876">
        <v>1242579</v>
      </c>
      <c r="AR890" s="1044"/>
      <c r="AS890" s="1044"/>
    </row>
    <row r="891" spans="3:45" hidden="1" outlineLevel="1">
      <c r="C891" s="816" t="s">
        <v>16</v>
      </c>
      <c r="D891" s="614" t="s">
        <v>958</v>
      </c>
      <c r="E891" s="592" t="s">
        <v>1428</v>
      </c>
      <c r="F891" s="20"/>
      <c r="G891" s="20"/>
      <c r="H891" s="20"/>
      <c r="I891" s="20"/>
      <c r="J891" s="20"/>
      <c r="K891" s="20"/>
      <c r="L891" s="20"/>
      <c r="M891" s="20"/>
      <c r="N891" s="20"/>
      <c r="O891" s="20"/>
      <c r="P891" s="20"/>
      <c r="Q891" s="20"/>
      <c r="R891" s="20"/>
      <c r="S891" s="20"/>
      <c r="T891" s="20"/>
      <c r="U891" s="20"/>
      <c r="V891" s="20"/>
      <c r="W891" s="20"/>
      <c r="X891" s="20"/>
      <c r="Y891" s="20"/>
      <c r="Z891" s="20"/>
      <c r="AA891" s="20"/>
      <c r="AB891" s="12"/>
      <c r="AC891" s="12"/>
      <c r="AD891" s="12">
        <v>1239146</v>
      </c>
      <c r="AE891" s="12">
        <v>1282516</v>
      </c>
      <c r="AF891" s="12">
        <v>1386617</v>
      </c>
      <c r="AG891" s="12">
        <v>1435149</v>
      </c>
      <c r="AH891" s="12">
        <v>1303652</v>
      </c>
      <c r="AI891" s="12">
        <v>1303652</v>
      </c>
      <c r="AJ891" s="21">
        <v>1348513</v>
      </c>
      <c r="AK891" s="21">
        <v>1375484</v>
      </c>
      <c r="AL891" s="21">
        <v>1788795</v>
      </c>
      <c r="AM891" s="21">
        <v>1860347</v>
      </c>
      <c r="AN891" s="874">
        <v>3059155</v>
      </c>
      <c r="AO891" s="874">
        <v>3151270</v>
      </c>
      <c r="AP891" s="1058">
        <v>2909295</v>
      </c>
      <c r="AQ891" s="1058">
        <v>2968062</v>
      </c>
      <c r="AR891" s="1044"/>
      <c r="AS891" s="1044"/>
    </row>
    <row r="892" spans="3:45" hidden="1" outlineLevel="1">
      <c r="C892" s="816" t="s">
        <v>16</v>
      </c>
      <c r="D892" s="614" t="s">
        <v>836</v>
      </c>
      <c r="E892" s="20" t="s">
        <v>754</v>
      </c>
      <c r="F892" s="20"/>
      <c r="G892" s="20"/>
      <c r="H892" s="20"/>
      <c r="I892" s="20"/>
      <c r="J892" s="20"/>
      <c r="K892" s="20"/>
      <c r="L892" s="20"/>
      <c r="M892" s="20"/>
      <c r="N892" s="20"/>
      <c r="O892" s="20"/>
      <c r="P892" s="20"/>
      <c r="Q892" s="20"/>
      <c r="R892" s="20"/>
      <c r="S892" s="20"/>
      <c r="T892" s="20"/>
      <c r="U892" s="20"/>
      <c r="V892" s="20"/>
      <c r="W892" s="20"/>
      <c r="X892" s="20"/>
      <c r="Y892" s="20"/>
      <c r="Z892" s="20"/>
      <c r="AA892" s="20"/>
      <c r="AB892" s="12"/>
      <c r="AC892" s="12"/>
      <c r="AD892" s="12">
        <v>7604095</v>
      </c>
      <c r="AE892" s="12">
        <v>7870239</v>
      </c>
      <c r="AF892" s="12">
        <v>7354152</v>
      </c>
      <c r="AG892" s="12">
        <v>7611547</v>
      </c>
      <c r="AH892" s="12">
        <v>8108421</v>
      </c>
      <c r="AI892" s="12">
        <v>8108421</v>
      </c>
      <c r="AJ892" s="21">
        <v>8569516</v>
      </c>
      <c r="AK892" s="21">
        <v>8740906</v>
      </c>
      <c r="AL892" s="21">
        <v>8084976</v>
      </c>
      <c r="AM892" s="21">
        <v>8408375</v>
      </c>
      <c r="AN892" s="874">
        <v>8840773</v>
      </c>
      <c r="AO892" s="874">
        <v>9106980</v>
      </c>
      <c r="AP892" s="1058">
        <v>9423354</v>
      </c>
      <c r="AQ892" s="1058">
        <v>9613706</v>
      </c>
      <c r="AR892" s="1044"/>
      <c r="AS892" s="1044"/>
    </row>
    <row r="893" spans="3:45" hidden="1" outlineLevel="1">
      <c r="C893" s="816" t="s">
        <v>16</v>
      </c>
      <c r="D893" s="614" t="s">
        <v>836</v>
      </c>
      <c r="E893" s="20" t="s">
        <v>749</v>
      </c>
      <c r="F893" s="20"/>
      <c r="G893" s="20"/>
      <c r="H893" s="20"/>
      <c r="I893" s="20"/>
      <c r="J893" s="20"/>
      <c r="K893" s="20"/>
      <c r="L893" s="20"/>
      <c r="M893" s="20"/>
      <c r="N893" s="20"/>
      <c r="O893" s="20"/>
      <c r="P893" s="20"/>
      <c r="Q893" s="20"/>
      <c r="R893" s="20"/>
      <c r="S893" s="20"/>
      <c r="T893" s="20"/>
      <c r="U893" s="20"/>
      <c r="V893" s="20"/>
      <c r="W893" s="20"/>
      <c r="X893" s="20"/>
      <c r="Y893" s="20"/>
      <c r="Z893" s="20"/>
      <c r="AA893" s="20"/>
      <c r="AB893" s="12"/>
      <c r="AC893" s="12"/>
      <c r="AD893" s="12">
        <v>22554851</v>
      </c>
      <c r="AE893" s="12">
        <v>23344270</v>
      </c>
      <c r="AF893" s="12">
        <v>23707919</v>
      </c>
      <c r="AG893" s="12">
        <v>24537696</v>
      </c>
      <c r="AH893" s="12">
        <v>23012365</v>
      </c>
      <c r="AI893" s="12">
        <v>23012365</v>
      </c>
      <c r="AJ893" s="21">
        <v>21746752</v>
      </c>
      <c r="AK893" s="21">
        <v>22181687</v>
      </c>
      <c r="AL893" s="21">
        <v>23346983</v>
      </c>
      <c r="AM893" s="21">
        <v>24280863</v>
      </c>
      <c r="AN893" s="874">
        <v>24393596</v>
      </c>
      <c r="AO893" s="874">
        <v>25128118</v>
      </c>
      <c r="AP893" s="1058">
        <v>26586369</v>
      </c>
      <c r="AQ893" s="1058">
        <v>27123414</v>
      </c>
      <c r="AR893" s="1044"/>
      <c r="AS893" s="1044"/>
    </row>
    <row r="894" spans="3:45" hidden="1" outlineLevel="1">
      <c r="C894" s="816" t="s">
        <v>16</v>
      </c>
      <c r="D894" s="614" t="s">
        <v>836</v>
      </c>
      <c r="E894" s="20" t="s">
        <v>755</v>
      </c>
      <c r="F894" s="20"/>
      <c r="G894" s="20"/>
      <c r="H894" s="20"/>
      <c r="I894" s="20"/>
      <c r="J894" s="20"/>
      <c r="K894" s="20"/>
      <c r="L894" s="20"/>
      <c r="M894" s="20"/>
      <c r="N894" s="20"/>
      <c r="O894" s="20"/>
      <c r="P894" s="20"/>
      <c r="Q894" s="20"/>
      <c r="R894" s="20"/>
      <c r="S894" s="20"/>
      <c r="T894" s="20"/>
      <c r="U894" s="20"/>
      <c r="V894" s="20"/>
      <c r="W894" s="20"/>
      <c r="X894" s="20"/>
      <c r="Y894" s="20"/>
      <c r="Z894" s="20"/>
      <c r="AA894" s="20"/>
      <c r="AB894" s="12"/>
      <c r="AC894" s="12"/>
      <c r="AD894" s="12">
        <v>5085474</v>
      </c>
      <c r="AE894" s="12">
        <v>5263466</v>
      </c>
      <c r="AF894" s="12">
        <v>5770222</v>
      </c>
      <c r="AG894" s="12">
        <v>5972180</v>
      </c>
      <c r="AH894" s="12">
        <v>6411371</v>
      </c>
      <c r="AI894" s="12">
        <v>6411371</v>
      </c>
      <c r="AJ894" s="21">
        <v>6395829</v>
      </c>
      <c r="AK894" s="21">
        <v>6523746</v>
      </c>
      <c r="AL894" s="21">
        <v>7788495</v>
      </c>
      <c r="AM894" s="21">
        <v>8100035</v>
      </c>
      <c r="AN894" s="874">
        <v>9236667</v>
      </c>
      <c r="AO894" s="874">
        <v>9514794</v>
      </c>
      <c r="AP894" s="1058">
        <v>10120371</v>
      </c>
      <c r="AQ894" s="1058">
        <v>10324802</v>
      </c>
      <c r="AR894" s="1044"/>
      <c r="AS894" s="1044"/>
    </row>
    <row r="895" spans="3:45" hidden="1" outlineLevel="1">
      <c r="C895" s="816" t="s">
        <v>16</v>
      </c>
      <c r="D895" s="614" t="s">
        <v>836</v>
      </c>
      <c r="E895" s="20" t="s">
        <v>756</v>
      </c>
      <c r="F895" s="224"/>
      <c r="G895" s="20"/>
      <c r="H895" s="20"/>
      <c r="I895" s="20"/>
      <c r="J895" s="20"/>
      <c r="K895" s="20"/>
      <c r="L895" s="20"/>
      <c r="M895" s="20"/>
      <c r="N895" s="20"/>
      <c r="O895" s="20"/>
      <c r="P895" s="20"/>
      <c r="Q895" s="20"/>
      <c r="R895" s="20"/>
      <c r="S895" s="20"/>
      <c r="T895" s="20"/>
      <c r="U895" s="20"/>
      <c r="V895" s="20"/>
      <c r="W895" s="20"/>
      <c r="X895" s="20"/>
      <c r="Y895" s="20"/>
      <c r="Z895" s="20"/>
      <c r="AA895" s="20"/>
      <c r="AB895" s="12"/>
      <c r="AC895" s="12"/>
      <c r="AD895" s="12">
        <v>5022901</v>
      </c>
      <c r="AE895" s="12">
        <v>5198702</v>
      </c>
      <c r="AF895" s="12">
        <v>5495131</v>
      </c>
      <c r="AG895" s="12">
        <v>5687460</v>
      </c>
      <c r="AH895" s="12">
        <v>6242198</v>
      </c>
      <c r="AI895" s="12">
        <v>6242198</v>
      </c>
      <c r="AJ895" s="21">
        <v>5734584</v>
      </c>
      <c r="AK895" s="21">
        <v>5849275</v>
      </c>
      <c r="AL895" s="21">
        <v>5357900</v>
      </c>
      <c r="AM895" s="21">
        <v>5572216</v>
      </c>
      <c r="AN895" s="874">
        <v>7329908</v>
      </c>
      <c r="AO895" s="874">
        <v>7550621</v>
      </c>
      <c r="AP895" s="1058">
        <v>8317456</v>
      </c>
      <c r="AQ895" s="1058">
        <v>8485469</v>
      </c>
      <c r="AR895" s="1044"/>
      <c r="AS895" s="1044"/>
    </row>
    <row r="896" spans="3:45" hidden="1" outlineLevel="1">
      <c r="C896" s="816" t="s">
        <v>16</v>
      </c>
      <c r="D896" s="614" t="s">
        <v>836</v>
      </c>
      <c r="E896" s="224" t="s">
        <v>1667</v>
      </c>
      <c r="F896" s="224"/>
      <c r="G896" s="20"/>
      <c r="H896" s="20"/>
      <c r="I896" s="20"/>
      <c r="J896" s="20"/>
      <c r="K896" s="20"/>
      <c r="L896" s="20"/>
      <c r="M896" s="20"/>
      <c r="N896" s="20"/>
      <c r="O896" s="20"/>
      <c r="P896" s="20"/>
      <c r="Q896" s="20"/>
      <c r="R896" s="20"/>
      <c r="S896" s="20"/>
      <c r="T896" s="20"/>
      <c r="U896" s="20"/>
      <c r="V896" s="20"/>
      <c r="W896" s="20"/>
      <c r="X896" s="20"/>
      <c r="Y896" s="20"/>
      <c r="Z896" s="20"/>
      <c r="AA896" s="20"/>
      <c r="AB896" s="12"/>
      <c r="AC896" s="12"/>
      <c r="AD896" s="12"/>
      <c r="AE896" s="12"/>
      <c r="AF896" s="12"/>
      <c r="AG896" s="12"/>
      <c r="AH896" s="12"/>
      <c r="AI896" s="12"/>
      <c r="AJ896" s="21"/>
      <c r="AK896" s="21"/>
      <c r="AL896" s="21">
        <v>7108039</v>
      </c>
      <c r="AM896" s="21">
        <v>7392361</v>
      </c>
      <c r="AN896" s="874">
        <v>8674071</v>
      </c>
      <c r="AO896" s="874">
        <v>8935258</v>
      </c>
      <c r="AP896" s="1058">
        <v>7612238</v>
      </c>
      <c r="AQ896" s="1058">
        <v>7766004</v>
      </c>
      <c r="AR896" s="1044"/>
      <c r="AS896" s="1044"/>
    </row>
    <row r="897" spans="3:45" hidden="1" outlineLevel="1">
      <c r="C897" s="816" t="s">
        <v>16</v>
      </c>
      <c r="D897" s="614" t="s">
        <v>836</v>
      </c>
      <c r="E897" s="20" t="s">
        <v>1356</v>
      </c>
      <c r="F897" s="20"/>
      <c r="G897" s="20"/>
      <c r="H897" s="20"/>
      <c r="I897" s="20"/>
      <c r="J897" s="20"/>
      <c r="K897" s="20"/>
      <c r="L897" s="20"/>
      <c r="M897" s="20"/>
      <c r="N897" s="20"/>
      <c r="O897" s="20"/>
      <c r="P897" s="20"/>
      <c r="Q897" s="20"/>
      <c r="R897" s="20"/>
      <c r="S897" s="20"/>
      <c r="T897" s="20"/>
      <c r="U897" s="20"/>
      <c r="V897" s="20"/>
      <c r="W897" s="20"/>
      <c r="X897" s="20"/>
      <c r="Y897" s="20"/>
      <c r="Z897" s="20"/>
      <c r="AA897" s="20"/>
      <c r="AB897" s="12"/>
      <c r="AC897" s="12"/>
      <c r="AD897" s="12">
        <v>4826358</v>
      </c>
      <c r="AE897" s="12">
        <v>4995280</v>
      </c>
      <c r="AF897" s="12">
        <v>4929181</v>
      </c>
      <c r="AG897" s="12">
        <v>5101703</v>
      </c>
      <c r="AH897" s="12">
        <v>5508397</v>
      </c>
      <c r="AI897" s="12">
        <v>5508397</v>
      </c>
      <c r="AJ897" s="21">
        <v>4751657</v>
      </c>
      <c r="AK897" s="21">
        <v>4846690</v>
      </c>
      <c r="AL897" s="21"/>
      <c r="AM897" s="21"/>
      <c r="AN897" s="874"/>
      <c r="AO897" s="874"/>
      <c r="AP897" s="1058"/>
      <c r="AQ897" s="1058"/>
      <c r="AR897" s="1044"/>
      <c r="AS897" s="1044"/>
    </row>
    <row r="898" spans="3:45" hidden="1" outlineLevel="1">
      <c r="C898" s="816" t="s">
        <v>16</v>
      </c>
      <c r="D898" s="614" t="s">
        <v>836</v>
      </c>
      <c r="E898" s="20" t="s">
        <v>1357</v>
      </c>
      <c r="F898" s="20"/>
      <c r="G898" s="20"/>
      <c r="H898" s="20"/>
      <c r="I898" s="20"/>
      <c r="J898" s="20"/>
      <c r="K898" s="20"/>
      <c r="L898" s="20"/>
      <c r="M898" s="20"/>
      <c r="N898" s="20"/>
      <c r="O898" s="20"/>
      <c r="P898" s="20"/>
      <c r="Q898" s="20"/>
      <c r="R898" s="20"/>
      <c r="S898" s="20"/>
      <c r="T898" s="20"/>
      <c r="U898" s="20"/>
      <c r="V898" s="20"/>
      <c r="W898" s="20"/>
      <c r="X898" s="20"/>
      <c r="Y898" s="20"/>
      <c r="Z898" s="20"/>
      <c r="AA898" s="20"/>
      <c r="AB898" s="12"/>
      <c r="AC898" s="12"/>
      <c r="AD898" s="12">
        <v>999830</v>
      </c>
      <c r="AE898" s="12">
        <v>1034824</v>
      </c>
      <c r="AF898" s="12">
        <v>1690204</v>
      </c>
      <c r="AG898" s="12">
        <v>1749361</v>
      </c>
      <c r="AH898" s="12">
        <v>1594589</v>
      </c>
      <c r="AI898" s="12">
        <v>1594589</v>
      </c>
      <c r="AJ898" s="21">
        <v>1412922</v>
      </c>
      <c r="AK898" s="21">
        <v>1441181</v>
      </c>
      <c r="AL898" s="21"/>
      <c r="AM898" s="21"/>
      <c r="AN898" s="874"/>
      <c r="AO898" s="874"/>
      <c r="AP898" s="1058"/>
      <c r="AQ898" s="1058"/>
      <c r="AR898" s="1044"/>
      <c r="AS898" s="1044"/>
    </row>
    <row r="899" spans="3:45" hidden="1" outlineLevel="1">
      <c r="C899" s="816" t="s">
        <v>16</v>
      </c>
      <c r="D899" s="614" t="s">
        <v>836</v>
      </c>
      <c r="E899" s="20" t="s">
        <v>1358</v>
      </c>
      <c r="F899" s="20"/>
      <c r="G899" s="20"/>
      <c r="H899" s="20"/>
      <c r="I899" s="20"/>
      <c r="J899" s="20"/>
      <c r="K899" s="20"/>
      <c r="L899" s="20"/>
      <c r="M899" s="20"/>
      <c r="N899" s="20"/>
      <c r="O899" s="20"/>
      <c r="P899" s="20"/>
      <c r="Q899" s="20"/>
      <c r="R899" s="20"/>
      <c r="S899" s="20"/>
      <c r="T899" s="20"/>
      <c r="U899" s="20"/>
      <c r="V899" s="20"/>
      <c r="W899" s="20"/>
      <c r="X899" s="20"/>
      <c r="Y899" s="20"/>
      <c r="Z899" s="20"/>
      <c r="AA899" s="20"/>
      <c r="AB899" s="12"/>
      <c r="AC899" s="12"/>
      <c r="AD899" s="12">
        <v>1009095</v>
      </c>
      <c r="AE899" s="12">
        <v>1044413</v>
      </c>
      <c r="AF899" s="12">
        <v>1142833</v>
      </c>
      <c r="AG899" s="12">
        <v>1182832</v>
      </c>
      <c r="AH899" s="12">
        <v>1306728</v>
      </c>
      <c r="AI899" s="12">
        <v>1306728</v>
      </c>
      <c r="AJ899" s="21">
        <v>1154171</v>
      </c>
      <c r="AK899" s="21">
        <v>1177254</v>
      </c>
      <c r="AL899" s="21">
        <v>1484647</v>
      </c>
      <c r="AM899" s="21">
        <v>1544033</v>
      </c>
      <c r="AN899" s="874">
        <v>1786260</v>
      </c>
      <c r="AO899" s="874">
        <v>1840047</v>
      </c>
      <c r="AP899" s="1058">
        <v>1853209</v>
      </c>
      <c r="AQ899" s="1058">
        <v>1890644</v>
      </c>
      <c r="AR899" s="1044"/>
      <c r="AS899" s="1044"/>
    </row>
    <row r="900" spans="3:45" hidden="1" outlineLevel="1">
      <c r="C900" s="816" t="s">
        <v>16</v>
      </c>
      <c r="D900" s="614" t="s">
        <v>836</v>
      </c>
      <c r="E900" s="20" t="s">
        <v>757</v>
      </c>
      <c r="F900" s="20"/>
      <c r="G900" s="20"/>
      <c r="H900" s="20"/>
      <c r="I900" s="20"/>
      <c r="J900" s="20"/>
      <c r="K900" s="20"/>
      <c r="L900" s="20"/>
      <c r="M900" s="20"/>
      <c r="N900" s="20"/>
      <c r="O900" s="20"/>
      <c r="P900" s="20"/>
      <c r="Q900" s="20"/>
      <c r="R900" s="20"/>
      <c r="S900" s="20"/>
      <c r="T900" s="20"/>
      <c r="U900" s="20"/>
      <c r="V900" s="20"/>
      <c r="W900" s="20"/>
      <c r="X900" s="20"/>
      <c r="Y900" s="20"/>
      <c r="Z900" s="20"/>
      <c r="AA900" s="20"/>
      <c r="AB900" s="12"/>
      <c r="AC900" s="12"/>
      <c r="AD900" s="12">
        <v>7345084</v>
      </c>
      <c r="AE900" s="12">
        <v>7602162</v>
      </c>
      <c r="AF900" s="12">
        <v>7939967</v>
      </c>
      <c r="AG900" s="12">
        <v>8217866</v>
      </c>
      <c r="AH900" s="12">
        <v>7298689</v>
      </c>
      <c r="AI900" s="12">
        <v>7298689</v>
      </c>
      <c r="AJ900" s="21">
        <v>7637388</v>
      </c>
      <c r="AK900" s="21">
        <v>7790135</v>
      </c>
      <c r="AL900" s="21">
        <v>8918222</v>
      </c>
      <c r="AM900" s="21">
        <v>9274951</v>
      </c>
      <c r="AN900" s="874">
        <v>10507718</v>
      </c>
      <c r="AO900" s="874">
        <v>10824119</v>
      </c>
      <c r="AP900" s="1058">
        <v>12682356</v>
      </c>
      <c r="AQ900" s="1058">
        <v>12938539</v>
      </c>
      <c r="AR900" s="1044"/>
      <c r="AS900" s="1044"/>
    </row>
    <row r="901" spans="3:45" hidden="1" outlineLevel="1">
      <c r="C901" s="816" t="s">
        <v>16</v>
      </c>
      <c r="D901" s="614" t="s">
        <v>836</v>
      </c>
      <c r="E901" s="20" t="s">
        <v>1359</v>
      </c>
      <c r="F901" s="20"/>
      <c r="G901" s="20"/>
      <c r="H901" s="20"/>
      <c r="I901" s="20"/>
      <c r="J901" s="20"/>
      <c r="K901" s="20"/>
      <c r="L901" s="20"/>
      <c r="M901" s="20"/>
      <c r="N901" s="20"/>
      <c r="O901" s="20"/>
      <c r="P901" s="20"/>
      <c r="Q901" s="20"/>
      <c r="R901" s="20"/>
      <c r="S901" s="20"/>
      <c r="T901" s="20"/>
      <c r="U901" s="20"/>
      <c r="V901" s="20"/>
      <c r="W901" s="20"/>
      <c r="X901" s="20"/>
      <c r="Y901" s="20"/>
      <c r="Z901" s="20"/>
      <c r="AA901" s="20"/>
      <c r="AB901" s="12"/>
      <c r="AC901" s="12"/>
      <c r="AD901" s="12">
        <v>1872003</v>
      </c>
      <c r="AE901" s="12">
        <v>1937523</v>
      </c>
      <c r="AF901" s="12">
        <v>1981617</v>
      </c>
      <c r="AG901" s="12">
        <v>2050974</v>
      </c>
      <c r="AH901" s="12">
        <v>2154366</v>
      </c>
      <c r="AI901" s="12">
        <v>2154366</v>
      </c>
      <c r="AJ901" s="21">
        <v>2003737</v>
      </c>
      <c r="AK901" s="21">
        <v>2043812</v>
      </c>
      <c r="AL901" s="21">
        <v>2351425</v>
      </c>
      <c r="AM901" s="21">
        <v>2445482</v>
      </c>
      <c r="AN901" s="874">
        <v>2682887</v>
      </c>
      <c r="AO901" s="874">
        <v>2763672</v>
      </c>
      <c r="AP901" s="1058">
        <v>2486268</v>
      </c>
      <c r="AQ901" s="1058">
        <v>2536491</v>
      </c>
      <c r="AR901" s="1044"/>
      <c r="AS901" s="1044"/>
    </row>
    <row r="902" spans="3:45" hidden="1" outlineLevel="1">
      <c r="C902" s="816" t="s">
        <v>16</v>
      </c>
      <c r="D902" s="614" t="s">
        <v>958</v>
      </c>
      <c r="E902" s="592" t="s">
        <v>1429</v>
      </c>
      <c r="F902" s="20"/>
      <c r="G902" s="20"/>
      <c r="H902" s="20"/>
      <c r="I902" s="20"/>
      <c r="J902" s="20"/>
      <c r="K902" s="20"/>
      <c r="L902" s="20"/>
      <c r="M902" s="20"/>
      <c r="N902" s="20"/>
      <c r="O902" s="20"/>
      <c r="P902" s="20"/>
      <c r="Q902" s="20"/>
      <c r="R902" s="20"/>
      <c r="S902" s="20"/>
      <c r="T902" s="20"/>
      <c r="U902" s="20"/>
      <c r="V902" s="20"/>
      <c r="W902" s="20"/>
      <c r="X902" s="20"/>
      <c r="Y902" s="20"/>
      <c r="Z902" s="20"/>
      <c r="AA902" s="20"/>
      <c r="AB902" s="12"/>
      <c r="AC902" s="12"/>
      <c r="AD902" s="12">
        <v>463220</v>
      </c>
      <c r="AE902" s="12">
        <v>479433</v>
      </c>
      <c r="AF902" s="12">
        <v>334197</v>
      </c>
      <c r="AG902" s="12">
        <v>345894</v>
      </c>
      <c r="AH902" s="12">
        <v>105822</v>
      </c>
      <c r="AI902" s="12">
        <v>105822</v>
      </c>
      <c r="AJ902" s="21">
        <v>48714</v>
      </c>
      <c r="AK902" s="21">
        <v>49688</v>
      </c>
      <c r="AL902" s="21">
        <v>66731</v>
      </c>
      <c r="AM902" s="21">
        <v>69401</v>
      </c>
      <c r="AN902" s="874">
        <v>0</v>
      </c>
      <c r="AO902" s="874">
        <v>0</v>
      </c>
      <c r="AP902" s="1058"/>
      <c r="AQ902" s="1058"/>
      <c r="AR902" s="1044"/>
      <c r="AS902" s="1044"/>
    </row>
    <row r="903" spans="3:45" hidden="1" outlineLevel="1">
      <c r="C903" s="816" t="s">
        <v>16</v>
      </c>
      <c r="D903" s="614" t="s">
        <v>836</v>
      </c>
      <c r="E903" s="20" t="s">
        <v>751</v>
      </c>
      <c r="F903" s="20"/>
      <c r="G903" s="20"/>
      <c r="H903" s="20"/>
      <c r="I903" s="20"/>
      <c r="J903" s="20"/>
      <c r="K903" s="20"/>
      <c r="L903" s="20"/>
      <c r="M903" s="20"/>
      <c r="N903" s="20"/>
      <c r="O903" s="20"/>
      <c r="P903" s="20"/>
      <c r="Q903" s="20"/>
      <c r="R903" s="20"/>
      <c r="S903" s="20"/>
      <c r="T903" s="20"/>
      <c r="U903" s="20"/>
      <c r="V903" s="20"/>
      <c r="W903" s="20"/>
      <c r="X903" s="20"/>
      <c r="Y903" s="20"/>
      <c r="Z903" s="20"/>
      <c r="AA903" s="20"/>
      <c r="AB903" s="12"/>
      <c r="AC903" s="12"/>
      <c r="AD903" s="12">
        <v>20600617</v>
      </c>
      <c r="AE903" s="12">
        <v>21321638</v>
      </c>
      <c r="AF903" s="12">
        <v>19544681</v>
      </c>
      <c r="AG903" s="12">
        <v>20228745</v>
      </c>
      <c r="AH903" s="12">
        <v>20117096</v>
      </c>
      <c r="AI903" s="12">
        <v>20117096</v>
      </c>
      <c r="AJ903" s="21">
        <v>16471594</v>
      </c>
      <c r="AK903" s="21">
        <v>16801026</v>
      </c>
      <c r="AL903" s="21">
        <v>20967127</v>
      </c>
      <c r="AM903" s="21">
        <v>21805812</v>
      </c>
      <c r="AN903" s="874">
        <v>23999680</v>
      </c>
      <c r="AO903" s="874">
        <v>24722341</v>
      </c>
      <c r="AP903" s="1058">
        <v>26385085</v>
      </c>
      <c r="AQ903" s="1058">
        <v>26918063</v>
      </c>
      <c r="AR903" s="1044"/>
      <c r="AS903" s="1044"/>
    </row>
    <row r="904" spans="3:45" hidden="1" outlineLevel="1">
      <c r="C904" s="816" t="s">
        <v>16</v>
      </c>
      <c r="D904" s="614" t="s">
        <v>836</v>
      </c>
      <c r="E904" s="20" t="s">
        <v>876</v>
      </c>
      <c r="F904" s="20"/>
      <c r="G904" s="20"/>
      <c r="H904" s="20"/>
      <c r="I904" s="20"/>
      <c r="J904" s="20"/>
      <c r="K904" s="20"/>
      <c r="L904" s="20"/>
      <c r="M904" s="20"/>
      <c r="N904" s="20"/>
      <c r="O904" s="20"/>
      <c r="P904" s="20"/>
      <c r="Q904" s="20"/>
      <c r="R904" s="20"/>
      <c r="S904" s="20"/>
      <c r="T904" s="20"/>
      <c r="U904" s="20"/>
      <c r="V904" s="20"/>
      <c r="W904" s="20"/>
      <c r="X904" s="20"/>
      <c r="Y904" s="20"/>
      <c r="Z904" s="20"/>
      <c r="AA904" s="20"/>
      <c r="AB904" s="12"/>
      <c r="AC904" s="12"/>
      <c r="AD904" s="12">
        <v>885251</v>
      </c>
      <c r="AE904" s="12">
        <v>916235</v>
      </c>
      <c r="AF904" s="12">
        <v>955246</v>
      </c>
      <c r="AG904" s="12">
        <v>988680</v>
      </c>
      <c r="AH904" s="12">
        <v>999184</v>
      </c>
      <c r="AI904" s="12">
        <v>999184</v>
      </c>
      <c r="AJ904" s="21">
        <v>957775</v>
      </c>
      <c r="AK904" s="21">
        <v>976931</v>
      </c>
      <c r="AL904" s="21">
        <v>1011807</v>
      </c>
      <c r="AM904" s="21">
        <v>1052279</v>
      </c>
      <c r="AN904" s="874">
        <v>1235782</v>
      </c>
      <c r="AO904" s="874">
        <v>1272993</v>
      </c>
      <c r="AP904" s="1058">
        <v>1054560</v>
      </c>
      <c r="AQ904" s="1058">
        <v>1075862</v>
      </c>
      <c r="AR904" s="1044"/>
      <c r="AS904" s="1044"/>
    </row>
    <row r="905" spans="3:45" hidden="1" outlineLevel="1">
      <c r="C905" s="816" t="s">
        <v>16</v>
      </c>
      <c r="D905" s="614" t="s">
        <v>836</v>
      </c>
      <c r="E905" s="224" t="s">
        <v>1657</v>
      </c>
      <c r="F905" s="20"/>
      <c r="G905" s="20"/>
      <c r="H905" s="20"/>
      <c r="I905" s="20"/>
      <c r="J905" s="20"/>
      <c r="K905" s="20"/>
      <c r="L905" s="20"/>
      <c r="M905" s="20"/>
      <c r="N905" s="20"/>
      <c r="O905" s="20"/>
      <c r="P905" s="20"/>
      <c r="Q905" s="20"/>
      <c r="R905" s="20"/>
      <c r="S905" s="20"/>
      <c r="T905" s="20"/>
      <c r="U905" s="20"/>
      <c r="V905" s="20"/>
      <c r="W905" s="20"/>
      <c r="X905" s="20"/>
      <c r="Y905" s="20"/>
      <c r="Z905" s="20"/>
      <c r="AA905" s="20"/>
      <c r="AB905" s="12"/>
      <c r="AC905" s="12"/>
      <c r="AD905" s="12">
        <v>3408261</v>
      </c>
      <c r="AE905" s="12">
        <v>3527550</v>
      </c>
      <c r="AF905" s="12">
        <v>3469849</v>
      </c>
      <c r="AG905" s="12">
        <v>3591293</v>
      </c>
      <c r="AH905" s="12">
        <v>3265394</v>
      </c>
      <c r="AI905" s="12">
        <v>3265394</v>
      </c>
      <c r="AJ905" s="21">
        <v>3072965</v>
      </c>
      <c r="AK905" s="21">
        <v>3134425</v>
      </c>
      <c r="AL905" s="21">
        <v>2593919</v>
      </c>
      <c r="AM905" s="21">
        <v>2697676</v>
      </c>
      <c r="AN905" s="874">
        <v>3394247</v>
      </c>
      <c r="AO905" s="874">
        <v>3496452</v>
      </c>
      <c r="AP905" s="1058">
        <v>3434723</v>
      </c>
      <c r="AQ905" s="1058">
        <v>3504105</v>
      </c>
      <c r="AR905" s="1044"/>
      <c r="AS905" s="1044"/>
    </row>
    <row r="906" spans="3:45" hidden="1" outlineLevel="1">
      <c r="C906" s="816" t="s">
        <v>16</v>
      </c>
      <c r="D906" s="614" t="s">
        <v>836</v>
      </c>
      <c r="E906" s="20" t="s">
        <v>1209</v>
      </c>
      <c r="F906" s="20"/>
      <c r="G906" s="20"/>
      <c r="H906" s="20"/>
      <c r="I906" s="20"/>
      <c r="J906" s="20"/>
      <c r="K906" s="20"/>
      <c r="L906" s="20"/>
      <c r="M906" s="20"/>
      <c r="N906" s="20"/>
      <c r="O906" s="20"/>
      <c r="P906" s="20"/>
      <c r="Q906" s="20"/>
      <c r="R906" s="20"/>
      <c r="S906" s="20"/>
      <c r="T906" s="20"/>
      <c r="U906" s="20"/>
      <c r="V906" s="20"/>
      <c r="W906" s="20"/>
      <c r="X906" s="20"/>
      <c r="Y906" s="20"/>
      <c r="Z906" s="20"/>
      <c r="AA906" s="20"/>
      <c r="AB906" s="12"/>
      <c r="AC906" s="12"/>
      <c r="AD906" s="12">
        <v>2488020</v>
      </c>
      <c r="AE906" s="12">
        <v>2575101</v>
      </c>
      <c r="AF906" s="12">
        <v>2828334</v>
      </c>
      <c r="AG906" s="12">
        <v>2927325</v>
      </c>
      <c r="AH906" s="12">
        <v>2428210</v>
      </c>
      <c r="AI906" s="12">
        <v>2428210</v>
      </c>
      <c r="AJ906" s="21">
        <v>2347003</v>
      </c>
      <c r="AK906" s="21">
        <v>2393943</v>
      </c>
      <c r="AL906" s="21">
        <v>2766210</v>
      </c>
      <c r="AM906" s="21">
        <v>2876858</v>
      </c>
      <c r="AN906" s="874">
        <v>3204442</v>
      </c>
      <c r="AO906" s="874">
        <v>3300932</v>
      </c>
      <c r="AP906" s="1058">
        <v>3308490</v>
      </c>
      <c r="AQ906" s="1058">
        <v>3375322</v>
      </c>
      <c r="AR906" s="1044"/>
      <c r="AS906" s="1044"/>
    </row>
    <row r="907" spans="3:45" hidden="1" outlineLevel="1">
      <c r="C907" s="816" t="s">
        <v>16</v>
      </c>
      <c r="D907" s="614" t="s">
        <v>836</v>
      </c>
      <c r="E907" s="224" t="s">
        <v>1210</v>
      </c>
      <c r="F907" s="20"/>
      <c r="G907" s="20"/>
      <c r="H907" s="20"/>
      <c r="I907" s="20"/>
      <c r="J907" s="20"/>
      <c r="K907" s="20"/>
      <c r="L907" s="20"/>
      <c r="M907" s="20"/>
      <c r="N907" s="20"/>
      <c r="O907" s="20"/>
      <c r="P907" s="20"/>
      <c r="Q907" s="20"/>
      <c r="R907" s="20"/>
      <c r="S907" s="20"/>
      <c r="T907" s="20"/>
      <c r="U907" s="20"/>
      <c r="V907" s="20"/>
      <c r="W907" s="20"/>
      <c r="X907" s="20"/>
      <c r="Y907" s="20"/>
      <c r="Z907" s="20"/>
      <c r="AA907" s="20"/>
      <c r="AB907" s="12"/>
      <c r="AC907" s="12"/>
      <c r="AD907" s="12">
        <v>0</v>
      </c>
      <c r="AE907" s="12">
        <v>0</v>
      </c>
      <c r="AF907" s="12">
        <v>0</v>
      </c>
      <c r="AG907" s="12">
        <v>0</v>
      </c>
      <c r="AH907" s="12">
        <v>584809</v>
      </c>
      <c r="AI907" s="12">
        <v>584809</v>
      </c>
      <c r="AJ907" s="21">
        <v>674754</v>
      </c>
      <c r="AK907" s="21">
        <v>688249</v>
      </c>
      <c r="AL907" s="21">
        <v>701186</v>
      </c>
      <c r="AM907" s="21">
        <v>729233</v>
      </c>
      <c r="AN907" s="874">
        <v>863755</v>
      </c>
      <c r="AO907" s="874">
        <v>889764</v>
      </c>
      <c r="AP907" s="1058">
        <v>872773</v>
      </c>
      <c r="AQ907" s="1058">
        <v>890403</v>
      </c>
      <c r="AR907" s="1044"/>
      <c r="AS907" s="1044"/>
    </row>
    <row r="908" spans="3:45" hidden="1" outlineLevel="1">
      <c r="C908" s="816" t="s">
        <v>16</v>
      </c>
      <c r="D908" s="614" t="s">
        <v>836</v>
      </c>
      <c r="E908" s="224" t="s">
        <v>1211</v>
      </c>
      <c r="F908" s="20"/>
      <c r="G908" s="20"/>
      <c r="H908" s="20"/>
      <c r="I908" s="20"/>
      <c r="J908" s="20"/>
      <c r="K908" s="20"/>
      <c r="L908" s="20"/>
      <c r="M908" s="20"/>
      <c r="N908" s="20"/>
      <c r="O908" s="20"/>
      <c r="P908" s="20"/>
      <c r="Q908" s="20"/>
      <c r="R908" s="20"/>
      <c r="S908" s="20"/>
      <c r="T908" s="20"/>
      <c r="U908" s="20"/>
      <c r="V908" s="20"/>
      <c r="W908" s="20"/>
      <c r="X908" s="20"/>
      <c r="Y908" s="20"/>
      <c r="Z908" s="20"/>
      <c r="AA908" s="20"/>
      <c r="AB908" s="12"/>
      <c r="AC908" s="12"/>
      <c r="AD908" s="12">
        <v>2751280</v>
      </c>
      <c r="AE908" s="12">
        <v>2847575</v>
      </c>
      <c r="AF908" s="12">
        <v>2818428</v>
      </c>
      <c r="AG908" s="12">
        <v>2917073</v>
      </c>
      <c r="AH908" s="12">
        <v>3037318</v>
      </c>
      <c r="AI908" s="12">
        <v>3037318</v>
      </c>
      <c r="AJ908" s="21">
        <v>2755287</v>
      </c>
      <c r="AK908" s="21">
        <v>2810393</v>
      </c>
      <c r="AL908" s="21">
        <v>3108546</v>
      </c>
      <c r="AM908" s="21">
        <v>3232887</v>
      </c>
      <c r="AN908" s="874">
        <v>3417615</v>
      </c>
      <c r="AO908" s="874">
        <v>3520524</v>
      </c>
      <c r="AP908" s="1058">
        <v>3598741</v>
      </c>
      <c r="AQ908" s="1058">
        <v>3671435</v>
      </c>
      <c r="AR908" s="1044"/>
      <c r="AS908" s="1044"/>
    </row>
    <row r="909" spans="3:45" hidden="1" outlineLevel="1">
      <c r="C909" s="816" t="s">
        <v>16</v>
      </c>
      <c r="D909" s="614" t="s">
        <v>836</v>
      </c>
      <c r="E909" s="224" t="s">
        <v>1212</v>
      </c>
      <c r="F909" s="20"/>
      <c r="G909" s="20"/>
      <c r="H909" s="20"/>
      <c r="I909" s="20"/>
      <c r="J909" s="20"/>
      <c r="K909" s="20"/>
      <c r="L909" s="20"/>
      <c r="M909" s="20"/>
      <c r="N909" s="20"/>
      <c r="O909" s="20"/>
      <c r="P909" s="20"/>
      <c r="Q909" s="20"/>
      <c r="R909" s="20"/>
      <c r="S909" s="20"/>
      <c r="T909" s="20"/>
      <c r="U909" s="20"/>
      <c r="V909" s="20"/>
      <c r="W909" s="20"/>
      <c r="X909" s="20"/>
      <c r="Y909" s="20"/>
      <c r="Z909" s="20"/>
      <c r="AA909" s="20"/>
      <c r="AB909" s="12"/>
      <c r="AC909" s="12"/>
      <c r="AD909" s="12">
        <v>2630579</v>
      </c>
      <c r="AE909" s="12">
        <v>2722649</v>
      </c>
      <c r="AF909" s="12">
        <v>2811413</v>
      </c>
      <c r="AG909" s="12">
        <v>2909812</v>
      </c>
      <c r="AH909" s="12">
        <v>2716919</v>
      </c>
      <c r="AI909" s="12">
        <v>2716919</v>
      </c>
      <c r="AJ909" s="21">
        <v>2297101</v>
      </c>
      <c r="AK909" s="21">
        <v>2343043</v>
      </c>
      <c r="AL909" s="21">
        <v>2671055</v>
      </c>
      <c r="AM909" s="21">
        <v>2777897</v>
      </c>
      <c r="AN909" s="874">
        <v>3450506</v>
      </c>
      <c r="AO909" s="874">
        <v>3554405</v>
      </c>
      <c r="AP909" s="1058">
        <v>2853108</v>
      </c>
      <c r="AQ909" s="1058">
        <v>2910741</v>
      </c>
      <c r="AR909" s="1044"/>
      <c r="AS909" s="1044"/>
    </row>
    <row r="910" spans="3:45" hidden="1" outlineLevel="1">
      <c r="C910" s="816" t="s">
        <v>16</v>
      </c>
      <c r="D910" s="614" t="s">
        <v>836</v>
      </c>
      <c r="E910" s="224" t="s">
        <v>1213</v>
      </c>
      <c r="F910" s="20"/>
      <c r="G910" s="20"/>
      <c r="H910" s="20"/>
      <c r="I910" s="20"/>
      <c r="J910" s="20"/>
      <c r="K910" s="20"/>
      <c r="L910" s="20"/>
      <c r="M910" s="20"/>
      <c r="N910" s="20"/>
      <c r="O910" s="20"/>
      <c r="P910" s="20"/>
      <c r="Q910" s="20"/>
      <c r="R910" s="20"/>
      <c r="S910" s="20"/>
      <c r="T910" s="20"/>
      <c r="U910" s="20"/>
      <c r="V910" s="20"/>
      <c r="W910" s="20"/>
      <c r="X910" s="20"/>
      <c r="Y910" s="20"/>
      <c r="Z910" s="20"/>
      <c r="AA910" s="20"/>
      <c r="AB910" s="12"/>
      <c r="AC910" s="12"/>
      <c r="AD910" s="12">
        <v>0</v>
      </c>
      <c r="AE910" s="12">
        <v>0</v>
      </c>
      <c r="AF910" s="12">
        <v>0</v>
      </c>
      <c r="AG910" s="12">
        <v>0</v>
      </c>
      <c r="AH910" s="12">
        <v>815246</v>
      </c>
      <c r="AI910" s="12">
        <v>815246</v>
      </c>
      <c r="AJ910" s="21">
        <v>932541</v>
      </c>
      <c r="AK910" s="21">
        <v>951192</v>
      </c>
      <c r="AL910" s="21">
        <v>1236375</v>
      </c>
      <c r="AM910" s="21">
        <v>1285830</v>
      </c>
      <c r="AN910" s="874">
        <v>1499721</v>
      </c>
      <c r="AO910" s="874">
        <v>1544880</v>
      </c>
      <c r="AP910" s="1058">
        <v>2069733</v>
      </c>
      <c r="AQ910" s="1058">
        <v>2111541</v>
      </c>
      <c r="AR910" s="1044"/>
      <c r="AS910" s="1044"/>
    </row>
    <row r="911" spans="3:45" hidden="1" outlineLevel="1">
      <c r="C911" s="816" t="s">
        <v>16</v>
      </c>
      <c r="D911" s="614" t="s">
        <v>836</v>
      </c>
      <c r="E911" s="20" t="s">
        <v>861</v>
      </c>
      <c r="F911" s="20"/>
      <c r="G911" s="20"/>
      <c r="H911" s="20"/>
      <c r="I911" s="20"/>
      <c r="J911" s="20"/>
      <c r="K911" s="20"/>
      <c r="L911" s="20"/>
      <c r="M911" s="20"/>
      <c r="N911" s="20"/>
      <c r="O911" s="20"/>
      <c r="P911" s="20"/>
      <c r="Q911" s="20"/>
      <c r="R911" s="20"/>
      <c r="S911" s="20"/>
      <c r="T911" s="20"/>
      <c r="U911" s="20"/>
      <c r="V911" s="20"/>
      <c r="W911" s="20"/>
      <c r="X911" s="20"/>
      <c r="Y911" s="20"/>
      <c r="Z911" s="20"/>
      <c r="AA911" s="20"/>
      <c r="AB911" s="12"/>
      <c r="AC911" s="12"/>
      <c r="AD911" s="12">
        <v>1566229</v>
      </c>
      <c r="AE911" s="12">
        <v>1621047</v>
      </c>
      <c r="AF911" s="12">
        <v>1730679</v>
      </c>
      <c r="AG911" s="12">
        <v>1791253</v>
      </c>
      <c r="AH911" s="12">
        <v>1927553</v>
      </c>
      <c r="AI911" s="12">
        <v>1927553</v>
      </c>
      <c r="AJ911" s="21">
        <v>1714661</v>
      </c>
      <c r="AK911" s="21">
        <v>1748954</v>
      </c>
      <c r="AL911" s="21">
        <v>1827523</v>
      </c>
      <c r="AM911" s="21">
        <v>1900624</v>
      </c>
      <c r="AN911" s="874">
        <v>2114323</v>
      </c>
      <c r="AO911" s="874">
        <v>2177987</v>
      </c>
      <c r="AP911" s="1058">
        <v>2240441</v>
      </c>
      <c r="AQ911" s="1058">
        <v>2285698</v>
      </c>
      <c r="AR911" s="1044"/>
      <c r="AS911" s="1044"/>
    </row>
    <row r="912" spans="3:45" hidden="1" outlineLevel="1">
      <c r="C912" s="816" t="s">
        <v>16</v>
      </c>
      <c r="D912" s="614" t="s">
        <v>836</v>
      </c>
      <c r="E912" s="20" t="s">
        <v>871</v>
      </c>
      <c r="F912" s="20"/>
      <c r="G912" s="20"/>
      <c r="H912" s="20"/>
      <c r="I912" s="20"/>
      <c r="J912" s="20"/>
      <c r="K912" s="20"/>
      <c r="L912" s="20"/>
      <c r="M912" s="20"/>
      <c r="N912" s="20"/>
      <c r="O912" s="20"/>
      <c r="P912" s="20"/>
      <c r="Q912" s="20"/>
      <c r="R912" s="20"/>
      <c r="S912" s="20"/>
      <c r="T912" s="20"/>
      <c r="U912" s="20"/>
      <c r="V912" s="20"/>
      <c r="W912" s="20"/>
      <c r="X912" s="20"/>
      <c r="Y912" s="20"/>
      <c r="Z912" s="20"/>
      <c r="AA912" s="20"/>
      <c r="AB912" s="12"/>
      <c r="AC912" s="12"/>
      <c r="AD912" s="12">
        <v>2021545</v>
      </c>
      <c r="AE912" s="12">
        <v>2092299</v>
      </c>
      <c r="AF912" s="12">
        <v>2231061</v>
      </c>
      <c r="AG912" s="12">
        <v>2309148</v>
      </c>
      <c r="AH912" s="12">
        <v>2326735</v>
      </c>
      <c r="AI912" s="12">
        <v>2326735</v>
      </c>
      <c r="AJ912" s="21">
        <v>2093047</v>
      </c>
      <c r="AK912" s="21">
        <v>2134908</v>
      </c>
      <c r="AL912" s="21">
        <v>2147140</v>
      </c>
      <c r="AM912" s="21">
        <v>2233025</v>
      </c>
      <c r="AN912" s="874">
        <v>2601064</v>
      </c>
      <c r="AO912" s="874">
        <v>2679386</v>
      </c>
      <c r="AP912" s="1058">
        <v>2706866</v>
      </c>
      <c r="AQ912" s="1058">
        <v>2761545</v>
      </c>
      <c r="AR912" s="1044"/>
      <c r="AS912" s="1044"/>
    </row>
    <row r="913" spans="3:45" hidden="1" outlineLevel="1">
      <c r="C913" s="816" t="s">
        <v>16</v>
      </c>
      <c r="D913" s="614" t="s">
        <v>836</v>
      </c>
      <c r="E913" s="224" t="s">
        <v>1361</v>
      </c>
      <c r="F913" s="20"/>
      <c r="G913" s="20"/>
      <c r="H913" s="20"/>
      <c r="I913" s="20"/>
      <c r="J913" s="20"/>
      <c r="K913" s="20"/>
      <c r="L913" s="20"/>
      <c r="M913" s="20"/>
      <c r="N913" s="20"/>
      <c r="O913" s="20"/>
      <c r="P913" s="20"/>
      <c r="Q913" s="20"/>
      <c r="R913" s="20"/>
      <c r="S913" s="20"/>
      <c r="T913" s="20"/>
      <c r="U913" s="20"/>
      <c r="V913" s="20"/>
      <c r="W913" s="20"/>
      <c r="X913" s="20"/>
      <c r="Y913" s="20"/>
      <c r="Z913" s="20"/>
      <c r="AA913" s="20"/>
      <c r="AB913" s="12"/>
      <c r="AC913" s="12"/>
      <c r="AD913" s="12">
        <v>2511530</v>
      </c>
      <c r="AE913" s="12">
        <v>2599433</v>
      </c>
      <c r="AF913" s="12">
        <v>2765288</v>
      </c>
      <c r="AG913" s="12">
        <v>2862073</v>
      </c>
      <c r="AH913" s="12">
        <v>2937050</v>
      </c>
      <c r="AI913" s="12">
        <v>2937050</v>
      </c>
      <c r="AJ913" s="21">
        <v>2997164</v>
      </c>
      <c r="AK913" s="21">
        <v>3057107</v>
      </c>
      <c r="AL913" s="21">
        <v>3396380</v>
      </c>
      <c r="AM913" s="21">
        <v>3532235</v>
      </c>
      <c r="AN913" s="874">
        <v>3706108</v>
      </c>
      <c r="AO913" s="874">
        <v>3817704</v>
      </c>
      <c r="AP913" s="1058">
        <v>3332718</v>
      </c>
      <c r="AQ913" s="1058">
        <v>3400039</v>
      </c>
      <c r="AR913" s="1044"/>
      <c r="AS913" s="1044"/>
    </row>
    <row r="914" spans="3:45" hidden="1" outlineLevel="1">
      <c r="C914" s="816" t="s">
        <v>16</v>
      </c>
      <c r="D914" s="614" t="s">
        <v>836</v>
      </c>
      <c r="E914" s="20" t="s">
        <v>1425</v>
      </c>
      <c r="F914" s="20"/>
      <c r="G914" s="20"/>
      <c r="H914" s="20"/>
      <c r="I914" s="20"/>
      <c r="J914" s="20"/>
      <c r="K914" s="20"/>
      <c r="L914" s="20"/>
      <c r="M914" s="20"/>
      <c r="N914" s="20"/>
      <c r="O914" s="20"/>
      <c r="P914" s="20"/>
      <c r="Q914" s="20"/>
      <c r="R914" s="20"/>
      <c r="S914" s="20"/>
      <c r="T914" s="20"/>
      <c r="U914" s="20"/>
      <c r="V914" s="20"/>
      <c r="W914" s="20"/>
      <c r="X914" s="20"/>
      <c r="Y914" s="20"/>
      <c r="Z914" s="20"/>
      <c r="AA914" s="20"/>
      <c r="AB914" s="12"/>
      <c r="AC914" s="12"/>
      <c r="AD914" s="12">
        <v>609839</v>
      </c>
      <c r="AE914" s="12">
        <v>631183</v>
      </c>
      <c r="AF914" s="12">
        <v>642900</v>
      </c>
      <c r="AG914" s="12">
        <v>665401</v>
      </c>
      <c r="AH914" s="12">
        <v>653493</v>
      </c>
      <c r="AI914" s="12">
        <v>653493</v>
      </c>
      <c r="AJ914" s="21">
        <v>710259</v>
      </c>
      <c r="AK914" s="21">
        <v>724464</v>
      </c>
      <c r="AL914" s="21">
        <v>763507</v>
      </c>
      <c r="AM914" s="21">
        <v>794048</v>
      </c>
      <c r="AN914" s="874">
        <v>919040</v>
      </c>
      <c r="AO914" s="874">
        <v>946714</v>
      </c>
      <c r="AP914" s="1058">
        <v>1076411</v>
      </c>
      <c r="AQ914" s="1058">
        <v>1098154</v>
      </c>
      <c r="AR914" s="1044"/>
      <c r="AS914" s="1044"/>
    </row>
    <row r="915" spans="3:45" hidden="1" outlineLevel="1">
      <c r="C915" s="816" t="s">
        <v>16</v>
      </c>
      <c r="D915" s="614" t="s">
        <v>958</v>
      </c>
      <c r="E915" s="592" t="s">
        <v>1430</v>
      </c>
      <c r="F915" s="20"/>
      <c r="G915" s="20"/>
      <c r="H915" s="20"/>
      <c r="I915" s="20"/>
      <c r="J915" s="20"/>
      <c r="K915" s="20"/>
      <c r="L915" s="20"/>
      <c r="M915" s="20"/>
      <c r="N915" s="20"/>
      <c r="O915" s="20"/>
      <c r="P915" s="20"/>
      <c r="Q915" s="20"/>
      <c r="R915" s="20"/>
      <c r="S915" s="20"/>
      <c r="T915" s="20"/>
      <c r="U915" s="20"/>
      <c r="V915" s="20"/>
      <c r="W915" s="20"/>
      <c r="X915" s="20"/>
      <c r="Y915" s="20"/>
      <c r="Z915" s="20"/>
      <c r="AA915" s="20"/>
      <c r="AB915" s="12"/>
      <c r="AC915" s="12"/>
      <c r="AD915" s="12">
        <v>461929</v>
      </c>
      <c r="AE915" s="12">
        <v>478097</v>
      </c>
      <c r="AF915" s="12">
        <v>531782</v>
      </c>
      <c r="AG915" s="12">
        <v>550395</v>
      </c>
      <c r="AH915" s="12">
        <v>509285</v>
      </c>
      <c r="AI915" s="12">
        <v>509285</v>
      </c>
      <c r="AJ915" s="21">
        <v>375859</v>
      </c>
      <c r="AK915" s="21">
        <v>383376</v>
      </c>
      <c r="AL915" s="21">
        <v>112522</v>
      </c>
      <c r="AM915" s="21">
        <v>117023</v>
      </c>
      <c r="AN915" s="874">
        <v>407473</v>
      </c>
      <c r="AO915" s="874">
        <v>419742</v>
      </c>
      <c r="AP915" s="1058">
        <v>85149</v>
      </c>
      <c r="AQ915" s="1058">
        <v>86869</v>
      </c>
      <c r="AR915" s="1044"/>
      <c r="AS915" s="1044"/>
    </row>
    <row r="916" spans="3:45" hidden="1" outlineLevel="1">
      <c r="C916" s="816" t="s">
        <v>16</v>
      </c>
      <c r="D916" s="614" t="s">
        <v>836</v>
      </c>
      <c r="E916" s="20" t="s">
        <v>726</v>
      </c>
      <c r="F916" s="20"/>
      <c r="G916" s="20"/>
      <c r="H916" s="20"/>
      <c r="I916" s="20"/>
      <c r="J916" s="20"/>
      <c r="K916" s="20"/>
      <c r="L916" s="20"/>
      <c r="M916" s="20"/>
      <c r="N916" s="20"/>
      <c r="O916" s="20"/>
      <c r="P916" s="20"/>
      <c r="Q916" s="20"/>
      <c r="R916" s="20"/>
      <c r="S916" s="20"/>
      <c r="T916" s="20"/>
      <c r="U916" s="20"/>
      <c r="V916" s="20"/>
      <c r="W916" s="20"/>
      <c r="X916" s="20"/>
      <c r="Y916" s="20"/>
      <c r="Z916" s="20"/>
      <c r="AA916" s="20"/>
      <c r="AB916" s="12"/>
      <c r="AC916" s="12"/>
      <c r="AD916" s="12">
        <v>12722765</v>
      </c>
      <c r="AE916" s="12">
        <v>13168062</v>
      </c>
      <c r="AF916" s="12">
        <v>13266249</v>
      </c>
      <c r="AG916" s="12">
        <v>13730568</v>
      </c>
      <c r="AH916" s="12">
        <v>13155324</v>
      </c>
      <c r="AI916" s="12">
        <v>13155324</v>
      </c>
      <c r="AJ916" s="21">
        <v>12762463</v>
      </c>
      <c r="AK916" s="21">
        <v>13017713</v>
      </c>
      <c r="AL916" s="21">
        <v>13920605</v>
      </c>
      <c r="AM916" s="21">
        <v>14477430</v>
      </c>
      <c r="AN916" s="874">
        <v>11644267</v>
      </c>
      <c r="AO916" s="874">
        <v>11994890</v>
      </c>
      <c r="AP916" s="1058">
        <v>14484726</v>
      </c>
      <c r="AQ916" s="1058">
        <v>14777317</v>
      </c>
      <c r="AR916" s="1044"/>
      <c r="AS916" s="1044"/>
    </row>
    <row r="917" spans="3:45" hidden="1" outlineLevel="1">
      <c r="C917" s="816" t="s">
        <v>16</v>
      </c>
      <c r="D917" s="614" t="s">
        <v>836</v>
      </c>
      <c r="E917" s="20" t="s">
        <v>1363</v>
      </c>
      <c r="F917" s="20"/>
      <c r="G917" s="20"/>
      <c r="H917" s="20"/>
      <c r="I917" s="20"/>
      <c r="J917" s="20"/>
      <c r="K917" s="20"/>
      <c r="L917" s="20"/>
      <c r="M917" s="20"/>
      <c r="N917" s="20"/>
      <c r="O917" s="20"/>
      <c r="P917" s="20"/>
      <c r="Q917" s="20"/>
      <c r="R917" s="20"/>
      <c r="S917" s="20"/>
      <c r="T917" s="20"/>
      <c r="U917" s="20"/>
      <c r="V917" s="20"/>
      <c r="W917" s="20"/>
      <c r="X917" s="20"/>
      <c r="Y917" s="20"/>
      <c r="Z917" s="20"/>
      <c r="AA917" s="20"/>
      <c r="AB917" s="12"/>
      <c r="AC917" s="12"/>
      <c r="AD917" s="12">
        <v>2485306</v>
      </c>
      <c r="AE917" s="12">
        <v>2572291</v>
      </c>
      <c r="AF917" s="12">
        <v>2540090</v>
      </c>
      <c r="AG917" s="12">
        <v>2628993</v>
      </c>
      <c r="AH917" s="12">
        <v>2540827</v>
      </c>
      <c r="AI917" s="12">
        <v>2540827</v>
      </c>
      <c r="AJ917" s="21">
        <v>2393301</v>
      </c>
      <c r="AK917" s="21">
        <v>2441167</v>
      </c>
      <c r="AL917" s="21">
        <v>2430150</v>
      </c>
      <c r="AM917" s="21">
        <v>2527356</v>
      </c>
      <c r="AN917" s="874">
        <v>3083468</v>
      </c>
      <c r="AO917" s="874">
        <v>3176315</v>
      </c>
      <c r="AP917" s="1058">
        <v>2427054</v>
      </c>
      <c r="AQ917" s="1058">
        <v>2476080</v>
      </c>
      <c r="AR917" s="1044"/>
      <c r="AS917" s="1044"/>
    </row>
    <row r="918" spans="3:45" hidden="1" outlineLevel="1">
      <c r="C918" s="816" t="s">
        <v>16</v>
      </c>
      <c r="D918" s="614" t="s">
        <v>836</v>
      </c>
      <c r="E918" s="20" t="s">
        <v>1364</v>
      </c>
      <c r="F918" s="20"/>
      <c r="G918" s="20"/>
      <c r="H918" s="20"/>
      <c r="I918" s="20"/>
      <c r="J918" s="20"/>
      <c r="K918" s="20"/>
      <c r="L918" s="20"/>
      <c r="M918" s="20"/>
      <c r="N918" s="20"/>
      <c r="O918" s="20"/>
      <c r="P918" s="20"/>
      <c r="Q918" s="20"/>
      <c r="R918" s="20"/>
      <c r="S918" s="20"/>
      <c r="T918" s="20"/>
      <c r="U918" s="20"/>
      <c r="V918" s="20"/>
      <c r="W918" s="20"/>
      <c r="X918" s="20"/>
      <c r="Y918" s="20"/>
      <c r="Z918" s="20"/>
      <c r="AA918" s="20"/>
      <c r="AB918" s="12"/>
      <c r="AC918" s="12"/>
      <c r="AD918" s="12">
        <v>2242416</v>
      </c>
      <c r="AE918" s="12">
        <v>2320901</v>
      </c>
      <c r="AF918" s="12">
        <v>2531996</v>
      </c>
      <c r="AG918" s="12">
        <v>2620616</v>
      </c>
      <c r="AH918" s="12">
        <v>2597213</v>
      </c>
      <c r="AI918" s="12">
        <v>2597213</v>
      </c>
      <c r="AJ918" s="21">
        <v>2299902</v>
      </c>
      <c r="AK918" s="21">
        <v>2345900</v>
      </c>
      <c r="AL918" s="21">
        <v>2538097</v>
      </c>
      <c r="AM918" s="21">
        <v>2639621</v>
      </c>
      <c r="AN918" s="874">
        <v>2819290</v>
      </c>
      <c r="AO918" s="874">
        <v>2904182</v>
      </c>
      <c r="AP918" s="1058">
        <v>2911997</v>
      </c>
      <c r="AQ918" s="1058">
        <v>2970819</v>
      </c>
      <c r="AR918" s="1044"/>
      <c r="AS918" s="1044"/>
    </row>
    <row r="919" spans="3:45" hidden="1" outlineLevel="1">
      <c r="C919" s="816" t="s">
        <v>16</v>
      </c>
      <c r="D919" s="614" t="s">
        <v>836</v>
      </c>
      <c r="E919" s="20" t="s">
        <v>1365</v>
      </c>
      <c r="F919" s="20"/>
      <c r="G919" s="20"/>
      <c r="H919" s="20"/>
      <c r="I919" s="20"/>
      <c r="J919" s="20"/>
      <c r="K919" s="20"/>
      <c r="L919" s="20"/>
      <c r="M919" s="20"/>
      <c r="N919" s="20"/>
      <c r="O919" s="20"/>
      <c r="P919" s="20"/>
      <c r="Q919" s="20"/>
      <c r="R919" s="20"/>
      <c r="S919" s="20"/>
      <c r="T919" s="20"/>
      <c r="U919" s="20"/>
      <c r="V919" s="20"/>
      <c r="W919" s="20"/>
      <c r="X919" s="20"/>
      <c r="Y919" s="20"/>
      <c r="Z919" s="20"/>
      <c r="AA919" s="20"/>
      <c r="AB919" s="12"/>
      <c r="AC919" s="12"/>
      <c r="AD919" s="12">
        <v>988933</v>
      </c>
      <c r="AE919" s="12">
        <v>1023546</v>
      </c>
      <c r="AF919" s="12">
        <v>1133519</v>
      </c>
      <c r="AG919" s="12">
        <v>1173193</v>
      </c>
      <c r="AH919" s="12">
        <v>1211633</v>
      </c>
      <c r="AI919" s="12">
        <v>1211633</v>
      </c>
      <c r="AJ919" s="21">
        <v>1328771</v>
      </c>
      <c r="AK919" s="21">
        <v>1355346</v>
      </c>
      <c r="AL919" s="21">
        <v>1503950</v>
      </c>
      <c r="AM919" s="21">
        <v>1564108</v>
      </c>
      <c r="AN919" s="874">
        <v>1453374</v>
      </c>
      <c r="AO919" s="874">
        <v>1497137</v>
      </c>
      <c r="AP919" s="1058">
        <v>1405759</v>
      </c>
      <c r="AQ919" s="1058">
        <v>1434155</v>
      </c>
      <c r="AR919" s="1044"/>
      <c r="AS919" s="1044"/>
    </row>
    <row r="920" spans="3:45" hidden="1" outlineLevel="1">
      <c r="C920" s="816" t="s">
        <v>16</v>
      </c>
      <c r="D920" s="614" t="s">
        <v>836</v>
      </c>
      <c r="E920" s="20" t="s">
        <v>730</v>
      </c>
      <c r="F920" s="20"/>
      <c r="G920" s="20"/>
      <c r="H920" s="20"/>
      <c r="I920" s="20"/>
      <c r="J920" s="20"/>
      <c r="K920" s="20"/>
      <c r="L920" s="20"/>
      <c r="M920" s="20"/>
      <c r="N920" s="20"/>
      <c r="O920" s="20"/>
      <c r="P920" s="20"/>
      <c r="Q920" s="20"/>
      <c r="R920" s="20"/>
      <c r="S920" s="20"/>
      <c r="T920" s="20"/>
      <c r="U920" s="20"/>
      <c r="V920" s="20"/>
      <c r="W920" s="20"/>
      <c r="X920" s="20"/>
      <c r="Y920" s="20"/>
      <c r="Z920" s="20"/>
      <c r="AA920" s="20"/>
      <c r="AB920" s="12"/>
      <c r="AC920" s="12"/>
      <c r="AD920" s="12">
        <v>1722407</v>
      </c>
      <c r="AE920" s="12">
        <v>1782692</v>
      </c>
      <c r="AF920" s="12">
        <v>1654170</v>
      </c>
      <c r="AG920" s="12">
        <v>1712066</v>
      </c>
      <c r="AH920" s="12">
        <v>1741267</v>
      </c>
      <c r="AI920" s="12">
        <v>1741267</v>
      </c>
      <c r="AJ920" s="21">
        <v>1453391</v>
      </c>
      <c r="AK920" s="21">
        <v>1482458</v>
      </c>
      <c r="AL920" s="21">
        <v>1476822</v>
      </c>
      <c r="AM920" s="21">
        <v>1535895</v>
      </c>
      <c r="AN920" s="874">
        <v>1613328</v>
      </c>
      <c r="AO920" s="874">
        <v>1661907</v>
      </c>
      <c r="AP920" s="1058">
        <v>1462759</v>
      </c>
      <c r="AQ920" s="1058">
        <v>1492306</v>
      </c>
      <c r="AR920" s="1044"/>
      <c r="AS920" s="1044"/>
    </row>
    <row r="921" spans="3:45" hidden="1" outlineLevel="1">
      <c r="C921" s="816" t="s">
        <v>16</v>
      </c>
      <c r="D921" s="614" t="s">
        <v>958</v>
      </c>
      <c r="E921" s="592" t="s">
        <v>1431</v>
      </c>
      <c r="F921" s="20"/>
      <c r="G921" s="20"/>
      <c r="H921" s="20"/>
      <c r="I921" s="20"/>
      <c r="J921" s="20"/>
      <c r="K921" s="20"/>
      <c r="L921" s="20"/>
      <c r="M921" s="20"/>
      <c r="N921" s="20"/>
      <c r="O921" s="20"/>
      <c r="P921" s="20"/>
      <c r="Q921" s="20"/>
      <c r="R921" s="20"/>
      <c r="S921" s="20"/>
      <c r="T921" s="20"/>
      <c r="U921" s="20"/>
      <c r="V921" s="20"/>
      <c r="W921" s="20"/>
      <c r="X921" s="20"/>
      <c r="Y921" s="20"/>
      <c r="Z921" s="20"/>
      <c r="AA921" s="20"/>
      <c r="AB921" s="12"/>
      <c r="AC921" s="12"/>
      <c r="AD921" s="12">
        <v>324996</v>
      </c>
      <c r="AE921" s="12">
        <v>336370</v>
      </c>
      <c r="AF921" s="12">
        <v>593793</v>
      </c>
      <c r="AG921" s="12">
        <v>614576</v>
      </c>
      <c r="AH921" s="12">
        <v>827257</v>
      </c>
      <c r="AI921" s="12">
        <v>827257</v>
      </c>
      <c r="AJ921" s="21">
        <v>1066150</v>
      </c>
      <c r="AK921" s="21">
        <v>1087473</v>
      </c>
      <c r="AL921" s="21">
        <v>1549676</v>
      </c>
      <c r="AM921" s="21">
        <v>1611663</v>
      </c>
      <c r="AN921" s="874">
        <v>590630</v>
      </c>
      <c r="AO921" s="874">
        <v>608404</v>
      </c>
      <c r="AP921" s="1058">
        <v>698080</v>
      </c>
      <c r="AQ921" s="1058">
        <v>702999</v>
      </c>
      <c r="AR921" s="1044"/>
      <c r="AS921" s="1044"/>
    </row>
    <row r="922" spans="3:45" hidden="1" outlineLevel="1">
      <c r="C922" s="816" t="s">
        <v>16</v>
      </c>
      <c r="D922" s="614" t="s">
        <v>836</v>
      </c>
      <c r="E922" s="20" t="s">
        <v>731</v>
      </c>
      <c r="F922" s="20"/>
      <c r="G922" s="20"/>
      <c r="H922" s="20"/>
      <c r="I922" s="20"/>
      <c r="J922" s="20"/>
      <c r="K922" s="20"/>
      <c r="L922" s="20"/>
      <c r="M922" s="20"/>
      <c r="N922" s="20"/>
      <c r="O922" s="20"/>
      <c r="P922" s="20"/>
      <c r="Q922" s="20"/>
      <c r="R922" s="20"/>
      <c r="S922" s="20"/>
      <c r="T922" s="20"/>
      <c r="U922" s="20"/>
      <c r="V922" s="20"/>
      <c r="W922" s="20"/>
      <c r="X922" s="20"/>
      <c r="Y922" s="20"/>
      <c r="Z922" s="20"/>
      <c r="AA922" s="20"/>
      <c r="AB922" s="12"/>
      <c r="AC922" s="12"/>
      <c r="AD922" s="12">
        <v>10239400</v>
      </c>
      <c r="AE922" s="12">
        <v>10597779</v>
      </c>
      <c r="AF922" s="12">
        <v>11437596</v>
      </c>
      <c r="AG922" s="12">
        <v>11837912</v>
      </c>
      <c r="AH922" s="12">
        <v>13105859</v>
      </c>
      <c r="AI922" s="12">
        <v>13105859</v>
      </c>
      <c r="AJ922" s="21">
        <v>7492450</v>
      </c>
      <c r="AK922" s="21">
        <v>7642299</v>
      </c>
      <c r="AL922" s="21">
        <v>7101288</v>
      </c>
      <c r="AM922" s="21">
        <v>7385339</v>
      </c>
      <c r="AN922" s="874">
        <v>9127864</v>
      </c>
      <c r="AO922" s="874">
        <v>9402715</v>
      </c>
      <c r="AP922" s="1058">
        <v>10313271</v>
      </c>
      <c r="AQ922" s="1058">
        <v>10521599</v>
      </c>
      <c r="AR922" s="1044"/>
      <c r="AS922" s="1044"/>
    </row>
    <row r="923" spans="3:45" hidden="1" outlineLevel="1">
      <c r="C923" s="816" t="s">
        <v>16</v>
      </c>
      <c r="D923" s="614" t="s">
        <v>836</v>
      </c>
      <c r="E923" s="224" t="s">
        <v>1453</v>
      </c>
      <c r="F923" s="20"/>
      <c r="G923" s="20"/>
      <c r="H923" s="20"/>
      <c r="I923" s="20"/>
      <c r="J923" s="20"/>
      <c r="K923" s="20"/>
      <c r="L923" s="20"/>
      <c r="M923" s="20"/>
      <c r="N923" s="20"/>
      <c r="O923" s="20"/>
      <c r="P923" s="20"/>
      <c r="Q923" s="20"/>
      <c r="R923" s="20"/>
      <c r="S923" s="20"/>
      <c r="T923" s="20"/>
      <c r="U923" s="20"/>
      <c r="V923" s="20"/>
      <c r="W923" s="20"/>
      <c r="X923" s="20"/>
      <c r="Y923" s="20"/>
      <c r="Z923" s="20"/>
      <c r="AA923" s="20"/>
      <c r="AB923" s="12"/>
      <c r="AC923" s="12"/>
      <c r="AD923" s="12">
        <v>0</v>
      </c>
      <c r="AE923" s="12">
        <v>0</v>
      </c>
      <c r="AF923" s="12">
        <v>0</v>
      </c>
      <c r="AG923" s="12">
        <v>0</v>
      </c>
      <c r="AH923" s="12">
        <v>0</v>
      </c>
      <c r="AI923" s="12">
        <v>0</v>
      </c>
      <c r="AJ923" s="21">
        <v>680509</v>
      </c>
      <c r="AK923" s="21">
        <v>694119</v>
      </c>
      <c r="AL923" s="21">
        <v>804445</v>
      </c>
      <c r="AM923" s="21">
        <v>836623</v>
      </c>
      <c r="AN923" s="874">
        <v>1122372</v>
      </c>
      <c r="AO923" s="874">
        <v>1156168</v>
      </c>
      <c r="AP923" s="1058">
        <v>1732175</v>
      </c>
      <c r="AQ923" s="1058">
        <v>1767165</v>
      </c>
      <c r="AR923" s="1044"/>
      <c r="AS923" s="1044"/>
    </row>
    <row r="924" spans="3:45" hidden="1" outlineLevel="1">
      <c r="C924" s="816" t="s">
        <v>16</v>
      </c>
      <c r="D924" s="614" t="s">
        <v>836</v>
      </c>
      <c r="E924" s="20" t="s">
        <v>1426</v>
      </c>
      <c r="F924" s="20"/>
      <c r="G924" s="20"/>
      <c r="H924" s="20"/>
      <c r="I924" s="20"/>
      <c r="J924" s="20"/>
      <c r="K924" s="20"/>
      <c r="L924" s="20"/>
      <c r="M924" s="20"/>
      <c r="N924" s="20"/>
      <c r="O924" s="20"/>
      <c r="P924" s="20"/>
      <c r="Q924" s="20"/>
      <c r="R924" s="20"/>
      <c r="S924" s="20"/>
      <c r="T924" s="20"/>
      <c r="U924" s="20"/>
      <c r="V924" s="20"/>
      <c r="W924" s="20"/>
      <c r="X924" s="20"/>
      <c r="Y924" s="20"/>
      <c r="Z924" s="20"/>
      <c r="AA924" s="20"/>
      <c r="AB924" s="12"/>
      <c r="AC924" s="12"/>
      <c r="AD924" s="12">
        <v>3686460</v>
      </c>
      <c r="AE924" s="12">
        <v>3815486</v>
      </c>
      <c r="AF924" s="12">
        <v>3728087</v>
      </c>
      <c r="AG924" s="12">
        <v>3858570</v>
      </c>
      <c r="AH924" s="12">
        <v>4025683</v>
      </c>
      <c r="AI924" s="12">
        <v>4025683</v>
      </c>
      <c r="AJ924" s="21">
        <v>3237667</v>
      </c>
      <c r="AK924" s="21">
        <v>3302420</v>
      </c>
      <c r="AL924" s="21">
        <v>3342963</v>
      </c>
      <c r="AM924" s="21">
        <v>3476681</v>
      </c>
      <c r="AN924" s="874">
        <v>3616719</v>
      </c>
      <c r="AO924" s="874">
        <v>3725623</v>
      </c>
      <c r="AP924" s="1058">
        <v>3311616</v>
      </c>
      <c r="AQ924" s="1058">
        <v>3378511</v>
      </c>
      <c r="AR924" s="1044"/>
      <c r="AS924" s="1044"/>
    </row>
    <row r="925" spans="3:45" hidden="1" outlineLevel="1">
      <c r="C925" s="816" t="s">
        <v>16</v>
      </c>
      <c r="D925" s="614" t="s">
        <v>836</v>
      </c>
      <c r="E925" s="20" t="s">
        <v>733</v>
      </c>
      <c r="F925" s="20"/>
      <c r="G925" s="20"/>
      <c r="H925" s="20"/>
      <c r="I925" s="20"/>
      <c r="J925" s="20"/>
      <c r="K925" s="20"/>
      <c r="L925" s="20"/>
      <c r="M925" s="20"/>
      <c r="N925" s="20"/>
      <c r="O925" s="20"/>
      <c r="P925" s="20"/>
      <c r="Q925" s="20"/>
      <c r="R925" s="20"/>
      <c r="S925" s="20"/>
      <c r="T925" s="20"/>
      <c r="U925" s="20"/>
      <c r="V925" s="20"/>
      <c r="W925" s="20"/>
      <c r="X925" s="20"/>
      <c r="Y925" s="20"/>
      <c r="Z925" s="20"/>
      <c r="AA925" s="20"/>
      <c r="AB925" s="12"/>
      <c r="AC925" s="12"/>
      <c r="AD925" s="12">
        <v>4157149</v>
      </c>
      <c r="AE925" s="12">
        <v>4302649</v>
      </c>
      <c r="AF925" s="12">
        <v>4022315</v>
      </c>
      <c r="AG925" s="12">
        <v>4163097</v>
      </c>
      <c r="AH925" s="12">
        <v>4327292</v>
      </c>
      <c r="AI925" s="12">
        <v>4327292</v>
      </c>
      <c r="AJ925" s="21">
        <v>4337536</v>
      </c>
      <c r="AK925" s="21">
        <v>4424287</v>
      </c>
      <c r="AL925" s="21">
        <v>4149876</v>
      </c>
      <c r="AM925" s="21">
        <v>4315871</v>
      </c>
      <c r="AN925" s="874">
        <v>4224603</v>
      </c>
      <c r="AO925" s="874">
        <v>4351811</v>
      </c>
      <c r="AP925" s="1058">
        <v>4342588</v>
      </c>
      <c r="AQ925" s="1058">
        <v>4430308</v>
      </c>
      <c r="AR925" s="1044"/>
      <c r="AS925" s="1044"/>
    </row>
    <row r="926" spans="3:45" hidden="1" outlineLevel="1">
      <c r="C926" s="816" t="s">
        <v>16</v>
      </c>
      <c r="D926" s="614" t="s">
        <v>958</v>
      </c>
      <c r="E926" s="592" t="s">
        <v>1432</v>
      </c>
      <c r="F926" s="20"/>
      <c r="G926" s="20"/>
      <c r="H926" s="20"/>
      <c r="I926" s="20"/>
      <c r="J926" s="20"/>
      <c r="K926" s="20"/>
      <c r="L926" s="20"/>
      <c r="M926" s="20"/>
      <c r="N926" s="20"/>
      <c r="O926" s="20"/>
      <c r="P926" s="20"/>
      <c r="Q926" s="20"/>
      <c r="R926" s="20"/>
      <c r="S926" s="20"/>
      <c r="T926" s="20"/>
      <c r="U926" s="20"/>
      <c r="V926" s="20"/>
      <c r="W926" s="20"/>
      <c r="X926" s="20"/>
      <c r="Y926" s="20"/>
      <c r="Z926" s="20"/>
      <c r="AA926" s="20"/>
      <c r="AB926" s="12"/>
      <c r="AC926" s="12"/>
      <c r="AD926" s="12">
        <v>475282</v>
      </c>
      <c r="AE926" s="12">
        <v>491917</v>
      </c>
      <c r="AF926" s="12">
        <v>368755</v>
      </c>
      <c r="AG926" s="12">
        <v>381662</v>
      </c>
      <c r="AH926" s="12">
        <v>360151</v>
      </c>
      <c r="AI926" s="12">
        <v>360151</v>
      </c>
      <c r="AJ926" s="21">
        <v>315207</v>
      </c>
      <c r="AK926" s="21">
        <v>321511</v>
      </c>
      <c r="AL926" s="21">
        <v>336798</v>
      </c>
      <c r="AM926" s="21">
        <v>350269</v>
      </c>
      <c r="AN926" s="874">
        <v>372505</v>
      </c>
      <c r="AO926" s="874">
        <v>383722</v>
      </c>
      <c r="AP926" s="1058">
        <v>364312</v>
      </c>
      <c r="AQ926" s="1058">
        <v>371671</v>
      </c>
      <c r="AR926" s="1044"/>
      <c r="AS926" s="1044"/>
    </row>
    <row r="927" spans="3:45" hidden="1" outlineLevel="1">
      <c r="C927" s="816" t="s">
        <v>16</v>
      </c>
      <c r="D927" s="614" t="s">
        <v>836</v>
      </c>
      <c r="E927" s="20" t="s">
        <v>735</v>
      </c>
      <c r="F927" s="20"/>
      <c r="G927" s="20"/>
      <c r="H927" s="20"/>
      <c r="I927" s="20"/>
      <c r="J927" s="20"/>
      <c r="K927" s="20"/>
      <c r="L927" s="20"/>
      <c r="M927" s="20"/>
      <c r="N927" s="20"/>
      <c r="O927" s="20"/>
      <c r="P927" s="20"/>
      <c r="Q927" s="20"/>
      <c r="R927" s="20"/>
      <c r="S927" s="20"/>
      <c r="T927" s="20"/>
      <c r="U927" s="20"/>
      <c r="V927" s="20"/>
      <c r="W927" s="20"/>
      <c r="X927" s="20"/>
      <c r="Y927" s="20"/>
      <c r="Z927" s="20"/>
      <c r="AA927" s="20"/>
      <c r="AB927" s="12"/>
      <c r="AC927" s="12"/>
      <c r="AD927" s="12">
        <v>9083950</v>
      </c>
      <c r="AE927" s="12">
        <v>9401889</v>
      </c>
      <c r="AF927" s="12">
        <v>10000096</v>
      </c>
      <c r="AG927" s="12">
        <v>10350100</v>
      </c>
      <c r="AH927" s="12">
        <v>10158122</v>
      </c>
      <c r="AI927" s="12">
        <v>10158122</v>
      </c>
      <c r="AJ927" s="21">
        <v>10117680</v>
      </c>
      <c r="AK927" s="21">
        <v>10320034</v>
      </c>
      <c r="AL927" s="21">
        <v>11162056</v>
      </c>
      <c r="AM927" s="21">
        <v>11608538</v>
      </c>
      <c r="AN927" s="874">
        <v>12818294</v>
      </c>
      <c r="AO927" s="874">
        <v>13204269</v>
      </c>
      <c r="AP927" s="1058">
        <v>13044250</v>
      </c>
      <c r="AQ927" s="1058">
        <v>13307744</v>
      </c>
      <c r="AR927" s="1044"/>
      <c r="AS927" s="1044"/>
    </row>
    <row r="928" spans="3:45" hidden="1" outlineLevel="1">
      <c r="C928" s="816" t="s">
        <v>16</v>
      </c>
      <c r="D928" s="614" t="s">
        <v>836</v>
      </c>
      <c r="E928" s="20" t="s">
        <v>855</v>
      </c>
      <c r="F928" s="20"/>
      <c r="G928" s="20"/>
      <c r="H928" s="20"/>
      <c r="I928" s="20"/>
      <c r="J928" s="20"/>
      <c r="K928" s="20"/>
      <c r="L928" s="20"/>
      <c r="M928" s="20"/>
      <c r="N928" s="20"/>
      <c r="O928" s="20"/>
      <c r="P928" s="20"/>
      <c r="Q928" s="20"/>
      <c r="R928" s="20"/>
      <c r="S928" s="20"/>
      <c r="T928" s="20"/>
      <c r="U928" s="20"/>
      <c r="V928" s="20"/>
      <c r="W928" s="20"/>
      <c r="X928" s="20"/>
      <c r="Y928" s="20"/>
      <c r="Z928" s="20"/>
      <c r="AA928" s="20"/>
      <c r="AB928" s="12"/>
      <c r="AC928" s="12"/>
      <c r="AD928" s="12">
        <v>1934847</v>
      </c>
      <c r="AE928" s="12">
        <v>2002567</v>
      </c>
      <c r="AF928" s="12">
        <v>1909868</v>
      </c>
      <c r="AG928" s="12">
        <v>1976713</v>
      </c>
      <c r="AH928" s="12">
        <v>2073155</v>
      </c>
      <c r="AI928" s="12">
        <v>2073155</v>
      </c>
      <c r="AJ928" s="21">
        <v>1862458</v>
      </c>
      <c r="AK928" s="21">
        <v>1899708</v>
      </c>
      <c r="AL928" s="21">
        <v>1979681</v>
      </c>
      <c r="AM928" s="21">
        <v>2058868</v>
      </c>
      <c r="AN928" s="874">
        <v>2259013</v>
      </c>
      <c r="AO928" s="874">
        <v>2327034</v>
      </c>
      <c r="AP928" s="1058">
        <v>2381035</v>
      </c>
      <c r="AQ928" s="1058">
        <v>2429132</v>
      </c>
      <c r="AR928" s="1044"/>
      <c r="AS928" s="1044"/>
    </row>
    <row r="929" spans="3:45" hidden="1" outlineLevel="1">
      <c r="C929" s="816" t="s">
        <v>16</v>
      </c>
      <c r="D929" s="614" t="s">
        <v>836</v>
      </c>
      <c r="E929" s="20" t="s">
        <v>737</v>
      </c>
      <c r="F929" s="20"/>
      <c r="G929" s="20"/>
      <c r="H929" s="20"/>
      <c r="I929" s="20"/>
      <c r="J929" s="20"/>
      <c r="K929" s="20"/>
      <c r="L929" s="20"/>
      <c r="M929" s="20"/>
      <c r="N929" s="20"/>
      <c r="O929" s="20"/>
      <c r="P929" s="20"/>
      <c r="Q929" s="20"/>
      <c r="R929" s="20"/>
      <c r="S929" s="20"/>
      <c r="T929" s="20"/>
      <c r="U929" s="20"/>
      <c r="V929" s="20"/>
      <c r="W929" s="20"/>
      <c r="X929" s="20"/>
      <c r="Y929" s="20"/>
      <c r="Z929" s="20"/>
      <c r="AA929" s="20"/>
      <c r="AB929" s="12"/>
      <c r="AC929" s="12"/>
      <c r="AD929" s="12">
        <v>3871515</v>
      </c>
      <c r="AE929" s="12">
        <v>4007018</v>
      </c>
      <c r="AF929" s="12">
        <v>4226411</v>
      </c>
      <c r="AG929" s="12">
        <v>4374336</v>
      </c>
      <c r="AH929" s="12">
        <v>4169841</v>
      </c>
      <c r="AI929" s="12">
        <v>4169841</v>
      </c>
      <c r="AJ929" s="21">
        <v>4108414</v>
      </c>
      <c r="AK929" s="21">
        <v>4190582</v>
      </c>
      <c r="AL929" s="21">
        <v>4117222</v>
      </c>
      <c r="AM929" s="21">
        <v>4281911</v>
      </c>
      <c r="AN929" s="874">
        <v>4432677</v>
      </c>
      <c r="AO929" s="874">
        <v>4566150</v>
      </c>
      <c r="AP929" s="1058">
        <v>4451674</v>
      </c>
      <c r="AQ929" s="1058">
        <v>4541598</v>
      </c>
      <c r="AR929" s="1044"/>
      <c r="AS929" s="1044"/>
    </row>
    <row r="930" spans="3:45" hidden="1" outlineLevel="1">
      <c r="C930" s="816" t="s">
        <v>16</v>
      </c>
      <c r="D930" s="614" t="s">
        <v>958</v>
      </c>
      <c r="E930" s="592" t="s">
        <v>60</v>
      </c>
      <c r="F930" s="20"/>
      <c r="G930" s="20"/>
      <c r="H930" s="20"/>
      <c r="I930" s="20"/>
      <c r="J930" s="20"/>
      <c r="K930" s="20"/>
      <c r="L930" s="20"/>
      <c r="M930" s="20"/>
      <c r="N930" s="20"/>
      <c r="O930" s="20"/>
      <c r="P930" s="20"/>
      <c r="Q930" s="20"/>
      <c r="R930" s="20"/>
      <c r="S930" s="20"/>
      <c r="T930" s="20"/>
      <c r="U930" s="20"/>
      <c r="V930" s="20"/>
      <c r="W930" s="20"/>
      <c r="X930" s="20"/>
      <c r="Y930" s="20"/>
      <c r="Z930" s="20"/>
      <c r="AA930" s="20"/>
      <c r="AB930" s="12"/>
      <c r="AC930" s="12"/>
      <c r="AD930" s="12">
        <v>64870</v>
      </c>
      <c r="AE930" s="12">
        <v>67141</v>
      </c>
      <c r="AF930" s="12">
        <v>111478</v>
      </c>
      <c r="AG930" s="12">
        <v>115380</v>
      </c>
      <c r="AH930" s="12">
        <v>137978</v>
      </c>
      <c r="AI930" s="12">
        <v>137978</v>
      </c>
      <c r="AJ930" s="21">
        <v>160627</v>
      </c>
      <c r="AK930" s="21">
        <v>163839</v>
      </c>
      <c r="AL930" s="21">
        <v>189819</v>
      </c>
      <c r="AM930" s="21">
        <v>197412</v>
      </c>
      <c r="AN930" s="874">
        <v>80487</v>
      </c>
      <c r="AO930" s="874">
        <v>82910</v>
      </c>
      <c r="AP930" s="1058">
        <v>96551</v>
      </c>
      <c r="AQ930" s="1058">
        <v>98501</v>
      </c>
      <c r="AR930" s="1044"/>
      <c r="AS930" s="1044"/>
    </row>
    <row r="931" spans="3:45" hidden="1" outlineLevel="1">
      <c r="C931" s="816" t="s">
        <v>16</v>
      </c>
      <c r="D931" s="614" t="s">
        <v>836</v>
      </c>
      <c r="E931" s="20" t="s">
        <v>738</v>
      </c>
      <c r="F931" s="20"/>
      <c r="G931" s="20"/>
      <c r="H931" s="20"/>
      <c r="I931" s="20"/>
      <c r="J931" s="20"/>
      <c r="K931" s="20"/>
      <c r="L931" s="20"/>
      <c r="M931" s="20"/>
      <c r="N931" s="20"/>
      <c r="O931" s="20"/>
      <c r="P931" s="20"/>
      <c r="Q931" s="20"/>
      <c r="R931" s="20"/>
      <c r="S931" s="20"/>
      <c r="T931" s="20"/>
      <c r="U931" s="20"/>
      <c r="V931" s="20"/>
      <c r="W931" s="20"/>
      <c r="X931" s="20"/>
      <c r="Y931" s="20"/>
      <c r="Z931" s="20"/>
      <c r="AA931" s="20"/>
      <c r="AB931" s="12"/>
      <c r="AC931" s="12"/>
      <c r="AD931" s="12">
        <v>2882621</v>
      </c>
      <c r="AE931" s="12">
        <v>2983513</v>
      </c>
      <c r="AF931" s="12">
        <v>3310587</v>
      </c>
      <c r="AG931" s="12">
        <v>3426458</v>
      </c>
      <c r="AH931" s="12">
        <v>3754672</v>
      </c>
      <c r="AI931" s="12">
        <v>3754672</v>
      </c>
      <c r="AJ931" s="21">
        <v>3611314</v>
      </c>
      <c r="AK931" s="21">
        <v>3683541</v>
      </c>
      <c r="AL931" s="21">
        <v>3097151</v>
      </c>
      <c r="AM931" s="21">
        <v>3221038</v>
      </c>
      <c r="AN931" s="874">
        <v>4276980</v>
      </c>
      <c r="AO931" s="874">
        <v>4405766</v>
      </c>
      <c r="AP931" s="1058">
        <v>3385259</v>
      </c>
      <c r="AQ931" s="1058">
        <v>3453642</v>
      </c>
      <c r="AR931" s="1044"/>
      <c r="AS931" s="1044"/>
    </row>
    <row r="932" spans="3:45" hidden="1" outlineLevel="1">
      <c r="C932" s="816" t="s">
        <v>16</v>
      </c>
      <c r="D932" s="614" t="s">
        <v>2115</v>
      </c>
      <c r="E932" s="20" t="s">
        <v>1446</v>
      </c>
      <c r="F932" s="20"/>
      <c r="G932" s="20"/>
      <c r="H932" s="20"/>
      <c r="I932" s="20"/>
      <c r="J932" s="20"/>
      <c r="K932" s="20"/>
      <c r="L932" s="20"/>
      <c r="M932" s="20"/>
      <c r="N932" s="20"/>
      <c r="O932" s="20"/>
      <c r="P932" s="20"/>
      <c r="Q932" s="20"/>
      <c r="R932" s="20"/>
      <c r="S932" s="20"/>
      <c r="T932" s="20"/>
      <c r="U932" s="20"/>
      <c r="V932" s="20"/>
      <c r="W932" s="20"/>
      <c r="X932" s="20"/>
      <c r="Y932" s="20"/>
      <c r="Z932" s="20"/>
      <c r="AA932" s="20"/>
      <c r="AB932" s="12"/>
      <c r="AC932" s="12"/>
      <c r="AD932" s="12">
        <v>594482</v>
      </c>
      <c r="AE932" s="12">
        <v>615289</v>
      </c>
      <c r="AF932" s="12">
        <v>621343</v>
      </c>
      <c r="AG932" s="12">
        <v>643090</v>
      </c>
      <c r="AH932" s="12">
        <v>703495</v>
      </c>
      <c r="AI932" s="12">
        <v>703495</v>
      </c>
      <c r="AJ932" s="21">
        <v>704113</v>
      </c>
      <c r="AK932" s="21">
        <v>718195</v>
      </c>
      <c r="AL932" s="21">
        <v>616779</v>
      </c>
      <c r="AM932" s="21">
        <v>641450</v>
      </c>
      <c r="AN932" s="874">
        <v>691539</v>
      </c>
      <c r="AO932" s="874">
        <v>712362</v>
      </c>
      <c r="AP932" s="1058">
        <v>990645</v>
      </c>
      <c r="AQ932" s="1058">
        <v>1010656</v>
      </c>
      <c r="AR932" s="1044"/>
      <c r="AS932" s="1044"/>
    </row>
    <row r="933" spans="3:45" hidden="1" outlineLevel="1">
      <c r="C933" s="816" t="s">
        <v>16</v>
      </c>
      <c r="D933" s="868" t="s">
        <v>2115</v>
      </c>
      <c r="E933" s="20" t="s">
        <v>1447</v>
      </c>
      <c r="F933" s="20"/>
      <c r="G933" s="20"/>
      <c r="H933" s="20"/>
      <c r="I933" s="20"/>
      <c r="J933" s="20"/>
      <c r="K933" s="20"/>
      <c r="L933" s="20"/>
      <c r="M933" s="20"/>
      <c r="N933" s="20"/>
      <c r="O933" s="20"/>
      <c r="P933" s="20"/>
      <c r="Q933" s="20"/>
      <c r="R933" s="20"/>
      <c r="S933" s="20"/>
      <c r="T933" s="20"/>
      <c r="U933" s="20"/>
      <c r="V933" s="20"/>
      <c r="W933" s="20"/>
      <c r="X933" s="20"/>
      <c r="Y933" s="20"/>
      <c r="Z933" s="20"/>
      <c r="AA933" s="20"/>
      <c r="AB933" s="12"/>
      <c r="AC933" s="12"/>
      <c r="AD933" s="12">
        <v>454683</v>
      </c>
      <c r="AE933" s="12">
        <v>470597</v>
      </c>
      <c r="AF933" s="12">
        <v>471451</v>
      </c>
      <c r="AG933" s="12">
        <v>487951</v>
      </c>
      <c r="AH933" s="12">
        <v>507486</v>
      </c>
      <c r="AI933" s="12">
        <v>507486</v>
      </c>
      <c r="AJ933" s="21">
        <v>539804</v>
      </c>
      <c r="AK933" s="21">
        <v>550600</v>
      </c>
      <c r="AL933" s="21">
        <v>567347</v>
      </c>
      <c r="AM933" s="21">
        <v>590040</v>
      </c>
      <c r="AN933" s="874">
        <v>572917</v>
      </c>
      <c r="AO933" s="874">
        <v>590168</v>
      </c>
      <c r="AP933" s="1058">
        <v>816470</v>
      </c>
      <c r="AQ933" s="1058">
        <v>832962</v>
      </c>
      <c r="AR933" s="1044"/>
      <c r="AS933" s="1044"/>
    </row>
    <row r="934" spans="3:45" hidden="1" outlineLevel="1">
      <c r="C934" s="816" t="s">
        <v>16</v>
      </c>
      <c r="D934" s="868" t="s">
        <v>2115</v>
      </c>
      <c r="E934" s="20" t="s">
        <v>1448</v>
      </c>
      <c r="F934" s="20"/>
      <c r="G934" s="20"/>
      <c r="H934" s="20"/>
      <c r="I934" s="20"/>
      <c r="J934" s="20"/>
      <c r="K934" s="20"/>
      <c r="L934" s="20"/>
      <c r="M934" s="20"/>
      <c r="N934" s="20"/>
      <c r="O934" s="20"/>
      <c r="P934" s="20"/>
      <c r="Q934" s="20"/>
      <c r="R934" s="20"/>
      <c r="S934" s="20"/>
      <c r="T934" s="20"/>
      <c r="U934" s="20"/>
      <c r="V934" s="20"/>
      <c r="W934" s="20"/>
      <c r="X934" s="20"/>
      <c r="Y934" s="20"/>
      <c r="Z934" s="20"/>
      <c r="AA934" s="20"/>
      <c r="AB934" s="12"/>
      <c r="AC934" s="12"/>
      <c r="AD934" s="12">
        <v>726029</v>
      </c>
      <c r="AE934" s="12">
        <v>751440</v>
      </c>
      <c r="AF934" s="12">
        <v>748116</v>
      </c>
      <c r="AG934" s="12">
        <v>774300</v>
      </c>
      <c r="AH934" s="12">
        <v>696853</v>
      </c>
      <c r="AI934" s="12">
        <v>696853</v>
      </c>
      <c r="AJ934" s="21">
        <v>731725</v>
      </c>
      <c r="AK934" s="21">
        <v>746360</v>
      </c>
      <c r="AL934" s="21">
        <v>771698</v>
      </c>
      <c r="AM934" s="21">
        <v>802566</v>
      </c>
      <c r="AN934" s="874">
        <v>703989</v>
      </c>
      <c r="AO934" s="874">
        <v>725187</v>
      </c>
      <c r="AP934" s="1058">
        <v>1047652</v>
      </c>
      <c r="AQ934" s="1058">
        <v>1068815</v>
      </c>
      <c r="AR934" s="1044"/>
      <c r="AS934" s="1044"/>
    </row>
    <row r="935" spans="3:45" hidden="1" outlineLevel="1">
      <c r="C935" s="816" t="s">
        <v>16</v>
      </c>
      <c r="D935" s="614" t="s">
        <v>836</v>
      </c>
      <c r="E935" s="20" t="s">
        <v>1367</v>
      </c>
      <c r="F935" s="20"/>
      <c r="G935" s="20"/>
      <c r="H935" s="20"/>
      <c r="I935" s="20"/>
      <c r="J935" s="20"/>
      <c r="K935" s="20"/>
      <c r="L935" s="20"/>
      <c r="M935" s="20"/>
      <c r="N935" s="20"/>
      <c r="O935" s="20"/>
      <c r="P935" s="20"/>
      <c r="Q935" s="20"/>
      <c r="R935" s="20"/>
      <c r="S935" s="20"/>
      <c r="T935" s="20"/>
      <c r="U935" s="20"/>
      <c r="V935" s="20"/>
      <c r="W935" s="20"/>
      <c r="X935" s="20"/>
      <c r="Y935" s="20"/>
      <c r="Z935" s="20"/>
      <c r="AA935" s="20"/>
      <c r="AB935" s="12"/>
      <c r="AC935" s="12"/>
      <c r="AD935" s="12">
        <v>4044940</v>
      </c>
      <c r="AE935" s="12">
        <v>4186513</v>
      </c>
      <c r="AF935" s="12">
        <v>4522558</v>
      </c>
      <c r="AG935" s="12">
        <v>4680848</v>
      </c>
      <c r="AH935" s="12">
        <v>4302720</v>
      </c>
      <c r="AI935" s="12">
        <v>4302720</v>
      </c>
      <c r="AJ935" s="21">
        <v>4077977</v>
      </c>
      <c r="AK935" s="21">
        <v>4159536</v>
      </c>
      <c r="AL935" s="21">
        <v>4660034</v>
      </c>
      <c r="AM935" s="21">
        <v>4846435</v>
      </c>
      <c r="AN935" s="874">
        <v>5426181</v>
      </c>
      <c r="AO935" s="874">
        <v>5589570</v>
      </c>
      <c r="AP935" s="1058">
        <v>5672593</v>
      </c>
      <c r="AQ935" s="1058">
        <v>5787180</v>
      </c>
      <c r="AR935" s="1044"/>
      <c r="AS935" s="1044"/>
    </row>
    <row r="936" spans="3:45" hidden="1" outlineLevel="1">
      <c r="C936" s="816" t="s">
        <v>16</v>
      </c>
      <c r="D936" s="614" t="s">
        <v>836</v>
      </c>
      <c r="E936" s="224" t="s">
        <v>1094</v>
      </c>
      <c r="F936" s="20"/>
      <c r="G936" s="20"/>
      <c r="H936" s="20"/>
      <c r="I936" s="20"/>
      <c r="J936" s="20"/>
      <c r="K936" s="20"/>
      <c r="L936" s="20"/>
      <c r="M936" s="20"/>
      <c r="N936" s="20"/>
      <c r="O936" s="20"/>
      <c r="P936" s="20"/>
      <c r="Q936" s="20"/>
      <c r="R936" s="20"/>
      <c r="S936" s="20"/>
      <c r="T936" s="20"/>
      <c r="U936" s="20"/>
      <c r="V936" s="20"/>
      <c r="W936" s="20"/>
      <c r="X936" s="20"/>
      <c r="Y936" s="20"/>
      <c r="Z936" s="20"/>
      <c r="AA936" s="20"/>
      <c r="AB936" s="12"/>
      <c r="AC936" s="12"/>
      <c r="AD936" s="12">
        <v>7301076</v>
      </c>
      <c r="AE936" s="12">
        <v>7556614</v>
      </c>
      <c r="AF936" s="12">
        <v>7096587</v>
      </c>
      <c r="AG936" s="12">
        <v>7344968</v>
      </c>
      <c r="AH936" s="12">
        <v>7865868</v>
      </c>
      <c r="AI936" s="12">
        <v>7865868</v>
      </c>
      <c r="AJ936" s="21">
        <v>7155836</v>
      </c>
      <c r="AK936" s="21">
        <v>7298953</v>
      </c>
      <c r="AL936" s="21">
        <v>7440692</v>
      </c>
      <c r="AM936" s="21">
        <v>7738319</v>
      </c>
      <c r="AN936" s="874">
        <v>9692055</v>
      </c>
      <c r="AO936" s="874">
        <v>9983895</v>
      </c>
      <c r="AP936" s="1058">
        <v>9722129</v>
      </c>
      <c r="AQ936" s="1058">
        <v>9918516</v>
      </c>
      <c r="AR936" s="1044"/>
      <c r="AS936" s="1044"/>
    </row>
    <row r="937" spans="3:45" hidden="1" outlineLevel="1">
      <c r="C937" s="816" t="s">
        <v>16</v>
      </c>
      <c r="D937" s="614" t="s">
        <v>836</v>
      </c>
      <c r="E937" s="20" t="s">
        <v>859</v>
      </c>
      <c r="F937" s="20"/>
      <c r="G937" s="20"/>
      <c r="H937" s="20"/>
      <c r="I937" s="20"/>
      <c r="J937" s="20"/>
      <c r="K937" s="20"/>
      <c r="L937" s="20"/>
      <c r="M937" s="20"/>
      <c r="N937" s="20"/>
      <c r="O937" s="20"/>
      <c r="P937" s="20"/>
      <c r="Q937" s="20"/>
      <c r="R937" s="20"/>
      <c r="S937" s="20"/>
      <c r="T937" s="20"/>
      <c r="U937" s="20"/>
      <c r="V937" s="20"/>
      <c r="W937" s="20"/>
      <c r="X937" s="20"/>
      <c r="Y937" s="20"/>
      <c r="Z937" s="20"/>
      <c r="AA937" s="20"/>
      <c r="AB937" s="12"/>
      <c r="AC937" s="12"/>
      <c r="AD937" s="12">
        <v>1227069</v>
      </c>
      <c r="AE937" s="12">
        <v>1270016</v>
      </c>
      <c r="AF937" s="12">
        <v>1004981</v>
      </c>
      <c r="AG937" s="12">
        <v>1040156</v>
      </c>
      <c r="AH937" s="12">
        <v>979656</v>
      </c>
      <c r="AI937" s="12">
        <v>979656</v>
      </c>
      <c r="AJ937" s="21">
        <v>703967</v>
      </c>
      <c r="AK937" s="21">
        <v>718045</v>
      </c>
      <c r="AL937" s="21">
        <v>987813</v>
      </c>
      <c r="AM937" s="21">
        <v>1027325</v>
      </c>
      <c r="AN937" s="874">
        <v>962206</v>
      </c>
      <c r="AO937" s="874">
        <v>991179</v>
      </c>
      <c r="AP937" s="1058">
        <v>878394</v>
      </c>
      <c r="AQ937" s="1058">
        <v>896138</v>
      </c>
      <c r="AR937" s="1044"/>
      <c r="AS937" s="1044"/>
    </row>
    <row r="938" spans="3:45" hidden="1" outlineLevel="1">
      <c r="C938" s="816" t="s">
        <v>16</v>
      </c>
      <c r="D938" s="614" t="s">
        <v>836</v>
      </c>
      <c r="E938" s="20" t="s">
        <v>1427</v>
      </c>
      <c r="F938" s="20"/>
      <c r="G938" s="20"/>
      <c r="H938" s="20"/>
      <c r="I938" s="20"/>
      <c r="J938" s="20"/>
      <c r="K938" s="20"/>
      <c r="L938" s="20"/>
      <c r="M938" s="20"/>
      <c r="N938" s="20"/>
      <c r="O938" s="20"/>
      <c r="P938" s="20"/>
      <c r="Q938" s="20"/>
      <c r="R938" s="20"/>
      <c r="S938" s="20"/>
      <c r="T938" s="20"/>
      <c r="U938" s="20"/>
      <c r="V938" s="20"/>
      <c r="W938" s="20"/>
      <c r="X938" s="20"/>
      <c r="Y938" s="20"/>
      <c r="Z938" s="20"/>
      <c r="AA938" s="20"/>
      <c r="AB938" s="12"/>
      <c r="AC938" s="12"/>
      <c r="AD938" s="12">
        <v>313744</v>
      </c>
      <c r="AE938" s="12">
        <v>313744</v>
      </c>
      <c r="AF938" s="12">
        <v>252014</v>
      </c>
      <c r="AG938" s="12">
        <v>260834</v>
      </c>
      <c r="AH938" s="12">
        <v>239671</v>
      </c>
      <c r="AI938" s="12">
        <v>239671</v>
      </c>
      <c r="AJ938" s="21">
        <v>169003</v>
      </c>
      <c r="AK938" s="21">
        <v>172384</v>
      </c>
      <c r="AL938" s="21">
        <v>178849</v>
      </c>
      <c r="AM938" s="21">
        <v>186003</v>
      </c>
      <c r="AN938" s="874">
        <v>202750</v>
      </c>
      <c r="AO938" s="874">
        <v>208855</v>
      </c>
      <c r="AP938" s="1058">
        <v>205496</v>
      </c>
      <c r="AQ938" s="1058">
        <v>209647</v>
      </c>
      <c r="AR938" s="1044"/>
      <c r="AS938" s="1044"/>
    </row>
    <row r="939" spans="3:45" hidden="1" outlineLevel="1">
      <c r="C939" s="816" t="s">
        <v>16</v>
      </c>
      <c r="D939" s="614" t="s">
        <v>1498</v>
      </c>
      <c r="E939" s="616" t="s">
        <v>1844</v>
      </c>
      <c r="F939" s="20"/>
      <c r="G939" s="20"/>
      <c r="H939" s="20"/>
      <c r="I939" s="20"/>
      <c r="J939" s="20"/>
      <c r="K939" s="20"/>
      <c r="L939" s="20"/>
      <c r="M939" s="20"/>
      <c r="N939" s="20"/>
      <c r="O939" s="20"/>
      <c r="P939" s="20"/>
      <c r="Q939" s="20"/>
      <c r="R939" s="20"/>
      <c r="S939" s="20"/>
      <c r="T939" s="20"/>
      <c r="U939" s="20"/>
      <c r="V939" s="20"/>
      <c r="W939" s="20"/>
      <c r="X939" s="20"/>
      <c r="Y939" s="20"/>
      <c r="Z939" s="20"/>
      <c r="AA939" s="20"/>
      <c r="AB939" s="12"/>
      <c r="AC939" s="12"/>
      <c r="AD939" s="12">
        <v>5299475</v>
      </c>
      <c r="AE939" s="12">
        <v>5484957</v>
      </c>
      <c r="AF939" s="12">
        <v>9029189</v>
      </c>
      <c r="AG939" s="12">
        <v>9345211</v>
      </c>
      <c r="AH939" s="12">
        <v>9022999</v>
      </c>
      <c r="AI939" s="12">
        <v>9022999</v>
      </c>
      <c r="AJ939" s="21">
        <v>7178513</v>
      </c>
      <c r="AK939" s="21">
        <v>7322083</v>
      </c>
      <c r="AL939" s="21">
        <v>8219779</v>
      </c>
      <c r="AM939" s="21">
        <v>8548570</v>
      </c>
      <c r="AN939" s="874">
        <v>10562193</v>
      </c>
      <c r="AO939" s="874">
        <v>10880234</v>
      </c>
      <c r="AP939" s="1058">
        <v>8948674</v>
      </c>
      <c r="AQ939" s="1058">
        <v>9129437</v>
      </c>
      <c r="AR939" s="1044"/>
      <c r="AS939" s="1044"/>
    </row>
    <row r="940" spans="3:45" hidden="1" outlineLevel="1">
      <c r="C940" s="816" t="s">
        <v>16</v>
      </c>
      <c r="D940" s="614" t="s">
        <v>1498</v>
      </c>
      <c r="E940" s="593" t="s">
        <v>1434</v>
      </c>
      <c r="F940" s="20"/>
      <c r="G940" s="20"/>
      <c r="H940" s="20"/>
      <c r="I940" s="20"/>
      <c r="J940" s="20"/>
      <c r="K940" s="20"/>
      <c r="L940" s="20"/>
      <c r="M940" s="20"/>
      <c r="N940" s="20"/>
      <c r="O940" s="20"/>
      <c r="P940" s="20"/>
      <c r="Q940" s="20"/>
      <c r="R940" s="20"/>
      <c r="S940" s="20"/>
      <c r="T940" s="20"/>
      <c r="U940" s="20"/>
      <c r="V940" s="20"/>
      <c r="W940" s="20"/>
      <c r="X940" s="20"/>
      <c r="Y940" s="20"/>
      <c r="Z940" s="20"/>
      <c r="AA940" s="20"/>
      <c r="AB940" s="12"/>
      <c r="AC940" s="12"/>
      <c r="AD940" s="12">
        <v>23340096</v>
      </c>
      <c r="AE940" s="12">
        <v>24157000</v>
      </c>
      <c r="AF940" s="12">
        <v>24442423</v>
      </c>
      <c r="AG940" s="12">
        <v>25297908</v>
      </c>
      <c r="AH940" s="12">
        <v>26180359</v>
      </c>
      <c r="AI940" s="12">
        <v>26180359</v>
      </c>
      <c r="AJ940" s="21">
        <v>22011201</v>
      </c>
      <c r="AK940" s="21">
        <v>22451425</v>
      </c>
      <c r="AL940" s="21">
        <v>22182966</v>
      </c>
      <c r="AM940" s="21">
        <v>23070285</v>
      </c>
      <c r="AN940" s="874">
        <v>25583988</v>
      </c>
      <c r="AO940" s="874">
        <v>26354354</v>
      </c>
      <c r="AP940" s="1058">
        <v>28388128</v>
      </c>
      <c r="AQ940" s="1058">
        <v>28961568</v>
      </c>
      <c r="AR940" s="1044"/>
      <c r="AS940" s="1044"/>
    </row>
    <row r="941" spans="3:45" hidden="1" outlineLevel="1">
      <c r="C941" s="816" t="s">
        <v>16</v>
      </c>
      <c r="D941" s="614" t="s">
        <v>1498</v>
      </c>
      <c r="E941" s="593" t="s">
        <v>1435</v>
      </c>
      <c r="F941" s="20"/>
      <c r="G941" s="20"/>
      <c r="H941" s="20"/>
      <c r="I941" s="20"/>
      <c r="J941" s="20"/>
      <c r="K941" s="20"/>
      <c r="L941" s="20"/>
      <c r="M941" s="20"/>
      <c r="N941" s="20"/>
      <c r="O941" s="20"/>
      <c r="P941" s="20"/>
      <c r="Q941" s="20"/>
      <c r="R941" s="20"/>
      <c r="S941" s="20"/>
      <c r="T941" s="20"/>
      <c r="U941" s="20"/>
      <c r="V941" s="20"/>
      <c r="W941" s="20"/>
      <c r="X941" s="20"/>
      <c r="Y941" s="20"/>
      <c r="Z941" s="20"/>
      <c r="AA941" s="20"/>
      <c r="AB941" s="12"/>
      <c r="AC941" s="12"/>
      <c r="AD941" s="12">
        <v>6476112</v>
      </c>
      <c r="AE941" s="12">
        <v>6702776</v>
      </c>
      <c r="AF941" s="12">
        <v>7403409</v>
      </c>
      <c r="AG941" s="12">
        <v>7662528</v>
      </c>
      <c r="AH941" s="12">
        <v>7749848</v>
      </c>
      <c r="AI941" s="12">
        <v>7749848</v>
      </c>
      <c r="AJ941" s="21">
        <v>9274873</v>
      </c>
      <c r="AK941" s="21">
        <v>9460371</v>
      </c>
      <c r="AL941" s="21">
        <v>10917339</v>
      </c>
      <c r="AM941" s="21">
        <v>11354032</v>
      </c>
      <c r="AN941" s="874">
        <v>11973089</v>
      </c>
      <c r="AO941" s="874">
        <v>12333614</v>
      </c>
      <c r="AP941" s="1058">
        <v>11877234</v>
      </c>
      <c r="AQ941" s="1058">
        <v>12117154</v>
      </c>
      <c r="AR941" s="1044"/>
      <c r="AS941" s="1044"/>
    </row>
    <row r="942" spans="3:45" hidden="1" outlineLevel="1">
      <c r="C942" s="816" t="s">
        <v>16</v>
      </c>
      <c r="D942" s="614" t="s">
        <v>1498</v>
      </c>
      <c r="E942" s="593" t="s">
        <v>1436</v>
      </c>
      <c r="F942" s="20"/>
      <c r="G942" s="20"/>
      <c r="H942" s="20"/>
      <c r="I942" s="20"/>
      <c r="J942" s="20"/>
      <c r="K942" s="20"/>
      <c r="L942" s="20"/>
      <c r="M942" s="20"/>
      <c r="N942" s="20"/>
      <c r="O942" s="20"/>
      <c r="P942" s="20"/>
      <c r="Q942" s="20"/>
      <c r="R942" s="20"/>
      <c r="S942" s="20"/>
      <c r="T942" s="20"/>
      <c r="U942" s="20"/>
      <c r="V942" s="20"/>
      <c r="W942" s="20"/>
      <c r="X942" s="20"/>
      <c r="Y942" s="20"/>
      <c r="Z942" s="20"/>
      <c r="AA942" s="20"/>
      <c r="AB942" s="12"/>
      <c r="AC942" s="12"/>
      <c r="AD942" s="12">
        <v>7565273</v>
      </c>
      <c r="AE942" s="12">
        <v>7830057</v>
      </c>
      <c r="AF942" s="12">
        <v>7797163</v>
      </c>
      <c r="AG942" s="12">
        <v>8070063</v>
      </c>
      <c r="AH942" s="12">
        <v>7819240</v>
      </c>
      <c r="AI942" s="12">
        <v>7819240</v>
      </c>
      <c r="AJ942" s="21">
        <v>7670656</v>
      </c>
      <c r="AK942" s="21">
        <v>7824069</v>
      </c>
      <c r="AL942" s="21">
        <v>8118894</v>
      </c>
      <c r="AM942" s="21">
        <v>8443651</v>
      </c>
      <c r="AN942" s="874">
        <v>8516817</v>
      </c>
      <c r="AO942" s="874">
        <v>8773269</v>
      </c>
      <c r="AP942" s="1058">
        <v>8774050</v>
      </c>
      <c r="AQ942" s="1058">
        <v>8951286</v>
      </c>
      <c r="AR942" s="1044"/>
      <c r="AS942" s="1044"/>
    </row>
    <row r="943" spans="3:45" hidden="1" outlineLevel="1">
      <c r="C943" s="816" t="s">
        <v>16</v>
      </c>
      <c r="D943" s="614" t="s">
        <v>1498</v>
      </c>
      <c r="E943" s="616" t="s">
        <v>1668</v>
      </c>
      <c r="F943" s="20"/>
      <c r="G943" s="20"/>
      <c r="H943" s="20"/>
      <c r="I943" s="20"/>
      <c r="J943" s="20"/>
      <c r="K943" s="20"/>
      <c r="L943" s="20"/>
      <c r="M943" s="20"/>
      <c r="N943" s="20"/>
      <c r="O943" s="20"/>
      <c r="P943" s="20"/>
      <c r="Q943" s="20"/>
      <c r="R943" s="20"/>
      <c r="S943" s="20"/>
      <c r="T943" s="20"/>
      <c r="U943" s="20"/>
      <c r="V943" s="20"/>
      <c r="W943" s="20"/>
      <c r="X943" s="20"/>
      <c r="Y943" s="20"/>
      <c r="Z943" s="20"/>
      <c r="AA943" s="20"/>
      <c r="AB943" s="12"/>
      <c r="AC943" s="12"/>
      <c r="AD943" s="12"/>
      <c r="AE943" s="12"/>
      <c r="AF943" s="12"/>
      <c r="AG943" s="12"/>
      <c r="AH943" s="12"/>
      <c r="AI943" s="12"/>
      <c r="AJ943" s="21"/>
      <c r="AK943" s="21"/>
      <c r="AL943" s="21"/>
      <c r="AM943" s="21"/>
      <c r="AN943" s="874"/>
      <c r="AO943" s="874"/>
      <c r="AP943" s="1058">
        <v>1133935</v>
      </c>
      <c r="AQ943" s="1058">
        <v>1156841</v>
      </c>
      <c r="AR943" s="1044"/>
      <c r="AS943" s="1044"/>
    </row>
    <row r="944" spans="3:45" hidden="1" outlineLevel="1">
      <c r="C944" s="816" t="s">
        <v>16</v>
      </c>
      <c r="D944" s="614" t="s">
        <v>1498</v>
      </c>
      <c r="E944" s="593" t="s">
        <v>1437</v>
      </c>
      <c r="F944" s="20"/>
      <c r="G944" s="20"/>
      <c r="H944" s="20"/>
      <c r="I944" s="20"/>
      <c r="J944" s="20"/>
      <c r="K944" s="20"/>
      <c r="L944" s="20"/>
      <c r="M944" s="20"/>
      <c r="N944" s="20"/>
      <c r="O944" s="20"/>
      <c r="P944" s="20"/>
      <c r="Q944" s="20"/>
      <c r="R944" s="20"/>
      <c r="S944" s="20"/>
      <c r="T944" s="20"/>
      <c r="U944" s="20"/>
      <c r="V944" s="20"/>
      <c r="W944" s="20"/>
      <c r="X944" s="20"/>
      <c r="Y944" s="20"/>
      <c r="Z944" s="20"/>
      <c r="AA944" s="20"/>
      <c r="AB944" s="12"/>
      <c r="AC944" s="12"/>
      <c r="AD944" s="12">
        <v>4718636</v>
      </c>
      <c r="AE944" s="12">
        <v>4883789</v>
      </c>
      <c r="AF944" s="12">
        <v>5302671</v>
      </c>
      <c r="AG944" s="12">
        <v>5488264</v>
      </c>
      <c r="AH944" s="12">
        <v>4836729</v>
      </c>
      <c r="AI944" s="12">
        <v>4836729</v>
      </c>
      <c r="AJ944" s="21">
        <v>4161600</v>
      </c>
      <c r="AK944" s="21">
        <v>4244832</v>
      </c>
      <c r="AL944" s="21">
        <v>4160000</v>
      </c>
      <c r="AM944" s="21">
        <v>4326400</v>
      </c>
      <c r="AN944" s="874">
        <v>4868327</v>
      </c>
      <c r="AO944" s="874">
        <v>5014919</v>
      </c>
      <c r="AP944" s="1058">
        <v>4987337</v>
      </c>
      <c r="AQ944" s="1058">
        <v>5088081</v>
      </c>
      <c r="AR944" s="1044"/>
      <c r="AS944" s="1044"/>
    </row>
    <row r="945" spans="2:45" hidden="1" outlineLevel="1">
      <c r="C945" s="816" t="s">
        <v>16</v>
      </c>
      <c r="D945" s="614" t="s">
        <v>1498</v>
      </c>
      <c r="E945" s="593" t="s">
        <v>1438</v>
      </c>
      <c r="F945" s="20"/>
      <c r="G945" s="20"/>
      <c r="H945" s="20"/>
      <c r="I945" s="20"/>
      <c r="J945" s="20"/>
      <c r="K945" s="20"/>
      <c r="L945" s="20"/>
      <c r="M945" s="20"/>
      <c r="N945" s="20"/>
      <c r="O945" s="20"/>
      <c r="P945" s="20"/>
      <c r="Q945" s="20"/>
      <c r="R945" s="20"/>
      <c r="S945" s="20"/>
      <c r="T945" s="20"/>
      <c r="U945" s="20"/>
      <c r="V945" s="20"/>
      <c r="W945" s="20"/>
      <c r="X945" s="20"/>
      <c r="Y945" s="20"/>
      <c r="Z945" s="20"/>
      <c r="AA945" s="20"/>
      <c r="AB945" s="12"/>
      <c r="AC945" s="12"/>
      <c r="AD945" s="12">
        <v>1400079</v>
      </c>
      <c r="AE945" s="12">
        <v>1449082</v>
      </c>
      <c r="AF945" s="12">
        <v>1158567</v>
      </c>
      <c r="AG945" s="12">
        <v>1199117</v>
      </c>
      <c r="AH945" s="12">
        <v>1642551</v>
      </c>
      <c r="AI945" s="12">
        <v>1642551</v>
      </c>
      <c r="AJ945" s="21">
        <v>2566786</v>
      </c>
      <c r="AK945" s="21">
        <v>2618122</v>
      </c>
      <c r="AL945" s="21">
        <v>3037081</v>
      </c>
      <c r="AM945" s="21">
        <v>3158564</v>
      </c>
      <c r="AN945" s="874">
        <v>3992473</v>
      </c>
      <c r="AO945" s="874">
        <v>4112692</v>
      </c>
      <c r="AP945" s="1058">
        <v>2832665</v>
      </c>
      <c r="AQ945" s="1058">
        <v>2889885</v>
      </c>
      <c r="AR945" s="1044"/>
      <c r="AS945" s="1044"/>
    </row>
    <row r="946" spans="2:45" hidden="1" outlineLevel="1">
      <c r="C946" s="816" t="s">
        <v>16</v>
      </c>
      <c r="D946" s="614" t="s">
        <v>1498</v>
      </c>
      <c r="E946" s="593" t="s">
        <v>1439</v>
      </c>
      <c r="F946" s="20"/>
      <c r="G946" s="20"/>
      <c r="H946" s="20"/>
      <c r="I946" s="20"/>
      <c r="J946" s="20"/>
      <c r="K946" s="20"/>
      <c r="L946" s="20"/>
      <c r="M946" s="20"/>
      <c r="N946" s="20"/>
      <c r="O946" s="20"/>
      <c r="P946" s="20"/>
      <c r="Q946" s="20"/>
      <c r="R946" s="20"/>
      <c r="S946" s="20"/>
      <c r="T946" s="20"/>
      <c r="U946" s="20"/>
      <c r="V946" s="20"/>
      <c r="W946" s="20"/>
      <c r="X946" s="20"/>
      <c r="Y946" s="20"/>
      <c r="Z946" s="20"/>
      <c r="AA946" s="20"/>
      <c r="AB946" s="12"/>
      <c r="AC946" s="12"/>
      <c r="AD946" s="12">
        <v>3137397</v>
      </c>
      <c r="AE946" s="12">
        <v>3247206</v>
      </c>
      <c r="AF946" s="12">
        <v>3937304</v>
      </c>
      <c r="AG946" s="12">
        <v>4075109</v>
      </c>
      <c r="AH946" s="12">
        <v>4621476</v>
      </c>
      <c r="AI946" s="12">
        <v>4621476</v>
      </c>
      <c r="AJ946" s="21">
        <v>5015405</v>
      </c>
      <c r="AK946" s="21">
        <v>5115714</v>
      </c>
      <c r="AL946" s="21">
        <v>5317860</v>
      </c>
      <c r="AM946" s="21">
        <v>5530574</v>
      </c>
      <c r="AN946" s="874">
        <v>6080306</v>
      </c>
      <c r="AO946" s="874">
        <v>6263391</v>
      </c>
      <c r="AP946" s="1058">
        <v>6415374</v>
      </c>
      <c r="AQ946" s="1058">
        <v>6544965</v>
      </c>
      <c r="AR946" s="1044"/>
      <c r="AS946" s="1044"/>
    </row>
    <row r="947" spans="2:45" hidden="1" outlineLevel="1">
      <c r="C947" s="816" t="s">
        <v>16</v>
      </c>
      <c r="D947" s="614" t="s">
        <v>1498</v>
      </c>
      <c r="E947" s="593" t="s">
        <v>1440</v>
      </c>
      <c r="F947" s="20"/>
      <c r="G947" s="20"/>
      <c r="H947" s="20"/>
      <c r="I947" s="20"/>
      <c r="J947" s="20"/>
      <c r="K947" s="20"/>
      <c r="L947" s="20"/>
      <c r="M947" s="20"/>
      <c r="N947" s="20"/>
      <c r="O947" s="20"/>
      <c r="P947" s="20"/>
      <c r="Q947" s="20"/>
      <c r="R947" s="20"/>
      <c r="S947" s="20"/>
      <c r="T947" s="20"/>
      <c r="U947" s="20"/>
      <c r="V947" s="20"/>
      <c r="W947" s="20"/>
      <c r="X947" s="20"/>
      <c r="Y947" s="20"/>
      <c r="Z947" s="20"/>
      <c r="AA947" s="20"/>
      <c r="AB947" s="12"/>
      <c r="AC947" s="12"/>
      <c r="AD947" s="12">
        <v>2696142</v>
      </c>
      <c r="AE947" s="12">
        <v>2790507</v>
      </c>
      <c r="AF947" s="12">
        <v>3015830</v>
      </c>
      <c r="AG947" s="12">
        <v>3121385</v>
      </c>
      <c r="AH947" s="12">
        <v>3138888</v>
      </c>
      <c r="AI947" s="12">
        <v>3138888</v>
      </c>
      <c r="AJ947" s="21">
        <v>3197827</v>
      </c>
      <c r="AK947" s="21">
        <v>3261783</v>
      </c>
      <c r="AL947" s="21">
        <v>3804550</v>
      </c>
      <c r="AM947" s="21">
        <v>3956732</v>
      </c>
      <c r="AN947" s="874">
        <v>4653413</v>
      </c>
      <c r="AO947" s="874">
        <v>4793533</v>
      </c>
      <c r="AP947" s="1058">
        <v>4586571</v>
      </c>
      <c r="AQ947" s="1058">
        <v>4679220</v>
      </c>
      <c r="AR947" s="1044"/>
      <c r="AS947" s="1044"/>
    </row>
    <row r="948" spans="2:45" hidden="1" outlineLevel="1">
      <c r="C948" s="816" t="s">
        <v>16</v>
      </c>
      <c r="D948" s="614" t="s">
        <v>1498</v>
      </c>
      <c r="E948" s="593" t="s">
        <v>942</v>
      </c>
      <c r="F948" s="20"/>
      <c r="G948" s="20"/>
      <c r="H948" s="20"/>
      <c r="I948" s="20"/>
      <c r="J948" s="20"/>
      <c r="K948" s="20"/>
      <c r="L948" s="20"/>
      <c r="M948" s="20"/>
      <c r="N948" s="20"/>
      <c r="O948" s="20"/>
      <c r="P948" s="20"/>
      <c r="Q948" s="20"/>
      <c r="R948" s="20"/>
      <c r="S948" s="20"/>
      <c r="T948" s="20"/>
      <c r="U948" s="20"/>
      <c r="V948" s="20"/>
      <c r="W948" s="20"/>
      <c r="X948" s="20"/>
      <c r="Y948" s="20"/>
      <c r="Z948" s="20"/>
      <c r="AA948" s="20"/>
      <c r="AB948" s="12"/>
      <c r="AC948" s="12"/>
      <c r="AD948" s="12">
        <v>7694190</v>
      </c>
      <c r="AE948" s="12">
        <v>7963487</v>
      </c>
      <c r="AF948" s="12">
        <v>9611108</v>
      </c>
      <c r="AG948" s="12">
        <v>9947497</v>
      </c>
      <c r="AH948" s="12">
        <v>10355095</v>
      </c>
      <c r="AI948" s="12">
        <v>10355095</v>
      </c>
      <c r="AJ948" s="21">
        <v>9579779</v>
      </c>
      <c r="AK948" s="21">
        <v>9771375</v>
      </c>
      <c r="AL948" s="21">
        <v>8276705</v>
      </c>
      <c r="AM948" s="21">
        <v>8607773</v>
      </c>
      <c r="AN948" s="874">
        <v>10320260</v>
      </c>
      <c r="AO948" s="874">
        <v>10631016</v>
      </c>
      <c r="AP948" s="1058">
        <v>11610247</v>
      </c>
      <c r="AQ948" s="1058">
        <v>11844774</v>
      </c>
      <c r="AR948" s="1044"/>
      <c r="AS948" s="1044"/>
    </row>
    <row r="949" spans="2:45" hidden="1" outlineLevel="1">
      <c r="C949" s="816" t="s">
        <v>16</v>
      </c>
      <c r="D949" s="614" t="s">
        <v>1498</v>
      </c>
      <c r="E949" s="616" t="s">
        <v>1556</v>
      </c>
      <c r="F949" s="20"/>
      <c r="G949" s="20"/>
      <c r="H949" s="20"/>
      <c r="I949" s="20"/>
      <c r="J949" s="20"/>
      <c r="K949" s="20"/>
      <c r="L949" s="20"/>
      <c r="M949" s="20"/>
      <c r="N949" s="20"/>
      <c r="O949" s="20"/>
      <c r="P949" s="20"/>
      <c r="Q949" s="20"/>
      <c r="R949" s="20"/>
      <c r="S949" s="20"/>
      <c r="T949" s="20"/>
      <c r="U949" s="20"/>
      <c r="V949" s="20"/>
      <c r="W949" s="20"/>
      <c r="X949" s="20"/>
      <c r="Y949" s="20"/>
      <c r="Z949" s="20"/>
      <c r="AA949" s="20"/>
      <c r="AB949" s="12"/>
      <c r="AC949" s="12"/>
      <c r="AD949" s="12"/>
      <c r="AE949" s="12"/>
      <c r="AF949" s="12"/>
      <c r="AG949" s="12"/>
      <c r="AH949" s="12"/>
      <c r="AI949" s="12"/>
      <c r="AJ949" s="21"/>
      <c r="AK949" s="21"/>
      <c r="AL949" s="21">
        <v>3066153</v>
      </c>
      <c r="AM949" s="21">
        <v>3188799</v>
      </c>
      <c r="AN949" s="874">
        <v>2643916</v>
      </c>
      <c r="AO949" s="874">
        <v>2723528</v>
      </c>
      <c r="AP949" s="1058">
        <v>3023479</v>
      </c>
      <c r="AQ949" s="1058">
        <v>3084553</v>
      </c>
      <c r="AR949" s="1044"/>
      <c r="AS949" s="1044"/>
    </row>
    <row r="950" spans="2:45" s="1044" customFormat="1" hidden="1" outlineLevel="1">
      <c r="B950" s="1045"/>
      <c r="C950" s="1053" t="s">
        <v>16</v>
      </c>
      <c r="D950" s="868" t="s">
        <v>1498</v>
      </c>
      <c r="E950" s="616" t="s">
        <v>1843</v>
      </c>
      <c r="F950" s="1047"/>
      <c r="G950" s="1047"/>
      <c r="H950" s="1047"/>
      <c r="I950" s="1047"/>
      <c r="J950" s="1047"/>
      <c r="K950" s="1047"/>
      <c r="L950" s="1047"/>
      <c r="M950" s="1047"/>
      <c r="N950" s="1047"/>
      <c r="O950" s="1047"/>
      <c r="P950" s="1047"/>
      <c r="Q950" s="1047"/>
      <c r="R950" s="1047"/>
      <c r="S950" s="1047"/>
      <c r="T950" s="1047"/>
      <c r="U950" s="1047"/>
      <c r="V950" s="1047"/>
      <c r="W950" s="1047"/>
      <c r="X950" s="1047"/>
      <c r="Y950" s="1047"/>
      <c r="Z950" s="1047"/>
      <c r="AA950" s="1047"/>
      <c r="AB950" s="1070"/>
      <c r="AC950" s="1070"/>
      <c r="AD950" s="1070"/>
      <c r="AE950" s="1070"/>
      <c r="AF950" s="1070"/>
      <c r="AG950" s="1070"/>
      <c r="AH950" s="1070"/>
      <c r="AI950" s="1070"/>
      <c r="AJ950" s="1058"/>
      <c r="AK950" s="1058"/>
      <c r="AL950" s="1058"/>
      <c r="AM950" s="1058"/>
      <c r="AN950" s="1058"/>
      <c r="AO950" s="1058"/>
      <c r="AP950" s="1058"/>
      <c r="AQ950" s="1058"/>
    </row>
    <row r="951" spans="2:45" hidden="1" outlineLevel="1">
      <c r="C951" s="816" t="s">
        <v>16</v>
      </c>
      <c r="D951" s="614" t="s">
        <v>1542</v>
      </c>
      <c r="E951" s="20" t="s">
        <v>1441</v>
      </c>
      <c r="F951" s="20"/>
      <c r="G951" s="20"/>
      <c r="H951" s="20"/>
      <c r="I951" s="20"/>
      <c r="J951" s="20"/>
      <c r="K951" s="20"/>
      <c r="L951" s="20"/>
      <c r="M951" s="20"/>
      <c r="N951" s="20"/>
      <c r="O951" s="20"/>
      <c r="P951" s="20"/>
      <c r="Q951" s="20"/>
      <c r="R951" s="20"/>
      <c r="S951" s="20"/>
      <c r="T951" s="20"/>
      <c r="U951" s="20"/>
      <c r="V951" s="20"/>
      <c r="W951" s="20"/>
      <c r="X951" s="20"/>
      <c r="Y951" s="20"/>
      <c r="Z951" s="20"/>
      <c r="AA951" s="20"/>
      <c r="AB951" s="12"/>
      <c r="AC951" s="12"/>
      <c r="AD951" s="12">
        <v>4186216</v>
      </c>
      <c r="AE951" s="12">
        <v>4332734</v>
      </c>
      <c r="AF951" s="12">
        <v>174688</v>
      </c>
      <c r="AG951" s="12">
        <v>180802</v>
      </c>
      <c r="AH951" s="12">
        <v>165541</v>
      </c>
      <c r="AI951" s="12">
        <v>165541</v>
      </c>
      <c r="AJ951" s="21">
        <v>141729</v>
      </c>
      <c r="AK951" s="21">
        <v>144563</v>
      </c>
      <c r="AL951" s="21">
        <v>235414</v>
      </c>
      <c r="AM951" s="21">
        <v>244831</v>
      </c>
      <c r="AN951" s="874">
        <v>106065</v>
      </c>
      <c r="AO951" s="874">
        <v>109259</v>
      </c>
      <c r="AP951" s="1058">
        <v>199870</v>
      </c>
      <c r="AQ951" s="1058">
        <v>203907</v>
      </c>
      <c r="AR951" s="1044"/>
      <c r="AS951" s="1044"/>
    </row>
    <row r="952" spans="2:45" hidden="1" outlineLevel="1">
      <c r="C952" s="816" t="s">
        <v>16</v>
      </c>
      <c r="D952" s="614" t="s">
        <v>2100</v>
      </c>
      <c r="E952" s="20" t="s">
        <v>1442</v>
      </c>
      <c r="F952" s="20"/>
      <c r="G952" s="20"/>
      <c r="H952" s="20"/>
      <c r="I952" s="20"/>
      <c r="J952" s="20"/>
      <c r="K952" s="20"/>
      <c r="L952" s="20"/>
      <c r="M952" s="20"/>
      <c r="N952" s="20"/>
      <c r="O952" s="20"/>
      <c r="P952" s="20"/>
      <c r="Q952" s="20"/>
      <c r="R952" s="20"/>
      <c r="S952" s="20"/>
      <c r="T952" s="20"/>
      <c r="U952" s="20"/>
      <c r="V952" s="20"/>
      <c r="W952" s="20"/>
      <c r="X952" s="20"/>
      <c r="Y952" s="20"/>
      <c r="Z952" s="20"/>
      <c r="AA952" s="20"/>
      <c r="AB952" s="12"/>
      <c r="AC952" s="12"/>
      <c r="AD952" s="12">
        <v>1785834</v>
      </c>
      <c r="AE952" s="12">
        <v>1785834</v>
      </c>
      <c r="AF952" s="12">
        <v>1397506</v>
      </c>
      <c r="AG952" s="12">
        <v>1446419</v>
      </c>
      <c r="AH952" s="12">
        <v>1410285</v>
      </c>
      <c r="AI952" s="12">
        <v>1410285</v>
      </c>
      <c r="AJ952" s="21">
        <v>1328029</v>
      </c>
      <c r="AK952" s="21">
        <v>1354589</v>
      </c>
      <c r="AL952" s="21">
        <v>1429973</v>
      </c>
      <c r="AM952" s="21">
        <v>1487172</v>
      </c>
      <c r="AN952" s="874">
        <v>1649899</v>
      </c>
      <c r="AO952" s="874">
        <v>1699579</v>
      </c>
      <c r="AP952" s="1058">
        <v>2307071</v>
      </c>
      <c r="AQ952" s="1058">
        <v>2353674</v>
      </c>
      <c r="AR952" s="1044"/>
      <c r="AS952" s="1044"/>
    </row>
    <row r="953" spans="2:45" hidden="1" outlineLevel="1">
      <c r="C953" s="816" t="s">
        <v>16</v>
      </c>
      <c r="D953" s="868" t="s">
        <v>2100</v>
      </c>
      <c r="E953" s="20" t="s">
        <v>1443</v>
      </c>
      <c r="F953" s="20"/>
      <c r="G953" s="20"/>
      <c r="H953" s="20"/>
      <c r="I953" s="20"/>
      <c r="J953" s="20"/>
      <c r="K953" s="20"/>
      <c r="L953" s="20"/>
      <c r="M953" s="20"/>
      <c r="N953" s="20"/>
      <c r="O953" s="20"/>
      <c r="P953" s="20"/>
      <c r="Q953" s="20"/>
      <c r="R953" s="20"/>
      <c r="S953" s="20"/>
      <c r="T953" s="20"/>
      <c r="U953" s="20"/>
      <c r="V953" s="20"/>
      <c r="W953" s="20"/>
      <c r="X953" s="20"/>
      <c r="Y953" s="20"/>
      <c r="Z953" s="20"/>
      <c r="AA953" s="20"/>
      <c r="AB953" s="12"/>
      <c r="AC953" s="12"/>
      <c r="AD953" s="12">
        <v>1104330</v>
      </c>
      <c r="AE953" s="12">
        <v>1104330</v>
      </c>
      <c r="AF953" s="12">
        <v>803566</v>
      </c>
      <c r="AG953" s="12">
        <v>831691</v>
      </c>
      <c r="AH953" s="12">
        <v>786321</v>
      </c>
      <c r="AI953" s="12">
        <v>786321</v>
      </c>
      <c r="AJ953" s="21">
        <v>701286</v>
      </c>
      <c r="AK953" s="21">
        <v>715312</v>
      </c>
      <c r="AL953" s="21">
        <v>666783</v>
      </c>
      <c r="AM953" s="21">
        <v>693454</v>
      </c>
      <c r="AN953" s="874">
        <v>679601</v>
      </c>
      <c r="AO953" s="874">
        <v>700065</v>
      </c>
      <c r="AP953" s="1058">
        <v>1039324</v>
      </c>
      <c r="AQ953" s="1058">
        <v>1060318</v>
      </c>
      <c r="AR953" s="1044"/>
      <c r="AS953" s="1044"/>
    </row>
    <row r="954" spans="2:45" hidden="1" outlineLevel="1">
      <c r="C954" s="816" t="s">
        <v>16</v>
      </c>
      <c r="D954" s="868" t="s">
        <v>2100</v>
      </c>
      <c r="E954" s="20" t="s">
        <v>1444</v>
      </c>
      <c r="F954" s="20"/>
      <c r="G954" s="20"/>
      <c r="H954" s="20"/>
      <c r="I954" s="20"/>
      <c r="J954" s="20"/>
      <c r="K954" s="20"/>
      <c r="L954" s="20"/>
      <c r="M954" s="20"/>
      <c r="N954" s="20"/>
      <c r="O954" s="20"/>
      <c r="P954" s="20"/>
      <c r="Q954" s="20"/>
      <c r="R954" s="20"/>
      <c r="S954" s="20"/>
      <c r="T954" s="20"/>
      <c r="U954" s="20"/>
      <c r="V954" s="20"/>
      <c r="W954" s="20"/>
      <c r="X954" s="20"/>
      <c r="Y954" s="20"/>
      <c r="Z954" s="20"/>
      <c r="AA954" s="20"/>
      <c r="AB954" s="12"/>
      <c r="AC954" s="12"/>
      <c r="AD954" s="12">
        <v>375982</v>
      </c>
      <c r="AE954" s="12">
        <v>375982</v>
      </c>
      <c r="AF954" s="12">
        <v>295382</v>
      </c>
      <c r="AG954" s="12">
        <v>305720</v>
      </c>
      <c r="AH954" s="12">
        <v>324716</v>
      </c>
      <c r="AI954" s="12">
        <v>324716</v>
      </c>
      <c r="AJ954" s="21">
        <v>326328</v>
      </c>
      <c r="AK954" s="21">
        <v>332855</v>
      </c>
      <c r="AL954" s="21">
        <v>315231</v>
      </c>
      <c r="AM954" s="21">
        <v>327840</v>
      </c>
      <c r="AN954" s="874">
        <v>310338</v>
      </c>
      <c r="AO954" s="874">
        <v>319683</v>
      </c>
      <c r="AP954" s="1058">
        <v>422582</v>
      </c>
      <c r="AQ954" s="1058">
        <v>431119</v>
      </c>
      <c r="AR954" s="1044"/>
      <c r="AS954" s="1044"/>
    </row>
    <row r="955" spans="2:45" hidden="1" outlineLevel="1">
      <c r="C955" s="816" t="s">
        <v>16</v>
      </c>
      <c r="D955" s="868" t="s">
        <v>2100</v>
      </c>
      <c r="E955" s="20" t="s">
        <v>1445</v>
      </c>
      <c r="F955" s="20"/>
      <c r="G955" s="20"/>
      <c r="H955" s="20"/>
      <c r="I955" s="20"/>
      <c r="J955" s="20"/>
      <c r="K955" s="20"/>
      <c r="L955" s="20"/>
      <c r="M955" s="20"/>
      <c r="N955" s="20"/>
      <c r="O955" s="20"/>
      <c r="P955" s="20"/>
      <c r="Q955" s="20"/>
      <c r="R955" s="20"/>
      <c r="S955" s="20"/>
      <c r="T955" s="20"/>
      <c r="U955" s="20"/>
      <c r="V955" s="20"/>
      <c r="W955" s="20"/>
      <c r="X955" s="20"/>
      <c r="Y955" s="20"/>
      <c r="Z955" s="20"/>
      <c r="AA955" s="20"/>
      <c r="AB955" s="12"/>
      <c r="AC955" s="12"/>
      <c r="AD955" s="12">
        <v>2437158</v>
      </c>
      <c r="AE955" s="12">
        <v>2437158</v>
      </c>
      <c r="AF955" s="12">
        <v>1737354</v>
      </c>
      <c r="AG955" s="12">
        <v>1798161</v>
      </c>
      <c r="AH955" s="12">
        <v>1754101</v>
      </c>
      <c r="AI955" s="12">
        <v>1754101</v>
      </c>
      <c r="AJ955" s="21">
        <v>1811443</v>
      </c>
      <c r="AK955" s="21">
        <v>1847672</v>
      </c>
      <c r="AL955" s="21">
        <v>1836679</v>
      </c>
      <c r="AM955" s="21">
        <v>1910146</v>
      </c>
      <c r="AN955" s="874">
        <v>1924882</v>
      </c>
      <c r="AO955" s="874">
        <v>1982843</v>
      </c>
      <c r="AP955" s="1058">
        <v>2729653</v>
      </c>
      <c r="AQ955" s="1058">
        <v>2784792</v>
      </c>
      <c r="AR955" s="1044"/>
      <c r="AS955" s="1044"/>
    </row>
    <row r="956" spans="2:45" s="861" customFormat="1" hidden="1" outlineLevel="1">
      <c r="B956" s="862"/>
      <c r="C956" s="863" t="s">
        <v>16</v>
      </c>
      <c r="D956" s="868" t="s">
        <v>2100</v>
      </c>
      <c r="E956" s="869" t="s">
        <v>1852</v>
      </c>
      <c r="F956" s="866"/>
      <c r="G956" s="866"/>
      <c r="H956" s="866"/>
      <c r="I956" s="866"/>
      <c r="J956" s="866"/>
      <c r="K956" s="866"/>
      <c r="L956" s="866"/>
      <c r="M956" s="866"/>
      <c r="N956" s="866"/>
      <c r="O956" s="866"/>
      <c r="P956" s="866"/>
      <c r="Q956" s="866"/>
      <c r="R956" s="866"/>
      <c r="S956" s="866"/>
      <c r="T956" s="866"/>
      <c r="U956" s="866"/>
      <c r="V956" s="866"/>
      <c r="W956" s="866"/>
      <c r="X956" s="866"/>
      <c r="Y956" s="866"/>
      <c r="Z956" s="866"/>
      <c r="AA956" s="866"/>
      <c r="AB956" s="864"/>
      <c r="AC956" s="864"/>
      <c r="AD956" s="864"/>
      <c r="AE956" s="864"/>
      <c r="AF956" s="864"/>
      <c r="AG956" s="864"/>
      <c r="AH956" s="864"/>
      <c r="AI956" s="864"/>
      <c r="AJ956" s="867"/>
      <c r="AK956" s="867"/>
      <c r="AL956" s="867"/>
      <c r="AM956" s="867"/>
      <c r="AN956" s="874">
        <v>184632</v>
      </c>
      <c r="AO956" s="874">
        <v>190191</v>
      </c>
      <c r="AP956" s="1058">
        <v>256976</v>
      </c>
      <c r="AQ956" s="1058">
        <v>262167</v>
      </c>
      <c r="AR956" s="1044"/>
      <c r="AS956" s="1044"/>
    </row>
    <row r="957" spans="2:45" s="861" customFormat="1" hidden="1" outlineLevel="1">
      <c r="B957" s="862"/>
      <c r="C957" s="863" t="s">
        <v>16</v>
      </c>
      <c r="D957" s="868" t="s">
        <v>2100</v>
      </c>
      <c r="E957" s="869" t="s">
        <v>1853</v>
      </c>
      <c r="F957" s="866"/>
      <c r="G957" s="866"/>
      <c r="H957" s="866"/>
      <c r="I957" s="866"/>
      <c r="J957" s="866"/>
      <c r="K957" s="866"/>
      <c r="L957" s="866"/>
      <c r="M957" s="866"/>
      <c r="N957" s="866"/>
      <c r="O957" s="866"/>
      <c r="P957" s="866"/>
      <c r="Q957" s="866"/>
      <c r="R957" s="866"/>
      <c r="S957" s="866"/>
      <c r="T957" s="866"/>
      <c r="U957" s="866"/>
      <c r="V957" s="866"/>
      <c r="W957" s="866"/>
      <c r="X957" s="866"/>
      <c r="Y957" s="866"/>
      <c r="Z957" s="866"/>
      <c r="AA957" s="866"/>
      <c r="AB957" s="864"/>
      <c r="AC957" s="864"/>
      <c r="AD957" s="864"/>
      <c r="AE957" s="864"/>
      <c r="AF957" s="864"/>
      <c r="AG957" s="864"/>
      <c r="AH957" s="864"/>
      <c r="AI957" s="864"/>
      <c r="AJ957" s="867"/>
      <c r="AK957" s="867"/>
      <c r="AL957" s="867"/>
      <c r="AM957" s="867"/>
      <c r="AN957" s="874">
        <v>106065</v>
      </c>
      <c r="AO957" s="874">
        <v>109259</v>
      </c>
      <c r="AP957" s="1058">
        <v>194159</v>
      </c>
      <c r="AQ957" s="1058">
        <v>198081</v>
      </c>
      <c r="AR957" s="1044"/>
      <c r="AS957" s="1044"/>
    </row>
    <row r="958" spans="2:45" hidden="1" outlineLevel="1">
      <c r="C958" s="816" t="s">
        <v>16</v>
      </c>
      <c r="D958" s="615" t="s">
        <v>1541</v>
      </c>
      <c r="E958" s="20" t="s">
        <v>83</v>
      </c>
      <c r="F958" s="20"/>
      <c r="G958" s="20"/>
      <c r="H958" s="20"/>
      <c r="I958" s="20"/>
      <c r="J958" s="20"/>
      <c r="K958" s="20"/>
      <c r="L958" s="20"/>
      <c r="M958" s="20"/>
      <c r="N958" s="20"/>
      <c r="O958" s="20"/>
      <c r="P958" s="20"/>
      <c r="Q958" s="20"/>
      <c r="R958" s="20"/>
      <c r="S958" s="20"/>
      <c r="T958" s="20"/>
      <c r="U958" s="20"/>
      <c r="V958" s="20"/>
      <c r="W958" s="20"/>
      <c r="X958" s="20"/>
      <c r="Y958" s="20"/>
      <c r="Z958" s="20"/>
      <c r="AA958" s="20"/>
      <c r="AB958" s="12"/>
      <c r="AC958" s="12"/>
      <c r="AD958" s="12">
        <v>2905204</v>
      </c>
      <c r="AE958" s="12">
        <v>3006886</v>
      </c>
      <c r="AF958" s="12">
        <v>2941175</v>
      </c>
      <c r="AG958" s="12">
        <v>3044116</v>
      </c>
      <c r="AH958" s="12">
        <v>3048008</v>
      </c>
      <c r="AI958" s="12">
        <v>3048008</v>
      </c>
      <c r="AJ958" s="21">
        <v>2683989</v>
      </c>
      <c r="AK958" s="21">
        <v>2737669</v>
      </c>
      <c r="AL958" s="21">
        <v>2707814</v>
      </c>
      <c r="AM958" s="21">
        <v>2816127</v>
      </c>
      <c r="AN958" s="874">
        <v>2742458</v>
      </c>
      <c r="AO958" s="874">
        <v>2825037</v>
      </c>
      <c r="AP958" s="1058">
        <v>2841135</v>
      </c>
      <c r="AQ958" s="1058">
        <v>2898526</v>
      </c>
      <c r="AR958" s="1044"/>
      <c r="AS958" s="1044"/>
    </row>
    <row r="959" spans="2:45" hidden="1" outlineLevel="1">
      <c r="C959" s="816" t="s">
        <v>16</v>
      </c>
      <c r="D959" s="615" t="s">
        <v>1541</v>
      </c>
      <c r="E959" s="20" t="s">
        <v>84</v>
      </c>
      <c r="F959" s="20"/>
      <c r="G959" s="20"/>
      <c r="H959" s="20"/>
      <c r="I959" s="20"/>
      <c r="J959" s="20"/>
      <c r="K959" s="20"/>
      <c r="L959" s="20"/>
      <c r="M959" s="20"/>
      <c r="N959" s="20"/>
      <c r="O959" s="20"/>
      <c r="P959" s="20"/>
      <c r="Q959" s="20"/>
      <c r="R959" s="20"/>
      <c r="S959" s="20"/>
      <c r="T959" s="20"/>
      <c r="U959" s="20"/>
      <c r="V959" s="20"/>
      <c r="W959" s="20"/>
      <c r="X959" s="20"/>
      <c r="Y959" s="20"/>
      <c r="Z959" s="20"/>
      <c r="AA959" s="20"/>
      <c r="AB959" s="12"/>
      <c r="AC959" s="12"/>
      <c r="AD959" s="12">
        <v>2358516</v>
      </c>
      <c r="AE959" s="12">
        <v>2441064</v>
      </c>
      <c r="AF959" s="12">
        <v>2536743</v>
      </c>
      <c r="AG959" s="12">
        <v>2625529</v>
      </c>
      <c r="AH959" s="12">
        <v>2651781</v>
      </c>
      <c r="AI959" s="12">
        <v>2651781</v>
      </c>
      <c r="AJ959" s="21">
        <v>2468987</v>
      </c>
      <c r="AK959" s="21">
        <v>2518367</v>
      </c>
      <c r="AL959" s="21">
        <v>2691099</v>
      </c>
      <c r="AM959" s="21">
        <v>2798743</v>
      </c>
      <c r="AN959" s="874">
        <v>2860717</v>
      </c>
      <c r="AO959" s="874">
        <v>2946856</v>
      </c>
      <c r="AP959" s="1058">
        <v>2940504</v>
      </c>
      <c r="AQ959" s="1058">
        <v>2999902</v>
      </c>
      <c r="AR959" s="1044"/>
      <c r="AS959" s="1044"/>
    </row>
    <row r="960" spans="2:45" hidden="1" outlineLevel="1">
      <c r="C960" s="816" t="s">
        <v>16</v>
      </c>
      <c r="D960" s="615" t="s">
        <v>1541</v>
      </c>
      <c r="E960" s="20" t="s">
        <v>85</v>
      </c>
      <c r="F960" s="20"/>
      <c r="G960" s="20"/>
      <c r="H960" s="20"/>
      <c r="I960" s="20"/>
      <c r="J960" s="20"/>
      <c r="K960" s="20"/>
      <c r="L960" s="20"/>
      <c r="M960" s="20"/>
      <c r="N960" s="20"/>
      <c r="O960" s="20"/>
      <c r="P960" s="20"/>
      <c r="Q960" s="20"/>
      <c r="R960" s="20"/>
      <c r="S960" s="20"/>
      <c r="T960" s="20"/>
      <c r="U960" s="20"/>
      <c r="V960" s="20"/>
      <c r="W960" s="20"/>
      <c r="X960" s="20"/>
      <c r="Y960" s="20"/>
      <c r="Z960" s="20"/>
      <c r="AA960" s="20"/>
      <c r="AB960" s="12"/>
      <c r="AC960" s="12"/>
      <c r="AD960" s="12">
        <v>825119</v>
      </c>
      <c r="AE960" s="12">
        <v>583998</v>
      </c>
      <c r="AF960" s="12">
        <v>911120</v>
      </c>
      <c r="AG960" s="12">
        <v>943009</v>
      </c>
      <c r="AH960" s="12">
        <v>889611</v>
      </c>
      <c r="AI960" s="12">
        <v>889611</v>
      </c>
      <c r="AJ960" s="21">
        <v>878989</v>
      </c>
      <c r="AK960" s="21">
        <v>896569</v>
      </c>
      <c r="AL960" s="21">
        <v>935910</v>
      </c>
      <c r="AM960" s="21">
        <v>973347</v>
      </c>
      <c r="AN960" s="874">
        <v>1056774</v>
      </c>
      <c r="AO960" s="874">
        <v>1088595</v>
      </c>
      <c r="AP960" s="1058">
        <v>1040659</v>
      </c>
      <c r="AQ960" s="1058">
        <v>1061680</v>
      </c>
      <c r="AR960" s="1044"/>
      <c r="AS960" s="1044"/>
    </row>
    <row r="961" spans="2:45" hidden="1" outlineLevel="1">
      <c r="C961" s="816" t="s">
        <v>16</v>
      </c>
      <c r="D961" s="615" t="s">
        <v>1541</v>
      </c>
      <c r="E961" s="20" t="s">
        <v>86</v>
      </c>
      <c r="F961" s="20"/>
      <c r="G961" s="20"/>
      <c r="H961" s="20"/>
      <c r="I961" s="20"/>
      <c r="J961" s="20"/>
      <c r="K961" s="20"/>
      <c r="L961" s="20"/>
      <c r="M961" s="20"/>
      <c r="N961" s="20"/>
      <c r="O961" s="20"/>
      <c r="P961" s="20"/>
      <c r="Q961" s="20"/>
      <c r="R961" s="20"/>
      <c r="S961" s="20"/>
      <c r="T961" s="20"/>
      <c r="U961" s="20"/>
      <c r="V961" s="20"/>
      <c r="W961" s="20"/>
      <c r="X961" s="20"/>
      <c r="Y961" s="20"/>
      <c r="Z961" s="20"/>
      <c r="AA961" s="20"/>
      <c r="AB961" s="12"/>
      <c r="AC961" s="12"/>
      <c r="AD961" s="12">
        <v>196385</v>
      </c>
      <c r="AE961" s="12">
        <v>203258</v>
      </c>
      <c r="AF961" s="12">
        <v>192113</v>
      </c>
      <c r="AG961" s="12">
        <v>198837</v>
      </c>
      <c r="AH961" s="12">
        <v>296056</v>
      </c>
      <c r="AI961" s="12">
        <v>296056</v>
      </c>
      <c r="AJ961" s="21">
        <v>199674</v>
      </c>
      <c r="AK961" s="21">
        <v>203667</v>
      </c>
      <c r="AL961" s="21">
        <v>402179</v>
      </c>
      <c r="AM961" s="21">
        <v>418267</v>
      </c>
      <c r="AN961" s="874">
        <v>364332</v>
      </c>
      <c r="AO961" s="874">
        <v>375303</v>
      </c>
      <c r="AP961" s="1058">
        <v>271544</v>
      </c>
      <c r="AQ961" s="1058">
        <v>277029</v>
      </c>
      <c r="AR961" s="1044"/>
      <c r="AS961" s="1044"/>
    </row>
    <row r="962" spans="2:45" hidden="1" outlineLevel="1">
      <c r="C962" s="816" t="s">
        <v>16</v>
      </c>
      <c r="D962" s="615" t="s">
        <v>1541</v>
      </c>
      <c r="E962" s="20" t="s">
        <v>87</v>
      </c>
      <c r="F962" s="20"/>
      <c r="G962" s="20"/>
      <c r="H962" s="20"/>
      <c r="I962" s="20"/>
      <c r="J962" s="20"/>
      <c r="K962" s="20"/>
      <c r="L962" s="20"/>
      <c r="M962" s="20"/>
      <c r="N962" s="20"/>
      <c r="O962" s="20"/>
      <c r="P962" s="20"/>
      <c r="Q962" s="20"/>
      <c r="R962" s="20"/>
      <c r="S962" s="20"/>
      <c r="T962" s="20"/>
      <c r="U962" s="20"/>
      <c r="V962" s="20"/>
      <c r="W962" s="20"/>
      <c r="X962" s="20"/>
      <c r="Y962" s="20"/>
      <c r="Z962" s="20"/>
      <c r="AA962" s="20"/>
      <c r="AB962" s="12"/>
      <c r="AC962" s="12"/>
      <c r="AD962" s="12">
        <v>169993</v>
      </c>
      <c r="AE962" s="12">
        <v>175943</v>
      </c>
      <c r="AF962" s="12">
        <v>269890</v>
      </c>
      <c r="AG962" s="12">
        <v>279337</v>
      </c>
      <c r="AH962" s="12">
        <v>194058</v>
      </c>
      <c r="AI962" s="12">
        <v>194058</v>
      </c>
      <c r="AJ962" s="21">
        <v>184150</v>
      </c>
      <c r="AK962" s="21">
        <v>187833</v>
      </c>
      <c r="AL962" s="21">
        <v>218209</v>
      </c>
      <c r="AM962" s="21">
        <v>226938</v>
      </c>
      <c r="AN962" s="874">
        <v>247756</v>
      </c>
      <c r="AO962" s="874">
        <v>255217</v>
      </c>
      <c r="AP962" s="1058">
        <v>255572</v>
      </c>
      <c r="AQ962" s="1058">
        <v>260734</v>
      </c>
      <c r="AR962" s="1044"/>
      <c r="AS962" s="1044"/>
    </row>
    <row r="963" spans="2:45" hidden="1" outlineLevel="1">
      <c r="C963" s="816" t="s">
        <v>16</v>
      </c>
      <c r="D963" s="615" t="s">
        <v>1541</v>
      </c>
      <c r="E963" s="20" t="s">
        <v>88</v>
      </c>
      <c r="F963" s="20"/>
      <c r="G963" s="20"/>
      <c r="H963" s="20"/>
      <c r="I963" s="20"/>
      <c r="J963" s="20"/>
      <c r="K963" s="20"/>
      <c r="L963" s="20"/>
      <c r="M963" s="20"/>
      <c r="N963" s="20"/>
      <c r="O963" s="20"/>
      <c r="P963" s="20"/>
      <c r="Q963" s="20"/>
      <c r="R963" s="20"/>
      <c r="S963" s="20"/>
      <c r="T963" s="20"/>
      <c r="U963" s="20"/>
      <c r="V963" s="20"/>
      <c r="W963" s="20"/>
      <c r="X963" s="20"/>
      <c r="Y963" s="20"/>
      <c r="Z963" s="20"/>
      <c r="AA963" s="20"/>
      <c r="AB963" s="12"/>
      <c r="AC963" s="12"/>
      <c r="AD963" s="12">
        <v>1100287</v>
      </c>
      <c r="AE963" s="12">
        <v>1138797</v>
      </c>
      <c r="AF963" s="12">
        <v>1067850</v>
      </c>
      <c r="AG963" s="12">
        <v>1105225</v>
      </c>
      <c r="AH963" s="12">
        <v>777812</v>
      </c>
      <c r="AI963" s="12">
        <v>777812</v>
      </c>
      <c r="AJ963" s="21">
        <v>1386602</v>
      </c>
      <c r="AK963" s="21">
        <v>1414334</v>
      </c>
      <c r="AL963" s="21">
        <v>1018363</v>
      </c>
      <c r="AM963" s="21">
        <v>1059098</v>
      </c>
      <c r="AN963" s="874">
        <v>1337452</v>
      </c>
      <c r="AO963" s="874">
        <v>1377724</v>
      </c>
      <c r="AP963" s="1058">
        <v>1539874</v>
      </c>
      <c r="AQ963" s="1058">
        <v>1570979</v>
      </c>
      <c r="AR963" s="1044"/>
      <c r="AS963" s="1044"/>
    </row>
    <row r="964" spans="2:45" hidden="1" outlineLevel="1">
      <c r="C964" s="816" t="s">
        <v>16</v>
      </c>
      <c r="D964" s="615" t="s">
        <v>1541</v>
      </c>
      <c r="E964" s="20" t="s">
        <v>89</v>
      </c>
      <c r="F964" s="20"/>
      <c r="G964" s="20"/>
      <c r="H964" s="20"/>
      <c r="I964" s="20"/>
      <c r="J964" s="20"/>
      <c r="K964" s="20"/>
      <c r="L964" s="20"/>
      <c r="M964" s="20"/>
      <c r="N964" s="20"/>
      <c r="O964" s="20"/>
      <c r="P964" s="20"/>
      <c r="Q964" s="20"/>
      <c r="R964" s="20"/>
      <c r="S964" s="20"/>
      <c r="T964" s="20"/>
      <c r="U964" s="20"/>
      <c r="V964" s="20"/>
      <c r="W964" s="20"/>
      <c r="X964" s="20"/>
      <c r="Y964" s="20"/>
      <c r="Z964" s="20"/>
      <c r="AA964" s="20"/>
      <c r="AB964" s="12"/>
      <c r="AC964" s="12"/>
      <c r="AD964" s="12">
        <v>210515</v>
      </c>
      <c r="AE964" s="12">
        <v>217883</v>
      </c>
      <c r="AF964" s="12">
        <v>243721</v>
      </c>
      <c r="AG964" s="12">
        <v>252251</v>
      </c>
      <c r="AH964" s="12">
        <v>280758</v>
      </c>
      <c r="AI964" s="12">
        <v>280758</v>
      </c>
      <c r="AJ964" s="21">
        <v>217988</v>
      </c>
      <c r="AK964" s="21">
        <v>222348</v>
      </c>
      <c r="AL964" s="21">
        <v>241731</v>
      </c>
      <c r="AM964" s="21">
        <v>250360</v>
      </c>
      <c r="AN964" s="874">
        <v>233321</v>
      </c>
      <c r="AO964" s="874">
        <v>240347</v>
      </c>
      <c r="AP964" s="1058">
        <v>212350</v>
      </c>
      <c r="AQ964" s="1058">
        <v>216639</v>
      </c>
      <c r="AR964" s="1044"/>
      <c r="AS964" s="1044"/>
    </row>
    <row r="965" spans="2:45" s="1044" customFormat="1" hidden="1" outlineLevel="1">
      <c r="B965" s="1045"/>
      <c r="C965" s="1053" t="s">
        <v>16</v>
      </c>
      <c r="D965" s="615" t="s">
        <v>1541</v>
      </c>
      <c r="E965" s="1047" t="s">
        <v>2046</v>
      </c>
      <c r="F965" s="1047"/>
      <c r="G965" s="1047"/>
      <c r="H965" s="1047"/>
      <c r="I965" s="1047"/>
      <c r="J965" s="1047"/>
      <c r="K965" s="1047"/>
      <c r="L965" s="1047"/>
      <c r="M965" s="1047"/>
      <c r="N965" s="1047"/>
      <c r="O965" s="1047"/>
      <c r="P965" s="1047"/>
      <c r="Q965" s="1047"/>
      <c r="R965" s="1047"/>
      <c r="S965" s="1047"/>
      <c r="T965" s="1047"/>
      <c r="U965" s="1047"/>
      <c r="V965" s="1047"/>
      <c r="W965" s="1047"/>
      <c r="X965" s="1047"/>
      <c r="Y965" s="1047"/>
      <c r="Z965" s="1047"/>
      <c r="AA965" s="1047"/>
      <c r="AB965" s="1070"/>
      <c r="AC965" s="1070"/>
      <c r="AD965" s="1070"/>
      <c r="AE965" s="1070"/>
      <c r="AF965" s="1070"/>
      <c r="AG965" s="1070"/>
      <c r="AH965" s="1070"/>
      <c r="AI965" s="1070"/>
      <c r="AJ965" s="1058"/>
      <c r="AK965" s="1058"/>
      <c r="AL965" s="1058"/>
      <c r="AM965" s="1058"/>
      <c r="AN965" s="1058"/>
      <c r="AO965" s="1058"/>
      <c r="AP965" s="1058">
        <v>0</v>
      </c>
      <c r="AQ965" s="1058">
        <v>0</v>
      </c>
    </row>
    <row r="966" spans="2:45" hidden="1" outlineLevel="1">
      <c r="C966" s="816" t="s">
        <v>16</v>
      </c>
      <c r="D966" s="9"/>
      <c r="E966" s="27" t="s">
        <v>1551</v>
      </c>
      <c r="F966" s="27"/>
      <c r="G966" s="27"/>
      <c r="H966" s="27"/>
      <c r="I966" s="27"/>
      <c r="J966" s="27"/>
      <c r="K966" s="27"/>
      <c r="L966" s="27"/>
      <c r="M966" s="27"/>
      <c r="N966" s="27"/>
      <c r="O966" s="27"/>
      <c r="P966" s="27"/>
      <c r="Q966" s="27"/>
      <c r="R966" s="27"/>
      <c r="S966" s="27"/>
      <c r="T966" s="27"/>
      <c r="U966" s="27"/>
      <c r="V966" s="27"/>
      <c r="W966" s="27"/>
      <c r="X966" s="27"/>
      <c r="Y966" s="27"/>
      <c r="Z966" s="27"/>
      <c r="AA966" s="27"/>
      <c r="AB966" s="34"/>
      <c r="AC966" s="34"/>
      <c r="AD966" s="1073">
        <f t="shared" ref="AD966:AP966" si="292">SUM(AD890:AD965)</f>
        <v>250574014</v>
      </c>
      <c r="AE966" s="1073">
        <f t="shared" si="292"/>
        <v>258842140</v>
      </c>
      <c r="AF966" s="1073">
        <f t="shared" si="292"/>
        <v>263077699</v>
      </c>
      <c r="AG966" s="1073">
        <f t="shared" si="292"/>
        <v>272285423</v>
      </c>
      <c r="AH966" s="1073">
        <f t="shared" si="292"/>
        <v>274172040</v>
      </c>
      <c r="AI966" s="1073">
        <f t="shared" si="292"/>
        <v>274167039</v>
      </c>
      <c r="AJ966" s="1073">
        <f t="shared" si="292"/>
        <v>253674049</v>
      </c>
      <c r="AK966" s="1073">
        <f t="shared" si="292"/>
        <v>258746831</v>
      </c>
      <c r="AL966" s="1073">
        <f t="shared" si="292"/>
        <v>275463578</v>
      </c>
      <c r="AM966" s="1073">
        <f t="shared" si="292"/>
        <v>286481081</v>
      </c>
      <c r="AN966" s="1073">
        <f t="shared" si="292"/>
        <v>313376980</v>
      </c>
      <c r="AO966" s="1073">
        <f t="shared" si="292"/>
        <v>322813146</v>
      </c>
      <c r="AP966" s="1073">
        <f t="shared" si="292"/>
        <v>331221563</v>
      </c>
      <c r="AQ966" s="1073">
        <f>SUM(AQ890:AQ965)</f>
        <v>337884259</v>
      </c>
      <c r="AR966" s="1044"/>
      <c r="AS966" s="1044"/>
    </row>
    <row r="967" spans="2:45" hidden="1" outlineLevel="1">
      <c r="C967" s="816"/>
      <c r="D967" s="25" t="s">
        <v>836</v>
      </c>
      <c r="E967" s="25" t="s">
        <v>1552</v>
      </c>
      <c r="F967" s="20"/>
      <c r="G967" s="20"/>
      <c r="H967" s="20"/>
      <c r="I967" s="20"/>
      <c r="J967" s="20"/>
      <c r="K967" s="20"/>
      <c r="L967" s="20"/>
      <c r="M967" s="20"/>
      <c r="N967" s="20"/>
      <c r="O967" s="20"/>
      <c r="P967" s="20"/>
      <c r="Q967" s="20"/>
      <c r="R967" s="20"/>
      <c r="S967" s="20"/>
      <c r="T967" s="20"/>
      <c r="U967" s="20"/>
      <c r="V967" s="20"/>
      <c r="W967" s="20"/>
      <c r="X967" s="20"/>
      <c r="Y967" s="20"/>
      <c r="Z967" s="20"/>
      <c r="AA967" s="20"/>
      <c r="AB967" s="12"/>
      <c r="AC967" s="12"/>
      <c r="AD967" s="12">
        <f t="shared" ref="AD967:AQ973" si="293">SUMIF($D$890:$D$964,$D967,AD$890:AD$964)</f>
        <v>164697440</v>
      </c>
      <c r="AE967" s="12">
        <f t="shared" si="293"/>
        <v>170450869</v>
      </c>
      <c r="AF967" s="12">
        <f t="shared" si="293"/>
        <v>172446229</v>
      </c>
      <c r="AG967" s="12">
        <f t="shared" si="293"/>
        <v>178481850</v>
      </c>
      <c r="AH967" s="12">
        <f t="shared" si="293"/>
        <v>179694934</v>
      </c>
      <c r="AI967" s="12">
        <f t="shared" si="293"/>
        <v>179694934</v>
      </c>
      <c r="AJ967" s="12">
        <f t="shared" si="293"/>
        <v>164223346</v>
      </c>
      <c r="AK967" s="12">
        <f t="shared" si="293"/>
        <v>167507813</v>
      </c>
      <c r="AL967" s="873">
        <f t="shared" si="293"/>
        <v>178523156</v>
      </c>
      <c r="AM967" s="873">
        <f t="shared" si="293"/>
        <v>185664081</v>
      </c>
      <c r="AN967" s="873">
        <f t="shared" si="293"/>
        <v>202633604</v>
      </c>
      <c r="AO967" s="873">
        <f t="shared" si="293"/>
        <v>208735157</v>
      </c>
      <c r="AP967" s="1070">
        <f t="shared" si="293"/>
        <v>214148045</v>
      </c>
      <c r="AQ967" s="1070">
        <f t="shared" si="293"/>
        <v>218473834</v>
      </c>
      <c r="AR967" s="1044"/>
      <c r="AS967" s="1044"/>
    </row>
    <row r="968" spans="2:45" hidden="1" outlineLevel="1">
      <c r="C968" s="816"/>
      <c r="D968" s="25" t="s">
        <v>958</v>
      </c>
      <c r="E968" s="25" t="s">
        <v>1553</v>
      </c>
      <c r="F968" s="20"/>
      <c r="G968" s="20"/>
      <c r="H968" s="20"/>
      <c r="I968" s="20"/>
      <c r="J968" s="20"/>
      <c r="K968" s="20"/>
      <c r="L968" s="20"/>
      <c r="M968" s="20"/>
      <c r="N968" s="20"/>
      <c r="O968" s="20"/>
      <c r="P968" s="20"/>
      <c r="Q968" s="20"/>
      <c r="R968" s="20"/>
      <c r="S968" s="20"/>
      <c r="T968" s="20"/>
      <c r="U968" s="20"/>
      <c r="V968" s="20"/>
      <c r="W968" s="20"/>
      <c r="X968" s="20"/>
      <c r="Y968" s="20"/>
      <c r="Z968" s="20"/>
      <c r="AA968" s="20"/>
      <c r="AB968" s="12"/>
      <c r="AC968" s="12"/>
      <c r="AD968" s="12">
        <f t="shared" si="293"/>
        <v>3029443</v>
      </c>
      <c r="AE968" s="12">
        <f t="shared" si="293"/>
        <v>3135474</v>
      </c>
      <c r="AF968" s="12">
        <f t="shared" si="293"/>
        <v>3326622</v>
      </c>
      <c r="AG968" s="12">
        <f t="shared" si="293"/>
        <v>3443056</v>
      </c>
      <c r="AH968" s="12">
        <f t="shared" si="293"/>
        <v>3244145</v>
      </c>
      <c r="AI968" s="12">
        <f t="shared" si="293"/>
        <v>3244145</v>
      </c>
      <c r="AJ968" s="12">
        <f t="shared" si="293"/>
        <v>3315070</v>
      </c>
      <c r="AK968" s="12">
        <f t="shared" si="293"/>
        <v>3381371</v>
      </c>
      <c r="AL968" s="873">
        <f t="shared" si="293"/>
        <v>4044341</v>
      </c>
      <c r="AM968" s="873">
        <f t="shared" si="293"/>
        <v>4206115</v>
      </c>
      <c r="AN968" s="873">
        <f t="shared" si="293"/>
        <v>4510250</v>
      </c>
      <c r="AO968" s="873">
        <f t="shared" si="293"/>
        <v>4646048</v>
      </c>
      <c r="AP968" s="1070">
        <f t="shared" si="293"/>
        <v>4153387</v>
      </c>
      <c r="AQ968" s="1070">
        <f t="shared" si="293"/>
        <v>4228102</v>
      </c>
      <c r="AR968" s="1044"/>
      <c r="AS968" s="1044"/>
    </row>
    <row r="969" spans="2:45" ht="12" hidden="1" customHeight="1" outlineLevel="1">
      <c r="C969" s="816"/>
      <c r="D969" s="25" t="s">
        <v>1498</v>
      </c>
      <c r="E969" s="25" t="s">
        <v>1554</v>
      </c>
      <c r="F969" s="20"/>
      <c r="G969" s="20"/>
      <c r="H969" s="20"/>
      <c r="I969" s="20"/>
      <c r="J969" s="20"/>
      <c r="K969" s="20"/>
      <c r="L969" s="20"/>
      <c r="M969" s="20"/>
      <c r="N969" s="20"/>
      <c r="O969" s="20"/>
      <c r="P969" s="20"/>
      <c r="Q969" s="20"/>
      <c r="R969" s="20"/>
      <c r="S969" s="20"/>
      <c r="T969" s="20"/>
      <c r="U969" s="20"/>
      <c r="V969" s="20"/>
      <c r="W969" s="20"/>
      <c r="X969" s="20"/>
      <c r="Y969" s="20"/>
      <c r="Z969" s="20"/>
      <c r="AA969" s="20"/>
      <c r="AB969" s="12"/>
      <c r="AC969" s="12"/>
      <c r="AD969" s="12">
        <f t="shared" si="293"/>
        <v>62327400</v>
      </c>
      <c r="AE969" s="12">
        <f t="shared" si="293"/>
        <v>64508861</v>
      </c>
      <c r="AF969" s="12">
        <f t="shared" si="293"/>
        <v>71697664</v>
      </c>
      <c r="AG969" s="12">
        <f t="shared" si="293"/>
        <v>74207082</v>
      </c>
      <c r="AH969" s="12">
        <f t="shared" si="293"/>
        <v>75367185</v>
      </c>
      <c r="AI969" s="12">
        <f t="shared" si="293"/>
        <v>75367185</v>
      </c>
      <c r="AJ969" s="12">
        <f t="shared" si="293"/>
        <v>70656640</v>
      </c>
      <c r="AK969" s="12">
        <f t="shared" si="293"/>
        <v>72069774</v>
      </c>
      <c r="AL969" s="873">
        <f t="shared" si="293"/>
        <v>77101327</v>
      </c>
      <c r="AM969" s="873">
        <f t="shared" si="293"/>
        <v>80185380</v>
      </c>
      <c r="AN969" s="873">
        <f t="shared" si="293"/>
        <v>89194782</v>
      </c>
      <c r="AO969" s="873">
        <f t="shared" si="293"/>
        <v>91880550</v>
      </c>
      <c r="AP969" s="1070">
        <f t="shared" si="293"/>
        <v>92577694</v>
      </c>
      <c r="AQ969" s="1070">
        <f t="shared" si="293"/>
        <v>94447764</v>
      </c>
      <c r="AR969" s="1044"/>
      <c r="AS969" s="1044"/>
    </row>
    <row r="970" spans="2:45" hidden="1" outlineLevel="1">
      <c r="C970" s="816"/>
      <c r="D970" s="25" t="s">
        <v>2100</v>
      </c>
      <c r="E970" s="1048" t="s">
        <v>2103</v>
      </c>
      <c r="F970" s="20"/>
      <c r="G970" s="20"/>
      <c r="H970" s="20"/>
      <c r="I970" s="20"/>
      <c r="J970" s="20"/>
      <c r="K970" s="20"/>
      <c r="L970" s="20"/>
      <c r="M970" s="20"/>
      <c r="N970" s="20"/>
      <c r="O970" s="20"/>
      <c r="P970" s="20"/>
      <c r="Q970" s="20"/>
      <c r="R970" s="20"/>
      <c r="S970" s="20"/>
      <c r="T970" s="20"/>
      <c r="U970" s="20"/>
      <c r="V970" s="20"/>
      <c r="W970" s="20"/>
      <c r="X970" s="20"/>
      <c r="Y970" s="20"/>
      <c r="Z970" s="20"/>
      <c r="AA970" s="20"/>
      <c r="AB970" s="12"/>
      <c r="AC970" s="12"/>
      <c r="AD970" s="12">
        <f t="shared" si="293"/>
        <v>5703304</v>
      </c>
      <c r="AE970" s="12">
        <f t="shared" si="293"/>
        <v>5703304</v>
      </c>
      <c r="AF970" s="12">
        <f t="shared" si="293"/>
        <v>4233808</v>
      </c>
      <c r="AG970" s="12">
        <f t="shared" si="293"/>
        <v>4381991</v>
      </c>
      <c r="AH970" s="12">
        <f t="shared" si="293"/>
        <v>4275423</v>
      </c>
      <c r="AI970" s="12">
        <f t="shared" si="293"/>
        <v>4275423</v>
      </c>
      <c r="AJ970" s="12">
        <f t="shared" si="293"/>
        <v>4167086</v>
      </c>
      <c r="AK970" s="12">
        <f t="shared" si="293"/>
        <v>4250428</v>
      </c>
      <c r="AL970" s="873">
        <f t="shared" si="293"/>
        <v>4248666</v>
      </c>
      <c r="AM970" s="873">
        <f t="shared" si="293"/>
        <v>4418612</v>
      </c>
      <c r="AN970" s="873">
        <f t="shared" si="293"/>
        <v>4855417</v>
      </c>
      <c r="AO970" s="873">
        <f t="shared" si="293"/>
        <v>5001620</v>
      </c>
      <c r="AP970" s="1070">
        <f t="shared" si="293"/>
        <v>6949765</v>
      </c>
      <c r="AQ970" s="1070">
        <f t="shared" si="293"/>
        <v>7090151</v>
      </c>
      <c r="AR970" s="1044"/>
      <c r="AS970" s="1044"/>
    </row>
    <row r="971" spans="2:45" hidden="1" outlineLevel="1">
      <c r="C971" s="816"/>
      <c r="D971" s="25" t="s">
        <v>2115</v>
      </c>
      <c r="E971" s="25" t="s">
        <v>2104</v>
      </c>
      <c r="F971" s="20"/>
      <c r="G971" s="20"/>
      <c r="H971" s="20"/>
      <c r="I971" s="20"/>
      <c r="J971" s="20"/>
      <c r="K971" s="20"/>
      <c r="L971" s="20"/>
      <c r="M971" s="20"/>
      <c r="N971" s="20"/>
      <c r="O971" s="20"/>
      <c r="P971" s="20"/>
      <c r="Q971" s="20"/>
      <c r="R971" s="20"/>
      <c r="S971" s="20"/>
      <c r="T971" s="20"/>
      <c r="U971" s="20"/>
      <c r="V971" s="20"/>
      <c r="W971" s="20"/>
      <c r="X971" s="20"/>
      <c r="Y971" s="20"/>
      <c r="Z971" s="20"/>
      <c r="AA971" s="20"/>
      <c r="AB971" s="12"/>
      <c r="AC971" s="12"/>
      <c r="AD971" s="12">
        <f t="shared" ref="AD971:AQ971" si="294">SUMIF($D$890:$D$964,$D971,AD$890:AD$964)</f>
        <v>1775194</v>
      </c>
      <c r="AE971" s="12">
        <f t="shared" si="294"/>
        <v>1837326</v>
      </c>
      <c r="AF971" s="12">
        <f t="shared" si="294"/>
        <v>1840910</v>
      </c>
      <c r="AG971" s="12">
        <f t="shared" si="294"/>
        <v>1905341</v>
      </c>
      <c r="AH971" s="12">
        <f t="shared" si="294"/>
        <v>1907834</v>
      </c>
      <c r="AI971" s="12">
        <f t="shared" si="294"/>
        <v>1907834</v>
      </c>
      <c r="AJ971" s="12">
        <f t="shared" si="294"/>
        <v>1975642</v>
      </c>
      <c r="AK971" s="12">
        <f t="shared" si="294"/>
        <v>2015155</v>
      </c>
      <c r="AL971" s="873">
        <f t="shared" si="294"/>
        <v>1955824</v>
      </c>
      <c r="AM971" s="873">
        <f t="shared" si="294"/>
        <v>2034056</v>
      </c>
      <c r="AN971" s="873">
        <f t="shared" si="294"/>
        <v>1968445</v>
      </c>
      <c r="AO971" s="873">
        <f t="shared" si="294"/>
        <v>2027717</v>
      </c>
      <c r="AP971" s="1070">
        <f t="shared" si="294"/>
        <v>2854767</v>
      </c>
      <c r="AQ971" s="1070">
        <f t="shared" si="294"/>
        <v>2912433</v>
      </c>
      <c r="AR971" s="1044"/>
      <c r="AS971" s="1044"/>
    </row>
    <row r="972" spans="2:45" s="1044" customFormat="1" hidden="1" outlineLevel="1">
      <c r="B972" s="1045"/>
      <c r="C972" s="1053"/>
      <c r="D972" s="1048" t="s">
        <v>1542</v>
      </c>
      <c r="E972" s="25" t="s">
        <v>1555</v>
      </c>
      <c r="F972" s="1047"/>
      <c r="G972" s="1047"/>
      <c r="H972" s="1047"/>
      <c r="I972" s="1047"/>
      <c r="J972" s="1047"/>
      <c r="K972" s="1047"/>
      <c r="L972" s="1047"/>
      <c r="M972" s="1047"/>
      <c r="N972" s="1047"/>
      <c r="O972" s="1047"/>
      <c r="P972" s="1047"/>
      <c r="Q972" s="1047"/>
      <c r="R972" s="1047"/>
      <c r="S972" s="1047"/>
      <c r="T972" s="1047"/>
      <c r="U972" s="1047"/>
      <c r="V972" s="1047"/>
      <c r="W972" s="1047"/>
      <c r="X972" s="1047"/>
      <c r="Y972" s="1047"/>
      <c r="Z972" s="1047"/>
      <c r="AA972" s="1047"/>
      <c r="AB972" s="1070"/>
      <c r="AC972" s="1070"/>
      <c r="AD972" s="1070">
        <f t="shared" si="293"/>
        <v>4186216</v>
      </c>
      <c r="AE972" s="1070">
        <f t="shared" si="293"/>
        <v>4332734</v>
      </c>
      <c r="AF972" s="1070">
        <f t="shared" si="293"/>
        <v>174688</v>
      </c>
      <c r="AG972" s="1070">
        <f t="shared" si="293"/>
        <v>180802</v>
      </c>
      <c r="AH972" s="1070">
        <f t="shared" si="293"/>
        <v>165541</v>
      </c>
      <c r="AI972" s="1070">
        <f t="shared" si="293"/>
        <v>165541</v>
      </c>
      <c r="AJ972" s="1070">
        <f t="shared" si="293"/>
        <v>141729</v>
      </c>
      <c r="AK972" s="1070">
        <f t="shared" si="293"/>
        <v>144563</v>
      </c>
      <c r="AL972" s="1070">
        <f t="shared" si="293"/>
        <v>235414</v>
      </c>
      <c r="AM972" s="1070">
        <f t="shared" si="293"/>
        <v>244831</v>
      </c>
      <c r="AN972" s="1070">
        <f t="shared" si="293"/>
        <v>106065</v>
      </c>
      <c r="AO972" s="1070">
        <f t="shared" si="293"/>
        <v>109259</v>
      </c>
      <c r="AP972" s="1070">
        <f t="shared" si="293"/>
        <v>199870</v>
      </c>
      <c r="AQ972" s="1070">
        <f t="shared" si="293"/>
        <v>203907</v>
      </c>
    </row>
    <row r="973" spans="2:45" hidden="1" outlineLevel="1">
      <c r="C973" s="816"/>
      <c r="D973" s="25" t="s">
        <v>1541</v>
      </c>
      <c r="E973" s="25" t="s">
        <v>2105</v>
      </c>
      <c r="F973" s="20"/>
      <c r="G973" s="20"/>
      <c r="H973" s="20"/>
      <c r="I973" s="20"/>
      <c r="J973" s="20"/>
      <c r="K973" s="20"/>
      <c r="L973" s="20"/>
      <c r="M973" s="20"/>
      <c r="N973" s="20"/>
      <c r="O973" s="20"/>
      <c r="P973" s="20"/>
      <c r="Q973" s="20"/>
      <c r="R973" s="20"/>
      <c r="S973" s="20"/>
      <c r="T973" s="20"/>
      <c r="U973" s="20"/>
      <c r="V973" s="20"/>
      <c r="W973" s="20"/>
      <c r="X973" s="20"/>
      <c r="Y973" s="20"/>
      <c r="Z973" s="20"/>
      <c r="AA973" s="20"/>
      <c r="AB973" s="12"/>
      <c r="AC973" s="12"/>
      <c r="AD973" s="12">
        <f t="shared" si="293"/>
        <v>7766019</v>
      </c>
      <c r="AE973" s="12">
        <f t="shared" si="293"/>
        <v>7767829</v>
      </c>
      <c r="AF973" s="12">
        <f t="shared" si="293"/>
        <v>8162612</v>
      </c>
      <c r="AG973" s="12">
        <f t="shared" si="293"/>
        <v>8448304</v>
      </c>
      <c r="AH973" s="12">
        <f t="shared" si="293"/>
        <v>8138084</v>
      </c>
      <c r="AI973" s="12">
        <f t="shared" si="293"/>
        <v>8138084</v>
      </c>
      <c r="AJ973" s="12">
        <f t="shared" si="293"/>
        <v>8020379</v>
      </c>
      <c r="AK973" s="12">
        <f t="shared" si="293"/>
        <v>8180787</v>
      </c>
      <c r="AL973" s="873">
        <f t="shared" si="293"/>
        <v>8215305</v>
      </c>
      <c r="AM973" s="873">
        <f t="shared" si="293"/>
        <v>8542880</v>
      </c>
      <c r="AN973" s="873">
        <f t="shared" si="293"/>
        <v>8842810</v>
      </c>
      <c r="AO973" s="873">
        <f t="shared" si="293"/>
        <v>9109079</v>
      </c>
      <c r="AP973" s="1070">
        <f t="shared" si="293"/>
        <v>9101638</v>
      </c>
      <c r="AQ973" s="1070">
        <f t="shared" si="293"/>
        <v>9285489</v>
      </c>
      <c r="AR973" s="1044"/>
      <c r="AS973" s="1044"/>
    </row>
    <row r="974" spans="2:45" collapsed="1">
      <c r="C974" s="1249" t="s">
        <v>182</v>
      </c>
      <c r="D974" s="1249"/>
      <c r="E974" s="1250"/>
      <c r="F974" s="6"/>
      <c r="G974" s="6"/>
      <c r="H974" s="6"/>
      <c r="I974" s="6"/>
      <c r="J974" s="6"/>
      <c r="K974" s="6"/>
      <c r="L974" s="6"/>
      <c r="M974" s="6"/>
      <c r="N974" s="6"/>
      <c r="O974" s="6"/>
      <c r="P974" s="6"/>
      <c r="Q974" s="6"/>
      <c r="R974" s="6"/>
      <c r="S974" s="6"/>
      <c r="T974" s="6"/>
      <c r="U974" s="6"/>
      <c r="V974" s="6"/>
      <c r="W974" s="6"/>
      <c r="X974" s="6"/>
      <c r="Y974" s="6"/>
      <c r="Z974" s="6"/>
      <c r="AA974" s="6"/>
      <c r="AB974" s="7"/>
      <c r="AC974" s="7"/>
      <c r="AD974" s="7"/>
      <c r="AE974" s="7"/>
      <c r="AF974" s="7"/>
      <c r="AG974" s="7"/>
      <c r="AH974" s="7"/>
      <c r="AI974" s="7"/>
      <c r="AJ974" s="369" t="s">
        <v>1217</v>
      </c>
      <c r="AK974" s="369" t="s">
        <v>1217</v>
      </c>
      <c r="AL974" s="369" t="s">
        <v>1776</v>
      </c>
      <c r="AM974" s="369" t="s">
        <v>1776</v>
      </c>
      <c r="AN974" s="369" t="s">
        <v>1871</v>
      </c>
      <c r="AO974" s="369" t="s">
        <v>1871</v>
      </c>
      <c r="AP974" s="696" t="s">
        <v>1981</v>
      </c>
      <c r="AQ974" s="696" t="s">
        <v>1981</v>
      </c>
      <c r="AR974" s="1044"/>
      <c r="AS974" s="1044"/>
    </row>
    <row r="975" spans="2:45" hidden="1" outlineLevel="1">
      <c r="C975" s="1249" t="s">
        <v>2</v>
      </c>
      <c r="D975" s="1251"/>
      <c r="E975" s="670" t="s">
        <v>183</v>
      </c>
      <c r="F975" s="27"/>
      <c r="G975" s="27"/>
      <c r="H975" s="27"/>
      <c r="I975" s="27"/>
      <c r="J975" s="27"/>
      <c r="K975" s="27"/>
      <c r="L975" s="27"/>
      <c r="M975" s="27"/>
      <c r="N975" s="27"/>
      <c r="O975" s="27"/>
      <c r="P975" s="27"/>
      <c r="Q975" s="27"/>
      <c r="R975" s="27"/>
      <c r="S975" s="27"/>
      <c r="T975" s="27"/>
      <c r="U975" s="27"/>
      <c r="V975" s="27"/>
      <c r="W975" s="27"/>
      <c r="X975" s="27"/>
      <c r="Y975" s="27"/>
      <c r="Z975" s="27"/>
      <c r="AA975" s="27"/>
      <c r="AB975" s="12"/>
      <c r="AC975" s="12"/>
      <c r="AD975" s="12"/>
      <c r="AE975" s="12"/>
      <c r="AF975" s="12"/>
      <c r="AG975" s="12"/>
      <c r="AH975" s="12"/>
      <c r="AI975" s="12"/>
      <c r="AJ975" s="371"/>
      <c r="AK975" s="371"/>
      <c r="AL975" s="371"/>
      <c r="AM975" s="371"/>
      <c r="AN975" s="921"/>
      <c r="AO975" s="921"/>
      <c r="AP975" s="921"/>
      <c r="AQ975" s="921"/>
      <c r="AR975" s="1044"/>
      <c r="AS975" s="1044"/>
    </row>
    <row r="976" spans="2:45" hidden="1" outlineLevel="1">
      <c r="C976" s="1249" t="s">
        <v>2</v>
      </c>
      <c r="D976" s="1251"/>
      <c r="E976" s="1251" t="s">
        <v>184</v>
      </c>
      <c r="F976" s="9"/>
      <c r="G976" s="9"/>
      <c r="H976" s="9"/>
      <c r="I976" s="9"/>
      <c r="J976" s="9"/>
      <c r="K976" s="9"/>
      <c r="L976" s="9"/>
      <c r="M976" s="9"/>
      <c r="N976" s="9"/>
      <c r="O976" s="9"/>
      <c r="P976" s="9"/>
      <c r="Q976" s="9"/>
      <c r="R976" s="9"/>
      <c r="S976" s="9"/>
      <c r="T976" s="9"/>
      <c r="U976" s="9"/>
      <c r="V976" s="9"/>
      <c r="W976" s="9"/>
      <c r="X976" s="9"/>
      <c r="Y976" s="9"/>
      <c r="Z976" s="9"/>
      <c r="AA976" s="9"/>
      <c r="AB976" s="12">
        <v>3267332</v>
      </c>
      <c r="AC976" s="12">
        <v>3267332</v>
      </c>
      <c r="AD976" s="12">
        <v>3486360</v>
      </c>
      <c r="AE976" s="12">
        <v>3486360</v>
      </c>
      <c r="AF976" s="12">
        <v>3486360</v>
      </c>
      <c r="AG976" s="12">
        <v>3486360</v>
      </c>
      <c r="AH976" s="12">
        <f>2714690</f>
        <v>2714690</v>
      </c>
      <c r="AI976" s="12">
        <v>2714690</v>
      </c>
      <c r="AJ976" s="24">
        <v>925301</v>
      </c>
      <c r="AK976" s="24">
        <v>925301</v>
      </c>
      <c r="AL976" s="24">
        <v>1889319</v>
      </c>
      <c r="AM976" s="24">
        <v>1889318</v>
      </c>
      <c r="AN976" s="1061">
        <v>2500000</v>
      </c>
      <c r="AO976" s="1061">
        <v>2500000</v>
      </c>
      <c r="AP976" s="1061">
        <v>1908801</v>
      </c>
      <c r="AQ976" s="1061">
        <v>1919551</v>
      </c>
      <c r="AR976" s="1044"/>
      <c r="AS976" s="1044"/>
    </row>
    <row r="977" spans="2:45" hidden="1" outlineLevel="1">
      <c r="C977" s="1249" t="s">
        <v>2</v>
      </c>
      <c r="D977" s="1251"/>
      <c r="E977" s="1251" t="s">
        <v>185</v>
      </c>
      <c r="F977" s="9"/>
      <c r="G977" s="9"/>
      <c r="H977" s="9"/>
      <c r="I977" s="9"/>
      <c r="J977" s="9"/>
      <c r="K977" s="9"/>
      <c r="L977" s="9"/>
      <c r="M977" s="9"/>
      <c r="N977" s="9"/>
      <c r="O977" s="9"/>
      <c r="P977" s="9"/>
      <c r="Q977" s="9"/>
      <c r="R977" s="9"/>
      <c r="S977" s="9"/>
      <c r="T977" s="9"/>
      <c r="U977" s="9"/>
      <c r="V977" s="9"/>
      <c r="W977" s="9"/>
      <c r="X977" s="9"/>
      <c r="Y977" s="9"/>
      <c r="Z977" s="9"/>
      <c r="AA977" s="9"/>
      <c r="AB977" s="12">
        <v>4934028</v>
      </c>
      <c r="AC977" s="12">
        <v>4934027</v>
      </c>
      <c r="AD977" s="12">
        <v>5202290</v>
      </c>
      <c r="AE977" s="12">
        <v>5243446</v>
      </c>
      <c r="AF977" s="12">
        <v>4546666</v>
      </c>
      <c r="AG977" s="12">
        <v>4561666</v>
      </c>
      <c r="AH977" s="12">
        <v>4650000</v>
      </c>
      <c r="AI977" s="12">
        <v>4650000</v>
      </c>
      <c r="AJ977" s="24">
        <v>5650000</v>
      </c>
      <c r="AK977" s="24">
        <v>5650000</v>
      </c>
      <c r="AL977" s="24">
        <v>5650000</v>
      </c>
      <c r="AM977" s="24">
        <v>5650000</v>
      </c>
      <c r="AN977" s="1061">
        <v>6399180</v>
      </c>
      <c r="AO977" s="1061">
        <v>6399180</v>
      </c>
      <c r="AP977" s="1061">
        <v>7503518</v>
      </c>
      <c r="AQ977" s="1061">
        <v>7503518</v>
      </c>
      <c r="AR977" s="1044"/>
      <c r="AS977" s="1044"/>
    </row>
    <row r="978" spans="2:45" hidden="1" outlineLevel="1">
      <c r="C978" s="1249" t="s">
        <v>2</v>
      </c>
      <c r="D978" s="1251"/>
      <c r="E978" s="1252" t="s">
        <v>1860</v>
      </c>
      <c r="F978" s="9"/>
      <c r="G978" s="9"/>
      <c r="H978" s="9"/>
      <c r="I978" s="9"/>
      <c r="J978" s="9"/>
      <c r="K978" s="9"/>
      <c r="L978" s="9"/>
      <c r="M978" s="9"/>
      <c r="N978" s="9"/>
      <c r="O978" s="9"/>
      <c r="P978" s="9"/>
      <c r="Q978" s="9"/>
      <c r="R978" s="9"/>
      <c r="S978" s="9"/>
      <c r="T978" s="9"/>
      <c r="U978" s="9"/>
      <c r="V978" s="9"/>
      <c r="W978" s="9"/>
      <c r="X978" s="9"/>
      <c r="Y978" s="9"/>
      <c r="Z978" s="9"/>
      <c r="AA978" s="9"/>
      <c r="AB978" s="12"/>
      <c r="AC978" s="12"/>
      <c r="AD978" s="12"/>
      <c r="AE978" s="12"/>
      <c r="AF978" s="12"/>
      <c r="AG978" s="12"/>
      <c r="AH978" s="12"/>
      <c r="AI978" s="12"/>
      <c r="AJ978" s="24"/>
      <c r="AK978" s="24"/>
      <c r="AL978" s="24">
        <v>941639</v>
      </c>
      <c r="AM978" s="24">
        <v>941639</v>
      </c>
      <c r="AN978" s="1061">
        <v>693667</v>
      </c>
      <c r="AO978" s="1061">
        <v>693667</v>
      </c>
      <c r="AP978" s="1061">
        <v>729443</v>
      </c>
      <c r="AQ978" s="1061">
        <v>729443</v>
      </c>
      <c r="AR978" s="1044"/>
      <c r="AS978" s="1044"/>
    </row>
    <row r="979" spans="2:45" hidden="1" outlineLevel="1">
      <c r="C979" s="1249" t="s">
        <v>2</v>
      </c>
      <c r="D979" s="1251"/>
      <c r="E979" s="1252" t="s">
        <v>1696</v>
      </c>
      <c r="F979" s="9"/>
      <c r="G979" s="9"/>
      <c r="H979" s="9"/>
      <c r="I979" s="9"/>
      <c r="J979" s="9"/>
      <c r="K979" s="9"/>
      <c r="L979" s="9"/>
      <c r="M979" s="9"/>
      <c r="N979" s="9"/>
      <c r="O979" s="9"/>
      <c r="P979" s="9"/>
      <c r="Q979" s="9"/>
      <c r="R979" s="9"/>
      <c r="S979" s="9"/>
      <c r="T979" s="9"/>
      <c r="U979" s="9"/>
      <c r="V979" s="9"/>
      <c r="W979" s="9"/>
      <c r="X979" s="9"/>
      <c r="Y979" s="9"/>
      <c r="Z979" s="9"/>
      <c r="AA979" s="9"/>
      <c r="AB979" s="12"/>
      <c r="AC979" s="12"/>
      <c r="AD979" s="12"/>
      <c r="AE979" s="12"/>
      <c r="AF979" s="12"/>
      <c r="AG979" s="12"/>
      <c r="AH979" s="12"/>
      <c r="AI979" s="12"/>
      <c r="AJ979" s="24"/>
      <c r="AK979" s="24"/>
      <c r="AL979" s="24">
        <v>2460020</v>
      </c>
      <c r="AM979" s="24">
        <v>2460019</v>
      </c>
      <c r="AN979" s="1061">
        <v>1949999</v>
      </c>
      <c r="AO979" s="1061">
        <v>1850001</v>
      </c>
      <c r="AP979" s="1061">
        <v>1969476</v>
      </c>
      <c r="AQ979" s="1061">
        <v>1969476</v>
      </c>
      <c r="AR979" s="1044"/>
      <c r="AS979" s="1044"/>
    </row>
    <row r="980" spans="2:45" s="870" customFormat="1" hidden="1" outlineLevel="1">
      <c r="B980" s="871"/>
      <c r="C980" s="1249" t="s">
        <v>2</v>
      </c>
      <c r="D980" s="1251"/>
      <c r="E980" s="1252" t="s">
        <v>1833</v>
      </c>
      <c r="F980" s="872"/>
      <c r="G980" s="872"/>
      <c r="H980" s="872"/>
      <c r="I980" s="872"/>
      <c r="J980" s="872"/>
      <c r="K980" s="872"/>
      <c r="L980" s="872"/>
      <c r="M980" s="872"/>
      <c r="N980" s="872"/>
      <c r="O980" s="872"/>
      <c r="P980" s="872"/>
      <c r="Q980" s="872"/>
      <c r="R980" s="872"/>
      <c r="S980" s="872"/>
      <c r="T980" s="872"/>
      <c r="U980" s="872"/>
      <c r="V980" s="872"/>
      <c r="W980" s="872"/>
      <c r="X980" s="872"/>
      <c r="Y980" s="872"/>
      <c r="Z980" s="872"/>
      <c r="AA980" s="872"/>
      <c r="AB980" s="873"/>
      <c r="AC980" s="873"/>
      <c r="AD980" s="873"/>
      <c r="AE980" s="873"/>
      <c r="AF980" s="873"/>
      <c r="AG980" s="873"/>
      <c r="AH980" s="873"/>
      <c r="AI980" s="873"/>
      <c r="AJ980" s="875"/>
      <c r="AK980" s="875"/>
      <c r="AL980" s="875"/>
      <c r="AM980" s="875"/>
      <c r="AN980" s="1061">
        <v>2499977</v>
      </c>
      <c r="AO980" s="1061">
        <v>2500023</v>
      </c>
      <c r="AP980" s="1061">
        <v>2725939</v>
      </c>
      <c r="AQ980" s="1061">
        <v>2725939</v>
      </c>
      <c r="AR980" s="1044"/>
      <c r="AS980" s="1044"/>
    </row>
    <row r="981" spans="2:45" s="877" customFormat="1" hidden="1" outlineLevel="1">
      <c r="B981" s="878"/>
      <c r="C981" s="1249" t="s">
        <v>2</v>
      </c>
      <c r="D981" s="1251"/>
      <c r="E981" s="1252" t="s">
        <v>1861</v>
      </c>
      <c r="F981" s="879"/>
      <c r="G981" s="879"/>
      <c r="H981" s="879"/>
      <c r="I981" s="879"/>
      <c r="J981" s="879"/>
      <c r="K981" s="879"/>
      <c r="L981" s="879"/>
      <c r="M981" s="879"/>
      <c r="N981" s="879"/>
      <c r="O981" s="879"/>
      <c r="P981" s="879"/>
      <c r="Q981" s="879"/>
      <c r="R981" s="879"/>
      <c r="S981" s="879"/>
      <c r="T981" s="879"/>
      <c r="U981" s="879"/>
      <c r="V981" s="879"/>
      <c r="W981" s="879"/>
      <c r="X981" s="879"/>
      <c r="Y981" s="879"/>
      <c r="Z981" s="879"/>
      <c r="AA981" s="879"/>
      <c r="AB981" s="880"/>
      <c r="AC981" s="880"/>
      <c r="AD981" s="880"/>
      <c r="AE981" s="880"/>
      <c r="AF981" s="880"/>
      <c r="AG981" s="880"/>
      <c r="AH981" s="880"/>
      <c r="AI981" s="880"/>
      <c r="AJ981" s="881"/>
      <c r="AK981" s="881"/>
      <c r="AL981" s="881"/>
      <c r="AM981" s="881"/>
      <c r="AN981" s="1061">
        <v>262041</v>
      </c>
      <c r="AO981" s="1061">
        <v>262041</v>
      </c>
      <c r="AP981" s="1061">
        <v>282636</v>
      </c>
      <c r="AQ981" s="1061">
        <v>282636</v>
      </c>
      <c r="AR981" s="1044"/>
      <c r="AS981" s="1044"/>
    </row>
    <row r="982" spans="2:45" s="882" customFormat="1" hidden="1" outlineLevel="1">
      <c r="B982" s="883"/>
      <c r="C982" s="1249" t="s">
        <v>2</v>
      </c>
      <c r="D982" s="1251"/>
      <c r="E982" s="1252" t="s">
        <v>1862</v>
      </c>
      <c r="F982" s="884"/>
      <c r="G982" s="884"/>
      <c r="H982" s="884"/>
      <c r="I982" s="884"/>
      <c r="J982" s="884"/>
      <c r="K982" s="884"/>
      <c r="L982" s="884"/>
      <c r="M982" s="884"/>
      <c r="N982" s="884"/>
      <c r="O982" s="884"/>
      <c r="P982" s="884"/>
      <c r="Q982" s="884"/>
      <c r="R982" s="884"/>
      <c r="S982" s="884"/>
      <c r="T982" s="884"/>
      <c r="U982" s="884"/>
      <c r="V982" s="884"/>
      <c r="W982" s="884"/>
      <c r="X982" s="884"/>
      <c r="Y982" s="884"/>
      <c r="Z982" s="884"/>
      <c r="AA982" s="884"/>
      <c r="AB982" s="885"/>
      <c r="AC982" s="885"/>
      <c r="AD982" s="885"/>
      <c r="AE982" s="885"/>
      <c r="AF982" s="885"/>
      <c r="AG982" s="885"/>
      <c r="AH982" s="885"/>
      <c r="AI982" s="885"/>
      <c r="AJ982" s="886"/>
      <c r="AK982" s="886"/>
      <c r="AL982" s="886"/>
      <c r="AM982" s="886"/>
      <c r="AN982" s="1061">
        <v>250000</v>
      </c>
      <c r="AO982" s="1061">
        <v>250000</v>
      </c>
      <c r="AP982" s="1061">
        <v>250000</v>
      </c>
      <c r="AQ982" s="1061">
        <v>250000</v>
      </c>
      <c r="AR982" s="1044"/>
      <c r="AS982" s="1044"/>
    </row>
    <row r="983" spans="2:45" s="882" customFormat="1" hidden="1" outlineLevel="1">
      <c r="B983" s="883"/>
      <c r="C983" s="1249" t="s">
        <v>2</v>
      </c>
      <c r="D983" s="1251"/>
      <c r="E983" s="1252" t="s">
        <v>1863</v>
      </c>
      <c r="F983" s="884"/>
      <c r="G983" s="884"/>
      <c r="H983" s="884"/>
      <c r="I983" s="884"/>
      <c r="J983" s="884"/>
      <c r="K983" s="884"/>
      <c r="L983" s="884"/>
      <c r="M983" s="884"/>
      <c r="N983" s="884"/>
      <c r="O983" s="884"/>
      <c r="P983" s="884"/>
      <c r="Q983" s="884"/>
      <c r="R983" s="884"/>
      <c r="S983" s="884"/>
      <c r="T983" s="884"/>
      <c r="U983" s="884"/>
      <c r="V983" s="884"/>
      <c r="W983" s="884"/>
      <c r="X983" s="884"/>
      <c r="Y983" s="884"/>
      <c r="Z983" s="884"/>
      <c r="AA983" s="884"/>
      <c r="AB983" s="885"/>
      <c r="AC983" s="885"/>
      <c r="AD983" s="885"/>
      <c r="AE983" s="885"/>
      <c r="AF983" s="885"/>
      <c r="AG983" s="885"/>
      <c r="AH983" s="885"/>
      <c r="AI983" s="885"/>
      <c r="AJ983" s="886"/>
      <c r="AK983" s="886"/>
      <c r="AL983" s="886"/>
      <c r="AM983" s="886"/>
      <c r="AN983" s="1061">
        <v>262977</v>
      </c>
      <c r="AO983" s="1061">
        <v>112977</v>
      </c>
      <c r="AP983" s="1061">
        <v>115397</v>
      </c>
      <c r="AQ983" s="1061">
        <v>115397</v>
      </c>
      <c r="AR983" s="1044"/>
      <c r="AS983" s="1044"/>
    </row>
    <row r="984" spans="2:45" hidden="1" outlineLevel="1">
      <c r="C984" s="1249" t="s">
        <v>2</v>
      </c>
      <c r="D984" s="1251"/>
      <c r="E984" s="1251" t="s">
        <v>186</v>
      </c>
      <c r="F984" s="9"/>
      <c r="G984" s="9"/>
      <c r="H984" s="9"/>
      <c r="I984" s="9"/>
      <c r="J984" s="9"/>
      <c r="K984" s="9"/>
      <c r="L984" s="9"/>
      <c r="M984" s="9"/>
      <c r="N984" s="9"/>
      <c r="O984" s="9"/>
      <c r="P984" s="9"/>
      <c r="Q984" s="9"/>
      <c r="R984" s="9"/>
      <c r="S984" s="9"/>
      <c r="T984" s="9"/>
      <c r="U984" s="9"/>
      <c r="V984" s="9"/>
      <c r="W984" s="9"/>
      <c r="X984" s="9"/>
      <c r="Y984" s="9"/>
      <c r="Z984" s="9"/>
      <c r="AA984" s="9"/>
      <c r="AB984" s="12">
        <v>1747320</v>
      </c>
      <c r="AC984" s="12">
        <v>1747320</v>
      </c>
      <c r="AD984" s="12">
        <v>12897835</v>
      </c>
      <c r="AE984" s="12">
        <v>11719835</v>
      </c>
      <c r="AF984" s="12">
        <v>20624631</v>
      </c>
      <c r="AG984" s="12">
        <v>16143996</v>
      </c>
      <c r="AH984" s="12">
        <v>1300774</v>
      </c>
      <c r="AI984" s="12">
        <v>1300774</v>
      </c>
      <c r="AJ984" s="24">
        <v>1863521</v>
      </c>
      <c r="AK984" s="24">
        <v>1863521</v>
      </c>
      <c r="AL984" s="24"/>
      <c r="AM984" s="24"/>
      <c r="AN984" s="1061"/>
      <c r="AO984" s="1061"/>
      <c r="AP984" s="1061"/>
      <c r="AQ984" s="1061"/>
      <c r="AR984" s="1044"/>
      <c r="AS984" s="1044"/>
    </row>
    <row r="985" spans="2:45" hidden="1" outlineLevel="1">
      <c r="C985" s="1249" t="s">
        <v>2</v>
      </c>
      <c r="D985" s="1251"/>
      <c r="E985" s="1251" t="s">
        <v>187</v>
      </c>
      <c r="F985" s="9"/>
      <c r="G985" s="9"/>
      <c r="H985" s="9"/>
      <c r="I985" s="9"/>
      <c r="J985" s="9"/>
      <c r="K985" s="9"/>
      <c r="L985" s="9"/>
      <c r="M985" s="9"/>
      <c r="N985" s="9"/>
      <c r="O985" s="9"/>
      <c r="P985" s="9"/>
      <c r="Q985" s="9"/>
      <c r="R985" s="9"/>
      <c r="S985" s="9"/>
      <c r="T985" s="9"/>
      <c r="U985" s="9"/>
      <c r="V985" s="9"/>
      <c r="W985" s="9"/>
      <c r="X985" s="9"/>
      <c r="Y985" s="9"/>
      <c r="Z985" s="9"/>
      <c r="AA985" s="9"/>
      <c r="AB985" s="12">
        <v>360179</v>
      </c>
      <c r="AC985" s="12">
        <v>360179</v>
      </c>
      <c r="AD985" s="12">
        <v>1861675</v>
      </c>
      <c r="AE985" s="12">
        <v>1861674</v>
      </c>
      <c r="AF985" s="12">
        <v>1861675</v>
      </c>
      <c r="AG985" s="12">
        <v>1861674</v>
      </c>
      <c r="AH985" s="12">
        <v>1247916</v>
      </c>
      <c r="AI985" s="12">
        <v>1247916</v>
      </c>
      <c r="AJ985" s="24">
        <v>1695255</v>
      </c>
      <c r="AK985" s="24">
        <v>1695255</v>
      </c>
      <c r="AL985" s="24"/>
      <c r="AM985" s="24"/>
      <c r="AN985" s="1061"/>
      <c r="AO985" s="1061"/>
      <c r="AP985" s="1061"/>
      <c r="AQ985" s="1061"/>
      <c r="AR985" s="1044"/>
      <c r="AS985" s="1044"/>
    </row>
    <row r="986" spans="2:45" hidden="1" outlineLevel="1">
      <c r="C986" s="1249" t="s">
        <v>2</v>
      </c>
      <c r="D986" s="1251"/>
      <c r="E986" s="1251" t="s">
        <v>188</v>
      </c>
      <c r="F986" s="9"/>
      <c r="G986" s="9"/>
      <c r="H986" s="9"/>
      <c r="I986" s="9"/>
      <c r="J986" s="9"/>
      <c r="K986" s="9"/>
      <c r="L986" s="9"/>
      <c r="M986" s="9"/>
      <c r="N986" s="9"/>
      <c r="O986" s="9"/>
      <c r="P986" s="9"/>
      <c r="Q986" s="9"/>
      <c r="R986" s="9"/>
      <c r="S986" s="9"/>
      <c r="T986" s="9"/>
      <c r="U986" s="9"/>
      <c r="V986" s="9"/>
      <c r="W986" s="9"/>
      <c r="X986" s="9"/>
      <c r="Y986" s="9"/>
      <c r="Z986" s="9"/>
      <c r="AA986" s="9"/>
      <c r="AB986" s="12">
        <v>2261543</v>
      </c>
      <c r="AC986" s="12">
        <v>2261543</v>
      </c>
      <c r="AD986" s="12">
        <v>334651</v>
      </c>
      <c r="AE986" s="12">
        <v>334651</v>
      </c>
      <c r="AF986" s="12">
        <v>334651</v>
      </c>
      <c r="AG986" s="12">
        <v>334651</v>
      </c>
      <c r="AH986" s="12">
        <v>270230</v>
      </c>
      <c r="AI986" s="12">
        <v>270230</v>
      </c>
      <c r="AJ986" s="58"/>
      <c r="AK986" s="58"/>
      <c r="AL986" s="58"/>
      <c r="AM986" s="58"/>
      <c r="AN986" s="922"/>
      <c r="AO986" s="922"/>
      <c r="AP986" s="922"/>
      <c r="AQ986" s="922"/>
      <c r="AR986" s="1044"/>
      <c r="AS986" s="1044"/>
    </row>
    <row r="987" spans="2:45" hidden="1" outlineLevel="1">
      <c r="C987" s="1249" t="s">
        <v>2</v>
      </c>
      <c r="D987" s="1251"/>
      <c r="E987" s="1251" t="s">
        <v>189</v>
      </c>
      <c r="F987" s="9"/>
      <c r="G987" s="9"/>
      <c r="H987" s="9"/>
      <c r="I987" s="9"/>
      <c r="J987" s="9"/>
      <c r="K987" s="9"/>
      <c r="L987" s="9"/>
      <c r="M987" s="9"/>
      <c r="N987" s="9"/>
      <c r="O987" s="9"/>
      <c r="P987" s="9"/>
      <c r="Q987" s="9"/>
      <c r="R987" s="9"/>
      <c r="S987" s="9"/>
      <c r="T987" s="9"/>
      <c r="U987" s="9"/>
      <c r="V987" s="9"/>
      <c r="W987" s="9"/>
      <c r="X987" s="9"/>
      <c r="Y987" s="9"/>
      <c r="Z987" s="9"/>
      <c r="AA987" s="9"/>
      <c r="AB987" s="12"/>
      <c r="AC987" s="12"/>
      <c r="AD987" s="12">
        <v>2255452</v>
      </c>
      <c r="AE987" s="12">
        <v>2255452</v>
      </c>
      <c r="AF987" s="12">
        <v>2255452</v>
      </c>
      <c r="AG987" s="12">
        <v>2255452</v>
      </c>
      <c r="AH987" s="12">
        <v>2278576</v>
      </c>
      <c r="AI987" s="12">
        <v>2278576</v>
      </c>
      <c r="AJ987" s="24">
        <v>2189978</v>
      </c>
      <c r="AK987" s="24">
        <v>2189978</v>
      </c>
      <c r="AL987" s="24">
        <v>2335671</v>
      </c>
      <c r="AM987" s="24">
        <v>2335670</v>
      </c>
      <c r="AN987" s="1061"/>
      <c r="AO987" s="1061"/>
      <c r="AP987" s="1061"/>
      <c r="AQ987" s="1061"/>
      <c r="AR987" s="1044"/>
      <c r="AS987" s="1044"/>
    </row>
    <row r="988" spans="2:45" hidden="1" outlineLevel="1">
      <c r="C988" s="1249" t="s">
        <v>2</v>
      </c>
      <c r="D988" s="1251"/>
      <c r="E988" s="1251" t="s">
        <v>190</v>
      </c>
      <c r="F988" s="9"/>
      <c r="G988" s="9"/>
      <c r="H988" s="9"/>
      <c r="I988" s="9"/>
      <c r="J988" s="9"/>
      <c r="K988" s="9"/>
      <c r="L988" s="9"/>
      <c r="M988" s="9"/>
      <c r="N988" s="9"/>
      <c r="O988" s="9"/>
      <c r="P988" s="9"/>
      <c r="Q988" s="9"/>
      <c r="R988" s="9"/>
      <c r="S988" s="9"/>
      <c r="T988" s="9"/>
      <c r="U988" s="9"/>
      <c r="V988" s="9"/>
      <c r="W988" s="9"/>
      <c r="X988" s="9"/>
      <c r="Y988" s="9"/>
      <c r="Z988" s="9"/>
      <c r="AA988" s="9"/>
      <c r="AB988" s="12"/>
      <c r="AC988" s="12"/>
      <c r="AD988" s="12"/>
      <c r="AE988" s="12"/>
      <c r="AF988" s="12">
        <v>660500</v>
      </c>
      <c r="AG988" s="12">
        <v>660500</v>
      </c>
      <c r="AH988" s="12"/>
      <c r="AI988" s="12"/>
      <c r="AJ988" s="24">
        <v>423060</v>
      </c>
      <c r="AK988" s="24">
        <v>423060</v>
      </c>
      <c r="AL988" s="24"/>
      <c r="AM988" s="24"/>
      <c r="AN988" s="1061"/>
      <c r="AO988" s="1061"/>
      <c r="AP988" s="1061"/>
      <c r="AQ988" s="1061"/>
      <c r="AR988" s="1044"/>
      <c r="AS988" s="1044"/>
    </row>
    <row r="989" spans="2:45" hidden="1" outlineLevel="1">
      <c r="C989" s="1249" t="s">
        <v>2</v>
      </c>
      <c r="D989" s="1251"/>
      <c r="E989" s="1253" t="s">
        <v>191</v>
      </c>
      <c r="F989" s="35"/>
      <c r="G989" s="35"/>
      <c r="H989" s="35"/>
      <c r="I989" s="35"/>
      <c r="J989" s="35"/>
      <c r="K989" s="35"/>
      <c r="L989" s="35"/>
      <c r="M989" s="35"/>
      <c r="N989" s="35"/>
      <c r="O989" s="35"/>
      <c r="P989" s="35"/>
      <c r="Q989" s="35"/>
      <c r="R989" s="35"/>
      <c r="S989" s="35"/>
      <c r="T989" s="35"/>
      <c r="U989" s="35"/>
      <c r="V989" s="35"/>
      <c r="W989" s="35"/>
      <c r="X989" s="35"/>
      <c r="Y989" s="35"/>
      <c r="Z989" s="35"/>
      <c r="AA989" s="35"/>
      <c r="AB989" s="34">
        <v>12570402</v>
      </c>
      <c r="AC989" s="34">
        <v>12570401</v>
      </c>
      <c r="AD989" s="34">
        <v>26038263</v>
      </c>
      <c r="AE989" s="34">
        <v>24901418</v>
      </c>
      <c r="AF989" s="34">
        <v>33769935</v>
      </c>
      <c r="AG989" s="34">
        <v>29304299</v>
      </c>
      <c r="AH989" s="34">
        <f>12462186</f>
        <v>12462186</v>
      </c>
      <c r="AI989" s="34">
        <v>12462186</v>
      </c>
      <c r="AJ989" s="230">
        <v>12747115</v>
      </c>
      <c r="AK989" s="230">
        <v>12747115</v>
      </c>
      <c r="AL989" s="230">
        <f t="shared" ref="AL989:AQ989" si="295">SUM(AL976:AL988)</f>
        <v>13276649</v>
      </c>
      <c r="AM989" s="230">
        <f t="shared" si="295"/>
        <v>13276646</v>
      </c>
      <c r="AN989" s="920">
        <f t="shared" si="295"/>
        <v>14817841</v>
      </c>
      <c r="AO989" s="920">
        <f t="shared" si="295"/>
        <v>14567889</v>
      </c>
      <c r="AP989" s="920">
        <f t="shared" si="295"/>
        <v>15485210</v>
      </c>
      <c r="AQ989" s="920">
        <f t="shared" si="295"/>
        <v>15495960</v>
      </c>
      <c r="AR989" s="1044"/>
      <c r="AS989" s="1044"/>
    </row>
    <row r="990" spans="2:45" hidden="1" outlineLevel="1">
      <c r="C990" s="1249" t="s">
        <v>2</v>
      </c>
      <c r="D990" s="1251"/>
      <c r="E990" s="670" t="s">
        <v>192</v>
      </c>
      <c r="F990" s="27"/>
      <c r="G990" s="27"/>
      <c r="H990" s="27"/>
      <c r="I990" s="27"/>
      <c r="J990" s="27"/>
      <c r="K990" s="27"/>
      <c r="L990" s="27"/>
      <c r="M990" s="27"/>
      <c r="N990" s="27"/>
      <c r="O990" s="27"/>
      <c r="P990" s="27"/>
      <c r="Q990" s="27"/>
      <c r="R990" s="27"/>
      <c r="S990" s="27"/>
      <c r="T990" s="27"/>
      <c r="U990" s="27"/>
      <c r="V990" s="27"/>
      <c r="W990" s="27"/>
      <c r="X990" s="27"/>
      <c r="Y990" s="27"/>
      <c r="Z990" s="27"/>
      <c r="AA990" s="27"/>
      <c r="AB990" s="12"/>
      <c r="AC990" s="12"/>
      <c r="AD990" s="12"/>
      <c r="AE990" s="12"/>
      <c r="AF990" s="12"/>
      <c r="AG990" s="12"/>
      <c r="AH990" s="12"/>
      <c r="AI990" s="12"/>
      <c r="AJ990" s="371"/>
      <c r="AK990" s="371"/>
      <c r="AL990" s="371"/>
      <c r="AM990" s="371"/>
      <c r="AN990" s="921"/>
      <c r="AO990" s="921"/>
      <c r="AP990" s="921"/>
      <c r="AQ990" s="921"/>
      <c r="AR990" s="1044"/>
      <c r="AS990" s="1044"/>
    </row>
    <row r="991" spans="2:45" hidden="1" outlineLevel="1">
      <c r="C991" s="1249" t="s">
        <v>2</v>
      </c>
      <c r="D991" s="1251"/>
      <c r="E991" s="1251" t="s">
        <v>193</v>
      </c>
      <c r="F991" s="9"/>
      <c r="G991" s="9"/>
      <c r="H991" s="9"/>
      <c r="I991" s="9"/>
      <c r="J991" s="9"/>
      <c r="K991" s="9"/>
      <c r="L991" s="9"/>
      <c r="M991" s="9"/>
      <c r="N991" s="9"/>
      <c r="O991" s="9"/>
      <c r="P991" s="9"/>
      <c r="Q991" s="9"/>
      <c r="R991" s="9"/>
      <c r="S991" s="9"/>
      <c r="T991" s="9"/>
      <c r="U991" s="9"/>
      <c r="V991" s="9"/>
      <c r="W991" s="9"/>
      <c r="X991" s="9"/>
      <c r="Y991" s="9"/>
      <c r="Z991" s="9"/>
      <c r="AA991" s="9"/>
      <c r="AB991" s="12">
        <f>181000+370000</f>
        <v>551000</v>
      </c>
      <c r="AC991" s="12">
        <f>78000+370000</f>
        <v>448000</v>
      </c>
      <c r="AD991" s="12">
        <v>837800</v>
      </c>
      <c r="AE991" s="12">
        <v>363800</v>
      </c>
      <c r="AF991" s="12">
        <v>859000</v>
      </c>
      <c r="AG991" s="12">
        <v>362000</v>
      </c>
      <c r="AH991" s="12">
        <v>542000</v>
      </c>
      <c r="AI991" s="12">
        <v>557000</v>
      </c>
      <c r="AJ991" s="24">
        <v>558444</v>
      </c>
      <c r="AK991" s="24">
        <v>562104</v>
      </c>
      <c r="AL991" s="24">
        <v>105668</v>
      </c>
      <c r="AM991" s="24">
        <v>105668</v>
      </c>
      <c r="AN991" s="1061">
        <v>247400</v>
      </c>
      <c r="AO991" s="1061">
        <v>247400</v>
      </c>
      <c r="AP991" s="1061">
        <v>247400</v>
      </c>
      <c r="AQ991" s="1061">
        <v>247400</v>
      </c>
      <c r="AR991" s="1044"/>
      <c r="AS991" s="1044"/>
    </row>
    <row r="992" spans="2:45" hidden="1" outlineLevel="1">
      <c r="C992" s="1249" t="s">
        <v>2</v>
      </c>
      <c r="D992" s="1251"/>
      <c r="E992" s="1251" t="s">
        <v>1459</v>
      </c>
      <c r="F992" s="9"/>
      <c r="G992" s="9"/>
      <c r="H992" s="9"/>
      <c r="I992" s="9"/>
      <c r="J992" s="9"/>
      <c r="K992" s="9"/>
      <c r="L992" s="9"/>
      <c r="M992" s="9"/>
      <c r="N992" s="9"/>
      <c r="O992" s="9"/>
      <c r="P992" s="9"/>
      <c r="Q992" s="9"/>
      <c r="R992" s="9"/>
      <c r="S992" s="9"/>
      <c r="T992" s="9"/>
      <c r="U992" s="9"/>
      <c r="V992" s="9"/>
      <c r="W992" s="9"/>
      <c r="X992" s="9"/>
      <c r="Y992" s="9"/>
      <c r="Z992" s="9"/>
      <c r="AA992" s="9"/>
      <c r="AB992" s="12">
        <v>1097399</v>
      </c>
      <c r="AC992" s="12">
        <v>997398</v>
      </c>
      <c r="AD992" s="12"/>
      <c r="AE992" s="12"/>
      <c r="AF992" s="12"/>
      <c r="AG992" s="12"/>
      <c r="AH992" s="12"/>
      <c r="AI992" s="12"/>
      <c r="AJ992" s="24"/>
      <c r="AK992" s="24"/>
      <c r="AL992" s="24"/>
      <c r="AM992" s="24"/>
      <c r="AN992" s="1061"/>
      <c r="AO992" s="1061"/>
      <c r="AP992" s="1061"/>
      <c r="AQ992" s="1061"/>
      <c r="AR992" s="1044"/>
      <c r="AS992" s="1044"/>
    </row>
    <row r="993" spans="2:45" hidden="1" outlineLevel="1">
      <c r="C993" s="1249" t="s">
        <v>2</v>
      </c>
      <c r="D993" s="1251"/>
      <c r="E993" s="1252" t="s">
        <v>194</v>
      </c>
      <c r="F993" s="9"/>
      <c r="G993" s="9"/>
      <c r="H993" s="9"/>
      <c r="I993" s="9"/>
      <c r="J993" s="9"/>
      <c r="K993" s="9"/>
      <c r="L993" s="9"/>
      <c r="M993" s="9"/>
      <c r="N993" s="9"/>
      <c r="O993" s="9"/>
      <c r="P993" s="9"/>
      <c r="Q993" s="9"/>
      <c r="R993" s="9"/>
      <c r="S993" s="9"/>
      <c r="T993" s="9"/>
      <c r="U993" s="9"/>
      <c r="V993" s="9"/>
      <c r="W993" s="9"/>
      <c r="X993" s="9"/>
      <c r="Y993" s="9"/>
      <c r="Z993" s="9"/>
      <c r="AA993" s="9"/>
      <c r="AB993" s="12">
        <v>553407</v>
      </c>
      <c r="AC993" s="12">
        <v>553408</v>
      </c>
      <c r="AD993" s="12">
        <v>555500</v>
      </c>
      <c r="AE993" s="12">
        <v>555500</v>
      </c>
      <c r="AF993" s="12">
        <v>3272500</v>
      </c>
      <c r="AG993" s="12">
        <v>652500</v>
      </c>
      <c r="AH993" s="12"/>
      <c r="AI993" s="12"/>
      <c r="AJ993" s="58"/>
      <c r="AK993" s="58"/>
      <c r="AL993" s="58"/>
      <c r="AM993" s="58"/>
      <c r="AN993" s="922"/>
      <c r="AO993" s="922"/>
      <c r="AP993" s="922"/>
      <c r="AQ993" s="922"/>
      <c r="AR993" s="1044"/>
      <c r="AS993" s="1044"/>
    </row>
    <row r="994" spans="2:45" hidden="1" outlineLevel="1">
      <c r="C994" s="1249" t="s">
        <v>2</v>
      </c>
      <c r="D994" s="1251"/>
      <c r="E994" s="1251" t="s">
        <v>195</v>
      </c>
      <c r="F994" s="9"/>
      <c r="G994" s="9"/>
      <c r="H994" s="9"/>
      <c r="I994" s="9"/>
      <c r="J994" s="9"/>
      <c r="K994" s="9"/>
      <c r="L994" s="9"/>
      <c r="M994" s="9"/>
      <c r="N994" s="9"/>
      <c r="O994" s="9"/>
      <c r="P994" s="9"/>
      <c r="Q994" s="9"/>
      <c r="R994" s="9"/>
      <c r="S994" s="9"/>
      <c r="T994" s="9"/>
      <c r="U994" s="9"/>
      <c r="V994" s="9"/>
      <c r="W994" s="9"/>
      <c r="X994" s="9"/>
      <c r="Y994" s="9"/>
      <c r="Z994" s="9"/>
      <c r="AA994" s="9"/>
      <c r="AB994" s="12">
        <v>4300000</v>
      </c>
      <c r="AC994" s="12">
        <v>4300000</v>
      </c>
      <c r="AD994" s="12">
        <v>6800000</v>
      </c>
      <c r="AE994" s="12">
        <v>6800000</v>
      </c>
      <c r="AF994" s="12">
        <v>5956973</v>
      </c>
      <c r="AG994" s="12">
        <v>5956973</v>
      </c>
      <c r="AH994" s="12"/>
      <c r="AI994" s="12"/>
      <c r="AJ994" s="58"/>
      <c r="AK994" s="58"/>
      <c r="AL994" s="58"/>
      <c r="AM994" s="58"/>
      <c r="AN994" s="922"/>
      <c r="AO994" s="922"/>
      <c r="AP994" s="922"/>
      <c r="AQ994" s="922"/>
      <c r="AR994" s="1044"/>
      <c r="AS994" s="1044"/>
    </row>
    <row r="995" spans="2:45" hidden="1" outlineLevel="1">
      <c r="C995" s="1249" t="s">
        <v>2</v>
      </c>
      <c r="D995" s="1251"/>
      <c r="E995" s="1251" t="s">
        <v>196</v>
      </c>
      <c r="F995" s="9"/>
      <c r="G995" s="9"/>
      <c r="H995" s="9"/>
      <c r="I995" s="9"/>
      <c r="J995" s="9"/>
      <c r="K995" s="9"/>
      <c r="L995" s="9"/>
      <c r="M995" s="9"/>
      <c r="N995" s="9"/>
      <c r="O995" s="9"/>
      <c r="P995" s="9"/>
      <c r="Q995" s="9"/>
      <c r="R995" s="9"/>
      <c r="S995" s="9"/>
      <c r="T995" s="9"/>
      <c r="U995" s="9"/>
      <c r="V995" s="9"/>
      <c r="W995" s="9"/>
      <c r="X995" s="9"/>
      <c r="Y995" s="9"/>
      <c r="Z995" s="9"/>
      <c r="AA995" s="9"/>
      <c r="AB995" s="12">
        <v>225000</v>
      </c>
      <c r="AC995" s="12">
        <v>225000</v>
      </c>
      <c r="AD995" s="12">
        <v>225000</v>
      </c>
      <c r="AE995" s="12">
        <v>225000</v>
      </c>
      <c r="AF995" s="12">
        <v>134674</v>
      </c>
      <c r="AG995" s="12">
        <v>134674</v>
      </c>
      <c r="AH995" s="12"/>
      <c r="AI995" s="12"/>
      <c r="AJ995" s="58"/>
      <c r="AK995" s="58"/>
      <c r="AL995" s="58"/>
      <c r="AM995" s="58"/>
      <c r="AN995" s="922"/>
      <c r="AO995" s="922"/>
      <c r="AP995" s="922"/>
      <c r="AQ995" s="922"/>
      <c r="AR995" s="1044"/>
      <c r="AS995" s="1044"/>
    </row>
    <row r="996" spans="2:45" hidden="1" outlineLevel="1">
      <c r="C996" s="1249" t="s">
        <v>2</v>
      </c>
      <c r="D996" s="1251"/>
      <c r="E996" s="1251" t="s">
        <v>197</v>
      </c>
      <c r="F996" s="9"/>
      <c r="G996" s="9"/>
      <c r="H996" s="9"/>
      <c r="I996" s="9"/>
      <c r="J996" s="9"/>
      <c r="K996" s="9"/>
      <c r="L996" s="9"/>
      <c r="M996" s="9"/>
      <c r="N996" s="9"/>
      <c r="O996" s="9"/>
      <c r="P996" s="9"/>
      <c r="Q996" s="9"/>
      <c r="R996" s="9"/>
      <c r="S996" s="9"/>
      <c r="T996" s="9"/>
      <c r="U996" s="9"/>
      <c r="V996" s="9"/>
      <c r="W996" s="9"/>
      <c r="X996" s="9"/>
      <c r="Y996" s="9"/>
      <c r="Z996" s="9"/>
      <c r="AA996" s="9"/>
      <c r="AB996" s="12">
        <v>3000000</v>
      </c>
      <c r="AC996" s="12">
        <v>3000000</v>
      </c>
      <c r="AD996" s="12">
        <v>9700000</v>
      </c>
      <c r="AE996" s="12">
        <v>9700000</v>
      </c>
      <c r="AF996" s="12">
        <v>14369899</v>
      </c>
      <c r="AG996" s="12">
        <v>14369899</v>
      </c>
      <c r="AH996" s="12"/>
      <c r="AI996" s="12"/>
      <c r="AJ996" s="58"/>
      <c r="AK996" s="58"/>
      <c r="AL996" s="24">
        <v>500000</v>
      </c>
      <c r="AM996" s="24">
        <v>1000000</v>
      </c>
      <c r="AN996" s="1061">
        <v>500000</v>
      </c>
      <c r="AO996" s="1061">
        <v>500000</v>
      </c>
      <c r="AP996" s="1061">
        <v>500000</v>
      </c>
      <c r="AQ996" s="1061">
        <v>500000</v>
      </c>
      <c r="AR996" s="1044"/>
      <c r="AS996" s="1044"/>
    </row>
    <row r="997" spans="2:45" hidden="1" outlineLevel="1">
      <c r="C997" s="1249" t="s">
        <v>2</v>
      </c>
      <c r="D997" s="1251"/>
      <c r="E997" s="1251" t="s">
        <v>198</v>
      </c>
      <c r="F997" s="9"/>
      <c r="G997" s="9"/>
      <c r="H997" s="9"/>
      <c r="I997" s="9"/>
      <c r="J997" s="9"/>
      <c r="K997" s="9"/>
      <c r="L997" s="9"/>
      <c r="M997" s="9"/>
      <c r="N997" s="9"/>
      <c r="O997" s="9"/>
      <c r="P997" s="9"/>
      <c r="Q997" s="9"/>
      <c r="R997" s="9"/>
      <c r="S997" s="9"/>
      <c r="T997" s="9"/>
      <c r="U997" s="9"/>
      <c r="V997" s="9"/>
      <c r="W997" s="9"/>
      <c r="X997" s="9"/>
      <c r="Y997" s="9"/>
      <c r="Z997" s="9"/>
      <c r="AA997" s="9"/>
      <c r="AB997" s="12">
        <v>4521443</v>
      </c>
      <c r="AC997" s="12">
        <v>4521443</v>
      </c>
      <c r="AD997" s="12">
        <v>4521443</v>
      </c>
      <c r="AE997" s="12">
        <v>4521443</v>
      </c>
      <c r="AF997" s="12">
        <v>5771443</v>
      </c>
      <c r="AG997" s="12">
        <v>5771443</v>
      </c>
      <c r="AH997" s="12">
        <v>500000</v>
      </c>
      <c r="AI997" s="12">
        <v>500000</v>
      </c>
      <c r="AJ997" s="24">
        <v>2212500</v>
      </c>
      <c r="AK997" s="24">
        <v>2212500</v>
      </c>
      <c r="AL997" s="24">
        <v>3500000</v>
      </c>
      <c r="AM997" s="24">
        <v>3500000</v>
      </c>
      <c r="AN997" s="1061"/>
      <c r="AO997" s="1061"/>
      <c r="AP997" s="1061"/>
      <c r="AQ997" s="1061"/>
      <c r="AR997" s="1044"/>
      <c r="AS997" s="1044"/>
    </row>
    <row r="998" spans="2:45" hidden="1" outlineLevel="1">
      <c r="C998" s="1249" t="s">
        <v>2</v>
      </c>
      <c r="D998" s="1251"/>
      <c r="E998" s="1251" t="s">
        <v>199</v>
      </c>
      <c r="F998" s="9"/>
      <c r="G998" s="9"/>
      <c r="H998" s="9"/>
      <c r="I998" s="9"/>
      <c r="J998" s="9"/>
      <c r="K998" s="9"/>
      <c r="L998" s="9"/>
      <c r="M998" s="9"/>
      <c r="N998" s="9"/>
      <c r="O998" s="9"/>
      <c r="P998" s="9"/>
      <c r="Q998" s="9"/>
      <c r="R998" s="9"/>
      <c r="S998" s="9"/>
      <c r="T998" s="9"/>
      <c r="U998" s="9"/>
      <c r="V998" s="9"/>
      <c r="W998" s="9"/>
      <c r="X998" s="9"/>
      <c r="Y998" s="9"/>
      <c r="Z998" s="9"/>
      <c r="AA998" s="9"/>
      <c r="AB998" s="12">
        <v>197813</v>
      </c>
      <c r="AC998" s="12">
        <v>197813</v>
      </c>
      <c r="AD998" s="12">
        <v>197813</v>
      </c>
      <c r="AE998" s="12">
        <v>197813</v>
      </c>
      <c r="AF998" s="12">
        <v>197813</v>
      </c>
      <c r="AG998" s="12">
        <v>197813</v>
      </c>
      <c r="AH998" s="12">
        <v>187813</v>
      </c>
      <c r="AI998" s="12">
        <v>187813</v>
      </c>
      <c r="AJ998" s="24">
        <v>187813</v>
      </c>
      <c r="AK998" s="24">
        <v>187813</v>
      </c>
      <c r="AL998" s="24">
        <v>187813</v>
      </c>
      <c r="AM998" s="24">
        <v>187813</v>
      </c>
      <c r="AN998" s="1061"/>
      <c r="AO998" s="1061"/>
      <c r="AP998" s="1061"/>
      <c r="AQ998" s="1061"/>
      <c r="AR998" s="1044"/>
      <c r="AS998" s="1044"/>
    </row>
    <row r="999" spans="2:45" hidden="1" outlineLevel="1">
      <c r="C999" s="1249" t="s">
        <v>2</v>
      </c>
      <c r="D999" s="1251"/>
      <c r="E999" s="1251" t="s">
        <v>200</v>
      </c>
      <c r="F999" s="9"/>
      <c r="G999" s="9"/>
      <c r="H999" s="9"/>
      <c r="I999" s="9"/>
      <c r="J999" s="9"/>
      <c r="K999" s="9"/>
      <c r="L999" s="9"/>
      <c r="M999" s="9"/>
      <c r="N999" s="9"/>
      <c r="O999" s="9"/>
      <c r="P999" s="9"/>
      <c r="Q999" s="9"/>
      <c r="R999" s="9"/>
      <c r="S999" s="9"/>
      <c r="T999" s="9"/>
      <c r="U999" s="9"/>
      <c r="V999" s="9"/>
      <c r="W999" s="9"/>
      <c r="X999" s="9"/>
      <c r="Y999" s="9"/>
      <c r="Z999" s="9"/>
      <c r="AA999" s="9"/>
      <c r="AB999" s="12">
        <v>0</v>
      </c>
      <c r="AC999" s="12">
        <v>0</v>
      </c>
      <c r="AD999" s="12">
        <v>737434</v>
      </c>
      <c r="AE999" s="12">
        <v>200000</v>
      </c>
      <c r="AF999" s="12">
        <v>629548</v>
      </c>
      <c r="AG999" s="12">
        <v>150000</v>
      </c>
      <c r="AH999" s="12">
        <v>248036</v>
      </c>
      <c r="AI999" s="12">
        <v>248036</v>
      </c>
      <c r="AJ999" s="24">
        <v>248036</v>
      </c>
      <c r="AK999" s="24">
        <v>248036</v>
      </c>
      <c r="AL999" s="24">
        <f>186027-186027</f>
        <v>0</v>
      </c>
      <c r="AM999" s="24">
        <f>186027-186027</f>
        <v>0</v>
      </c>
      <c r="AN999" s="1061"/>
      <c r="AO999" s="1061"/>
      <c r="AP999" s="1061"/>
      <c r="AQ999" s="1061"/>
      <c r="AR999" s="1044"/>
      <c r="AS999" s="1044"/>
    </row>
    <row r="1000" spans="2:45" hidden="1" outlineLevel="1">
      <c r="C1000" s="1249" t="s">
        <v>2</v>
      </c>
      <c r="D1000" s="1251"/>
      <c r="E1000" s="1251" t="s">
        <v>201</v>
      </c>
      <c r="F1000" s="9"/>
      <c r="G1000" s="9"/>
      <c r="H1000" s="9"/>
      <c r="I1000" s="9"/>
      <c r="J1000" s="9"/>
      <c r="K1000" s="9"/>
      <c r="L1000" s="9"/>
      <c r="M1000" s="9"/>
      <c r="N1000" s="9"/>
      <c r="O1000" s="9"/>
      <c r="P1000" s="9"/>
      <c r="Q1000" s="9"/>
      <c r="R1000" s="9"/>
      <c r="S1000" s="9"/>
      <c r="T1000" s="9"/>
      <c r="U1000" s="9"/>
      <c r="V1000" s="9"/>
      <c r="W1000" s="9"/>
      <c r="X1000" s="9"/>
      <c r="Y1000" s="9"/>
      <c r="Z1000" s="9"/>
      <c r="AA1000" s="9"/>
      <c r="AB1000" s="34">
        <v>291963498</v>
      </c>
      <c r="AC1000" s="34">
        <v>291366498</v>
      </c>
      <c r="AD1000" s="34">
        <v>378076659</v>
      </c>
      <c r="AE1000" s="34">
        <v>368955805</v>
      </c>
      <c r="AF1000" s="34">
        <v>523255995</v>
      </c>
      <c r="AG1000" s="34">
        <v>483838268</v>
      </c>
      <c r="AH1000" s="34">
        <f>527014318</f>
        <v>527014318</v>
      </c>
      <c r="AI1000" s="34">
        <v>352465831</v>
      </c>
      <c r="AJ1000" s="230">
        <f>SUM(AJ1001:AJ1006)</f>
        <v>596145421</v>
      </c>
      <c r="AK1000" s="230">
        <f>SUM(AK1001:AK1006)</f>
        <v>467154726</v>
      </c>
      <c r="AL1000" s="230">
        <f t="shared" ref="AL1000:AM1000" si="296">SUM(AL1001:AL1006)</f>
        <v>621597649</v>
      </c>
      <c r="AM1000" s="230">
        <f t="shared" si="296"/>
        <v>546444063</v>
      </c>
      <c r="AN1000" s="920"/>
      <c r="AO1000" s="920"/>
      <c r="AP1000" s="920"/>
      <c r="AQ1000" s="920"/>
      <c r="AR1000" s="1044"/>
      <c r="AS1000" s="1044"/>
    </row>
    <row r="1001" spans="2:45" hidden="1" outlineLevel="1">
      <c r="C1001" s="1249" t="s">
        <v>2</v>
      </c>
      <c r="D1001" s="1251"/>
      <c r="E1001" s="1254" t="s">
        <v>202</v>
      </c>
      <c r="F1001" s="42"/>
      <c r="G1001" s="42"/>
      <c r="H1001" s="42"/>
      <c r="I1001" s="42"/>
      <c r="J1001" s="42"/>
      <c r="K1001" s="42"/>
      <c r="L1001" s="42"/>
      <c r="M1001" s="42"/>
      <c r="N1001" s="42"/>
      <c r="O1001" s="42"/>
      <c r="P1001" s="42"/>
      <c r="Q1001" s="42"/>
      <c r="R1001" s="42"/>
      <c r="S1001" s="42"/>
      <c r="T1001" s="42"/>
      <c r="U1001" s="42"/>
      <c r="V1001" s="42"/>
      <c r="W1001" s="42"/>
      <c r="X1001" s="42"/>
      <c r="Y1001" s="42"/>
      <c r="Z1001" s="42"/>
      <c r="AA1001" s="42"/>
      <c r="AB1001" s="12">
        <v>5000000</v>
      </c>
      <c r="AC1001" s="12">
        <v>5000000</v>
      </c>
      <c r="AD1001" s="12">
        <v>7500000</v>
      </c>
      <c r="AE1001" s="12">
        <v>7500000</v>
      </c>
      <c r="AF1001" s="12">
        <v>7501000</v>
      </c>
      <c r="AG1001" s="12">
        <v>7500000</v>
      </c>
      <c r="AH1001" s="14">
        <v>7529639</v>
      </c>
      <c r="AI1001" s="14">
        <v>7529639</v>
      </c>
      <c r="AJ1001" s="43">
        <v>9404639</v>
      </c>
      <c r="AK1001" s="43">
        <v>9404639</v>
      </c>
      <c r="AL1001" s="43">
        <v>9404639</v>
      </c>
      <c r="AM1001" s="43">
        <v>9404639</v>
      </c>
      <c r="AN1001" s="924">
        <v>9404639</v>
      </c>
      <c r="AO1001" s="924">
        <v>9404639</v>
      </c>
      <c r="AP1001" s="924">
        <v>9404639</v>
      </c>
      <c r="AQ1001" s="924">
        <v>9404639</v>
      </c>
      <c r="AR1001" s="1044"/>
      <c r="AS1001" s="1044"/>
    </row>
    <row r="1002" spans="2:45" hidden="1" outlineLevel="1">
      <c r="C1002" s="1249" t="s">
        <v>2</v>
      </c>
      <c r="D1002" s="1251"/>
      <c r="E1002" s="1255" t="s">
        <v>1872</v>
      </c>
      <c r="F1002" s="42"/>
      <c r="G1002" s="42"/>
      <c r="H1002" s="42"/>
      <c r="I1002" s="42"/>
      <c r="J1002" s="42"/>
      <c r="K1002" s="42"/>
      <c r="L1002" s="42"/>
      <c r="M1002" s="42"/>
      <c r="N1002" s="42"/>
      <c r="O1002" s="42"/>
      <c r="P1002" s="42"/>
      <c r="Q1002" s="42"/>
      <c r="R1002" s="42"/>
      <c r="S1002" s="42"/>
      <c r="T1002" s="42"/>
      <c r="U1002" s="42"/>
      <c r="V1002" s="42"/>
      <c r="W1002" s="42"/>
      <c r="X1002" s="42"/>
      <c r="Y1002" s="42"/>
      <c r="Z1002" s="42"/>
      <c r="AA1002" s="42"/>
      <c r="AB1002" s="12">
        <v>4500000</v>
      </c>
      <c r="AC1002" s="12">
        <v>4500000</v>
      </c>
      <c r="AD1002" s="12">
        <v>7000000</v>
      </c>
      <c r="AE1002" s="12">
        <v>7000000</v>
      </c>
      <c r="AF1002" s="12">
        <v>11951000</v>
      </c>
      <c r="AG1002" s="12">
        <v>12050000</v>
      </c>
      <c r="AH1002" s="14">
        <v>12030800</v>
      </c>
      <c r="AI1002" s="14">
        <v>12030800</v>
      </c>
      <c r="AJ1002" s="43">
        <v>13905800</v>
      </c>
      <c r="AK1002" s="43">
        <v>13905800</v>
      </c>
      <c r="AL1002" s="43">
        <v>46996151</v>
      </c>
      <c r="AM1002" s="43">
        <v>46996150</v>
      </c>
      <c r="AN1002" s="924">
        <v>44236459</v>
      </c>
      <c r="AO1002" s="924">
        <v>44236458</v>
      </c>
      <c r="AP1002" s="924">
        <v>44236458</v>
      </c>
      <c r="AQ1002" s="924">
        <v>44236459</v>
      </c>
      <c r="AR1002" s="1044"/>
      <c r="AS1002" s="1044"/>
    </row>
    <row r="1003" spans="2:45" s="887" customFormat="1" hidden="1" outlineLevel="1">
      <c r="B1003" s="888"/>
      <c r="C1003" s="1249" t="s">
        <v>2</v>
      </c>
      <c r="D1003" s="1251"/>
      <c r="E1003" s="1255" t="s">
        <v>1864</v>
      </c>
      <c r="F1003" s="891"/>
      <c r="G1003" s="891"/>
      <c r="H1003" s="891"/>
      <c r="I1003" s="891"/>
      <c r="J1003" s="891"/>
      <c r="K1003" s="891"/>
      <c r="L1003" s="891"/>
      <c r="M1003" s="891"/>
      <c r="N1003" s="891"/>
      <c r="O1003" s="891"/>
      <c r="P1003" s="891"/>
      <c r="Q1003" s="891"/>
      <c r="R1003" s="891"/>
      <c r="S1003" s="891"/>
      <c r="T1003" s="891"/>
      <c r="U1003" s="891"/>
      <c r="V1003" s="891"/>
      <c r="W1003" s="891"/>
      <c r="X1003" s="891"/>
      <c r="Y1003" s="891"/>
      <c r="Z1003" s="891"/>
      <c r="AA1003" s="891"/>
      <c r="AB1003" s="889"/>
      <c r="AC1003" s="889"/>
      <c r="AD1003" s="889"/>
      <c r="AE1003" s="889"/>
      <c r="AF1003" s="889"/>
      <c r="AG1003" s="889"/>
      <c r="AH1003" s="890"/>
      <c r="AI1003" s="890"/>
      <c r="AJ1003" s="892"/>
      <c r="AK1003" s="892"/>
      <c r="AL1003" s="892"/>
      <c r="AM1003" s="892"/>
      <c r="AN1003" s="924">
        <v>3759692</v>
      </c>
      <c r="AO1003" s="924">
        <v>3759692</v>
      </c>
      <c r="AP1003" s="924">
        <v>3759692</v>
      </c>
      <c r="AQ1003" s="924">
        <v>3759692</v>
      </c>
      <c r="AR1003" s="1044"/>
      <c r="AS1003" s="1044"/>
    </row>
    <row r="1004" spans="2:45" hidden="1" outlineLevel="1">
      <c r="C1004" s="1249" t="s">
        <v>2</v>
      </c>
      <c r="D1004" s="1251"/>
      <c r="E1004" s="1254" t="s">
        <v>204</v>
      </c>
      <c r="F1004" s="42"/>
      <c r="G1004" s="42"/>
      <c r="H1004" s="42"/>
      <c r="I1004" s="42"/>
      <c r="J1004" s="42"/>
      <c r="K1004" s="42"/>
      <c r="L1004" s="42"/>
      <c r="M1004" s="42"/>
      <c r="N1004" s="42"/>
      <c r="O1004" s="42"/>
      <c r="P1004" s="42"/>
      <c r="Q1004" s="42"/>
      <c r="R1004" s="42"/>
      <c r="S1004" s="42"/>
      <c r="T1004" s="42"/>
      <c r="U1004" s="42"/>
      <c r="V1004" s="42"/>
      <c r="W1004" s="42"/>
      <c r="X1004" s="42"/>
      <c r="Y1004" s="42"/>
      <c r="Z1004" s="42"/>
      <c r="AA1004" s="42"/>
      <c r="AB1004" s="12">
        <v>105974655</v>
      </c>
      <c r="AC1004" s="12">
        <v>105974655</v>
      </c>
      <c r="AD1004" s="12">
        <v>105874655</v>
      </c>
      <c r="AE1004" s="12">
        <v>105874655</v>
      </c>
      <c r="AF1004" s="12">
        <v>106074655</v>
      </c>
      <c r="AG1004" s="12">
        <v>105874655</v>
      </c>
      <c r="AH1004" s="14">
        <v>84422827</v>
      </c>
      <c r="AI1004" s="14">
        <v>84422827</v>
      </c>
      <c r="AJ1004" s="43">
        <v>90047827</v>
      </c>
      <c r="AK1004" s="43">
        <v>90047827</v>
      </c>
      <c r="AL1004" s="43">
        <v>96151977</v>
      </c>
      <c r="AM1004" s="43">
        <v>96151977</v>
      </c>
      <c r="AN1004" s="924">
        <v>85905147</v>
      </c>
      <c r="AO1004" s="924">
        <v>85905147</v>
      </c>
      <c r="AP1004" s="924">
        <v>89305147</v>
      </c>
      <c r="AQ1004" s="924">
        <v>89305147</v>
      </c>
      <c r="AR1004" s="1044"/>
      <c r="AS1004" s="1044"/>
    </row>
    <row r="1005" spans="2:45" hidden="1" outlineLevel="1">
      <c r="C1005" s="1249" t="s">
        <v>2</v>
      </c>
      <c r="D1005" s="1251"/>
      <c r="E1005" s="1254" t="s">
        <v>205</v>
      </c>
      <c r="F1005" s="42"/>
      <c r="G1005" s="42"/>
      <c r="H1005" s="42"/>
      <c r="I1005" s="42"/>
      <c r="J1005" s="42"/>
      <c r="K1005" s="42"/>
      <c r="L1005" s="42"/>
      <c r="M1005" s="42"/>
      <c r="N1005" s="42"/>
      <c r="O1005" s="42"/>
      <c r="P1005" s="42"/>
      <c r="Q1005" s="42"/>
      <c r="R1005" s="42"/>
      <c r="S1005" s="42"/>
      <c r="T1005" s="42"/>
      <c r="U1005" s="42"/>
      <c r="V1005" s="42"/>
      <c r="W1005" s="42"/>
      <c r="X1005" s="42"/>
      <c r="Y1005" s="42"/>
      <c r="Z1005" s="42"/>
      <c r="AA1005" s="42"/>
      <c r="AB1005" s="12">
        <v>166159843</v>
      </c>
      <c r="AC1005" s="12">
        <v>165562843</v>
      </c>
      <c r="AD1005" s="12">
        <v>216701891</v>
      </c>
      <c r="AE1005" s="12">
        <v>212581038</v>
      </c>
      <c r="AF1005" s="12">
        <v>313729340</v>
      </c>
      <c r="AG1005" s="12">
        <v>302413613</v>
      </c>
      <c r="AH1005" s="14">
        <f>325169261</f>
        <v>325169261</v>
      </c>
      <c r="AI1005" s="14">
        <v>234378565</v>
      </c>
      <c r="AJ1005" s="43">
        <v>425204259</v>
      </c>
      <c r="AK1005" s="43">
        <v>299413565</v>
      </c>
      <c r="AL1005" s="43">
        <v>357490057</v>
      </c>
      <c r="AM1005" s="43">
        <v>357490057</v>
      </c>
      <c r="AN1005" s="924">
        <v>393229872</v>
      </c>
      <c r="AO1005" s="924">
        <v>393229872</v>
      </c>
      <c r="AP1005" s="924">
        <v>433222737</v>
      </c>
      <c r="AQ1005" s="924">
        <v>433222737</v>
      </c>
      <c r="AR1005" s="1044"/>
      <c r="AS1005" s="1044"/>
    </row>
    <row r="1006" spans="2:45" hidden="1" outlineLevel="1">
      <c r="C1006" s="1249" t="s">
        <v>2</v>
      </c>
      <c r="D1006" s="1251"/>
      <c r="E1006" s="1254" t="s">
        <v>206</v>
      </c>
      <c r="F1006" s="42"/>
      <c r="G1006" s="42"/>
      <c r="H1006" s="42"/>
      <c r="I1006" s="42"/>
      <c r="J1006" s="42"/>
      <c r="K1006" s="42"/>
      <c r="L1006" s="42"/>
      <c r="M1006" s="42"/>
      <c r="N1006" s="42"/>
      <c r="O1006" s="42"/>
      <c r="P1006" s="42"/>
      <c r="Q1006" s="42"/>
      <c r="R1006" s="42"/>
      <c r="S1006" s="42"/>
      <c r="T1006" s="42"/>
      <c r="U1006" s="42"/>
      <c r="V1006" s="42"/>
      <c r="W1006" s="42"/>
      <c r="X1006" s="42"/>
      <c r="Y1006" s="42"/>
      <c r="Z1006" s="42"/>
      <c r="AA1006" s="42"/>
      <c r="AB1006" s="12">
        <v>10329000</v>
      </c>
      <c r="AC1006" s="12">
        <v>10329000</v>
      </c>
      <c r="AD1006" s="12">
        <v>41000113</v>
      </c>
      <c r="AE1006" s="12">
        <v>36000112</v>
      </c>
      <c r="AF1006" s="12">
        <v>84000000</v>
      </c>
      <c r="AG1006" s="12">
        <v>56000000</v>
      </c>
      <c r="AH1006" s="14">
        <v>97861791</v>
      </c>
      <c r="AI1006" s="14">
        <v>14104000</v>
      </c>
      <c r="AJ1006" s="43">
        <v>57582896</v>
      </c>
      <c r="AK1006" s="43">
        <v>54382895</v>
      </c>
      <c r="AL1006" s="43">
        <f>100972325+10582500</f>
        <v>111554825</v>
      </c>
      <c r="AM1006" s="43">
        <f>27784040+8617200</f>
        <v>36401240</v>
      </c>
      <c r="AN1006" s="924">
        <v>15254566</v>
      </c>
      <c r="AO1006" s="924">
        <v>2904040</v>
      </c>
      <c r="AP1006" s="924">
        <v>1000000</v>
      </c>
      <c r="AQ1006" s="924">
        <v>0</v>
      </c>
      <c r="AR1006" s="1044"/>
      <c r="AS1006" s="1044"/>
    </row>
    <row r="1007" spans="2:45" s="893" customFormat="1" hidden="1" outlineLevel="1">
      <c r="B1007" s="894"/>
      <c r="C1007" s="1249" t="s">
        <v>2</v>
      </c>
      <c r="D1007" s="1251"/>
      <c r="E1007" s="1255" t="s">
        <v>1865</v>
      </c>
      <c r="F1007" s="898"/>
      <c r="G1007" s="898"/>
      <c r="H1007" s="898"/>
      <c r="I1007" s="898"/>
      <c r="J1007" s="898"/>
      <c r="K1007" s="898"/>
      <c r="L1007" s="898"/>
      <c r="M1007" s="898"/>
      <c r="N1007" s="898"/>
      <c r="O1007" s="898"/>
      <c r="P1007" s="898"/>
      <c r="Q1007" s="898"/>
      <c r="R1007" s="898"/>
      <c r="S1007" s="898"/>
      <c r="T1007" s="898"/>
      <c r="U1007" s="898"/>
      <c r="V1007" s="898"/>
      <c r="W1007" s="898"/>
      <c r="X1007" s="898"/>
      <c r="Y1007" s="898"/>
      <c r="Z1007" s="898"/>
      <c r="AA1007" s="898"/>
      <c r="AB1007" s="895"/>
      <c r="AC1007" s="895"/>
      <c r="AD1007" s="895"/>
      <c r="AE1007" s="895"/>
      <c r="AF1007" s="895"/>
      <c r="AG1007" s="895"/>
      <c r="AH1007" s="896"/>
      <c r="AI1007" s="896"/>
      <c r="AJ1007" s="899"/>
      <c r="AK1007" s="899"/>
      <c r="AL1007" s="899"/>
      <c r="AM1007" s="899"/>
      <c r="AN1007" s="924">
        <v>6377942</v>
      </c>
      <c r="AO1007" s="1135">
        <v>902800</v>
      </c>
      <c r="AP1007" s="924">
        <v>200000</v>
      </c>
      <c r="AQ1007" s="1135" t="s">
        <v>1771</v>
      </c>
      <c r="AR1007" s="1044"/>
      <c r="AS1007" s="1044"/>
    </row>
    <row r="1008" spans="2:45" hidden="1" outlineLevel="1">
      <c r="C1008" s="1249" t="s">
        <v>2</v>
      </c>
      <c r="D1008" s="1251"/>
      <c r="E1008" s="1251" t="s">
        <v>207</v>
      </c>
      <c r="F1008" s="9"/>
      <c r="G1008" s="9"/>
      <c r="H1008" s="9"/>
      <c r="I1008" s="9"/>
      <c r="J1008" s="9"/>
      <c r="K1008" s="9"/>
      <c r="L1008" s="9"/>
      <c r="M1008" s="9"/>
      <c r="N1008" s="9"/>
      <c r="O1008" s="9"/>
      <c r="P1008" s="9"/>
      <c r="Q1008" s="9"/>
      <c r="R1008" s="9"/>
      <c r="S1008" s="9"/>
      <c r="T1008" s="9"/>
      <c r="U1008" s="9"/>
      <c r="V1008" s="9"/>
      <c r="W1008" s="9"/>
      <c r="X1008" s="9"/>
      <c r="Y1008" s="9"/>
      <c r="Z1008" s="9"/>
      <c r="AA1008" s="9"/>
      <c r="AB1008" s="12">
        <v>436491</v>
      </c>
      <c r="AC1008" s="12">
        <v>436492</v>
      </c>
      <c r="AD1008" s="12">
        <v>436491</v>
      </c>
      <c r="AE1008" s="12">
        <v>436492</v>
      </c>
      <c r="AF1008" s="12">
        <v>657000</v>
      </c>
      <c r="AG1008" s="12">
        <v>650000</v>
      </c>
      <c r="AH1008" s="12"/>
      <c r="AI1008" s="12"/>
      <c r="AJ1008" s="58"/>
      <c r="AK1008" s="58"/>
      <c r="AL1008" s="58"/>
      <c r="AM1008" s="58"/>
      <c r="AN1008" s="922"/>
      <c r="AO1008" s="922"/>
      <c r="AP1008" s="922"/>
      <c r="AQ1008" s="922"/>
      <c r="AR1008" s="1044"/>
      <c r="AS1008" s="1044"/>
    </row>
    <row r="1009" spans="2:45" hidden="1" outlineLevel="1">
      <c r="C1009" s="1249" t="s">
        <v>2</v>
      </c>
      <c r="D1009" s="1251"/>
      <c r="E1009" s="1251" t="s">
        <v>208</v>
      </c>
      <c r="F1009" s="9"/>
      <c r="G1009" s="9"/>
      <c r="H1009" s="9"/>
      <c r="I1009" s="9"/>
      <c r="J1009" s="9"/>
      <c r="K1009" s="9"/>
      <c r="L1009" s="9"/>
      <c r="M1009" s="9"/>
      <c r="N1009" s="9"/>
      <c r="O1009" s="9"/>
      <c r="P1009" s="9"/>
      <c r="Q1009" s="9"/>
      <c r="R1009" s="9"/>
      <c r="S1009" s="9"/>
      <c r="T1009" s="9"/>
      <c r="U1009" s="9"/>
      <c r="V1009" s="9"/>
      <c r="W1009" s="9"/>
      <c r="X1009" s="9"/>
      <c r="Y1009" s="9"/>
      <c r="Z1009" s="9"/>
      <c r="AA1009" s="9"/>
      <c r="AB1009" s="12"/>
      <c r="AC1009" s="12"/>
      <c r="AD1009" s="12">
        <v>1000000</v>
      </c>
      <c r="AE1009" s="12">
        <v>1000000</v>
      </c>
      <c r="AF1009" s="12">
        <v>1000000</v>
      </c>
      <c r="AG1009" s="12">
        <v>1000000</v>
      </c>
      <c r="AH1009" s="12"/>
      <c r="AI1009" s="12"/>
      <c r="AJ1009" s="24">
        <v>250000</v>
      </c>
      <c r="AK1009" s="24">
        <v>250000</v>
      </c>
      <c r="AL1009" s="24">
        <v>250000</v>
      </c>
      <c r="AM1009" s="24">
        <v>250000</v>
      </c>
      <c r="AN1009" s="1061"/>
      <c r="AO1009" s="1061"/>
      <c r="AP1009" s="1061"/>
      <c r="AQ1009" s="1061"/>
      <c r="AR1009" s="1044"/>
      <c r="AS1009" s="1044"/>
    </row>
    <row r="1010" spans="2:45" hidden="1" outlineLevel="1">
      <c r="C1010" s="1249" t="s">
        <v>2</v>
      </c>
      <c r="D1010" s="1251"/>
      <c r="E1010" s="1251" t="s">
        <v>209</v>
      </c>
      <c r="F1010" s="9"/>
      <c r="G1010" s="9"/>
      <c r="H1010" s="9"/>
      <c r="I1010" s="9"/>
      <c r="J1010" s="9"/>
      <c r="K1010" s="9"/>
      <c r="L1010" s="9"/>
      <c r="M1010" s="9"/>
      <c r="N1010" s="9"/>
      <c r="O1010" s="9"/>
      <c r="P1010" s="9"/>
      <c r="Q1010" s="9"/>
      <c r="R1010" s="9"/>
      <c r="S1010" s="9"/>
      <c r="T1010" s="9"/>
      <c r="U1010" s="9"/>
      <c r="V1010" s="9"/>
      <c r="W1010" s="9"/>
      <c r="X1010" s="9"/>
      <c r="Y1010" s="9"/>
      <c r="Z1010" s="9"/>
      <c r="AA1010" s="9"/>
      <c r="AB1010" s="12"/>
      <c r="AC1010" s="12"/>
      <c r="AD1010" s="12">
        <v>0</v>
      </c>
      <c r="AE1010" s="12">
        <v>100000000</v>
      </c>
      <c r="AF1010" s="12">
        <f>65000000-25000000</f>
        <v>40000000</v>
      </c>
      <c r="AG1010" s="12">
        <f>65000000-25000000</f>
        <v>40000000</v>
      </c>
      <c r="AH1010" s="12"/>
      <c r="AI1010" s="12"/>
      <c r="AJ1010" s="58"/>
      <c r="AK1010" s="58"/>
      <c r="AL1010" s="58"/>
      <c r="AM1010" s="58"/>
      <c r="AN1010" s="922"/>
      <c r="AO1010" s="922"/>
      <c r="AP1010" s="922"/>
      <c r="AQ1010" s="922"/>
      <c r="AR1010" s="1044"/>
      <c r="AS1010" s="1044"/>
    </row>
    <row r="1011" spans="2:45" hidden="1" outlineLevel="1">
      <c r="C1011" s="1249" t="s">
        <v>2</v>
      </c>
      <c r="D1011" s="1251"/>
      <c r="E1011" s="1251" t="s">
        <v>210</v>
      </c>
      <c r="F1011" s="9"/>
      <c r="G1011" s="9"/>
      <c r="H1011" s="9"/>
      <c r="I1011" s="9"/>
      <c r="J1011" s="9"/>
      <c r="K1011" s="9"/>
      <c r="L1011" s="9"/>
      <c r="M1011" s="9"/>
      <c r="N1011" s="9"/>
      <c r="O1011" s="9"/>
      <c r="P1011" s="9"/>
      <c r="Q1011" s="9"/>
      <c r="R1011" s="9"/>
      <c r="S1011" s="9"/>
      <c r="T1011" s="9"/>
      <c r="U1011" s="9"/>
      <c r="V1011" s="9"/>
      <c r="W1011" s="9"/>
      <c r="X1011" s="9"/>
      <c r="Y1011" s="9"/>
      <c r="Z1011" s="9"/>
      <c r="AA1011" s="9"/>
      <c r="AB1011" s="12"/>
      <c r="AC1011" s="12"/>
      <c r="AD1011" s="12"/>
      <c r="AE1011" s="12"/>
      <c r="AF1011" s="12">
        <v>25000000</v>
      </c>
      <c r="AG1011" s="12">
        <v>29000000</v>
      </c>
      <c r="AH1011" s="12">
        <v>21862446</v>
      </c>
      <c r="AI1011" s="12">
        <v>17762446</v>
      </c>
      <c r="AJ1011" s="24">
        <v>21862446</v>
      </c>
      <c r="AK1011" s="24">
        <v>17762446</v>
      </c>
      <c r="AL1011" s="24">
        <v>9111524</v>
      </c>
      <c r="AM1011" s="24">
        <v>9111524</v>
      </c>
      <c r="AN1011" s="1061">
        <v>3000000</v>
      </c>
      <c r="AO1011" s="1061">
        <v>223048</v>
      </c>
      <c r="AP1011" s="1061"/>
      <c r="AQ1011" s="1061"/>
      <c r="AR1011" s="1044"/>
      <c r="AS1011" s="1044"/>
    </row>
    <row r="1012" spans="2:45" hidden="1" outlineLevel="1">
      <c r="C1012" s="1249" t="s">
        <v>2</v>
      </c>
      <c r="D1012" s="1251"/>
      <c r="E1012" s="1251" t="s">
        <v>211</v>
      </c>
      <c r="F1012" s="9"/>
      <c r="G1012" s="9"/>
      <c r="H1012" s="9"/>
      <c r="I1012" s="9"/>
      <c r="J1012" s="9"/>
      <c r="K1012" s="9"/>
      <c r="L1012" s="9"/>
      <c r="M1012" s="9"/>
      <c r="N1012" s="9"/>
      <c r="O1012" s="9"/>
      <c r="P1012" s="9"/>
      <c r="Q1012" s="9"/>
      <c r="R1012" s="9"/>
      <c r="S1012" s="9"/>
      <c r="T1012" s="9"/>
      <c r="U1012" s="9"/>
      <c r="V1012" s="9"/>
      <c r="W1012" s="9"/>
      <c r="X1012" s="9"/>
      <c r="Y1012" s="9"/>
      <c r="Z1012" s="9"/>
      <c r="AA1012" s="9"/>
      <c r="AB1012" s="12"/>
      <c r="AC1012" s="12"/>
      <c r="AD1012" s="12"/>
      <c r="AE1012" s="12"/>
      <c r="AF1012" s="12">
        <v>1000000</v>
      </c>
      <c r="AG1012" s="12">
        <v>1000000</v>
      </c>
      <c r="AH1012" s="12">
        <v>3560000</v>
      </c>
      <c r="AI1012" s="12">
        <v>3560000</v>
      </c>
      <c r="AJ1012" s="372">
        <v>3560000</v>
      </c>
      <c r="AK1012" s="24">
        <v>3560000</v>
      </c>
      <c r="AL1012" s="372">
        <v>2670000</v>
      </c>
      <c r="AM1012" s="24">
        <v>2670000</v>
      </c>
      <c r="AN1012" s="1061">
        <v>1335000</v>
      </c>
      <c r="AO1012" s="1061">
        <v>1335000</v>
      </c>
      <c r="AP1012" s="1061">
        <v>3420000</v>
      </c>
      <c r="AQ1012" s="1061">
        <v>3420000</v>
      </c>
      <c r="AR1012" s="1044"/>
      <c r="AS1012" s="1044"/>
    </row>
    <row r="1013" spans="2:45" hidden="1" outlineLevel="1">
      <c r="C1013" s="1249" t="s">
        <v>2</v>
      </c>
      <c r="D1013" s="1251"/>
      <c r="E1013" s="1252" t="s">
        <v>1000</v>
      </c>
      <c r="F1013" s="9"/>
      <c r="G1013" s="9"/>
      <c r="H1013" s="9"/>
      <c r="I1013" s="9"/>
      <c r="J1013" s="9"/>
      <c r="K1013" s="9"/>
      <c r="L1013" s="9"/>
      <c r="M1013" s="9"/>
      <c r="N1013" s="9"/>
      <c r="O1013" s="9"/>
      <c r="P1013" s="9"/>
      <c r="Q1013" s="9"/>
      <c r="R1013" s="9"/>
      <c r="S1013" s="9"/>
      <c r="T1013" s="9"/>
      <c r="U1013" s="9"/>
      <c r="V1013" s="9"/>
      <c r="W1013" s="9"/>
      <c r="X1013" s="9"/>
      <c r="Y1013" s="9"/>
      <c r="Z1013" s="9"/>
      <c r="AA1013" s="9"/>
      <c r="AB1013" s="12"/>
      <c r="AC1013" s="12"/>
      <c r="AD1013" s="12"/>
      <c r="AE1013" s="12"/>
      <c r="AF1013" s="12"/>
      <c r="AG1013" s="12"/>
      <c r="AH1013" s="12"/>
      <c r="AI1013" s="12">
        <v>30000000</v>
      </c>
      <c r="AJ1013" s="373"/>
      <c r="AK1013" s="373"/>
      <c r="AL1013" s="373"/>
      <c r="AM1013" s="373"/>
      <c r="AN1013" s="1063"/>
      <c r="AO1013" s="1063"/>
      <c r="AP1013" s="1063"/>
      <c r="AQ1013" s="1063"/>
      <c r="AR1013" s="1044"/>
      <c r="AS1013" s="1044"/>
    </row>
    <row r="1014" spans="2:45" hidden="1" outlineLevel="1">
      <c r="C1014" s="1249" t="s">
        <v>2</v>
      </c>
      <c r="D1014" s="1251"/>
      <c r="E1014" s="1251" t="s">
        <v>212</v>
      </c>
      <c r="F1014" s="9"/>
      <c r="G1014" s="9"/>
      <c r="H1014" s="9"/>
      <c r="I1014" s="9"/>
      <c r="J1014" s="9"/>
      <c r="K1014" s="9"/>
      <c r="L1014" s="9"/>
      <c r="M1014" s="9"/>
      <c r="N1014" s="9"/>
      <c r="O1014" s="9"/>
      <c r="P1014" s="9"/>
      <c r="Q1014" s="9"/>
      <c r="R1014" s="9"/>
      <c r="S1014" s="9"/>
      <c r="T1014" s="9"/>
      <c r="U1014" s="9"/>
      <c r="V1014" s="9"/>
      <c r="W1014" s="9"/>
      <c r="X1014" s="9"/>
      <c r="Y1014" s="9"/>
      <c r="Z1014" s="9"/>
      <c r="AA1014" s="9"/>
      <c r="AB1014" s="12"/>
      <c r="AC1014" s="12"/>
      <c r="AD1014" s="12"/>
      <c r="AE1014" s="12"/>
      <c r="AF1014" s="12">
        <v>349500</v>
      </c>
      <c r="AG1014" s="12">
        <v>349500</v>
      </c>
      <c r="AH1014" s="12"/>
      <c r="AI1014" s="12"/>
      <c r="AJ1014" s="58"/>
      <c r="AK1014" s="58"/>
      <c r="AL1014" s="58"/>
      <c r="AM1014" s="58"/>
      <c r="AN1014" s="922"/>
      <c r="AO1014" s="922"/>
      <c r="AP1014" s="922"/>
      <c r="AQ1014" s="922"/>
      <c r="AR1014" s="1044"/>
      <c r="AS1014" s="1044"/>
    </row>
    <row r="1015" spans="2:45" hidden="1" outlineLevel="1">
      <c r="C1015" s="1249" t="s">
        <v>2</v>
      </c>
      <c r="D1015" s="1251"/>
      <c r="E1015" s="1251" t="s">
        <v>213</v>
      </c>
      <c r="F1015" s="9"/>
      <c r="G1015" s="9"/>
      <c r="H1015" s="9"/>
      <c r="I1015" s="9"/>
      <c r="J1015" s="9"/>
      <c r="K1015" s="9"/>
      <c r="L1015" s="9"/>
      <c r="M1015" s="9"/>
      <c r="N1015" s="9"/>
      <c r="O1015" s="9"/>
      <c r="P1015" s="9"/>
      <c r="Q1015" s="9"/>
      <c r="R1015" s="9"/>
      <c r="S1015" s="9"/>
      <c r="T1015" s="9"/>
      <c r="U1015" s="9"/>
      <c r="V1015" s="9"/>
      <c r="W1015" s="9"/>
      <c r="X1015" s="9"/>
      <c r="Y1015" s="9"/>
      <c r="Z1015" s="9"/>
      <c r="AA1015" s="9"/>
      <c r="AB1015" s="12"/>
      <c r="AC1015" s="12"/>
      <c r="AD1015" s="12"/>
      <c r="AE1015" s="12"/>
      <c r="AF1015" s="12">
        <v>675000</v>
      </c>
      <c r="AG1015" s="12">
        <v>675000</v>
      </c>
      <c r="AH1015" s="12"/>
      <c r="AI1015" s="12"/>
      <c r="AJ1015" s="58"/>
      <c r="AK1015" s="58"/>
      <c r="AL1015" s="58"/>
      <c r="AM1015" s="58"/>
      <c r="AN1015" s="922"/>
      <c r="AO1015" s="922"/>
      <c r="AP1015" s="922"/>
      <c r="AQ1015" s="922"/>
      <c r="AR1015" s="1044"/>
      <c r="AS1015" s="1044"/>
    </row>
    <row r="1016" spans="2:45" hidden="1" outlineLevel="1">
      <c r="C1016" s="1249" t="s">
        <v>2</v>
      </c>
      <c r="D1016" s="1251"/>
      <c r="E1016" s="1251" t="s">
        <v>214</v>
      </c>
      <c r="F1016" s="9"/>
      <c r="G1016" s="9"/>
      <c r="H1016" s="9"/>
      <c r="I1016" s="9"/>
      <c r="J1016" s="9"/>
      <c r="K1016" s="9"/>
      <c r="L1016" s="9"/>
      <c r="M1016" s="9"/>
      <c r="N1016" s="9"/>
      <c r="O1016" s="9"/>
      <c r="P1016" s="9"/>
      <c r="Q1016" s="9"/>
      <c r="R1016" s="9"/>
      <c r="S1016" s="9"/>
      <c r="T1016" s="9"/>
      <c r="U1016" s="9"/>
      <c r="V1016" s="9"/>
      <c r="W1016" s="9"/>
      <c r="X1016" s="9"/>
      <c r="Y1016" s="9"/>
      <c r="Z1016" s="9"/>
      <c r="AA1016" s="9"/>
      <c r="AB1016" s="12"/>
      <c r="AC1016" s="12"/>
      <c r="AD1016" s="12"/>
      <c r="AE1016" s="12"/>
      <c r="AF1016" s="12"/>
      <c r="AG1016" s="12"/>
      <c r="AH1016" s="12"/>
      <c r="AI1016" s="12"/>
      <c r="AJ1016" s="374">
        <v>3000000</v>
      </c>
      <c r="AK1016" s="374">
        <v>3000000</v>
      </c>
      <c r="AL1016" s="374">
        <v>6505500</v>
      </c>
      <c r="AM1016" s="374">
        <v>6505500</v>
      </c>
      <c r="AN1016" s="986"/>
      <c r="AO1016" s="986"/>
      <c r="AP1016" s="986"/>
      <c r="AQ1016" s="986"/>
      <c r="AR1016" s="1044"/>
      <c r="AS1016" s="1044"/>
    </row>
    <row r="1017" spans="2:45" hidden="1" outlineLevel="1">
      <c r="C1017" s="1249" t="s">
        <v>2</v>
      </c>
      <c r="D1017" s="1251"/>
      <c r="E1017" s="1252" t="s">
        <v>753</v>
      </c>
      <c r="F1017" s="9"/>
      <c r="G1017" s="9"/>
      <c r="H1017" s="9"/>
      <c r="I1017" s="9"/>
      <c r="J1017" s="9"/>
      <c r="K1017" s="9"/>
      <c r="L1017" s="9"/>
      <c r="M1017" s="9"/>
      <c r="N1017" s="9"/>
      <c r="O1017" s="9"/>
      <c r="P1017" s="9"/>
      <c r="Q1017" s="9"/>
      <c r="R1017" s="9"/>
      <c r="S1017" s="9"/>
      <c r="T1017" s="9"/>
      <c r="U1017" s="9"/>
      <c r="V1017" s="9"/>
      <c r="W1017" s="9"/>
      <c r="X1017" s="9"/>
      <c r="Y1017" s="9"/>
      <c r="Z1017" s="9"/>
      <c r="AA1017" s="9"/>
      <c r="AB1017" s="12"/>
      <c r="AC1017" s="12"/>
      <c r="AD1017" s="12"/>
      <c r="AE1017" s="12"/>
      <c r="AF1017" s="12">
        <v>25000000</v>
      </c>
      <c r="AG1017" s="12">
        <v>25000000</v>
      </c>
      <c r="AH1017" s="12">
        <v>17812500</v>
      </c>
      <c r="AI1017" s="12">
        <f>17812500+34400000</f>
        <v>52212500</v>
      </c>
      <c r="AJ1017" s="58"/>
      <c r="AK1017" s="58"/>
      <c r="AL1017" s="58"/>
      <c r="AM1017" s="58"/>
      <c r="AN1017" s="922"/>
      <c r="AO1017" s="922"/>
      <c r="AP1017" s="922"/>
      <c r="AQ1017" s="922"/>
      <c r="AR1017" s="1044"/>
      <c r="AS1017" s="1044"/>
    </row>
    <row r="1018" spans="2:45" s="1044" customFormat="1" hidden="1" outlineLevel="1">
      <c r="B1018" s="1045"/>
      <c r="C1018" s="1249" t="s">
        <v>2</v>
      </c>
      <c r="D1018" s="1251"/>
      <c r="E1018" s="1252" t="s">
        <v>1973</v>
      </c>
      <c r="F1018" s="1030"/>
      <c r="G1018" s="1030"/>
      <c r="H1018" s="1030"/>
      <c r="I1018" s="1030"/>
      <c r="J1018" s="1030"/>
      <c r="K1018" s="1030"/>
      <c r="L1018" s="1030"/>
      <c r="M1018" s="1030"/>
      <c r="N1018" s="1030"/>
      <c r="O1018" s="1030"/>
      <c r="P1018" s="1030"/>
      <c r="Q1018" s="1030"/>
      <c r="R1018" s="1030"/>
      <c r="S1018" s="1030"/>
      <c r="T1018" s="1030"/>
      <c r="U1018" s="1030"/>
      <c r="V1018" s="1030"/>
      <c r="W1018" s="1030"/>
      <c r="X1018" s="1030"/>
      <c r="Y1018" s="1030"/>
      <c r="Z1018" s="1030"/>
      <c r="AA1018" s="1030"/>
      <c r="AB1018" s="1070"/>
      <c r="AC1018" s="1070"/>
      <c r="AD1018" s="1070"/>
      <c r="AE1018" s="1070"/>
      <c r="AF1018" s="1070"/>
      <c r="AG1018" s="1070"/>
      <c r="AH1018" s="1070"/>
      <c r="AI1018" s="1070"/>
      <c r="AJ1018" s="922"/>
      <c r="AK1018" s="922"/>
      <c r="AL1018" s="922"/>
      <c r="AM1018" s="922"/>
      <c r="AN1018" s="1061"/>
      <c r="AO1018" s="1061"/>
      <c r="AP1018" s="1061">
        <v>266025</v>
      </c>
      <c r="AQ1018" s="1061">
        <v>196024</v>
      </c>
    </row>
    <row r="1019" spans="2:45" hidden="1" outlineLevel="1">
      <c r="C1019" s="1249" t="s">
        <v>2</v>
      </c>
      <c r="D1019" s="1251"/>
      <c r="E1019" s="1252" t="s">
        <v>1697</v>
      </c>
      <c r="F1019" s="9"/>
      <c r="G1019" s="9"/>
      <c r="H1019" s="9"/>
      <c r="I1019" s="9"/>
      <c r="J1019" s="9"/>
      <c r="K1019" s="9"/>
      <c r="L1019" s="9"/>
      <c r="M1019" s="9"/>
      <c r="N1019" s="9"/>
      <c r="O1019" s="9"/>
      <c r="P1019" s="9"/>
      <c r="Q1019" s="9"/>
      <c r="R1019" s="9"/>
      <c r="S1019" s="9"/>
      <c r="T1019" s="9"/>
      <c r="U1019" s="9"/>
      <c r="V1019" s="9"/>
      <c r="W1019" s="9"/>
      <c r="X1019" s="9"/>
      <c r="Y1019" s="9"/>
      <c r="Z1019" s="9"/>
      <c r="AA1019" s="9"/>
      <c r="AB1019" s="12"/>
      <c r="AC1019" s="12"/>
      <c r="AD1019" s="12"/>
      <c r="AE1019" s="12"/>
      <c r="AF1019" s="12"/>
      <c r="AG1019" s="12"/>
      <c r="AH1019" s="12"/>
      <c r="AI1019" s="12"/>
      <c r="AJ1019" s="58"/>
      <c r="AK1019" s="58"/>
      <c r="AL1019" s="374">
        <v>2000000</v>
      </c>
      <c r="AM1019" s="374">
        <v>2000000</v>
      </c>
      <c r="AN1019" s="986"/>
      <c r="AO1019" s="986"/>
      <c r="AP1019" s="986"/>
      <c r="AQ1019" s="986"/>
      <c r="AR1019" s="1044"/>
      <c r="AS1019" s="1044"/>
    </row>
    <row r="1020" spans="2:45" hidden="1" outlineLevel="1">
      <c r="C1020" s="1249" t="s">
        <v>2</v>
      </c>
      <c r="D1020" s="1251"/>
      <c r="E1020" s="1253" t="s">
        <v>215</v>
      </c>
      <c r="F1020" s="35"/>
      <c r="G1020" s="35"/>
      <c r="H1020" s="35"/>
      <c r="I1020" s="35"/>
      <c r="J1020" s="35"/>
      <c r="K1020" s="35"/>
      <c r="L1020" s="35"/>
      <c r="M1020" s="35"/>
      <c r="N1020" s="35"/>
      <c r="O1020" s="35"/>
      <c r="P1020" s="35"/>
      <c r="Q1020" s="35"/>
      <c r="R1020" s="35"/>
      <c r="S1020" s="35"/>
      <c r="T1020" s="35"/>
      <c r="U1020" s="35"/>
      <c r="V1020" s="35"/>
      <c r="W1020" s="35"/>
      <c r="X1020" s="35"/>
      <c r="Y1020" s="35"/>
      <c r="Z1020" s="35"/>
      <c r="AA1020" s="35"/>
      <c r="AB1020" s="34">
        <v>306846051</v>
      </c>
      <c r="AC1020" s="34">
        <v>306046052</v>
      </c>
      <c r="AD1020" s="34">
        <v>403088140</v>
      </c>
      <c r="AE1020" s="34">
        <v>492955853</v>
      </c>
      <c r="AF1020" s="34">
        <v>648129345</v>
      </c>
      <c r="AG1020" s="34">
        <v>609108070</v>
      </c>
      <c r="AH1020" s="34">
        <v>571727113</v>
      </c>
      <c r="AI1020" s="34">
        <f>393093626+64400000</f>
        <v>457493626</v>
      </c>
      <c r="AJ1020" s="230">
        <v>628024660</v>
      </c>
      <c r="AK1020" s="230">
        <v>494937625</v>
      </c>
      <c r="AL1020" s="230">
        <f>SUM(AL991:AL1000)+SUM(AL1008:AL1019)</f>
        <v>646428154</v>
      </c>
      <c r="AM1020" s="230">
        <f>SUM(AM991:AM1000)+SUM(AM1008:AM1019)</f>
        <v>571774568</v>
      </c>
      <c r="AN1020" s="920">
        <f>SUM(AN991:AN1019)</f>
        <v>563250717</v>
      </c>
      <c r="AO1020" s="920">
        <f>SUM(AO991:AO1019)</f>
        <v>542648096</v>
      </c>
      <c r="AP1020" s="920">
        <f>SUM(AP991:AP1019)</f>
        <v>585562098</v>
      </c>
      <c r="AQ1020" s="920">
        <f>SUM(AQ991:AQ1019)</f>
        <v>584292098</v>
      </c>
      <c r="AR1020" s="1044"/>
      <c r="AS1020" s="1044"/>
    </row>
    <row r="1021" spans="2:45" s="900" customFormat="1" hidden="1" outlineLevel="1">
      <c r="B1021" s="901"/>
      <c r="C1021" s="1249" t="s">
        <v>2</v>
      </c>
      <c r="D1021" s="1251"/>
      <c r="E1021" s="1252" t="s">
        <v>1697</v>
      </c>
      <c r="F1021" s="904"/>
      <c r="G1021" s="904"/>
      <c r="H1021" s="904"/>
      <c r="I1021" s="904"/>
      <c r="J1021" s="904"/>
      <c r="K1021" s="904"/>
      <c r="L1021" s="904"/>
      <c r="M1021" s="904"/>
      <c r="N1021" s="904"/>
      <c r="O1021" s="904"/>
      <c r="P1021" s="904"/>
      <c r="Q1021" s="904"/>
      <c r="R1021" s="904"/>
      <c r="S1021" s="904"/>
      <c r="T1021" s="904"/>
      <c r="U1021" s="904"/>
      <c r="V1021" s="904"/>
      <c r="W1021" s="904"/>
      <c r="X1021" s="904"/>
      <c r="Y1021" s="904"/>
      <c r="Z1021" s="904"/>
      <c r="AA1021" s="904"/>
      <c r="AB1021" s="902"/>
      <c r="AC1021" s="902"/>
      <c r="AD1021" s="902"/>
      <c r="AE1021" s="902"/>
      <c r="AF1021" s="902"/>
      <c r="AG1021" s="902"/>
      <c r="AH1021" s="902"/>
      <c r="AI1021" s="902"/>
      <c r="AJ1021" s="903"/>
      <c r="AK1021" s="903"/>
      <c r="AL1021" s="903"/>
      <c r="AM1021" s="903"/>
      <c r="AN1021" s="925">
        <v>2000000</v>
      </c>
      <c r="AO1021" s="925">
        <v>2000000</v>
      </c>
      <c r="AP1021" s="925">
        <v>2000000</v>
      </c>
      <c r="AQ1021" s="925">
        <v>2000000</v>
      </c>
      <c r="AR1021" s="1044"/>
      <c r="AS1021" s="1044"/>
    </row>
    <row r="1022" spans="2:45" s="1044" customFormat="1" hidden="1" outlineLevel="1">
      <c r="B1022" s="1045"/>
      <c r="C1022" s="1249" t="s">
        <v>2</v>
      </c>
      <c r="D1022" s="1251"/>
      <c r="E1022" s="1256" t="s">
        <v>1866</v>
      </c>
      <c r="F1022" s="985"/>
      <c r="G1022" s="985"/>
      <c r="H1022" s="985"/>
      <c r="I1022" s="985"/>
      <c r="J1022" s="985"/>
      <c r="K1022" s="985"/>
      <c r="L1022" s="985"/>
      <c r="M1022" s="985"/>
      <c r="N1022" s="985"/>
      <c r="O1022" s="985"/>
      <c r="P1022" s="985"/>
      <c r="Q1022" s="985"/>
      <c r="R1022" s="985"/>
      <c r="S1022" s="985"/>
      <c r="T1022" s="985"/>
      <c r="U1022" s="985"/>
      <c r="V1022" s="985"/>
      <c r="W1022" s="985"/>
      <c r="X1022" s="985"/>
      <c r="Y1022" s="985"/>
      <c r="Z1022" s="985"/>
      <c r="AA1022" s="985"/>
      <c r="AB1022" s="1073"/>
      <c r="AC1022" s="1073"/>
      <c r="AD1022" s="1073"/>
      <c r="AE1022" s="1073"/>
      <c r="AF1022" s="1073"/>
      <c r="AG1022" s="1073"/>
      <c r="AH1022" s="1073"/>
      <c r="AI1022" s="1073"/>
      <c r="AJ1022" s="920"/>
      <c r="AK1022" s="920"/>
      <c r="AL1022" s="920"/>
      <c r="AM1022" s="920"/>
      <c r="AN1022" s="925">
        <v>1325000</v>
      </c>
      <c r="AO1022" s="925">
        <v>1325000</v>
      </c>
      <c r="AP1022" s="925">
        <v>1325000</v>
      </c>
      <c r="AQ1022" s="925">
        <v>1325000</v>
      </c>
    </row>
    <row r="1023" spans="2:45" s="1044" customFormat="1" hidden="1" outlineLevel="1">
      <c r="B1023" s="1045"/>
      <c r="C1023" s="1249" t="s">
        <v>2</v>
      </c>
      <c r="D1023" s="1251"/>
      <c r="E1023" s="1252" t="s">
        <v>1974</v>
      </c>
      <c r="F1023" s="985"/>
      <c r="G1023" s="985"/>
      <c r="H1023" s="985"/>
      <c r="I1023" s="985"/>
      <c r="J1023" s="985"/>
      <c r="K1023" s="985"/>
      <c r="L1023" s="985"/>
      <c r="M1023" s="985"/>
      <c r="N1023" s="985"/>
      <c r="O1023" s="985"/>
      <c r="P1023" s="985"/>
      <c r="Q1023" s="985"/>
      <c r="R1023" s="985"/>
      <c r="S1023" s="985"/>
      <c r="T1023" s="985"/>
      <c r="U1023" s="985"/>
      <c r="V1023" s="985"/>
      <c r="W1023" s="985"/>
      <c r="X1023" s="985"/>
      <c r="Y1023" s="985"/>
      <c r="Z1023" s="985"/>
      <c r="AA1023" s="985"/>
      <c r="AB1023" s="1073"/>
      <c r="AC1023" s="1073"/>
      <c r="AD1023" s="1073"/>
      <c r="AE1023" s="1073"/>
      <c r="AF1023" s="1073"/>
      <c r="AG1023" s="1073"/>
      <c r="AH1023" s="1073"/>
      <c r="AI1023" s="1073"/>
      <c r="AJ1023" s="920"/>
      <c r="AK1023" s="920"/>
      <c r="AL1023" s="920"/>
      <c r="AM1023" s="920"/>
      <c r="AN1023" s="925"/>
      <c r="AO1023" s="925"/>
      <c r="AP1023" s="925">
        <v>160000</v>
      </c>
      <c r="AQ1023" s="925">
        <v>160000</v>
      </c>
    </row>
    <row r="1024" spans="2:45" s="1044" customFormat="1" hidden="1" outlineLevel="1">
      <c r="B1024" s="1045"/>
      <c r="C1024" s="1249" t="s">
        <v>2</v>
      </c>
      <c r="D1024" s="1251"/>
      <c r="E1024" s="1252" t="s">
        <v>1992</v>
      </c>
      <c r="F1024" s="985"/>
      <c r="G1024" s="985"/>
      <c r="H1024" s="985"/>
      <c r="I1024" s="985"/>
      <c r="J1024" s="985"/>
      <c r="K1024" s="985"/>
      <c r="L1024" s="985"/>
      <c r="M1024" s="985"/>
      <c r="N1024" s="985"/>
      <c r="O1024" s="985"/>
      <c r="P1024" s="985"/>
      <c r="Q1024" s="985"/>
      <c r="R1024" s="985"/>
      <c r="S1024" s="985"/>
      <c r="T1024" s="985"/>
      <c r="U1024" s="985"/>
      <c r="V1024" s="985"/>
      <c r="W1024" s="985"/>
      <c r="X1024" s="985"/>
      <c r="Y1024" s="985"/>
      <c r="Z1024" s="985"/>
      <c r="AA1024" s="985"/>
      <c r="AB1024" s="1073"/>
      <c r="AC1024" s="1073"/>
      <c r="AD1024" s="1073"/>
      <c r="AE1024" s="1073"/>
      <c r="AF1024" s="1073"/>
      <c r="AG1024" s="1073"/>
      <c r="AH1024" s="1073"/>
      <c r="AI1024" s="1073"/>
      <c r="AJ1024" s="920"/>
      <c r="AK1024" s="920"/>
      <c r="AL1024" s="920"/>
      <c r="AM1024" s="920"/>
      <c r="AN1024" s="925"/>
      <c r="AO1024" s="925"/>
      <c r="AP1024" s="925">
        <v>70000</v>
      </c>
      <c r="AQ1024" s="925">
        <v>70000</v>
      </c>
    </row>
    <row r="1025" spans="2:45" s="1044" customFormat="1" hidden="1" outlineLevel="1">
      <c r="B1025" s="1045"/>
      <c r="C1025" s="1249" t="s">
        <v>2</v>
      </c>
      <c r="D1025" s="1251"/>
      <c r="E1025" s="1252" t="s">
        <v>1975</v>
      </c>
      <c r="F1025" s="985"/>
      <c r="G1025" s="985"/>
      <c r="H1025" s="985"/>
      <c r="I1025" s="985"/>
      <c r="J1025" s="985"/>
      <c r="K1025" s="985"/>
      <c r="L1025" s="985"/>
      <c r="M1025" s="985"/>
      <c r="N1025" s="985"/>
      <c r="O1025" s="985"/>
      <c r="P1025" s="985"/>
      <c r="Q1025" s="985"/>
      <c r="R1025" s="985"/>
      <c r="S1025" s="985"/>
      <c r="T1025" s="985"/>
      <c r="U1025" s="985"/>
      <c r="V1025" s="985"/>
      <c r="W1025" s="985"/>
      <c r="X1025" s="985"/>
      <c r="Y1025" s="985"/>
      <c r="Z1025" s="985"/>
      <c r="AA1025" s="985"/>
      <c r="AB1025" s="1073"/>
      <c r="AC1025" s="1073"/>
      <c r="AD1025" s="1073"/>
      <c r="AE1025" s="1073"/>
      <c r="AF1025" s="1073"/>
      <c r="AG1025" s="1073"/>
      <c r="AH1025" s="1073"/>
      <c r="AI1025" s="1073"/>
      <c r="AJ1025" s="920"/>
      <c r="AK1025" s="920"/>
      <c r="AL1025" s="920"/>
      <c r="AM1025" s="920"/>
      <c r="AN1025" s="925"/>
      <c r="AO1025" s="925"/>
      <c r="AP1025" s="925">
        <v>150000</v>
      </c>
      <c r="AQ1025" s="925">
        <v>150000</v>
      </c>
    </row>
    <row r="1026" spans="2:45" s="1044" customFormat="1" hidden="1" outlineLevel="1">
      <c r="B1026" s="1045"/>
      <c r="C1026" s="1249" t="s">
        <v>2</v>
      </c>
      <c r="D1026" s="1251"/>
      <c r="E1026" s="1252" t="s">
        <v>1976</v>
      </c>
      <c r="F1026" s="985"/>
      <c r="G1026" s="985"/>
      <c r="H1026" s="985"/>
      <c r="I1026" s="985"/>
      <c r="J1026" s="985"/>
      <c r="K1026" s="985"/>
      <c r="L1026" s="985"/>
      <c r="M1026" s="985"/>
      <c r="N1026" s="985"/>
      <c r="O1026" s="985"/>
      <c r="P1026" s="985"/>
      <c r="Q1026" s="985"/>
      <c r="R1026" s="985"/>
      <c r="S1026" s="985"/>
      <c r="T1026" s="985"/>
      <c r="U1026" s="985"/>
      <c r="V1026" s="985"/>
      <c r="W1026" s="985"/>
      <c r="X1026" s="985"/>
      <c r="Y1026" s="985"/>
      <c r="Z1026" s="985"/>
      <c r="AA1026" s="985"/>
      <c r="AB1026" s="1073"/>
      <c r="AC1026" s="1073"/>
      <c r="AD1026" s="1073"/>
      <c r="AE1026" s="1073"/>
      <c r="AF1026" s="1073"/>
      <c r="AG1026" s="1073"/>
      <c r="AH1026" s="1073"/>
      <c r="AI1026" s="1073"/>
      <c r="AJ1026" s="920"/>
      <c r="AK1026" s="920"/>
      <c r="AL1026" s="920"/>
      <c r="AM1026" s="920"/>
      <c r="AN1026" s="925"/>
      <c r="AO1026" s="925"/>
      <c r="AP1026" s="925">
        <v>63000</v>
      </c>
      <c r="AQ1026" s="925">
        <v>63000</v>
      </c>
    </row>
    <row r="1027" spans="2:45" s="900" customFormat="1" hidden="1" outlineLevel="1">
      <c r="B1027" s="901"/>
      <c r="C1027" s="1249" t="s">
        <v>2</v>
      </c>
      <c r="D1027" s="1251"/>
      <c r="E1027" s="1256" t="s">
        <v>1980</v>
      </c>
      <c r="F1027" s="904"/>
      <c r="G1027" s="904"/>
      <c r="H1027" s="904"/>
      <c r="I1027" s="904"/>
      <c r="J1027" s="904"/>
      <c r="K1027" s="904"/>
      <c r="L1027" s="904"/>
      <c r="M1027" s="904"/>
      <c r="N1027" s="904"/>
      <c r="O1027" s="904"/>
      <c r="P1027" s="904"/>
      <c r="Q1027" s="904"/>
      <c r="R1027" s="904"/>
      <c r="S1027" s="904"/>
      <c r="T1027" s="904"/>
      <c r="U1027" s="904"/>
      <c r="V1027" s="904"/>
      <c r="W1027" s="904"/>
      <c r="X1027" s="904"/>
      <c r="Y1027" s="904"/>
      <c r="Z1027" s="904"/>
      <c r="AA1027" s="904"/>
      <c r="AB1027" s="902"/>
      <c r="AC1027" s="902"/>
      <c r="AD1027" s="902"/>
      <c r="AE1027" s="902"/>
      <c r="AF1027" s="902"/>
      <c r="AG1027" s="902"/>
      <c r="AH1027" s="902"/>
      <c r="AI1027" s="902"/>
      <c r="AJ1027" s="903"/>
      <c r="AK1027" s="903"/>
      <c r="AL1027" s="903"/>
      <c r="AM1027" s="903"/>
      <c r="AN1027" s="925"/>
      <c r="AO1027" s="925"/>
      <c r="AP1027" s="925">
        <v>300000</v>
      </c>
      <c r="AQ1027" s="925">
        <v>0</v>
      </c>
      <c r="AR1027" s="1044"/>
      <c r="AS1027" s="1044"/>
    </row>
    <row r="1028" spans="2:45" s="900" customFormat="1" hidden="1" outlineLevel="1">
      <c r="B1028" s="901"/>
      <c r="C1028" s="1249" t="s">
        <v>2</v>
      </c>
      <c r="D1028" s="1251"/>
      <c r="E1028" s="1253" t="s">
        <v>1867</v>
      </c>
      <c r="F1028" s="904"/>
      <c r="G1028" s="904"/>
      <c r="H1028" s="904"/>
      <c r="I1028" s="904"/>
      <c r="J1028" s="904"/>
      <c r="K1028" s="904"/>
      <c r="L1028" s="904"/>
      <c r="M1028" s="904"/>
      <c r="N1028" s="904"/>
      <c r="O1028" s="904"/>
      <c r="P1028" s="904"/>
      <c r="Q1028" s="904"/>
      <c r="R1028" s="904"/>
      <c r="S1028" s="904"/>
      <c r="T1028" s="904"/>
      <c r="U1028" s="904"/>
      <c r="V1028" s="904"/>
      <c r="W1028" s="904"/>
      <c r="X1028" s="904"/>
      <c r="Y1028" s="904"/>
      <c r="Z1028" s="904"/>
      <c r="AA1028" s="904"/>
      <c r="AB1028" s="902"/>
      <c r="AC1028" s="902"/>
      <c r="AD1028" s="902"/>
      <c r="AE1028" s="902"/>
      <c r="AF1028" s="902"/>
      <c r="AG1028" s="902"/>
      <c r="AH1028" s="902"/>
      <c r="AI1028" s="902"/>
      <c r="AJ1028" s="903"/>
      <c r="AK1028" s="903"/>
      <c r="AL1028" s="903"/>
      <c r="AM1028" s="903"/>
      <c r="AN1028" s="920">
        <f>SUM(AN1021:AN1027)</f>
        <v>3325000</v>
      </c>
      <c r="AO1028" s="920">
        <f>SUM(AO1021:AO1027)</f>
        <v>3325000</v>
      </c>
      <c r="AP1028" s="920">
        <f>SUM(AP1021:AP1027)</f>
        <v>4068000</v>
      </c>
      <c r="AQ1028" s="920">
        <f>SUM(AQ1021:AQ1027)</f>
        <v>3768000</v>
      </c>
      <c r="AR1028" s="1044"/>
      <c r="AS1028" s="1044"/>
    </row>
    <row r="1029" spans="2:45" hidden="1" outlineLevel="1">
      <c r="C1029" s="1249" t="s">
        <v>2</v>
      </c>
      <c r="D1029" s="1251"/>
      <c r="E1029" s="670" t="s">
        <v>216</v>
      </c>
      <c r="F1029" s="27"/>
      <c r="G1029" s="27"/>
      <c r="H1029" s="27"/>
      <c r="I1029" s="27"/>
      <c r="J1029" s="27"/>
      <c r="K1029" s="27"/>
      <c r="L1029" s="27"/>
      <c r="M1029" s="27"/>
      <c r="N1029" s="27"/>
      <c r="O1029" s="27"/>
      <c r="P1029" s="27"/>
      <c r="Q1029" s="27"/>
      <c r="R1029" s="27"/>
      <c r="S1029" s="27"/>
      <c r="T1029" s="27"/>
      <c r="U1029" s="27"/>
      <c r="V1029" s="27"/>
      <c r="W1029" s="27"/>
      <c r="X1029" s="27"/>
      <c r="Y1029" s="27"/>
      <c r="Z1029" s="27"/>
      <c r="AA1029" s="27"/>
      <c r="AB1029" s="12"/>
      <c r="AC1029" s="12"/>
      <c r="AD1029" s="12"/>
      <c r="AE1029" s="12"/>
      <c r="AF1029" s="12"/>
      <c r="AG1029" s="12"/>
      <c r="AH1029" s="12"/>
      <c r="AI1029" s="12"/>
      <c r="AJ1029" s="371"/>
      <c r="AK1029" s="371"/>
      <c r="AL1029" s="371"/>
      <c r="AM1029" s="371"/>
      <c r="AN1029" s="921"/>
      <c r="AO1029" s="921"/>
      <c r="AP1029" s="921"/>
      <c r="AQ1029" s="921"/>
      <c r="AR1029" s="1044"/>
      <c r="AS1029" s="1044"/>
    </row>
    <row r="1030" spans="2:45" hidden="1" outlineLevel="1">
      <c r="C1030" s="1249" t="s">
        <v>2</v>
      </c>
      <c r="D1030" s="1251"/>
      <c r="E1030" s="1251" t="s">
        <v>217</v>
      </c>
      <c r="F1030" s="9"/>
      <c r="G1030" s="9"/>
      <c r="H1030" s="9"/>
      <c r="I1030" s="9"/>
      <c r="J1030" s="9"/>
      <c r="K1030" s="9"/>
      <c r="L1030" s="9"/>
      <c r="M1030" s="9"/>
      <c r="N1030" s="9"/>
      <c r="O1030" s="9"/>
      <c r="P1030" s="9"/>
      <c r="Q1030" s="9"/>
      <c r="R1030" s="9"/>
      <c r="S1030" s="9"/>
      <c r="T1030" s="9"/>
      <c r="U1030" s="9"/>
      <c r="V1030" s="9"/>
      <c r="W1030" s="9"/>
      <c r="X1030" s="9"/>
      <c r="Y1030" s="9"/>
      <c r="Z1030" s="9"/>
      <c r="AA1030" s="9"/>
      <c r="AB1030" s="12">
        <v>8381844</v>
      </c>
      <c r="AC1030" s="12"/>
      <c r="AD1030" s="12">
        <v>16698922</v>
      </c>
      <c r="AE1030" s="12"/>
      <c r="AF1030" s="12">
        <v>16723141</v>
      </c>
      <c r="AG1030" s="12">
        <v>0</v>
      </c>
      <c r="AH1030" s="12">
        <v>1000000</v>
      </c>
      <c r="AI1030" s="12"/>
      <c r="AJ1030" s="14">
        <v>1000000</v>
      </c>
      <c r="AK1030" s="58"/>
      <c r="AL1030" s="14"/>
      <c r="AM1030" s="58"/>
      <c r="AN1030" s="922"/>
      <c r="AO1030" s="922"/>
      <c r="AP1030" s="922"/>
      <c r="AQ1030" s="922"/>
      <c r="AR1030" s="1044"/>
      <c r="AS1030" s="1044"/>
    </row>
    <row r="1031" spans="2:45" hidden="1" outlineLevel="1">
      <c r="C1031" s="1249" t="s">
        <v>2</v>
      </c>
      <c r="D1031" s="1251"/>
      <c r="E1031" s="1252" t="s">
        <v>753</v>
      </c>
      <c r="F1031" s="9"/>
      <c r="G1031" s="9"/>
      <c r="H1031" s="9"/>
      <c r="I1031" s="9"/>
      <c r="J1031" s="9"/>
      <c r="K1031" s="9"/>
      <c r="L1031" s="9"/>
      <c r="M1031" s="9"/>
      <c r="N1031" s="9"/>
      <c r="O1031" s="9"/>
      <c r="P1031" s="9"/>
      <c r="Q1031" s="9"/>
      <c r="R1031" s="9"/>
      <c r="S1031" s="9"/>
      <c r="T1031" s="9"/>
      <c r="U1031" s="9"/>
      <c r="V1031" s="9"/>
      <c r="W1031" s="9"/>
      <c r="X1031" s="9"/>
      <c r="Y1031" s="9"/>
      <c r="Z1031" s="9"/>
      <c r="AA1031" s="9"/>
      <c r="AB1031" s="12"/>
      <c r="AC1031" s="12"/>
      <c r="AD1031" s="12"/>
      <c r="AE1031" s="12"/>
      <c r="AF1031" s="12"/>
      <c r="AG1031" s="12"/>
      <c r="AH1031" s="12"/>
      <c r="AI1031" s="12"/>
      <c r="AJ1031" s="24">
        <v>17812500</v>
      </c>
      <c r="AK1031" s="24">
        <v>17812500</v>
      </c>
      <c r="AL1031" s="24">
        <v>102812500</v>
      </c>
      <c r="AM1031" s="24">
        <v>35312500</v>
      </c>
      <c r="AN1031" s="1061">
        <v>17500000</v>
      </c>
      <c r="AO1031" s="1061">
        <v>17500000</v>
      </c>
      <c r="AP1031" s="1061">
        <v>17500000</v>
      </c>
      <c r="AQ1031" s="1061">
        <v>17500000</v>
      </c>
      <c r="AR1031" s="1044"/>
      <c r="AS1031" s="1044"/>
    </row>
    <row r="1032" spans="2:45" hidden="1" outlineLevel="1">
      <c r="C1032" s="1249" t="s">
        <v>2</v>
      </c>
      <c r="D1032" s="1251"/>
      <c r="E1032" s="1251" t="s">
        <v>218</v>
      </c>
      <c r="F1032" s="9"/>
      <c r="G1032" s="9"/>
      <c r="H1032" s="9"/>
      <c r="I1032" s="9"/>
      <c r="J1032" s="9"/>
      <c r="K1032" s="9"/>
      <c r="L1032" s="9"/>
      <c r="M1032" s="9"/>
      <c r="N1032" s="9"/>
      <c r="O1032" s="9"/>
      <c r="P1032" s="9"/>
      <c r="Q1032" s="9"/>
      <c r="R1032" s="9"/>
      <c r="S1032" s="9"/>
      <c r="T1032" s="9"/>
      <c r="U1032" s="9"/>
      <c r="V1032" s="9"/>
      <c r="W1032" s="9"/>
      <c r="X1032" s="9"/>
      <c r="Y1032" s="9"/>
      <c r="Z1032" s="9"/>
      <c r="AA1032" s="9"/>
      <c r="AB1032" s="12"/>
      <c r="AC1032" s="12"/>
      <c r="AD1032" s="12"/>
      <c r="AE1032" s="12"/>
      <c r="AF1032" s="12"/>
      <c r="AG1032" s="12"/>
      <c r="AH1032" s="12"/>
      <c r="AI1032" s="12"/>
      <c r="AJ1032" s="24">
        <f>1500000-1500000</f>
        <v>0</v>
      </c>
      <c r="AK1032" s="24">
        <f>1500000-1500000</f>
        <v>0</v>
      </c>
      <c r="AL1032" s="24"/>
      <c r="AM1032" s="24"/>
      <c r="AN1032" s="1061"/>
      <c r="AO1032" s="1061"/>
      <c r="AP1032" s="1061"/>
      <c r="AQ1032" s="1061"/>
      <c r="AR1032" s="1044"/>
      <c r="AS1032" s="1044"/>
    </row>
    <row r="1033" spans="2:45" s="905" customFormat="1" hidden="1" outlineLevel="1">
      <c r="B1033" s="906"/>
      <c r="C1033" s="1249" t="s">
        <v>2</v>
      </c>
      <c r="D1033" s="1251"/>
      <c r="E1033" s="1252" t="s">
        <v>1700</v>
      </c>
      <c r="F1033" s="907"/>
      <c r="G1033" s="907"/>
      <c r="H1033" s="907"/>
      <c r="I1033" s="907"/>
      <c r="J1033" s="907"/>
      <c r="K1033" s="907"/>
      <c r="L1033" s="907"/>
      <c r="M1033" s="907"/>
      <c r="N1033" s="907"/>
      <c r="O1033" s="907"/>
      <c r="P1033" s="907"/>
      <c r="Q1033" s="907"/>
      <c r="R1033" s="907"/>
      <c r="S1033" s="907"/>
      <c r="T1033" s="907"/>
      <c r="U1033" s="907"/>
      <c r="V1033" s="907"/>
      <c r="W1033" s="907"/>
      <c r="X1033" s="907"/>
      <c r="Y1033" s="907"/>
      <c r="Z1033" s="907"/>
      <c r="AA1033" s="907"/>
      <c r="AB1033" s="908"/>
      <c r="AC1033" s="908"/>
      <c r="AD1033" s="908"/>
      <c r="AE1033" s="908"/>
      <c r="AF1033" s="908"/>
      <c r="AG1033" s="908"/>
      <c r="AH1033" s="908"/>
      <c r="AI1033" s="908"/>
      <c r="AJ1033" s="909"/>
      <c r="AK1033" s="909"/>
      <c r="AL1033" s="909"/>
      <c r="AM1033" s="909"/>
      <c r="AN1033" s="1061">
        <v>3900000</v>
      </c>
      <c r="AO1033" s="1061">
        <v>3900000</v>
      </c>
      <c r="AP1033" s="1061">
        <v>3900000</v>
      </c>
      <c r="AQ1033" s="1061">
        <v>3900000</v>
      </c>
      <c r="AR1033" s="1044"/>
      <c r="AS1033" s="1044"/>
    </row>
    <row r="1034" spans="2:45" hidden="1" outlineLevel="1">
      <c r="C1034" s="1249" t="s">
        <v>2</v>
      </c>
      <c r="D1034" s="1251"/>
      <c r="E1034" s="1253" t="s">
        <v>219</v>
      </c>
      <c r="F1034" s="35"/>
      <c r="G1034" s="35"/>
      <c r="H1034" s="35"/>
      <c r="I1034" s="35"/>
      <c r="J1034" s="35"/>
      <c r="K1034" s="35"/>
      <c r="L1034" s="35"/>
      <c r="M1034" s="35"/>
      <c r="N1034" s="35"/>
      <c r="O1034" s="35"/>
      <c r="P1034" s="35"/>
      <c r="Q1034" s="35"/>
      <c r="R1034" s="35"/>
      <c r="S1034" s="35"/>
      <c r="T1034" s="35"/>
      <c r="U1034" s="35"/>
      <c r="V1034" s="35"/>
      <c r="W1034" s="35"/>
      <c r="X1034" s="35"/>
      <c r="Y1034" s="35"/>
      <c r="Z1034" s="35"/>
      <c r="AA1034" s="35"/>
      <c r="AB1034" s="34">
        <v>8381844</v>
      </c>
      <c r="AC1034" s="34"/>
      <c r="AD1034" s="34">
        <v>16698922</v>
      </c>
      <c r="AE1034" s="34"/>
      <c r="AF1034" s="34">
        <v>16723141</v>
      </c>
      <c r="AG1034" s="34">
        <v>0</v>
      </c>
      <c r="AH1034" s="34">
        <v>1000000</v>
      </c>
      <c r="AI1034" s="34"/>
      <c r="AJ1034" s="230">
        <f>20312500-1500000</f>
        <v>18812500</v>
      </c>
      <c r="AK1034" s="230">
        <f>19312500-1500000</f>
        <v>17812500</v>
      </c>
      <c r="AL1034" s="230">
        <f>SUM(AL1031:AL1032)</f>
        <v>102812500</v>
      </c>
      <c r="AM1034" s="230">
        <f>SUM(AM1031:AM1032)</f>
        <v>35312500</v>
      </c>
      <c r="AN1034" s="920">
        <f>SUM(AN1031:AN1033)</f>
        <v>21400000</v>
      </c>
      <c r="AO1034" s="920">
        <f>SUM(AO1031:AO1033)</f>
        <v>21400000</v>
      </c>
      <c r="AP1034" s="920">
        <f>SUM(AP1031:AP1033)</f>
        <v>21400000</v>
      </c>
      <c r="AQ1034" s="920">
        <f>SUM(AQ1031:AQ1033)</f>
        <v>21400000</v>
      </c>
      <c r="AR1034" s="1044"/>
      <c r="AS1034" s="1044"/>
    </row>
    <row r="1035" spans="2:45" hidden="1" outlineLevel="1">
      <c r="C1035" s="1249" t="s">
        <v>2</v>
      </c>
      <c r="D1035" s="1251"/>
      <c r="E1035" s="1249" t="s">
        <v>220</v>
      </c>
      <c r="F1035" s="28"/>
      <c r="G1035" s="28"/>
      <c r="H1035" s="28"/>
      <c r="I1035" s="28"/>
      <c r="J1035" s="28"/>
      <c r="K1035" s="28"/>
      <c r="L1035" s="28"/>
      <c r="M1035" s="28"/>
      <c r="N1035" s="28"/>
      <c r="O1035" s="28"/>
      <c r="P1035" s="28"/>
      <c r="Q1035" s="28"/>
      <c r="R1035" s="28"/>
      <c r="S1035" s="28"/>
      <c r="T1035" s="28"/>
      <c r="U1035" s="28"/>
      <c r="V1035" s="28"/>
      <c r="W1035" s="28"/>
      <c r="X1035" s="28"/>
      <c r="Y1035" s="28"/>
      <c r="Z1035" s="28"/>
      <c r="AA1035" s="28"/>
      <c r="AB1035" s="12"/>
      <c r="AC1035" s="12"/>
      <c r="AD1035" s="12"/>
      <c r="AE1035" s="12"/>
      <c r="AF1035" s="12"/>
      <c r="AG1035" s="12"/>
      <c r="AH1035" s="12"/>
      <c r="AI1035" s="12"/>
      <c r="AJ1035" s="371"/>
      <c r="AK1035" s="371"/>
      <c r="AL1035" s="371"/>
      <c r="AM1035" s="371"/>
      <c r="AN1035" s="921"/>
      <c r="AO1035" s="921"/>
      <c r="AP1035" s="921"/>
      <c r="AQ1035" s="921"/>
      <c r="AR1035" s="1044"/>
      <c r="AS1035" s="1044"/>
    </row>
    <row r="1036" spans="2:45" hidden="1" outlineLevel="1">
      <c r="C1036" s="1249" t="s">
        <v>2</v>
      </c>
      <c r="D1036" s="1251"/>
      <c r="E1036" s="1251" t="s">
        <v>221</v>
      </c>
      <c r="F1036" s="9"/>
      <c r="G1036" s="9"/>
      <c r="H1036" s="9"/>
      <c r="I1036" s="9"/>
      <c r="J1036" s="9"/>
      <c r="K1036" s="9"/>
      <c r="L1036" s="9"/>
      <c r="M1036" s="9"/>
      <c r="N1036" s="9"/>
      <c r="O1036" s="9"/>
      <c r="P1036" s="9"/>
      <c r="Q1036" s="9"/>
      <c r="R1036" s="9"/>
      <c r="S1036" s="9"/>
      <c r="T1036" s="9"/>
      <c r="U1036" s="9"/>
      <c r="V1036" s="9"/>
      <c r="W1036" s="9"/>
      <c r="X1036" s="9"/>
      <c r="Y1036" s="9"/>
      <c r="Z1036" s="9"/>
      <c r="AA1036" s="9"/>
      <c r="AB1036" s="12">
        <v>36798320</v>
      </c>
      <c r="AC1036" s="12">
        <v>36798320</v>
      </c>
      <c r="AD1036" s="12">
        <v>38798320</v>
      </c>
      <c r="AE1036" s="12">
        <v>38798320</v>
      </c>
      <c r="AF1036" s="12">
        <v>40207503</v>
      </c>
      <c r="AG1036" s="12">
        <v>43097782</v>
      </c>
      <c r="AH1036" s="12">
        <f>36023625+4100000</f>
        <v>40123625</v>
      </c>
      <c r="AI1036" s="12">
        <v>35741187</v>
      </c>
      <c r="AJ1036" s="58"/>
      <c r="AK1036" s="58"/>
      <c r="AL1036" s="58"/>
      <c r="AM1036" s="58"/>
      <c r="AN1036" s="922"/>
      <c r="AO1036" s="922"/>
      <c r="AP1036" s="922"/>
      <c r="AQ1036" s="922"/>
      <c r="AR1036" s="1044"/>
      <c r="AS1036" s="1044"/>
    </row>
    <row r="1037" spans="2:45" hidden="1" outlineLevel="1">
      <c r="C1037" s="1249" t="s">
        <v>2</v>
      </c>
      <c r="D1037" s="1251"/>
      <c r="E1037" s="1251" t="s">
        <v>222</v>
      </c>
      <c r="F1037" s="9"/>
      <c r="G1037" s="9"/>
      <c r="H1037" s="9"/>
      <c r="I1037" s="9"/>
      <c r="J1037" s="9"/>
      <c r="K1037" s="9"/>
      <c r="L1037" s="9"/>
      <c r="M1037" s="9"/>
      <c r="N1037" s="9"/>
      <c r="O1037" s="9"/>
      <c r="P1037" s="9"/>
      <c r="Q1037" s="9"/>
      <c r="R1037" s="9"/>
      <c r="S1037" s="9"/>
      <c r="T1037" s="9"/>
      <c r="U1037" s="9"/>
      <c r="V1037" s="9"/>
      <c r="W1037" s="9"/>
      <c r="X1037" s="9"/>
      <c r="Y1037" s="9"/>
      <c r="Z1037" s="9"/>
      <c r="AA1037" s="9"/>
      <c r="AB1037" s="12">
        <v>2599961</v>
      </c>
      <c r="AC1037" s="12">
        <v>2599962</v>
      </c>
      <c r="AD1037" s="12">
        <v>6417156</v>
      </c>
      <c r="AE1037" s="12">
        <v>6417156</v>
      </c>
      <c r="AF1037" s="12">
        <v>7637935</v>
      </c>
      <c r="AG1037" s="12">
        <v>7637935</v>
      </c>
      <c r="AH1037" s="12">
        <v>5176507</v>
      </c>
      <c r="AI1037" s="12">
        <v>5176507</v>
      </c>
      <c r="AJ1037" s="58"/>
      <c r="AK1037" s="58"/>
      <c r="AL1037" s="58"/>
      <c r="AM1037" s="58"/>
      <c r="AN1037" s="922"/>
      <c r="AO1037" s="922"/>
      <c r="AP1037" s="922"/>
      <c r="AQ1037" s="922"/>
      <c r="AR1037" s="1044"/>
      <c r="AS1037" s="1044"/>
    </row>
    <row r="1038" spans="2:45" hidden="1" outlineLevel="1">
      <c r="C1038" s="1249" t="s">
        <v>2</v>
      </c>
      <c r="D1038" s="1251"/>
      <c r="E1038" s="1251" t="s">
        <v>223</v>
      </c>
      <c r="F1038" s="9"/>
      <c r="G1038" s="9"/>
      <c r="H1038" s="9"/>
      <c r="I1038" s="9"/>
      <c r="J1038" s="9"/>
      <c r="K1038" s="9"/>
      <c r="L1038" s="9"/>
      <c r="M1038" s="9"/>
      <c r="N1038" s="9"/>
      <c r="O1038" s="9"/>
      <c r="P1038" s="9"/>
      <c r="Q1038" s="9"/>
      <c r="R1038" s="9"/>
      <c r="S1038" s="9"/>
      <c r="T1038" s="9"/>
      <c r="U1038" s="9"/>
      <c r="V1038" s="9"/>
      <c r="W1038" s="9"/>
      <c r="X1038" s="9"/>
      <c r="Y1038" s="9"/>
      <c r="Z1038" s="9"/>
      <c r="AA1038" s="9"/>
      <c r="AB1038" s="12">
        <v>8732155</v>
      </c>
      <c r="AC1038" s="12">
        <v>8732155</v>
      </c>
      <c r="AD1038" s="12">
        <v>8732155</v>
      </c>
      <c r="AE1038" s="12">
        <v>8732155</v>
      </c>
      <c r="AF1038" s="12">
        <v>10607155</v>
      </c>
      <c r="AG1038" s="12">
        <v>10607155</v>
      </c>
      <c r="AH1038" s="12">
        <v>2800000</v>
      </c>
      <c r="AI1038" s="12">
        <v>2800000</v>
      </c>
      <c r="AJ1038" s="24">
        <v>2515000</v>
      </c>
      <c r="AK1038" s="24">
        <v>2515000</v>
      </c>
      <c r="AL1038" s="24">
        <v>8390000</v>
      </c>
      <c r="AM1038" s="24">
        <v>8390000</v>
      </c>
      <c r="AN1038" s="1061">
        <v>5000000</v>
      </c>
      <c r="AO1038" s="1061">
        <v>5000000</v>
      </c>
      <c r="AP1038" s="1061">
        <v>5000000</v>
      </c>
      <c r="AQ1038" s="1061">
        <v>5000000</v>
      </c>
      <c r="AR1038" s="1044"/>
      <c r="AS1038" s="1044"/>
    </row>
    <row r="1039" spans="2:45" hidden="1" outlineLevel="1">
      <c r="C1039" s="1249" t="s">
        <v>2</v>
      </c>
      <c r="D1039" s="1251"/>
      <c r="E1039" s="1251" t="s">
        <v>224</v>
      </c>
      <c r="F1039" s="9"/>
      <c r="G1039" s="9"/>
      <c r="H1039" s="9"/>
      <c r="I1039" s="9"/>
      <c r="J1039" s="9"/>
      <c r="K1039" s="9"/>
      <c r="L1039" s="9"/>
      <c r="M1039" s="9"/>
      <c r="N1039" s="9"/>
      <c r="O1039" s="9"/>
      <c r="P1039" s="9"/>
      <c r="Q1039" s="9"/>
      <c r="R1039" s="9"/>
      <c r="S1039" s="9"/>
      <c r="T1039" s="9"/>
      <c r="U1039" s="9"/>
      <c r="V1039" s="9"/>
      <c r="W1039" s="9"/>
      <c r="X1039" s="9"/>
      <c r="Y1039" s="9"/>
      <c r="Z1039" s="9"/>
      <c r="AA1039" s="9"/>
      <c r="AB1039" s="12">
        <v>452144</v>
      </c>
      <c r="AC1039" s="12">
        <v>452145</v>
      </c>
      <c r="AD1039" s="12">
        <v>452145</v>
      </c>
      <c r="AE1039" s="12">
        <v>452144</v>
      </c>
      <c r="AF1039" s="12">
        <v>452145</v>
      </c>
      <c r="AG1039" s="12">
        <v>452144</v>
      </c>
      <c r="AH1039" s="12"/>
      <c r="AI1039" s="12"/>
      <c r="AJ1039" s="58"/>
      <c r="AK1039" s="58"/>
      <c r="AL1039" s="58">
        <v>1500000</v>
      </c>
      <c r="AM1039" s="58">
        <v>1500000</v>
      </c>
      <c r="AN1039" s="1061">
        <v>1500000</v>
      </c>
      <c r="AO1039" s="1061">
        <v>1500000</v>
      </c>
      <c r="AP1039" s="1061">
        <v>1500000</v>
      </c>
      <c r="AQ1039" s="1061">
        <v>1500000</v>
      </c>
      <c r="AR1039" s="1044"/>
      <c r="AS1039" s="1044"/>
    </row>
    <row r="1040" spans="2:45" s="1044" customFormat="1" hidden="1" outlineLevel="1">
      <c r="B1040" s="1045"/>
      <c r="C1040" s="1249" t="s">
        <v>2</v>
      </c>
      <c r="D1040" s="1251"/>
      <c r="E1040" s="1252" t="s">
        <v>1703</v>
      </c>
      <c r="F1040" s="1030"/>
      <c r="G1040" s="1030"/>
      <c r="H1040" s="1030"/>
      <c r="I1040" s="1030"/>
      <c r="J1040" s="1030"/>
      <c r="K1040" s="1030"/>
      <c r="L1040" s="1030"/>
      <c r="M1040" s="1030"/>
      <c r="N1040" s="1030"/>
      <c r="O1040" s="1030"/>
      <c r="P1040" s="1030"/>
      <c r="Q1040" s="1030"/>
      <c r="R1040" s="1030"/>
      <c r="S1040" s="1030"/>
      <c r="T1040" s="1030"/>
      <c r="U1040" s="1030"/>
      <c r="V1040" s="1030"/>
      <c r="W1040" s="1030"/>
      <c r="X1040" s="1030"/>
      <c r="Y1040" s="1030"/>
      <c r="Z1040" s="1030"/>
      <c r="AA1040" s="1030"/>
      <c r="AB1040" s="1070"/>
      <c r="AC1040" s="1070"/>
      <c r="AD1040" s="1070"/>
      <c r="AE1040" s="1070"/>
      <c r="AF1040" s="1070"/>
      <c r="AG1040" s="1070"/>
      <c r="AH1040" s="1070"/>
      <c r="AI1040" s="1070"/>
      <c r="AJ1040" s="922"/>
      <c r="AK1040" s="922"/>
      <c r="AL1040" s="922"/>
      <c r="AM1040" s="922"/>
      <c r="AN1040" s="1061">
        <v>48525000</v>
      </c>
      <c r="AO1040" s="1061">
        <v>48525000</v>
      </c>
      <c r="AP1040" s="1061">
        <v>78600000</v>
      </c>
      <c r="AQ1040" s="1061">
        <v>78600000</v>
      </c>
    </row>
    <row r="1041" spans="2:45" s="1044" customFormat="1" hidden="1" outlineLevel="1">
      <c r="B1041" s="1045"/>
      <c r="C1041" s="1249" t="s">
        <v>2</v>
      </c>
      <c r="D1041" s="1251"/>
      <c r="E1041" s="1252" t="s">
        <v>1977</v>
      </c>
      <c r="F1041" s="1030"/>
      <c r="G1041" s="1030"/>
      <c r="H1041" s="1030"/>
      <c r="I1041" s="1030"/>
      <c r="J1041" s="1030"/>
      <c r="K1041" s="1030"/>
      <c r="L1041" s="1030"/>
      <c r="M1041" s="1030"/>
      <c r="N1041" s="1030"/>
      <c r="O1041" s="1030"/>
      <c r="P1041" s="1030"/>
      <c r="Q1041" s="1030"/>
      <c r="R1041" s="1030"/>
      <c r="S1041" s="1030"/>
      <c r="T1041" s="1030"/>
      <c r="U1041" s="1030"/>
      <c r="V1041" s="1030"/>
      <c r="W1041" s="1030"/>
      <c r="X1041" s="1030"/>
      <c r="Y1041" s="1030"/>
      <c r="Z1041" s="1030"/>
      <c r="AA1041" s="1030"/>
      <c r="AB1041" s="1070"/>
      <c r="AC1041" s="1070"/>
      <c r="AD1041" s="1070"/>
      <c r="AE1041" s="1070"/>
      <c r="AF1041" s="1070"/>
      <c r="AG1041" s="1070"/>
      <c r="AH1041" s="1070"/>
      <c r="AI1041" s="1070"/>
      <c r="AJ1041" s="922"/>
      <c r="AK1041" s="922"/>
      <c r="AL1041" s="922"/>
      <c r="AM1041" s="922"/>
      <c r="AN1041" s="1061">
        <v>2125000</v>
      </c>
      <c r="AO1041" s="1061">
        <v>2125000</v>
      </c>
      <c r="AP1041" s="1061">
        <v>2061250</v>
      </c>
      <c r="AQ1041" s="1061">
        <v>2061250</v>
      </c>
    </row>
    <row r="1042" spans="2:45" hidden="1" outlineLevel="1">
      <c r="C1042" s="1249" t="s">
        <v>2</v>
      </c>
      <c r="D1042" s="1251"/>
      <c r="E1042" s="1251" t="s">
        <v>225</v>
      </c>
      <c r="F1042" s="9"/>
      <c r="G1042" s="9"/>
      <c r="H1042" s="9"/>
      <c r="I1042" s="9"/>
      <c r="J1042" s="9"/>
      <c r="K1042" s="9"/>
      <c r="L1042" s="9"/>
      <c r="M1042" s="9"/>
      <c r="N1042" s="9"/>
      <c r="O1042" s="9"/>
      <c r="P1042" s="9"/>
      <c r="Q1042" s="9"/>
      <c r="R1042" s="9"/>
      <c r="S1042" s="9"/>
      <c r="T1042" s="9"/>
      <c r="U1042" s="9"/>
      <c r="V1042" s="9"/>
      <c r="W1042" s="9"/>
      <c r="X1042" s="9"/>
      <c r="Y1042" s="9"/>
      <c r="Z1042" s="9"/>
      <c r="AA1042" s="9"/>
      <c r="AB1042" s="12">
        <v>2495220</v>
      </c>
      <c r="AC1042" s="12">
        <v>2495220</v>
      </c>
      <c r="AD1042" s="12">
        <v>2495220</v>
      </c>
      <c r="AE1042" s="12">
        <v>2495220</v>
      </c>
      <c r="AF1042" s="12">
        <v>2495220</v>
      </c>
      <c r="AG1042" s="12">
        <v>2495220</v>
      </c>
      <c r="AH1042" s="12"/>
      <c r="AI1042" s="12"/>
      <c r="AJ1042" s="58"/>
      <c r="AK1042" s="58"/>
      <c r="AL1042" s="58"/>
      <c r="AM1042" s="58"/>
      <c r="AN1042" s="1061"/>
      <c r="AO1042" s="1061"/>
      <c r="AP1042" s="1061"/>
      <c r="AQ1042" s="1061"/>
      <c r="AR1042" s="1044"/>
      <c r="AS1042" s="1044"/>
    </row>
    <row r="1043" spans="2:45" hidden="1" outlineLevel="1">
      <c r="C1043" s="1249" t="s">
        <v>2</v>
      </c>
      <c r="D1043" s="1251"/>
      <c r="E1043" s="1251" t="s">
        <v>226</v>
      </c>
      <c r="F1043" s="9"/>
      <c r="G1043" s="9"/>
      <c r="H1043" s="9"/>
      <c r="I1043" s="9"/>
      <c r="J1043" s="9"/>
      <c r="K1043" s="9"/>
      <c r="L1043" s="9"/>
      <c r="M1043" s="9"/>
      <c r="N1043" s="9"/>
      <c r="O1043" s="9"/>
      <c r="P1043" s="9"/>
      <c r="Q1043" s="9"/>
      <c r="R1043" s="9"/>
      <c r="S1043" s="9"/>
      <c r="T1043" s="9"/>
      <c r="U1043" s="9"/>
      <c r="V1043" s="9"/>
      <c r="W1043" s="9"/>
      <c r="X1043" s="9"/>
      <c r="Y1043" s="9"/>
      <c r="Z1043" s="9"/>
      <c r="AA1043" s="9"/>
      <c r="AB1043" s="12">
        <v>1818402</v>
      </c>
      <c r="AC1043" s="12">
        <v>1818402</v>
      </c>
      <c r="AD1043" s="12">
        <v>300000</v>
      </c>
      <c r="AE1043" s="12">
        <v>300000</v>
      </c>
      <c r="AF1043" s="12">
        <v>300000</v>
      </c>
      <c r="AG1043" s="12">
        <v>300000</v>
      </c>
      <c r="AH1043" s="12"/>
      <c r="AI1043" s="12">
        <v>17000000</v>
      </c>
      <c r="AJ1043" s="374">
        <v>5000000</v>
      </c>
      <c r="AK1043" s="58"/>
      <c r="AL1043" s="374"/>
      <c r="AM1043" s="58"/>
      <c r="AN1043" s="1061"/>
      <c r="AO1043" s="1061"/>
      <c r="AP1043" s="1061"/>
      <c r="AQ1043" s="1061"/>
      <c r="AR1043" s="1044"/>
      <c r="AS1043" s="1044"/>
    </row>
    <row r="1044" spans="2:45" hidden="1" outlineLevel="1">
      <c r="C1044" s="1249" t="s">
        <v>2</v>
      </c>
      <c r="D1044" s="1251"/>
      <c r="E1044" s="1251" t="s">
        <v>227</v>
      </c>
      <c r="F1044" s="9"/>
      <c r="G1044" s="9"/>
      <c r="H1044" s="9"/>
      <c r="I1044" s="9"/>
      <c r="J1044" s="9"/>
      <c r="K1044" s="9"/>
      <c r="L1044" s="9"/>
      <c r="M1044" s="9"/>
      <c r="N1044" s="9"/>
      <c r="O1044" s="9"/>
      <c r="P1044" s="9"/>
      <c r="Q1044" s="9"/>
      <c r="R1044" s="9"/>
      <c r="S1044" s="9"/>
      <c r="T1044" s="9"/>
      <c r="U1044" s="9"/>
      <c r="V1044" s="9"/>
      <c r="W1044" s="9"/>
      <c r="X1044" s="9"/>
      <c r="Y1044" s="9"/>
      <c r="Z1044" s="9"/>
      <c r="AA1044" s="9"/>
      <c r="AB1044" s="12">
        <v>3316355</v>
      </c>
      <c r="AC1044" s="12">
        <v>0</v>
      </c>
      <c r="AD1044" s="12">
        <v>5616355</v>
      </c>
      <c r="AE1044" s="12">
        <v>0</v>
      </c>
      <c r="AF1044" s="12">
        <v>10616355</v>
      </c>
      <c r="AG1044" s="12">
        <v>0</v>
      </c>
      <c r="AH1044" s="12">
        <v>7006794</v>
      </c>
      <c r="AI1044" s="12"/>
      <c r="AJ1044" s="24">
        <v>10206794</v>
      </c>
      <c r="AK1044" s="58"/>
      <c r="AL1044" s="24">
        <v>10206794</v>
      </c>
      <c r="AM1044" s="58" t="s">
        <v>1694</v>
      </c>
      <c r="AN1044" s="1061">
        <v>10206794</v>
      </c>
      <c r="AO1044" s="922" t="s">
        <v>1694</v>
      </c>
      <c r="AP1044" s="1061">
        <v>10206794</v>
      </c>
      <c r="AQ1044" s="922" t="s">
        <v>1694</v>
      </c>
      <c r="AR1044" s="1044"/>
      <c r="AS1044" s="1044"/>
    </row>
    <row r="1045" spans="2:45" hidden="1" outlineLevel="1">
      <c r="C1045" s="1249" t="s">
        <v>2</v>
      </c>
      <c r="D1045" s="1251"/>
      <c r="E1045" s="1251" t="s">
        <v>228</v>
      </c>
      <c r="F1045" s="9"/>
      <c r="G1045" s="9"/>
      <c r="H1045" s="9"/>
      <c r="I1045" s="9"/>
      <c r="J1045" s="9"/>
      <c r="K1045" s="9"/>
      <c r="L1045" s="9"/>
      <c r="M1045" s="9"/>
      <c r="N1045" s="9"/>
      <c r="O1045" s="9"/>
      <c r="P1045" s="9"/>
      <c r="Q1045" s="9"/>
      <c r="R1045" s="9"/>
      <c r="S1045" s="9"/>
      <c r="T1045" s="9"/>
      <c r="U1045" s="9"/>
      <c r="V1045" s="9"/>
      <c r="W1045" s="9"/>
      <c r="X1045" s="9"/>
      <c r="Y1045" s="9"/>
      <c r="Z1045" s="9"/>
      <c r="AA1045" s="9"/>
      <c r="AB1045" s="12">
        <v>719546</v>
      </c>
      <c r="AC1045" s="12">
        <v>719547</v>
      </c>
      <c r="AD1045" s="12">
        <v>1047047</v>
      </c>
      <c r="AE1045" s="12">
        <v>1047047</v>
      </c>
      <c r="AF1045" s="12">
        <v>9559047</v>
      </c>
      <c r="AG1045" s="12">
        <v>15837047</v>
      </c>
      <c r="AH1045" s="12">
        <v>5600000</v>
      </c>
      <c r="AI1045" s="12"/>
      <c r="AJ1045" s="24">
        <v>4300000</v>
      </c>
      <c r="AK1045" s="24">
        <v>29500000</v>
      </c>
      <c r="AL1045" s="24">
        <v>16900000</v>
      </c>
      <c r="AM1045" s="24">
        <v>16900000</v>
      </c>
      <c r="AN1045" s="1061">
        <v>12675000</v>
      </c>
      <c r="AO1045" s="1061">
        <v>12675000</v>
      </c>
      <c r="AP1045" s="1061">
        <v>15345078</v>
      </c>
      <c r="AQ1045" s="1061">
        <v>14947215</v>
      </c>
      <c r="AR1045" s="1044"/>
      <c r="AS1045" s="1044"/>
    </row>
    <row r="1046" spans="2:45" hidden="1" outlineLevel="1">
      <c r="C1046" s="1249" t="s">
        <v>2</v>
      </c>
      <c r="D1046" s="1251"/>
      <c r="E1046" s="1252" t="s">
        <v>1698</v>
      </c>
      <c r="F1046" s="9"/>
      <c r="G1046" s="9"/>
      <c r="H1046" s="9"/>
      <c r="I1046" s="9"/>
      <c r="J1046" s="9"/>
      <c r="K1046" s="9"/>
      <c r="L1046" s="9"/>
      <c r="M1046" s="9"/>
      <c r="N1046" s="9"/>
      <c r="O1046" s="9"/>
      <c r="P1046" s="9"/>
      <c r="Q1046" s="9"/>
      <c r="R1046" s="9"/>
      <c r="S1046" s="9"/>
      <c r="T1046" s="9"/>
      <c r="U1046" s="9"/>
      <c r="V1046" s="9"/>
      <c r="W1046" s="9"/>
      <c r="X1046" s="9"/>
      <c r="Y1046" s="9"/>
      <c r="Z1046" s="9"/>
      <c r="AA1046" s="9"/>
      <c r="AB1046" s="12"/>
      <c r="AC1046" s="12"/>
      <c r="AD1046" s="12"/>
      <c r="AE1046" s="12"/>
      <c r="AF1046" s="12"/>
      <c r="AG1046" s="12"/>
      <c r="AH1046" s="12"/>
      <c r="AI1046" s="12"/>
      <c r="AJ1046" s="24"/>
      <c r="AK1046" s="24"/>
      <c r="AL1046" s="24">
        <v>110000</v>
      </c>
      <c r="AM1046" s="24">
        <v>110000</v>
      </c>
      <c r="AN1046" s="1061">
        <v>1500000</v>
      </c>
      <c r="AO1046" s="1061">
        <v>1500000</v>
      </c>
      <c r="AP1046" s="1061">
        <v>1500000</v>
      </c>
      <c r="AQ1046" s="1061">
        <v>1500000</v>
      </c>
      <c r="AR1046" s="1044"/>
      <c r="AS1046" s="1044"/>
    </row>
    <row r="1047" spans="2:45" s="1044" customFormat="1" hidden="1" outlineLevel="1">
      <c r="B1047" s="1045"/>
      <c r="C1047" s="1249" t="s">
        <v>2</v>
      </c>
      <c r="D1047" s="1251"/>
      <c r="E1047" s="1252" t="s">
        <v>1978</v>
      </c>
      <c r="F1047" s="1030"/>
      <c r="G1047" s="1030"/>
      <c r="H1047" s="1030"/>
      <c r="I1047" s="1030"/>
      <c r="J1047" s="1030"/>
      <c r="K1047" s="1030"/>
      <c r="L1047" s="1030"/>
      <c r="M1047" s="1030"/>
      <c r="N1047" s="1030"/>
      <c r="O1047" s="1030"/>
      <c r="P1047" s="1030"/>
      <c r="Q1047" s="1030"/>
      <c r="R1047" s="1030"/>
      <c r="S1047" s="1030"/>
      <c r="T1047" s="1030"/>
      <c r="U1047" s="1030"/>
      <c r="V1047" s="1030"/>
      <c r="W1047" s="1030"/>
      <c r="X1047" s="1030"/>
      <c r="Y1047" s="1030"/>
      <c r="Z1047" s="1030"/>
      <c r="AA1047" s="1030"/>
      <c r="AB1047" s="1070"/>
      <c r="AC1047" s="1070"/>
      <c r="AD1047" s="1070"/>
      <c r="AE1047" s="1070"/>
      <c r="AF1047" s="1070"/>
      <c r="AG1047" s="1070"/>
      <c r="AH1047" s="1070"/>
      <c r="AI1047" s="1070"/>
      <c r="AJ1047" s="1061"/>
      <c r="AK1047" s="1061"/>
      <c r="AL1047" s="1061"/>
      <c r="AM1047" s="1061"/>
      <c r="AN1047" s="1061"/>
      <c r="AO1047" s="1061"/>
      <c r="AP1047" s="1061">
        <v>49500000</v>
      </c>
      <c r="AQ1047" s="1061">
        <v>49500000</v>
      </c>
    </row>
    <row r="1048" spans="2:45" hidden="1" outlineLevel="1">
      <c r="C1048" s="1249" t="s">
        <v>2</v>
      </c>
      <c r="D1048" s="1251"/>
      <c r="E1048" s="1251" t="s">
        <v>229</v>
      </c>
      <c r="F1048" s="9"/>
      <c r="G1048" s="9"/>
      <c r="H1048" s="9"/>
      <c r="I1048" s="9"/>
      <c r="J1048" s="9"/>
      <c r="K1048" s="9"/>
      <c r="L1048" s="9"/>
      <c r="M1048" s="9"/>
      <c r="N1048" s="9"/>
      <c r="O1048" s="9"/>
      <c r="P1048" s="9"/>
      <c r="Q1048" s="9"/>
      <c r="R1048" s="9"/>
      <c r="S1048" s="9"/>
      <c r="T1048" s="9"/>
      <c r="U1048" s="9"/>
      <c r="V1048" s="9"/>
      <c r="W1048" s="9"/>
      <c r="X1048" s="9"/>
      <c r="Y1048" s="9"/>
      <c r="Z1048" s="9"/>
      <c r="AA1048" s="9"/>
      <c r="AB1048" s="12">
        <v>918565</v>
      </c>
      <c r="AC1048" s="12">
        <v>918565</v>
      </c>
      <c r="AD1048" s="12">
        <v>918565</v>
      </c>
      <c r="AE1048" s="12">
        <v>918565</v>
      </c>
      <c r="AF1048" s="12">
        <v>918565</v>
      </c>
      <c r="AG1048" s="12">
        <v>918565</v>
      </c>
      <c r="AH1048" s="12"/>
      <c r="AI1048" s="12"/>
      <c r="AJ1048" s="58"/>
      <c r="AK1048" s="58"/>
      <c r="AL1048" s="58"/>
      <c r="AM1048" s="58"/>
      <c r="AN1048" s="1061"/>
      <c r="AO1048" s="1061"/>
      <c r="AP1048" s="1061"/>
      <c r="AQ1048" s="1061"/>
      <c r="AR1048" s="1044"/>
      <c r="AS1048" s="1044"/>
    </row>
    <row r="1049" spans="2:45" hidden="1" outlineLevel="1">
      <c r="C1049" s="1249" t="s">
        <v>2</v>
      </c>
      <c r="D1049" s="1251"/>
      <c r="E1049" s="1251" t="s">
        <v>230</v>
      </c>
      <c r="F1049" s="9"/>
      <c r="G1049" s="9"/>
      <c r="H1049" s="9"/>
      <c r="I1049" s="9"/>
      <c r="J1049" s="9"/>
      <c r="K1049" s="9"/>
      <c r="L1049" s="9"/>
      <c r="M1049" s="9"/>
      <c r="N1049" s="9"/>
      <c r="O1049" s="9"/>
      <c r="P1049" s="9"/>
      <c r="Q1049" s="9"/>
      <c r="R1049" s="9"/>
      <c r="S1049" s="9"/>
      <c r="T1049" s="9"/>
      <c r="U1049" s="9"/>
      <c r="V1049" s="9"/>
      <c r="W1049" s="9"/>
      <c r="X1049" s="9"/>
      <c r="Y1049" s="9"/>
      <c r="Z1049" s="9"/>
      <c r="AA1049" s="9"/>
      <c r="AB1049" s="12">
        <v>45633</v>
      </c>
      <c r="AC1049" s="12">
        <v>45633</v>
      </c>
      <c r="AD1049" s="12">
        <v>45633</v>
      </c>
      <c r="AE1049" s="12">
        <v>45633</v>
      </c>
      <c r="AF1049" s="12">
        <v>45633</v>
      </c>
      <c r="AG1049" s="12">
        <v>45633</v>
      </c>
      <c r="AH1049" s="12"/>
      <c r="AI1049" s="12"/>
      <c r="AJ1049" s="58"/>
      <c r="AK1049" s="58"/>
      <c r="AL1049" s="58"/>
      <c r="AM1049" s="58"/>
      <c r="AN1049" s="1061"/>
      <c r="AO1049" s="1061"/>
      <c r="AP1049" s="1061"/>
      <c r="AQ1049" s="1061"/>
      <c r="AR1049" s="1044"/>
      <c r="AS1049" s="1044"/>
    </row>
    <row r="1050" spans="2:45" hidden="1" outlineLevel="1">
      <c r="C1050" s="1249" t="s">
        <v>2</v>
      </c>
      <c r="D1050" s="1251"/>
      <c r="E1050" s="1252" t="s">
        <v>1466</v>
      </c>
      <c r="F1050" s="9"/>
      <c r="G1050" s="9"/>
      <c r="H1050" s="9"/>
      <c r="I1050" s="9"/>
      <c r="J1050" s="9"/>
      <c r="K1050" s="9"/>
      <c r="L1050" s="9"/>
      <c r="M1050" s="9"/>
      <c r="N1050" s="9"/>
      <c r="O1050" s="9"/>
      <c r="P1050" s="9"/>
      <c r="Q1050" s="9"/>
      <c r="R1050" s="9"/>
      <c r="S1050" s="9"/>
      <c r="T1050" s="9"/>
      <c r="U1050" s="9"/>
      <c r="V1050" s="9"/>
      <c r="W1050" s="9"/>
      <c r="X1050" s="9"/>
      <c r="Y1050" s="9"/>
      <c r="Z1050" s="9"/>
      <c r="AA1050" s="9"/>
      <c r="AB1050" s="12">
        <v>106477</v>
      </c>
      <c r="AC1050" s="12">
        <v>106477</v>
      </c>
      <c r="AD1050" s="12">
        <v>106477</v>
      </c>
      <c r="AE1050" s="12">
        <v>106477</v>
      </c>
      <c r="AF1050" s="12">
        <v>329477</v>
      </c>
      <c r="AG1050" s="12">
        <v>326477</v>
      </c>
      <c r="AH1050" s="12"/>
      <c r="AI1050" s="12"/>
      <c r="AJ1050" s="58"/>
      <c r="AK1050" s="58"/>
      <c r="AL1050" s="58"/>
      <c r="AM1050" s="58"/>
      <c r="AN1050" s="1061"/>
      <c r="AO1050" s="1061"/>
      <c r="AP1050" s="1061"/>
      <c r="AQ1050" s="1061"/>
      <c r="AR1050" s="1044"/>
      <c r="AS1050" s="1044"/>
    </row>
    <row r="1051" spans="2:45" hidden="1" outlineLevel="1">
      <c r="C1051" s="1249" t="s">
        <v>2</v>
      </c>
      <c r="D1051" s="1251"/>
      <c r="E1051" s="1251" t="s">
        <v>231</v>
      </c>
      <c r="F1051" s="9"/>
      <c r="G1051" s="9"/>
      <c r="H1051" s="9"/>
      <c r="I1051" s="9"/>
      <c r="J1051" s="9"/>
      <c r="K1051" s="9"/>
      <c r="L1051" s="9"/>
      <c r="M1051" s="9"/>
      <c r="N1051" s="9"/>
      <c r="O1051" s="9"/>
      <c r="P1051" s="9"/>
      <c r="Q1051" s="9"/>
      <c r="R1051" s="9"/>
      <c r="S1051" s="9"/>
      <c r="T1051" s="9"/>
      <c r="U1051" s="9"/>
      <c r="V1051" s="9"/>
      <c r="W1051" s="9"/>
      <c r="X1051" s="9"/>
      <c r="Y1051" s="9"/>
      <c r="Z1051" s="9"/>
      <c r="AA1051" s="9"/>
      <c r="AB1051" s="12">
        <v>3000000</v>
      </c>
      <c r="AC1051" s="12">
        <v>3000000</v>
      </c>
      <c r="AD1051" s="12">
        <v>7350000</v>
      </c>
      <c r="AE1051" s="12">
        <v>7350000</v>
      </c>
      <c r="AF1051" s="12">
        <v>27350000</v>
      </c>
      <c r="AG1051" s="12">
        <v>22350000</v>
      </c>
      <c r="AH1051" s="12">
        <v>15000000</v>
      </c>
      <c r="AI1051" s="12">
        <v>15000000</v>
      </c>
      <c r="AJ1051" s="24">
        <v>16875000</v>
      </c>
      <c r="AK1051" s="24">
        <v>16875000</v>
      </c>
      <c r="AL1051" s="24">
        <v>16875000</v>
      </c>
      <c r="AM1051" s="24">
        <v>16875000</v>
      </c>
      <c r="AN1051" s="1061">
        <v>10000000</v>
      </c>
      <c r="AO1051" s="1061">
        <v>10000000</v>
      </c>
      <c r="AP1051" s="1061">
        <v>9940024</v>
      </c>
      <c r="AQ1051" s="1061">
        <v>9940024</v>
      </c>
      <c r="AR1051" s="1044"/>
      <c r="AS1051" s="1044"/>
    </row>
    <row r="1052" spans="2:45" hidden="1" outlineLevel="1">
      <c r="C1052" s="1249" t="s">
        <v>2</v>
      </c>
      <c r="D1052" s="1251"/>
      <c r="E1052" s="1251" t="s">
        <v>232</v>
      </c>
      <c r="F1052" s="9"/>
      <c r="G1052" s="9"/>
      <c r="H1052" s="9"/>
      <c r="I1052" s="9"/>
      <c r="J1052" s="9"/>
      <c r="K1052" s="9"/>
      <c r="L1052" s="9"/>
      <c r="M1052" s="9"/>
      <c r="N1052" s="9"/>
      <c r="O1052" s="9"/>
      <c r="P1052" s="9"/>
      <c r="Q1052" s="9"/>
      <c r="R1052" s="9"/>
      <c r="S1052" s="9"/>
      <c r="T1052" s="9"/>
      <c r="U1052" s="9"/>
      <c r="V1052" s="9"/>
      <c r="W1052" s="9"/>
      <c r="X1052" s="9"/>
      <c r="Y1052" s="9"/>
      <c r="Z1052" s="9"/>
      <c r="AA1052" s="9"/>
      <c r="AB1052" s="12">
        <v>2000000</v>
      </c>
      <c r="AC1052" s="12">
        <v>0</v>
      </c>
      <c r="AD1052" s="12">
        <v>3900000</v>
      </c>
      <c r="AE1052" s="12">
        <v>0</v>
      </c>
      <c r="AF1052" s="12">
        <v>6850000</v>
      </c>
      <c r="AG1052" s="12">
        <v>0</v>
      </c>
      <c r="AH1052" s="12">
        <v>5230625</v>
      </c>
      <c r="AI1052" s="12"/>
      <c r="AJ1052" s="58"/>
      <c r="AK1052" s="58"/>
      <c r="AL1052" s="58"/>
      <c r="AM1052" s="58"/>
      <c r="AN1052" s="1061"/>
      <c r="AO1052" s="1061"/>
      <c r="AP1052" s="1061"/>
      <c r="AQ1052" s="1061"/>
      <c r="AR1052" s="1044"/>
      <c r="AS1052" s="1044"/>
    </row>
    <row r="1053" spans="2:45" hidden="1" outlineLevel="1">
      <c r="C1053" s="1249" t="s">
        <v>2</v>
      </c>
      <c r="D1053" s="1251"/>
      <c r="E1053" s="1251" t="s">
        <v>233</v>
      </c>
      <c r="F1053" s="9"/>
      <c r="G1053" s="9"/>
      <c r="H1053" s="9"/>
      <c r="I1053" s="9"/>
      <c r="J1053" s="9"/>
      <c r="K1053" s="9"/>
      <c r="L1053" s="9"/>
      <c r="M1053" s="9"/>
      <c r="N1053" s="9"/>
      <c r="O1053" s="9"/>
      <c r="P1053" s="9"/>
      <c r="Q1053" s="9"/>
      <c r="R1053" s="9"/>
      <c r="S1053" s="9"/>
      <c r="T1053" s="9"/>
      <c r="U1053" s="9"/>
      <c r="V1053" s="9"/>
      <c r="W1053" s="9"/>
      <c r="X1053" s="9"/>
      <c r="Y1053" s="9"/>
      <c r="Z1053" s="9"/>
      <c r="AA1053" s="9"/>
      <c r="AB1053" s="12"/>
      <c r="AC1053" s="12"/>
      <c r="AD1053" s="12"/>
      <c r="AE1053" s="12"/>
      <c r="AF1053" s="12">
        <v>2500000</v>
      </c>
      <c r="AG1053" s="12">
        <v>2500000</v>
      </c>
      <c r="AH1053" s="12"/>
      <c r="AI1053" s="12"/>
      <c r="AJ1053" s="58"/>
      <c r="AK1053" s="58"/>
      <c r="AL1053" s="58"/>
      <c r="AM1053" s="58"/>
      <c r="AN1053" s="1061"/>
      <c r="AO1053" s="1061"/>
      <c r="AP1053" s="1061"/>
      <c r="AQ1053" s="1061"/>
      <c r="AR1053" s="1044"/>
      <c r="AS1053" s="1044"/>
    </row>
    <row r="1054" spans="2:45" hidden="1" outlineLevel="1">
      <c r="C1054" s="1249" t="s">
        <v>2</v>
      </c>
      <c r="D1054" s="1251"/>
      <c r="E1054" s="1251" t="s">
        <v>234</v>
      </c>
      <c r="F1054" s="9"/>
      <c r="G1054" s="9"/>
      <c r="H1054" s="9"/>
      <c r="I1054" s="9"/>
      <c r="J1054" s="9"/>
      <c r="K1054" s="9"/>
      <c r="L1054" s="9"/>
      <c r="M1054" s="9"/>
      <c r="N1054" s="9"/>
      <c r="O1054" s="9"/>
      <c r="P1054" s="9"/>
      <c r="Q1054" s="9"/>
      <c r="R1054" s="9"/>
      <c r="S1054" s="9"/>
      <c r="T1054" s="9"/>
      <c r="U1054" s="9"/>
      <c r="V1054" s="9"/>
      <c r="W1054" s="9"/>
      <c r="X1054" s="9"/>
      <c r="Y1054" s="9"/>
      <c r="Z1054" s="9"/>
      <c r="AA1054" s="9"/>
      <c r="AB1054" s="12"/>
      <c r="AC1054" s="12"/>
      <c r="AD1054" s="12"/>
      <c r="AE1054" s="12"/>
      <c r="AF1054" s="12"/>
      <c r="AG1054" s="12"/>
      <c r="AH1054" s="12"/>
      <c r="AI1054" s="12"/>
      <c r="AJ1054" s="24">
        <v>2250000</v>
      </c>
      <c r="AK1054" s="24">
        <v>2250000</v>
      </c>
      <c r="AL1054" s="24">
        <v>2250000</v>
      </c>
      <c r="AM1054" s="24">
        <v>2250000</v>
      </c>
      <c r="AN1054" s="1061"/>
      <c r="AO1054" s="1061"/>
      <c r="AP1054" s="1061"/>
      <c r="AQ1054" s="1061"/>
      <c r="AR1054" s="1044"/>
      <c r="AS1054" s="1044"/>
    </row>
    <row r="1055" spans="2:45" hidden="1" outlineLevel="1">
      <c r="C1055" s="1249" t="s">
        <v>2</v>
      </c>
      <c r="D1055" s="1251"/>
      <c r="E1055" s="1252" t="s">
        <v>1698</v>
      </c>
      <c r="F1055" s="9"/>
      <c r="G1055" s="9"/>
      <c r="H1055" s="9"/>
      <c r="I1055" s="9"/>
      <c r="J1055" s="9"/>
      <c r="K1055" s="9"/>
      <c r="L1055" s="9"/>
      <c r="M1055" s="9"/>
      <c r="N1055" s="9"/>
      <c r="O1055" s="9"/>
      <c r="P1055" s="9"/>
      <c r="Q1055" s="9"/>
      <c r="R1055" s="9"/>
      <c r="S1055" s="9"/>
      <c r="T1055" s="9"/>
      <c r="U1055" s="9"/>
      <c r="V1055" s="9"/>
      <c r="W1055" s="9"/>
      <c r="X1055" s="9"/>
      <c r="Y1055" s="9"/>
      <c r="Z1055" s="9"/>
      <c r="AA1055" s="9"/>
      <c r="AB1055" s="12"/>
      <c r="AC1055" s="12"/>
      <c r="AD1055" s="12"/>
      <c r="AE1055" s="12"/>
      <c r="AF1055" s="12"/>
      <c r="AG1055" s="12"/>
      <c r="AH1055" s="12"/>
      <c r="AI1055" s="12"/>
      <c r="AJ1055" s="24"/>
      <c r="AK1055" s="24"/>
      <c r="AL1055" s="24">
        <v>26500000</v>
      </c>
      <c r="AM1055" s="24">
        <v>26500000</v>
      </c>
      <c r="AN1055" s="1061">
        <v>2125000</v>
      </c>
      <c r="AO1055" s="1061">
        <v>2125000</v>
      </c>
      <c r="AP1055" s="1061"/>
      <c r="AQ1055" s="1061"/>
      <c r="AR1055" s="1044"/>
      <c r="AS1055" s="1044"/>
    </row>
    <row r="1056" spans="2:45" hidden="1" outlineLevel="1">
      <c r="C1056" s="1249" t="s">
        <v>2</v>
      </c>
      <c r="D1056" s="1251"/>
      <c r="E1056" s="1252" t="s">
        <v>1215</v>
      </c>
      <c r="F1056" s="9"/>
      <c r="G1056" s="9"/>
      <c r="H1056" s="9"/>
      <c r="I1056" s="9"/>
      <c r="J1056" s="9"/>
      <c r="K1056" s="9"/>
      <c r="L1056" s="9"/>
      <c r="M1056" s="9"/>
      <c r="N1056" s="9"/>
      <c r="O1056" s="9"/>
      <c r="P1056" s="9"/>
      <c r="Q1056" s="9"/>
      <c r="R1056" s="9"/>
      <c r="S1056" s="9"/>
      <c r="T1056" s="9"/>
      <c r="U1056" s="9"/>
      <c r="V1056" s="9"/>
      <c r="W1056" s="9"/>
      <c r="X1056" s="9"/>
      <c r="Y1056" s="9"/>
      <c r="Z1056" s="9"/>
      <c r="AA1056" s="9"/>
      <c r="AB1056" s="12"/>
      <c r="AC1056" s="12"/>
      <c r="AD1056" s="12"/>
      <c r="AE1056" s="12"/>
      <c r="AF1056" s="12"/>
      <c r="AG1056" s="12"/>
      <c r="AH1056" s="12"/>
      <c r="AI1056" s="12"/>
      <c r="AJ1056" s="24">
        <v>2100000</v>
      </c>
      <c r="AK1056" s="24"/>
      <c r="AL1056" s="24">
        <v>2100000</v>
      </c>
      <c r="AM1056" s="24" t="s">
        <v>1694</v>
      </c>
      <c r="AN1056" s="1061"/>
      <c r="AO1056" s="1061"/>
      <c r="AP1056" s="1061"/>
      <c r="AQ1056" s="1061"/>
      <c r="AR1056" s="1044"/>
      <c r="AS1056" s="1044"/>
    </row>
    <row r="1057" spans="3:45" hidden="1" outlineLevel="1">
      <c r="C1057" s="1249" t="s">
        <v>2</v>
      </c>
      <c r="D1057" s="1251"/>
      <c r="E1057" s="1252" t="s">
        <v>1699</v>
      </c>
      <c r="F1057" s="9"/>
      <c r="G1057" s="9"/>
      <c r="H1057" s="9"/>
      <c r="I1057" s="9"/>
      <c r="J1057" s="9"/>
      <c r="K1057" s="9"/>
      <c r="L1057" s="9"/>
      <c r="M1057" s="9"/>
      <c r="N1057" s="9"/>
      <c r="O1057" s="9"/>
      <c r="P1057" s="9"/>
      <c r="Q1057" s="9"/>
      <c r="R1057" s="9"/>
      <c r="S1057" s="9"/>
      <c r="T1057" s="9"/>
      <c r="U1057" s="9"/>
      <c r="V1057" s="9"/>
      <c r="W1057" s="9"/>
      <c r="X1057" s="9"/>
      <c r="Y1057" s="9"/>
      <c r="Z1057" s="9"/>
      <c r="AA1057" s="9"/>
      <c r="AB1057" s="12"/>
      <c r="AC1057" s="12"/>
      <c r="AD1057" s="12"/>
      <c r="AE1057" s="12"/>
      <c r="AF1057" s="12"/>
      <c r="AG1057" s="12"/>
      <c r="AH1057" s="12"/>
      <c r="AI1057" s="12"/>
      <c r="AJ1057" s="24"/>
      <c r="AK1057" s="24"/>
      <c r="AL1057" s="24">
        <v>637653</v>
      </c>
      <c r="AM1057" s="24">
        <v>637653</v>
      </c>
      <c r="AN1057" s="1061"/>
      <c r="AO1057" s="1061"/>
      <c r="AP1057" s="1061"/>
      <c r="AQ1057" s="1061"/>
      <c r="AR1057" s="1044"/>
      <c r="AS1057" s="1044"/>
    </row>
    <row r="1058" spans="3:45" hidden="1" outlineLevel="1">
      <c r="C1058" s="1249" t="s">
        <v>2</v>
      </c>
      <c r="D1058" s="1251"/>
      <c r="E1058" s="1252" t="s">
        <v>1700</v>
      </c>
      <c r="F1058" s="9"/>
      <c r="G1058" s="9"/>
      <c r="H1058" s="9"/>
      <c r="I1058" s="9"/>
      <c r="J1058" s="9"/>
      <c r="K1058" s="9"/>
      <c r="L1058" s="9"/>
      <c r="M1058" s="9"/>
      <c r="N1058" s="9"/>
      <c r="O1058" s="9"/>
      <c r="P1058" s="9"/>
      <c r="Q1058" s="9"/>
      <c r="R1058" s="9"/>
      <c r="S1058" s="9"/>
      <c r="T1058" s="9"/>
      <c r="U1058" s="9"/>
      <c r="V1058" s="9"/>
      <c r="W1058" s="9"/>
      <c r="X1058" s="9"/>
      <c r="Y1058" s="9"/>
      <c r="Z1058" s="9"/>
      <c r="AA1058" s="9"/>
      <c r="AB1058" s="12"/>
      <c r="AC1058" s="12"/>
      <c r="AD1058" s="12"/>
      <c r="AE1058" s="12"/>
      <c r="AF1058" s="12"/>
      <c r="AG1058" s="12"/>
      <c r="AH1058" s="12"/>
      <c r="AI1058" s="12"/>
      <c r="AJ1058" s="24"/>
      <c r="AK1058" s="24"/>
      <c r="AL1058" s="24">
        <v>4050000</v>
      </c>
      <c r="AM1058" s="24">
        <v>4050000</v>
      </c>
      <c r="AN1058" s="1061">
        <v>200000</v>
      </c>
      <c r="AO1058" s="1061">
        <v>0</v>
      </c>
      <c r="AP1058" s="1061"/>
      <c r="AQ1058" s="1061"/>
      <c r="AR1058" s="1044"/>
      <c r="AS1058" s="1044"/>
    </row>
    <row r="1059" spans="3:45" hidden="1" outlineLevel="1">
      <c r="C1059" s="1249" t="s">
        <v>2</v>
      </c>
      <c r="D1059" s="1251"/>
      <c r="E1059" s="1252" t="s">
        <v>1868</v>
      </c>
      <c r="F1059" s="9"/>
      <c r="G1059" s="9"/>
      <c r="H1059" s="9"/>
      <c r="I1059" s="9"/>
      <c r="J1059" s="9"/>
      <c r="K1059" s="9"/>
      <c r="L1059" s="9"/>
      <c r="M1059" s="9"/>
      <c r="N1059" s="9"/>
      <c r="O1059" s="9"/>
      <c r="P1059" s="9"/>
      <c r="Q1059" s="9"/>
      <c r="R1059" s="9"/>
      <c r="S1059" s="9"/>
      <c r="T1059" s="9"/>
      <c r="U1059" s="9"/>
      <c r="V1059" s="9"/>
      <c r="W1059" s="9"/>
      <c r="X1059" s="9"/>
      <c r="Y1059" s="9"/>
      <c r="Z1059" s="9"/>
      <c r="AA1059" s="9"/>
      <c r="AB1059" s="12"/>
      <c r="AC1059" s="12"/>
      <c r="AD1059" s="12"/>
      <c r="AE1059" s="12"/>
      <c r="AF1059" s="12"/>
      <c r="AG1059" s="12"/>
      <c r="AH1059" s="12"/>
      <c r="AI1059" s="12"/>
      <c r="AJ1059" s="24"/>
      <c r="AK1059" s="24"/>
      <c r="AL1059" s="24">
        <v>850000</v>
      </c>
      <c r="AM1059" s="24">
        <v>1275000</v>
      </c>
      <c r="AN1059" s="1061">
        <v>1062500</v>
      </c>
      <c r="AO1059" s="1061">
        <v>1062500</v>
      </c>
      <c r="AP1059" s="1061">
        <v>1062500</v>
      </c>
      <c r="AQ1059" s="1061">
        <v>1062500</v>
      </c>
      <c r="AR1059" s="1044"/>
      <c r="AS1059" s="1044"/>
    </row>
    <row r="1060" spans="3:45" hidden="1" outlineLevel="1">
      <c r="C1060" s="1249" t="s">
        <v>2</v>
      </c>
      <c r="D1060" s="1251"/>
      <c r="E1060" s="1251" t="s">
        <v>235</v>
      </c>
      <c r="F1060" s="9"/>
      <c r="G1060" s="9"/>
      <c r="H1060" s="9"/>
      <c r="I1060" s="9"/>
      <c r="J1060" s="9"/>
      <c r="K1060" s="9"/>
      <c r="L1060" s="9"/>
      <c r="M1060" s="9"/>
      <c r="N1060" s="9"/>
      <c r="O1060" s="9"/>
      <c r="P1060" s="9"/>
      <c r="Q1060" s="9"/>
      <c r="R1060" s="9"/>
      <c r="S1060" s="9"/>
      <c r="T1060" s="9"/>
      <c r="U1060" s="9"/>
      <c r="V1060" s="9"/>
      <c r="W1060" s="9"/>
      <c r="X1060" s="9"/>
      <c r="Y1060" s="9"/>
      <c r="Z1060" s="9"/>
      <c r="AA1060" s="9"/>
      <c r="AB1060" s="12"/>
      <c r="AC1060" s="12"/>
      <c r="AD1060" s="12"/>
      <c r="AE1060" s="12"/>
      <c r="AF1060" s="12"/>
      <c r="AG1060" s="12"/>
      <c r="AH1060" s="12"/>
      <c r="AI1060" s="12"/>
      <c r="AJ1060" s="24">
        <v>2700000</v>
      </c>
      <c r="AK1060" s="24">
        <v>2700000</v>
      </c>
      <c r="AL1060" s="24"/>
      <c r="AM1060" s="24"/>
      <c r="AN1060" s="1061"/>
      <c r="AO1060" s="1061"/>
      <c r="AP1060" s="1061"/>
      <c r="AQ1060" s="1061"/>
      <c r="AR1060" s="1044"/>
      <c r="AS1060" s="1044"/>
    </row>
    <row r="1061" spans="3:45" hidden="1" outlineLevel="1">
      <c r="C1061" s="1249" t="s">
        <v>2</v>
      </c>
      <c r="D1061" s="1251"/>
      <c r="E1061" s="1253" t="s">
        <v>236</v>
      </c>
      <c r="F1061" s="35"/>
      <c r="G1061" s="35"/>
      <c r="H1061" s="35"/>
      <c r="I1061" s="35"/>
      <c r="J1061" s="35"/>
      <c r="K1061" s="35"/>
      <c r="L1061" s="35"/>
      <c r="M1061" s="35"/>
      <c r="N1061" s="35"/>
      <c r="O1061" s="35"/>
      <c r="P1061" s="35"/>
      <c r="Q1061" s="35"/>
      <c r="R1061" s="35"/>
      <c r="S1061" s="35"/>
      <c r="T1061" s="35"/>
      <c r="U1061" s="35"/>
      <c r="V1061" s="35"/>
      <c r="W1061" s="35"/>
      <c r="X1061" s="35"/>
      <c r="Y1061" s="35"/>
      <c r="Z1061" s="35"/>
      <c r="AA1061" s="35"/>
      <c r="AB1061" s="34">
        <v>63002778</v>
      </c>
      <c r="AC1061" s="34">
        <v>57686426</v>
      </c>
      <c r="AD1061" s="34">
        <v>76179073</v>
      </c>
      <c r="AE1061" s="34">
        <v>66662717</v>
      </c>
      <c r="AF1061" s="34">
        <v>119869035</v>
      </c>
      <c r="AG1061" s="34">
        <v>106567958</v>
      </c>
      <c r="AH1061" s="34">
        <f>80937551</f>
        <v>80937551</v>
      </c>
      <c r="AI1061" s="34">
        <f>58717694+17000000</f>
        <v>75717694</v>
      </c>
      <c r="AJ1061" s="230">
        <v>45946794</v>
      </c>
      <c r="AK1061" s="230">
        <v>53840000</v>
      </c>
      <c r="AL1061" s="230">
        <f t="shared" ref="AL1061:AQ1061" si="297">SUM(AL1038:AL1060)</f>
        <v>90369447</v>
      </c>
      <c r="AM1061" s="230">
        <f t="shared" si="297"/>
        <v>78487653</v>
      </c>
      <c r="AN1061" s="920">
        <f t="shared" si="297"/>
        <v>94919294</v>
      </c>
      <c r="AO1061" s="920">
        <f t="shared" si="297"/>
        <v>84512500</v>
      </c>
      <c r="AP1061" s="920">
        <f t="shared" si="297"/>
        <v>174715646</v>
      </c>
      <c r="AQ1061" s="920">
        <f t="shared" si="297"/>
        <v>164110989</v>
      </c>
      <c r="AR1061" s="1044"/>
      <c r="AS1061" s="1044"/>
    </row>
    <row r="1062" spans="3:45" hidden="1" outlineLevel="1">
      <c r="C1062" s="1249" t="s">
        <v>2</v>
      </c>
      <c r="D1062" s="1251"/>
      <c r="E1062" s="670" t="s">
        <v>221</v>
      </c>
      <c r="F1062" s="35"/>
      <c r="G1062" s="35"/>
      <c r="H1062" s="35"/>
      <c r="I1062" s="35"/>
      <c r="J1062" s="35"/>
      <c r="K1062" s="35"/>
      <c r="L1062" s="35"/>
      <c r="M1062" s="35"/>
      <c r="N1062" s="35"/>
      <c r="O1062" s="35"/>
      <c r="P1062" s="35"/>
      <c r="Q1062" s="35"/>
      <c r="R1062" s="35"/>
      <c r="S1062" s="35"/>
      <c r="T1062" s="35"/>
      <c r="U1062" s="35"/>
      <c r="V1062" s="35"/>
      <c r="W1062" s="35"/>
      <c r="X1062" s="35"/>
      <c r="Y1062" s="35"/>
      <c r="Z1062" s="35"/>
      <c r="AA1062" s="35"/>
      <c r="AB1062" s="12"/>
      <c r="AC1062" s="12"/>
      <c r="AD1062" s="12"/>
      <c r="AE1062" s="12"/>
      <c r="AF1062" s="12"/>
      <c r="AG1062" s="12"/>
      <c r="AH1062" s="12"/>
      <c r="AI1062" s="12"/>
      <c r="AJ1062" s="24"/>
      <c r="AK1062" s="24"/>
      <c r="AL1062" s="24"/>
      <c r="AM1062" s="24"/>
      <c r="AN1062" s="1061"/>
      <c r="AO1062" s="1061"/>
      <c r="AP1062" s="1061"/>
      <c r="AQ1062" s="1061"/>
      <c r="AR1062" s="1044"/>
      <c r="AS1062" s="1044"/>
    </row>
    <row r="1063" spans="3:45" hidden="1" outlineLevel="1">
      <c r="C1063" s="1249" t="s">
        <v>2</v>
      </c>
      <c r="D1063" s="1251"/>
      <c r="E1063" s="1257" t="s">
        <v>1001</v>
      </c>
      <c r="F1063" s="35"/>
      <c r="G1063" s="35"/>
      <c r="H1063" s="35"/>
      <c r="I1063" s="35"/>
      <c r="J1063" s="35"/>
      <c r="K1063" s="35"/>
      <c r="L1063" s="35"/>
      <c r="M1063" s="35"/>
      <c r="N1063" s="35"/>
      <c r="O1063" s="35"/>
      <c r="P1063" s="35"/>
      <c r="Q1063" s="35"/>
      <c r="R1063" s="35"/>
      <c r="S1063" s="35"/>
      <c r="T1063" s="35"/>
      <c r="U1063" s="35"/>
      <c r="V1063" s="35"/>
      <c r="W1063" s="35"/>
      <c r="X1063" s="35"/>
      <c r="Y1063" s="35"/>
      <c r="Z1063" s="35"/>
      <c r="AA1063" s="35"/>
      <c r="AB1063" s="12"/>
      <c r="AC1063" s="12"/>
      <c r="AD1063" s="12"/>
      <c r="AE1063" s="12"/>
      <c r="AF1063" s="12"/>
      <c r="AG1063" s="12"/>
      <c r="AH1063" s="12"/>
      <c r="AI1063" s="12"/>
      <c r="AJ1063" s="24">
        <v>35605472</v>
      </c>
      <c r="AK1063" s="24">
        <v>38078432</v>
      </c>
      <c r="AL1063" s="24">
        <v>38980500</v>
      </c>
      <c r="AM1063" s="24">
        <v>39031850</v>
      </c>
      <c r="AN1063" s="1061">
        <v>38492055</v>
      </c>
      <c r="AO1063" s="1061">
        <v>37599919</v>
      </c>
      <c r="AP1063" s="1061">
        <v>36508620</v>
      </c>
      <c r="AQ1063" s="1061">
        <v>36490669</v>
      </c>
      <c r="AR1063" s="1044"/>
      <c r="AS1063" s="1044"/>
    </row>
    <row r="1064" spans="3:45" hidden="1" outlineLevel="1">
      <c r="C1064" s="1249" t="s">
        <v>2</v>
      </c>
      <c r="D1064" s="1251"/>
      <c r="E1064" s="1257" t="s">
        <v>1002</v>
      </c>
      <c r="F1064" s="35"/>
      <c r="G1064" s="35"/>
      <c r="H1064" s="35"/>
      <c r="I1064" s="35"/>
      <c r="J1064" s="35"/>
      <c r="K1064" s="35"/>
      <c r="L1064" s="35"/>
      <c r="M1064" s="35"/>
      <c r="N1064" s="35"/>
      <c r="O1064" s="35"/>
      <c r="P1064" s="35"/>
      <c r="Q1064" s="35"/>
      <c r="R1064" s="35"/>
      <c r="S1064" s="35"/>
      <c r="T1064" s="35"/>
      <c r="U1064" s="35"/>
      <c r="V1064" s="35"/>
      <c r="W1064" s="35"/>
      <c r="X1064" s="35"/>
      <c r="Y1064" s="35"/>
      <c r="Z1064" s="35"/>
      <c r="AA1064" s="35"/>
      <c r="AB1064" s="12"/>
      <c r="AC1064" s="12"/>
      <c r="AD1064" s="12"/>
      <c r="AE1064" s="12"/>
      <c r="AF1064" s="12"/>
      <c r="AG1064" s="12"/>
      <c r="AH1064" s="12"/>
      <c r="AI1064" s="12"/>
      <c r="AJ1064" s="24">
        <v>5972111</v>
      </c>
      <c r="AK1064" s="24">
        <v>5972111</v>
      </c>
      <c r="AL1064" s="24">
        <v>7813119</v>
      </c>
      <c r="AM1064" s="24">
        <v>7813119</v>
      </c>
      <c r="AN1064" s="1061">
        <v>7710499</v>
      </c>
      <c r="AO1064" s="1061">
        <v>7710499</v>
      </c>
      <c r="AP1064" s="1061">
        <v>8596623</v>
      </c>
      <c r="AQ1064" s="1061">
        <v>8596623</v>
      </c>
      <c r="AR1064" s="1044"/>
      <c r="AS1064" s="1044"/>
    </row>
    <row r="1065" spans="3:45" hidden="1" outlineLevel="1">
      <c r="C1065" s="1249" t="s">
        <v>2</v>
      </c>
      <c r="D1065" s="1252" t="s">
        <v>1561</v>
      </c>
      <c r="E1065" s="1257" t="s">
        <v>1006</v>
      </c>
      <c r="F1065" s="35"/>
      <c r="G1065" s="35"/>
      <c r="H1065" s="35"/>
      <c r="I1065" s="35"/>
      <c r="J1065" s="35"/>
      <c r="K1065" s="35"/>
      <c r="L1065" s="35"/>
      <c r="M1065" s="35"/>
      <c r="N1065" s="35"/>
      <c r="O1065" s="35"/>
      <c r="P1065" s="35"/>
      <c r="Q1065" s="35"/>
      <c r="R1065" s="35"/>
      <c r="S1065" s="35"/>
      <c r="T1065" s="35"/>
      <c r="U1065" s="35"/>
      <c r="V1065" s="35"/>
      <c r="W1065" s="35"/>
      <c r="X1065" s="35"/>
      <c r="Y1065" s="35"/>
      <c r="Z1065" s="35"/>
      <c r="AA1065" s="35"/>
      <c r="AB1065" s="12"/>
      <c r="AC1065" s="12"/>
      <c r="AD1065" s="12"/>
      <c r="AE1065" s="12"/>
      <c r="AF1065" s="12"/>
      <c r="AG1065" s="12"/>
      <c r="AH1065" s="12"/>
      <c r="AI1065" s="12"/>
      <c r="AJ1065" s="24">
        <v>1450000</v>
      </c>
      <c r="AK1065" s="24">
        <v>1400000</v>
      </c>
      <c r="AL1065" s="24">
        <v>1425000</v>
      </c>
      <c r="AM1065" s="24">
        <v>1425000</v>
      </c>
      <c r="AN1065" s="1061">
        <v>1425000</v>
      </c>
      <c r="AO1065" s="1061">
        <v>1425000</v>
      </c>
      <c r="AP1065" s="1061">
        <v>1425000</v>
      </c>
      <c r="AQ1065" s="1061">
        <v>1425000</v>
      </c>
      <c r="AR1065" s="1044"/>
      <c r="AS1065" s="1044"/>
    </row>
    <row r="1066" spans="3:45" hidden="1" outlineLevel="1">
      <c r="C1066" s="1249" t="s">
        <v>2</v>
      </c>
      <c r="D1066" s="1252" t="s">
        <v>1561</v>
      </c>
      <c r="E1066" s="1257" t="s">
        <v>1007</v>
      </c>
      <c r="F1066" s="35"/>
      <c r="G1066" s="35"/>
      <c r="H1066" s="35"/>
      <c r="I1066" s="35"/>
      <c r="J1066" s="35"/>
      <c r="K1066" s="35"/>
      <c r="L1066" s="35"/>
      <c r="M1066" s="35"/>
      <c r="N1066" s="35"/>
      <c r="O1066" s="35"/>
      <c r="P1066" s="35"/>
      <c r="Q1066" s="35"/>
      <c r="R1066" s="35"/>
      <c r="S1066" s="35"/>
      <c r="T1066" s="35"/>
      <c r="U1066" s="35"/>
      <c r="V1066" s="35"/>
      <c r="W1066" s="35"/>
      <c r="X1066" s="35"/>
      <c r="Y1066" s="35"/>
      <c r="Z1066" s="35"/>
      <c r="AA1066" s="35"/>
      <c r="AB1066" s="12"/>
      <c r="AC1066" s="12"/>
      <c r="AD1066" s="12"/>
      <c r="AE1066" s="12"/>
      <c r="AF1066" s="12"/>
      <c r="AG1066" s="12"/>
      <c r="AH1066" s="12"/>
      <c r="AI1066" s="12"/>
      <c r="AJ1066" s="24">
        <v>2050000</v>
      </c>
      <c r="AK1066" s="24">
        <v>2000000</v>
      </c>
      <c r="AL1066" s="24">
        <v>1914193</v>
      </c>
      <c r="AM1066" s="24">
        <v>1914193</v>
      </c>
      <c r="AN1066" s="1061">
        <v>1914193</v>
      </c>
      <c r="AO1066" s="1061">
        <v>1914193</v>
      </c>
      <c r="AP1066" s="1061">
        <v>1914193</v>
      </c>
      <c r="AQ1066" s="1061">
        <v>1914193</v>
      </c>
      <c r="AR1066" s="1044"/>
      <c r="AS1066" s="1044"/>
    </row>
    <row r="1067" spans="3:45" hidden="1" outlineLevel="1">
      <c r="C1067" s="1249" t="s">
        <v>2</v>
      </c>
      <c r="D1067" s="1251"/>
      <c r="E1067" s="1253" t="s">
        <v>237</v>
      </c>
      <c r="F1067" s="35"/>
      <c r="G1067" s="35"/>
      <c r="H1067" s="35"/>
      <c r="I1067" s="35"/>
      <c r="J1067" s="35"/>
      <c r="K1067" s="35"/>
      <c r="L1067" s="35"/>
      <c r="M1067" s="35"/>
      <c r="N1067" s="35"/>
      <c r="O1067" s="35"/>
      <c r="P1067" s="35"/>
      <c r="Q1067" s="35"/>
      <c r="R1067" s="35"/>
      <c r="S1067" s="35"/>
      <c r="T1067" s="35"/>
      <c r="U1067" s="35"/>
      <c r="V1067" s="35"/>
      <c r="W1067" s="35"/>
      <c r="X1067" s="35"/>
      <c r="Y1067" s="35"/>
      <c r="Z1067" s="35"/>
      <c r="AA1067" s="35"/>
      <c r="AB1067" s="12"/>
      <c r="AC1067" s="12"/>
      <c r="AD1067" s="12"/>
      <c r="AE1067" s="12"/>
      <c r="AF1067" s="12"/>
      <c r="AG1067" s="12"/>
      <c r="AH1067" s="12"/>
      <c r="AI1067" s="12"/>
      <c r="AJ1067" s="24">
        <v>45077583</v>
      </c>
      <c r="AK1067" s="24">
        <v>47450543</v>
      </c>
      <c r="AL1067" s="230">
        <f t="shared" ref="AL1067:AQ1067" si="298">SUM(AL1063:AL1066)</f>
        <v>50132812</v>
      </c>
      <c r="AM1067" s="230">
        <f t="shared" si="298"/>
        <v>50184162</v>
      </c>
      <c r="AN1067" s="920">
        <f t="shared" si="298"/>
        <v>49541747</v>
      </c>
      <c r="AO1067" s="920">
        <f t="shared" si="298"/>
        <v>48649611</v>
      </c>
      <c r="AP1067" s="920">
        <f t="shared" si="298"/>
        <v>48444436</v>
      </c>
      <c r="AQ1067" s="920">
        <f t="shared" si="298"/>
        <v>48426485</v>
      </c>
      <c r="AR1067" s="1044"/>
      <c r="AS1067" s="1044"/>
    </row>
    <row r="1068" spans="3:45" hidden="1" outlineLevel="1">
      <c r="C1068" s="1249" t="s">
        <v>2</v>
      </c>
      <c r="D1068" s="1251"/>
      <c r="E1068" s="670" t="s">
        <v>238</v>
      </c>
      <c r="F1068" s="27"/>
      <c r="G1068" s="27"/>
      <c r="H1068" s="27"/>
      <c r="I1068" s="27"/>
      <c r="J1068" s="27"/>
      <c r="K1068" s="27"/>
      <c r="L1068" s="27"/>
      <c r="M1068" s="27"/>
      <c r="N1068" s="27"/>
      <c r="O1068" s="27"/>
      <c r="P1068" s="27"/>
      <c r="Q1068" s="27"/>
      <c r="R1068" s="27"/>
      <c r="S1068" s="27"/>
      <c r="T1068" s="27"/>
      <c r="U1068" s="27"/>
      <c r="V1068" s="27"/>
      <c r="W1068" s="27"/>
      <c r="X1068" s="27"/>
      <c r="Y1068" s="27"/>
      <c r="Z1068" s="27"/>
      <c r="AA1068" s="27"/>
      <c r="AB1068" s="12"/>
      <c r="AC1068" s="12"/>
      <c r="AD1068" s="12"/>
      <c r="AE1068" s="12"/>
      <c r="AF1068" s="12"/>
      <c r="AG1068" s="12"/>
      <c r="AH1068" s="12"/>
      <c r="AI1068" s="12"/>
      <c r="AJ1068" s="371"/>
      <c r="AK1068" s="371"/>
      <c r="AL1068" s="371"/>
      <c r="AM1068" s="371"/>
      <c r="AN1068" s="921"/>
      <c r="AO1068" s="921"/>
      <c r="AP1068" s="921"/>
      <c r="AQ1068" s="921"/>
      <c r="AR1068" s="1044"/>
      <c r="AS1068" s="1044"/>
    </row>
    <row r="1069" spans="3:45" hidden="1" outlineLevel="1">
      <c r="C1069" s="1249" t="s">
        <v>2</v>
      </c>
      <c r="D1069" s="1251"/>
      <c r="E1069" s="1251" t="s">
        <v>239</v>
      </c>
      <c r="F1069" s="9"/>
      <c r="G1069" s="9"/>
      <c r="H1069" s="9"/>
      <c r="I1069" s="9"/>
      <c r="J1069" s="9"/>
      <c r="K1069" s="9"/>
      <c r="L1069" s="9"/>
      <c r="M1069" s="9"/>
      <c r="N1069" s="9"/>
      <c r="O1069" s="9"/>
      <c r="P1069" s="9"/>
      <c r="Q1069" s="9"/>
      <c r="R1069" s="9"/>
      <c r="S1069" s="9"/>
      <c r="T1069" s="9"/>
      <c r="U1069" s="9"/>
      <c r="V1069" s="9"/>
      <c r="W1069" s="9"/>
      <c r="X1069" s="9"/>
      <c r="Y1069" s="9"/>
      <c r="Z1069" s="9"/>
      <c r="AA1069" s="9"/>
      <c r="AB1069" s="12"/>
      <c r="AC1069" s="12"/>
      <c r="AD1069" s="12"/>
      <c r="AE1069" s="12"/>
      <c r="AF1069" s="12">
        <v>2500000</v>
      </c>
      <c r="AG1069" s="12">
        <v>2500000</v>
      </c>
      <c r="AH1069" s="12">
        <v>2000000</v>
      </c>
      <c r="AI1069" s="12">
        <v>2000000</v>
      </c>
      <c r="AJ1069" s="24">
        <v>2000000</v>
      </c>
      <c r="AK1069" s="24">
        <v>2000000</v>
      </c>
      <c r="AL1069" s="24">
        <v>2003704</v>
      </c>
      <c r="AM1069" s="24">
        <v>2003704</v>
      </c>
      <c r="AN1069" s="1061"/>
      <c r="AO1069" s="1061"/>
      <c r="AP1069" s="1061"/>
      <c r="AQ1069" s="1061"/>
      <c r="AR1069" s="1044"/>
      <c r="AS1069" s="1044"/>
    </row>
    <row r="1070" spans="3:45" hidden="1" outlineLevel="1">
      <c r="C1070" s="1249" t="s">
        <v>2</v>
      </c>
      <c r="D1070" s="1251"/>
      <c r="E1070" s="1251" t="s">
        <v>1460</v>
      </c>
      <c r="F1070" s="9"/>
      <c r="G1070" s="9"/>
      <c r="H1070" s="9"/>
      <c r="I1070" s="9"/>
      <c r="J1070" s="9"/>
      <c r="K1070" s="9"/>
      <c r="L1070" s="9"/>
      <c r="M1070" s="9"/>
      <c r="N1070" s="9"/>
      <c r="O1070" s="9"/>
      <c r="P1070" s="9"/>
      <c r="Q1070" s="9"/>
      <c r="R1070" s="9"/>
      <c r="S1070" s="9"/>
      <c r="T1070" s="9"/>
      <c r="U1070" s="9"/>
      <c r="V1070" s="9"/>
      <c r="W1070" s="9"/>
      <c r="X1070" s="9"/>
      <c r="Y1070" s="9"/>
      <c r="Z1070" s="9"/>
      <c r="AA1070" s="9"/>
      <c r="AB1070" s="12">
        <v>635556</v>
      </c>
      <c r="AC1070" s="12">
        <v>635556</v>
      </c>
      <c r="AD1070" s="12"/>
      <c r="AE1070" s="12"/>
      <c r="AF1070" s="12"/>
      <c r="AG1070" s="12"/>
      <c r="AH1070" s="12"/>
      <c r="AI1070" s="12"/>
      <c r="AJ1070" s="24"/>
      <c r="AK1070" s="24"/>
      <c r="AL1070" s="24"/>
      <c r="AM1070" s="24"/>
      <c r="AN1070" s="1061"/>
      <c r="AO1070" s="1061"/>
      <c r="AP1070" s="1061"/>
      <c r="AQ1070" s="1061"/>
      <c r="AR1070" s="1044"/>
      <c r="AS1070" s="1044"/>
    </row>
    <row r="1071" spans="3:45" hidden="1" outlineLevel="1">
      <c r="C1071" s="1249" t="s">
        <v>2</v>
      </c>
      <c r="D1071" s="1251"/>
      <c r="E1071" s="1251" t="s">
        <v>240</v>
      </c>
      <c r="F1071" s="9"/>
      <c r="G1071" s="9"/>
      <c r="H1071" s="9"/>
      <c r="I1071" s="9"/>
      <c r="J1071" s="9"/>
      <c r="K1071" s="9"/>
      <c r="L1071" s="9"/>
      <c r="M1071" s="9"/>
      <c r="N1071" s="9"/>
      <c r="O1071" s="9"/>
      <c r="P1071" s="9"/>
      <c r="Q1071" s="9"/>
      <c r="R1071" s="9"/>
      <c r="S1071" s="9"/>
      <c r="T1071" s="9"/>
      <c r="U1071" s="9"/>
      <c r="V1071" s="9"/>
      <c r="W1071" s="9"/>
      <c r="X1071" s="9"/>
      <c r="Y1071" s="9"/>
      <c r="Z1071" s="9"/>
      <c r="AA1071" s="9"/>
      <c r="AB1071" s="12">
        <v>2625742</v>
      </c>
      <c r="AC1071" s="12">
        <v>2625742</v>
      </c>
      <c r="AD1071" s="12">
        <v>3200742</v>
      </c>
      <c r="AE1071" s="12">
        <v>3200742</v>
      </c>
      <c r="AF1071" s="12">
        <v>3200742</v>
      </c>
      <c r="AG1071" s="12">
        <v>3200742</v>
      </c>
      <c r="AH1071" s="12">
        <v>1520353</v>
      </c>
      <c r="AI1071" s="12">
        <v>1520353</v>
      </c>
      <c r="AJ1071" s="24">
        <v>1520353</v>
      </c>
      <c r="AK1071" s="24">
        <v>1520353</v>
      </c>
      <c r="AL1071" s="24">
        <v>1520353</v>
      </c>
      <c r="AM1071" s="24">
        <v>1520353</v>
      </c>
      <c r="AN1071" s="1061"/>
      <c r="AO1071" s="1061"/>
      <c r="AP1071" s="1061"/>
      <c r="AQ1071" s="1061"/>
      <c r="AR1071" s="1044"/>
      <c r="AS1071" s="1044"/>
    </row>
    <row r="1072" spans="3:45" hidden="1" outlineLevel="1">
      <c r="C1072" s="1249" t="s">
        <v>2</v>
      </c>
      <c r="D1072" s="1251"/>
      <c r="E1072" s="1251" t="s">
        <v>241</v>
      </c>
      <c r="F1072" s="9"/>
      <c r="G1072" s="9"/>
      <c r="H1072" s="9"/>
      <c r="I1072" s="9"/>
      <c r="J1072" s="9"/>
      <c r="K1072" s="9"/>
      <c r="L1072" s="9"/>
      <c r="M1072" s="9"/>
      <c r="N1072" s="9"/>
      <c r="O1072" s="9"/>
      <c r="P1072" s="9"/>
      <c r="Q1072" s="9"/>
      <c r="R1072" s="9"/>
      <c r="S1072" s="9"/>
      <c r="T1072" s="9"/>
      <c r="U1072" s="9"/>
      <c r="V1072" s="9"/>
      <c r="W1072" s="9"/>
      <c r="X1072" s="9"/>
      <c r="Y1072" s="9"/>
      <c r="Z1072" s="9"/>
      <c r="AA1072" s="9"/>
      <c r="AB1072" s="12">
        <v>2259393</v>
      </c>
      <c r="AC1072" s="12">
        <v>2259393</v>
      </c>
      <c r="AD1072" s="12">
        <v>1759393</v>
      </c>
      <c r="AE1072" s="12">
        <v>1759393</v>
      </c>
      <c r="AF1072" s="12">
        <v>1759393</v>
      </c>
      <c r="AG1072" s="12">
        <v>1759393</v>
      </c>
      <c r="AH1072" s="12"/>
      <c r="AI1072" s="12"/>
      <c r="AJ1072" s="58"/>
      <c r="AK1072" s="58"/>
      <c r="AL1072" s="58"/>
      <c r="AM1072" s="58"/>
      <c r="AN1072" s="922"/>
      <c r="AO1072" s="922"/>
      <c r="AP1072" s="922"/>
      <c r="AQ1072" s="922"/>
      <c r="AR1072" s="1044"/>
      <c r="AS1072" s="1044"/>
    </row>
    <row r="1073" spans="3:45" hidden="1" outlineLevel="1">
      <c r="C1073" s="1249" t="s">
        <v>2</v>
      </c>
      <c r="D1073" s="1251"/>
      <c r="E1073" s="1251" t="s">
        <v>242</v>
      </c>
      <c r="F1073" s="9"/>
      <c r="G1073" s="9"/>
      <c r="H1073" s="9"/>
      <c r="I1073" s="9"/>
      <c r="J1073" s="9"/>
      <c r="K1073" s="9"/>
      <c r="L1073" s="9"/>
      <c r="M1073" s="9"/>
      <c r="N1073" s="9"/>
      <c r="O1073" s="9"/>
      <c r="P1073" s="9"/>
      <c r="Q1073" s="9"/>
      <c r="R1073" s="9"/>
      <c r="S1073" s="9"/>
      <c r="T1073" s="9"/>
      <c r="U1073" s="9"/>
      <c r="V1073" s="9"/>
      <c r="W1073" s="9"/>
      <c r="X1073" s="9"/>
      <c r="Y1073" s="9"/>
      <c r="Z1073" s="9"/>
      <c r="AA1073" s="9"/>
      <c r="AB1073" s="12">
        <v>2332084</v>
      </c>
      <c r="AC1073" s="12">
        <v>1218083</v>
      </c>
      <c r="AD1073" s="12"/>
      <c r="AE1073" s="12"/>
      <c r="AF1073" s="12">
        <v>1750000</v>
      </c>
      <c r="AG1073" s="12">
        <v>1750000</v>
      </c>
      <c r="AH1073" s="12"/>
      <c r="AI1073" s="12"/>
      <c r="AJ1073" s="58"/>
      <c r="AK1073" s="58"/>
      <c r="AL1073" s="58"/>
      <c r="AM1073" s="58"/>
      <c r="AN1073" s="922"/>
      <c r="AO1073" s="922"/>
      <c r="AP1073" s="922"/>
      <c r="AQ1073" s="922"/>
      <c r="AR1073" s="1044"/>
      <c r="AS1073" s="1044"/>
    </row>
    <row r="1074" spans="3:45" hidden="1" outlineLevel="1">
      <c r="C1074" s="1249" t="s">
        <v>2</v>
      </c>
      <c r="D1074" s="1251"/>
      <c r="E1074" s="1251" t="s">
        <v>243</v>
      </c>
      <c r="F1074" s="9"/>
      <c r="G1074" s="9"/>
      <c r="H1074" s="9"/>
      <c r="I1074" s="9"/>
      <c r="J1074" s="9"/>
      <c r="K1074" s="9"/>
      <c r="L1074" s="9"/>
      <c r="M1074" s="9"/>
      <c r="N1074" s="9"/>
      <c r="O1074" s="9"/>
      <c r="P1074" s="9"/>
      <c r="Q1074" s="9"/>
      <c r="R1074" s="9"/>
      <c r="S1074" s="9"/>
      <c r="T1074" s="9"/>
      <c r="U1074" s="9"/>
      <c r="V1074" s="9"/>
      <c r="W1074" s="9"/>
      <c r="X1074" s="9"/>
      <c r="Y1074" s="9"/>
      <c r="Z1074" s="9"/>
      <c r="AA1074" s="9"/>
      <c r="AB1074" s="12"/>
      <c r="AC1074" s="12"/>
      <c r="AD1074" s="12"/>
      <c r="AE1074" s="12"/>
      <c r="AF1074" s="12">
        <v>1750000</v>
      </c>
      <c r="AG1074" s="12">
        <v>1750000</v>
      </c>
      <c r="AH1074" s="12"/>
      <c r="AI1074" s="12"/>
      <c r="AJ1074" s="58"/>
      <c r="AK1074" s="58"/>
      <c r="AL1074" s="58"/>
      <c r="AM1074" s="58"/>
      <c r="AN1074" s="922"/>
      <c r="AO1074" s="922"/>
      <c r="AP1074" s="922"/>
      <c r="AQ1074" s="922"/>
      <c r="AR1074" s="1044"/>
      <c r="AS1074" s="1044"/>
    </row>
    <row r="1075" spans="3:45" hidden="1" outlineLevel="1">
      <c r="C1075" s="1249" t="s">
        <v>2</v>
      </c>
      <c r="D1075" s="1251"/>
      <c r="E1075" s="1251" t="s">
        <v>244</v>
      </c>
      <c r="F1075" s="9"/>
      <c r="G1075" s="9"/>
      <c r="H1075" s="9"/>
      <c r="I1075" s="9"/>
      <c r="J1075" s="9"/>
      <c r="K1075" s="9"/>
      <c r="L1075" s="9"/>
      <c r="M1075" s="9"/>
      <c r="N1075" s="9"/>
      <c r="O1075" s="9"/>
      <c r="P1075" s="9"/>
      <c r="Q1075" s="9"/>
      <c r="R1075" s="9"/>
      <c r="S1075" s="9"/>
      <c r="T1075" s="9"/>
      <c r="U1075" s="9"/>
      <c r="V1075" s="9"/>
      <c r="W1075" s="9"/>
      <c r="X1075" s="9"/>
      <c r="Y1075" s="9"/>
      <c r="Z1075" s="9"/>
      <c r="AA1075" s="9"/>
      <c r="AB1075" s="12">
        <v>43636</v>
      </c>
      <c r="AC1075" s="12">
        <v>43636</v>
      </c>
      <c r="AD1075" s="12">
        <v>93636</v>
      </c>
      <c r="AE1075" s="12">
        <v>93636</v>
      </c>
      <c r="AF1075" s="12">
        <v>93636</v>
      </c>
      <c r="AG1075" s="12">
        <v>93636</v>
      </c>
      <c r="AH1075" s="12">
        <v>66716</v>
      </c>
      <c r="AI1075" s="12">
        <v>66716</v>
      </c>
      <c r="AJ1075" s="58"/>
      <c r="AK1075" s="58"/>
      <c r="AL1075" s="58"/>
      <c r="AM1075" s="58"/>
      <c r="AN1075" s="922"/>
      <c r="AO1075" s="922"/>
      <c r="AP1075" s="922"/>
      <c r="AQ1075" s="922"/>
      <c r="AR1075" s="1044"/>
      <c r="AS1075" s="1044"/>
    </row>
    <row r="1076" spans="3:45" hidden="1" outlineLevel="1">
      <c r="C1076" s="1249" t="s">
        <v>2</v>
      </c>
      <c r="D1076" s="1251"/>
      <c r="E1076" s="1252" t="s">
        <v>1457</v>
      </c>
      <c r="F1076" s="9"/>
      <c r="G1076" s="9"/>
      <c r="H1076" s="9"/>
      <c r="I1076" s="9"/>
      <c r="J1076" s="9"/>
      <c r="K1076" s="9"/>
      <c r="L1076" s="9"/>
      <c r="M1076" s="9"/>
      <c r="N1076" s="9"/>
      <c r="O1076" s="9"/>
      <c r="P1076" s="9"/>
      <c r="Q1076" s="9"/>
      <c r="R1076" s="9"/>
      <c r="S1076" s="9"/>
      <c r="T1076" s="9"/>
      <c r="U1076" s="9"/>
      <c r="V1076" s="9"/>
      <c r="W1076" s="9"/>
      <c r="X1076" s="9"/>
      <c r="Y1076" s="9"/>
      <c r="Z1076" s="9"/>
      <c r="AA1076" s="9"/>
      <c r="AB1076" s="12">
        <v>3861758</v>
      </c>
      <c r="AC1076" s="12">
        <v>3861758</v>
      </c>
      <c r="AD1076" s="12">
        <v>6861758</v>
      </c>
      <c r="AE1076" s="12">
        <v>7861758</v>
      </c>
      <c r="AF1076" s="12"/>
      <c r="AG1076" s="12"/>
      <c r="AH1076" s="12"/>
      <c r="AI1076" s="12"/>
      <c r="AJ1076" s="58"/>
      <c r="AK1076" s="58"/>
      <c r="AL1076" s="58"/>
      <c r="AM1076" s="58"/>
      <c r="AN1076" s="922"/>
      <c r="AO1076" s="922"/>
      <c r="AP1076" s="922"/>
      <c r="AQ1076" s="922"/>
      <c r="AR1076" s="1044"/>
      <c r="AS1076" s="1044"/>
    </row>
    <row r="1077" spans="3:45" hidden="1" outlineLevel="1">
      <c r="C1077" s="1249" t="s">
        <v>2</v>
      </c>
      <c r="D1077" s="1251"/>
      <c r="E1077" s="1251" t="s">
        <v>245</v>
      </c>
      <c r="F1077" s="9"/>
      <c r="G1077" s="9"/>
      <c r="H1077" s="9"/>
      <c r="I1077" s="9"/>
      <c r="J1077" s="9"/>
      <c r="K1077" s="9"/>
      <c r="L1077" s="9"/>
      <c r="M1077" s="9"/>
      <c r="N1077" s="9"/>
      <c r="O1077" s="9"/>
      <c r="P1077" s="9"/>
      <c r="Q1077" s="9"/>
      <c r="R1077" s="9"/>
      <c r="S1077" s="9"/>
      <c r="T1077" s="9"/>
      <c r="U1077" s="9"/>
      <c r="V1077" s="9"/>
      <c r="W1077" s="9"/>
      <c r="X1077" s="9"/>
      <c r="Y1077" s="9"/>
      <c r="Z1077" s="9"/>
      <c r="AA1077" s="9"/>
      <c r="AB1077" s="12"/>
      <c r="AC1077" s="12"/>
      <c r="AD1077" s="12"/>
      <c r="AE1077" s="12"/>
      <c r="AF1077" s="12">
        <v>5000000</v>
      </c>
      <c r="AG1077" s="12">
        <v>5000000</v>
      </c>
      <c r="AH1077" s="12">
        <v>2000000</v>
      </c>
      <c r="AI1077" s="12">
        <v>2000000</v>
      </c>
      <c r="AJ1077" s="24">
        <v>2000000</v>
      </c>
      <c r="AK1077" s="24">
        <v>2000000</v>
      </c>
      <c r="AL1077" s="24"/>
      <c r="AM1077" s="24"/>
      <c r="AN1077" s="1061"/>
      <c r="AO1077" s="1061"/>
      <c r="AP1077" s="1061"/>
      <c r="AQ1077" s="1061"/>
      <c r="AR1077" s="1044"/>
      <c r="AS1077" s="1044"/>
    </row>
    <row r="1078" spans="3:45" hidden="1" outlineLevel="1">
      <c r="C1078" s="1249" t="s">
        <v>2</v>
      </c>
      <c r="D1078" s="1251"/>
      <c r="E1078" s="1251" t="s">
        <v>246</v>
      </c>
      <c r="F1078" s="9"/>
      <c r="G1078" s="9"/>
      <c r="H1078" s="9"/>
      <c r="I1078" s="9"/>
      <c r="J1078" s="9"/>
      <c r="K1078" s="9"/>
      <c r="L1078" s="9"/>
      <c r="M1078" s="9"/>
      <c r="N1078" s="9"/>
      <c r="O1078" s="9"/>
      <c r="P1078" s="9"/>
      <c r="Q1078" s="9"/>
      <c r="R1078" s="9"/>
      <c r="S1078" s="9"/>
      <c r="T1078" s="9"/>
      <c r="U1078" s="9"/>
      <c r="V1078" s="9"/>
      <c r="W1078" s="9"/>
      <c r="X1078" s="9"/>
      <c r="Y1078" s="9"/>
      <c r="Z1078" s="9"/>
      <c r="AA1078" s="9"/>
      <c r="AB1078" s="12"/>
      <c r="AC1078" s="12"/>
      <c r="AD1078" s="12"/>
      <c r="AE1078" s="12"/>
      <c r="AF1078" s="12">
        <v>1125000</v>
      </c>
      <c r="AG1078" s="12">
        <v>1125000</v>
      </c>
      <c r="AH1078" s="12"/>
      <c r="AI1078" s="12"/>
      <c r="AJ1078" s="58"/>
      <c r="AK1078" s="58"/>
      <c r="AL1078" s="58"/>
      <c r="AM1078" s="58"/>
      <c r="AN1078" s="922"/>
      <c r="AO1078" s="922"/>
      <c r="AP1078" s="922"/>
      <c r="AQ1078" s="922"/>
      <c r="AR1078" s="1044"/>
      <c r="AS1078" s="1044"/>
    </row>
    <row r="1079" spans="3:45" hidden="1" outlineLevel="1">
      <c r="C1079" s="1249" t="s">
        <v>2</v>
      </c>
      <c r="D1079" s="1251"/>
      <c r="E1079" s="1251" t="s">
        <v>247</v>
      </c>
      <c r="F1079" s="9"/>
      <c r="G1079" s="9"/>
      <c r="H1079" s="9"/>
      <c r="I1079" s="9"/>
      <c r="J1079" s="9"/>
      <c r="K1079" s="9"/>
      <c r="L1079" s="9"/>
      <c r="M1079" s="9"/>
      <c r="N1079" s="9"/>
      <c r="O1079" s="9"/>
      <c r="P1079" s="9"/>
      <c r="Q1079" s="9"/>
      <c r="R1079" s="9"/>
      <c r="S1079" s="9"/>
      <c r="T1079" s="9"/>
      <c r="U1079" s="9"/>
      <c r="V1079" s="9"/>
      <c r="W1079" s="9"/>
      <c r="X1079" s="9"/>
      <c r="Y1079" s="9"/>
      <c r="Z1079" s="9"/>
      <c r="AA1079" s="9"/>
      <c r="AB1079" s="12"/>
      <c r="AC1079" s="12"/>
      <c r="AD1079" s="12"/>
      <c r="AE1079" s="12"/>
      <c r="AF1079" s="12">
        <v>125000</v>
      </c>
      <c r="AG1079" s="12">
        <v>125000</v>
      </c>
      <c r="AH1079" s="12"/>
      <c r="AI1079" s="12"/>
      <c r="AJ1079" s="58"/>
      <c r="AK1079" s="58"/>
      <c r="AL1079" s="58"/>
      <c r="AM1079" s="58"/>
      <c r="AN1079" s="922"/>
      <c r="AO1079" s="922"/>
      <c r="AP1079" s="922"/>
      <c r="AQ1079" s="922"/>
      <c r="AR1079" s="1044"/>
      <c r="AS1079" s="1044"/>
    </row>
    <row r="1080" spans="3:45" ht="25.5" hidden="1" outlineLevel="1">
      <c r="C1080" s="1249" t="s">
        <v>2</v>
      </c>
      <c r="D1080" s="1251"/>
      <c r="E1080" s="1258" t="s">
        <v>248</v>
      </c>
      <c r="F1080" s="9"/>
      <c r="G1080" s="9"/>
      <c r="H1080" s="9"/>
      <c r="I1080" s="9"/>
      <c r="J1080" s="9"/>
      <c r="K1080" s="9"/>
      <c r="L1080" s="9"/>
      <c r="M1080" s="9"/>
      <c r="N1080" s="9"/>
      <c r="O1080" s="9"/>
      <c r="P1080" s="9"/>
      <c r="Q1080" s="9"/>
      <c r="R1080" s="9"/>
      <c r="S1080" s="9"/>
      <c r="T1080" s="9"/>
      <c r="U1080" s="9"/>
      <c r="V1080" s="9"/>
      <c r="W1080" s="9"/>
      <c r="X1080" s="9"/>
      <c r="Y1080" s="9"/>
      <c r="Z1080" s="9"/>
      <c r="AA1080" s="9"/>
      <c r="AB1080" s="12"/>
      <c r="AC1080" s="12"/>
      <c r="AD1080" s="12"/>
      <c r="AE1080" s="12"/>
      <c r="AF1080" s="12"/>
      <c r="AG1080" s="12"/>
      <c r="AH1080" s="12"/>
      <c r="AI1080" s="12"/>
      <c r="AJ1080" s="24">
        <v>7836013</v>
      </c>
      <c r="AK1080" s="24">
        <v>7836012</v>
      </c>
      <c r="AL1080" s="24"/>
      <c r="AM1080" s="24"/>
      <c r="AN1080" s="1061"/>
      <c r="AO1080" s="1061"/>
      <c r="AP1080" s="1061"/>
      <c r="AQ1080" s="1061"/>
      <c r="AR1080" s="1044"/>
      <c r="AS1080" s="1044"/>
    </row>
    <row r="1081" spans="3:45" hidden="1" outlineLevel="1">
      <c r="C1081" s="1249" t="s">
        <v>2</v>
      </c>
      <c r="D1081" s="1251"/>
      <c r="E1081" s="1259" t="s">
        <v>1702</v>
      </c>
      <c r="F1081" s="9"/>
      <c r="G1081" s="9"/>
      <c r="H1081" s="9"/>
      <c r="I1081" s="9"/>
      <c r="J1081" s="9"/>
      <c r="K1081" s="9"/>
      <c r="L1081" s="9"/>
      <c r="M1081" s="9"/>
      <c r="N1081" s="9"/>
      <c r="O1081" s="9"/>
      <c r="P1081" s="9"/>
      <c r="Q1081" s="9"/>
      <c r="R1081" s="9"/>
      <c r="S1081" s="9"/>
      <c r="T1081" s="9"/>
      <c r="U1081" s="9"/>
      <c r="V1081" s="9"/>
      <c r="W1081" s="9"/>
      <c r="X1081" s="9"/>
      <c r="Y1081" s="9"/>
      <c r="Z1081" s="9"/>
      <c r="AA1081" s="9"/>
      <c r="AB1081" s="12"/>
      <c r="AC1081" s="12"/>
      <c r="AD1081" s="12"/>
      <c r="AE1081" s="12"/>
      <c r="AF1081" s="12"/>
      <c r="AG1081" s="12"/>
      <c r="AH1081" s="12"/>
      <c r="AI1081" s="12"/>
      <c r="AJ1081" s="24"/>
      <c r="AK1081" s="24"/>
      <c r="AL1081" s="24">
        <v>2003691</v>
      </c>
      <c r="AM1081" s="24">
        <v>2003690</v>
      </c>
      <c r="AN1081" s="1061"/>
      <c r="AO1081" s="1061"/>
      <c r="AP1081" s="1061"/>
      <c r="AQ1081" s="1061"/>
      <c r="AR1081" s="1044"/>
      <c r="AS1081" s="1044"/>
    </row>
    <row r="1082" spans="3:45" hidden="1" outlineLevel="1">
      <c r="C1082" s="1249" t="s">
        <v>2</v>
      </c>
      <c r="D1082" s="1251"/>
      <c r="E1082" s="1259" t="s">
        <v>1216</v>
      </c>
      <c r="F1082" s="9"/>
      <c r="G1082" s="9"/>
      <c r="H1082" s="9"/>
      <c r="I1082" s="9"/>
      <c r="J1082" s="9"/>
      <c r="K1082" s="9"/>
      <c r="L1082" s="9"/>
      <c r="M1082" s="9"/>
      <c r="N1082" s="9"/>
      <c r="O1082" s="9"/>
      <c r="P1082" s="9"/>
      <c r="Q1082" s="9"/>
      <c r="R1082" s="9"/>
      <c r="S1082" s="9"/>
      <c r="T1082" s="9"/>
      <c r="U1082" s="9"/>
      <c r="V1082" s="9"/>
      <c r="W1082" s="9"/>
      <c r="X1082" s="9"/>
      <c r="Y1082" s="9"/>
      <c r="Z1082" s="9"/>
      <c r="AA1082" s="9"/>
      <c r="AB1082" s="12"/>
      <c r="AC1082" s="12"/>
      <c r="AD1082" s="12"/>
      <c r="AE1082" s="12"/>
      <c r="AF1082" s="12"/>
      <c r="AG1082" s="12"/>
      <c r="AH1082" s="12"/>
      <c r="AI1082" s="12"/>
      <c r="AJ1082" s="24">
        <v>655403</v>
      </c>
      <c r="AK1082" s="24">
        <v>642902</v>
      </c>
      <c r="AL1082" s="24">
        <v>649153</v>
      </c>
      <c r="AM1082" s="24">
        <v>649152</v>
      </c>
      <c r="AN1082" s="1061"/>
      <c r="AO1082" s="1061"/>
      <c r="AP1082" s="1061"/>
      <c r="AQ1082" s="1061"/>
      <c r="AR1082" s="1044"/>
      <c r="AS1082" s="1044"/>
    </row>
    <row r="1083" spans="3:45" hidden="1" outlineLevel="1">
      <c r="C1083" s="1249" t="s">
        <v>2</v>
      </c>
      <c r="D1083" s="1251"/>
      <c r="E1083" s="1259" t="s">
        <v>1304</v>
      </c>
      <c r="F1083" s="9"/>
      <c r="G1083" s="9"/>
      <c r="H1083" s="9"/>
      <c r="I1083" s="9"/>
      <c r="J1083" s="9"/>
      <c r="K1083" s="9"/>
      <c r="L1083" s="9"/>
      <c r="M1083" s="9"/>
      <c r="N1083" s="9"/>
      <c r="O1083" s="9"/>
      <c r="P1083" s="9"/>
      <c r="Q1083" s="9"/>
      <c r="R1083" s="9"/>
      <c r="S1083" s="9"/>
      <c r="T1083" s="9"/>
      <c r="U1083" s="9"/>
      <c r="V1083" s="9"/>
      <c r="W1083" s="9"/>
      <c r="X1083" s="9"/>
      <c r="Y1083" s="9"/>
      <c r="Z1083" s="9"/>
      <c r="AA1083" s="9"/>
      <c r="AB1083" s="12"/>
      <c r="AC1083" s="12"/>
      <c r="AD1083" s="12"/>
      <c r="AE1083" s="12"/>
      <c r="AF1083" s="12"/>
      <c r="AG1083" s="12"/>
      <c r="AH1083" s="12"/>
      <c r="AI1083" s="12"/>
      <c r="AJ1083" s="24"/>
      <c r="AK1083" s="24"/>
      <c r="AL1083" s="24"/>
      <c r="AM1083" s="24">
        <v>240000000</v>
      </c>
      <c r="AN1083" s="1061"/>
      <c r="AO1083" s="1061"/>
      <c r="AP1083" s="1061"/>
      <c r="AQ1083" s="1061"/>
      <c r="AR1083" s="1044"/>
      <c r="AS1083" s="1044"/>
    </row>
    <row r="1084" spans="3:45" hidden="1" outlineLevel="1">
      <c r="C1084" s="1249" t="s">
        <v>2</v>
      </c>
      <c r="D1084" s="1251"/>
      <c r="E1084" s="1253" t="s">
        <v>249</v>
      </c>
      <c r="F1084" s="35"/>
      <c r="G1084" s="35"/>
      <c r="H1084" s="35"/>
      <c r="I1084" s="35"/>
      <c r="J1084" s="35"/>
      <c r="K1084" s="35"/>
      <c r="L1084" s="35"/>
      <c r="M1084" s="35"/>
      <c r="N1084" s="35"/>
      <c r="O1084" s="35"/>
      <c r="P1084" s="35"/>
      <c r="Q1084" s="35"/>
      <c r="R1084" s="35"/>
      <c r="S1084" s="35"/>
      <c r="T1084" s="35"/>
      <c r="U1084" s="35"/>
      <c r="V1084" s="35"/>
      <c r="W1084" s="35"/>
      <c r="X1084" s="35"/>
      <c r="Y1084" s="35"/>
      <c r="Z1084" s="35"/>
      <c r="AA1084" s="35"/>
      <c r="AB1084" s="34">
        <v>11758169</v>
      </c>
      <c r="AC1084" s="34">
        <v>10644168</v>
      </c>
      <c r="AD1084" s="34">
        <v>11915529</v>
      </c>
      <c r="AE1084" s="34">
        <v>12915529</v>
      </c>
      <c r="AF1084" s="34">
        <v>17303771</v>
      </c>
      <c r="AG1084" s="34">
        <v>17303771</v>
      </c>
      <c r="AH1084" s="34">
        <v>5587069</v>
      </c>
      <c r="AI1084" s="34">
        <v>5587069</v>
      </c>
      <c r="AJ1084" s="230">
        <v>14011769</v>
      </c>
      <c r="AK1084" s="230">
        <v>13999267</v>
      </c>
      <c r="AL1084" s="230">
        <f>SUM(AL1069:AL1083)</f>
        <v>6176901</v>
      </c>
      <c r="AM1084" s="230">
        <f>SUM(AM1069:AM1083)</f>
        <v>246176899</v>
      </c>
      <c r="AN1084" s="920"/>
      <c r="AO1084" s="920"/>
      <c r="AP1084" s="920"/>
      <c r="AQ1084" s="920"/>
      <c r="AR1084" s="1044"/>
      <c r="AS1084" s="1044"/>
    </row>
    <row r="1085" spans="3:45" hidden="1" outlineLevel="1">
      <c r="C1085" s="1249" t="s">
        <v>2</v>
      </c>
      <c r="D1085" s="1251"/>
      <c r="E1085" s="670" t="s">
        <v>1986</v>
      </c>
      <c r="F1085" s="27"/>
      <c r="G1085" s="27"/>
      <c r="H1085" s="27"/>
      <c r="I1085" s="27"/>
      <c r="J1085" s="27"/>
      <c r="K1085" s="27"/>
      <c r="L1085" s="27"/>
      <c r="M1085" s="27"/>
      <c r="N1085" s="27"/>
      <c r="O1085" s="27"/>
      <c r="P1085" s="27"/>
      <c r="Q1085" s="27"/>
      <c r="R1085" s="27"/>
      <c r="S1085" s="27"/>
      <c r="T1085" s="27"/>
      <c r="U1085" s="27"/>
      <c r="V1085" s="27"/>
      <c r="W1085" s="27"/>
      <c r="X1085" s="27"/>
      <c r="Y1085" s="27"/>
      <c r="Z1085" s="27"/>
      <c r="AA1085" s="27"/>
      <c r="AB1085" s="12"/>
      <c r="AC1085" s="12"/>
      <c r="AD1085" s="12"/>
      <c r="AE1085" s="12"/>
      <c r="AF1085" s="12"/>
      <c r="AG1085" s="12"/>
      <c r="AH1085" s="12"/>
      <c r="AI1085" s="12"/>
      <c r="AJ1085" s="371"/>
      <c r="AK1085" s="371"/>
      <c r="AL1085" s="371"/>
      <c r="AM1085" s="371"/>
      <c r="AN1085" s="921"/>
      <c r="AO1085" s="921"/>
      <c r="AP1085" s="921"/>
      <c r="AQ1085" s="921"/>
      <c r="AR1085" s="1044"/>
      <c r="AS1085" s="1044"/>
    </row>
    <row r="1086" spans="3:45" hidden="1" outlineLevel="1">
      <c r="C1086" s="1249" t="s">
        <v>2</v>
      </c>
      <c r="D1086" s="1251"/>
      <c r="E1086" s="1252" t="s">
        <v>1458</v>
      </c>
      <c r="F1086" s="9"/>
      <c r="G1086" s="9"/>
      <c r="H1086" s="9"/>
      <c r="I1086" s="9"/>
      <c r="J1086" s="9"/>
      <c r="K1086" s="9"/>
      <c r="L1086" s="9"/>
      <c r="M1086" s="9"/>
      <c r="N1086" s="9"/>
      <c r="O1086" s="9"/>
      <c r="P1086" s="9"/>
      <c r="Q1086" s="9"/>
      <c r="R1086" s="9"/>
      <c r="S1086" s="9"/>
      <c r="T1086" s="9"/>
      <c r="U1086" s="9"/>
      <c r="V1086" s="9"/>
      <c r="W1086" s="9"/>
      <c r="X1086" s="9"/>
      <c r="Y1086" s="9"/>
      <c r="Z1086" s="9"/>
      <c r="AA1086" s="9"/>
      <c r="AB1086" s="12">
        <v>6203617</v>
      </c>
      <c r="AC1086" s="12">
        <v>6203617</v>
      </c>
      <c r="AD1086" s="12">
        <v>6203617</v>
      </c>
      <c r="AE1086" s="12">
        <v>6203617</v>
      </c>
      <c r="AF1086" s="12">
        <v>5408617</v>
      </c>
      <c r="AG1086" s="12">
        <v>5408617</v>
      </c>
      <c r="AH1086" s="12">
        <v>7200000</v>
      </c>
      <c r="AI1086" s="12">
        <v>7200000</v>
      </c>
      <c r="AJ1086" s="58"/>
      <c r="AK1086" s="58"/>
      <c r="AL1086" s="58"/>
      <c r="AM1086" s="58"/>
      <c r="AN1086" s="922"/>
      <c r="AO1086" s="922"/>
      <c r="AP1086" s="922"/>
      <c r="AQ1086" s="922"/>
      <c r="AR1086" s="1044"/>
      <c r="AS1086" s="1044"/>
    </row>
    <row r="1087" spans="3:45" hidden="1" outlineLevel="1">
      <c r="C1087" s="1249" t="s">
        <v>2</v>
      </c>
      <c r="D1087" s="1251"/>
      <c r="E1087" s="1251" t="s">
        <v>251</v>
      </c>
      <c r="F1087" s="9"/>
      <c r="G1087" s="9"/>
      <c r="H1087" s="9"/>
      <c r="I1087" s="9"/>
      <c r="J1087" s="9"/>
      <c r="K1087" s="9"/>
      <c r="L1087" s="9"/>
      <c r="M1087" s="9"/>
      <c r="N1087" s="9"/>
      <c r="O1087" s="9"/>
      <c r="P1087" s="9"/>
      <c r="Q1087" s="9"/>
      <c r="R1087" s="9"/>
      <c r="S1087" s="9"/>
      <c r="T1087" s="9"/>
      <c r="U1087" s="9"/>
      <c r="V1087" s="9"/>
      <c r="W1087" s="9"/>
      <c r="X1087" s="9"/>
      <c r="Y1087" s="9"/>
      <c r="Z1087" s="9"/>
      <c r="AA1087" s="9"/>
      <c r="AB1087" s="12">
        <v>45792130</v>
      </c>
      <c r="AC1087" s="12">
        <v>45792128</v>
      </c>
      <c r="AD1087" s="12">
        <v>46042173</v>
      </c>
      <c r="AE1087" s="12">
        <v>45593137</v>
      </c>
      <c r="AF1087" s="12">
        <v>36874366</v>
      </c>
      <c r="AG1087" s="12">
        <v>36874366</v>
      </c>
      <c r="AH1087" s="12">
        <v>36874366</v>
      </c>
      <c r="AI1087" s="12">
        <v>36874366</v>
      </c>
      <c r="AJ1087" s="24">
        <v>24000000</v>
      </c>
      <c r="AK1087" s="24">
        <v>24000000</v>
      </c>
      <c r="AL1087" s="24">
        <v>27604218</v>
      </c>
      <c r="AM1087" s="24">
        <v>27604218</v>
      </c>
      <c r="AN1087" s="1061">
        <v>27543518</v>
      </c>
      <c r="AO1087" s="1061">
        <v>27543518</v>
      </c>
      <c r="AP1087" s="1061">
        <v>27431905</v>
      </c>
      <c r="AQ1087" s="1061">
        <v>27431905</v>
      </c>
      <c r="AR1087" s="1044"/>
      <c r="AS1087" s="1044"/>
    </row>
    <row r="1088" spans="3:45" hidden="1" outlineLevel="1">
      <c r="C1088" s="1249" t="s">
        <v>2</v>
      </c>
      <c r="D1088" s="1251"/>
      <c r="E1088" s="1251" t="s">
        <v>252</v>
      </c>
      <c r="F1088" s="9"/>
      <c r="G1088" s="9"/>
      <c r="H1088" s="9"/>
      <c r="I1088" s="9"/>
      <c r="J1088" s="9"/>
      <c r="K1088" s="9"/>
      <c r="L1088" s="9"/>
      <c r="M1088" s="9"/>
      <c r="N1088" s="9"/>
      <c r="O1088" s="9"/>
      <c r="P1088" s="9"/>
      <c r="Q1088" s="9"/>
      <c r="R1088" s="9"/>
      <c r="S1088" s="9"/>
      <c r="T1088" s="9"/>
      <c r="U1088" s="9"/>
      <c r="V1088" s="9"/>
      <c r="W1088" s="9"/>
      <c r="X1088" s="9"/>
      <c r="Y1088" s="9"/>
      <c r="Z1088" s="9"/>
      <c r="AA1088" s="9"/>
      <c r="AB1088" s="12">
        <v>6252788</v>
      </c>
      <c r="AC1088" s="12">
        <v>6252788</v>
      </c>
      <c r="AD1088" s="12">
        <v>6228005</v>
      </c>
      <c r="AE1088" s="12">
        <v>6256410</v>
      </c>
      <c r="AF1088" s="12">
        <v>6228005</v>
      </c>
      <c r="AG1088" s="12">
        <v>6256410</v>
      </c>
      <c r="AH1088" s="12">
        <v>6242208</v>
      </c>
      <c r="AI1088" s="12">
        <v>6242208</v>
      </c>
      <c r="AJ1088" s="24">
        <v>5484000</v>
      </c>
      <c r="AK1088" s="24">
        <v>284000</v>
      </c>
      <c r="AL1088" s="24">
        <v>4903826</v>
      </c>
      <c r="AM1088" s="24">
        <v>4903826</v>
      </c>
      <c r="AN1088" s="1061">
        <v>4907701</v>
      </c>
      <c r="AO1088" s="1061">
        <v>0</v>
      </c>
      <c r="AP1088" s="1061"/>
      <c r="AQ1088" s="1061"/>
      <c r="AR1088" s="1044"/>
      <c r="AS1088" s="1044"/>
    </row>
    <row r="1089" spans="2:45" hidden="1" outlineLevel="1">
      <c r="C1089" s="1249" t="s">
        <v>2</v>
      </c>
      <c r="D1089" s="1251"/>
      <c r="E1089" s="1251" t="s">
        <v>253</v>
      </c>
      <c r="F1089" s="9"/>
      <c r="G1089" s="9"/>
      <c r="H1089" s="9"/>
      <c r="I1089" s="9"/>
      <c r="J1089" s="9"/>
      <c r="K1089" s="9"/>
      <c r="L1089" s="9"/>
      <c r="M1089" s="9"/>
      <c r="N1089" s="9"/>
      <c r="O1089" s="9"/>
      <c r="P1089" s="9"/>
      <c r="Q1089" s="9"/>
      <c r="R1089" s="9"/>
      <c r="S1089" s="9"/>
      <c r="T1089" s="9"/>
      <c r="U1089" s="9"/>
      <c r="V1089" s="9"/>
      <c r="W1089" s="9"/>
      <c r="X1089" s="9"/>
      <c r="Y1089" s="9"/>
      <c r="Z1089" s="9"/>
      <c r="AA1089" s="9"/>
      <c r="AB1089" s="12"/>
      <c r="AC1089" s="12"/>
      <c r="AD1089" s="12"/>
      <c r="AE1089" s="12"/>
      <c r="AF1089" s="12"/>
      <c r="AG1089" s="12"/>
      <c r="AH1089" s="12">
        <v>11248089</v>
      </c>
      <c r="AI1089" s="12">
        <v>11249689</v>
      </c>
      <c r="AJ1089" s="24">
        <v>112000</v>
      </c>
      <c r="AK1089" s="24">
        <v>112000</v>
      </c>
      <c r="AL1089" s="24"/>
      <c r="AM1089" s="24"/>
      <c r="AN1089" s="1061"/>
      <c r="AO1089" s="1061"/>
      <c r="AP1089" s="1061"/>
      <c r="AQ1089" s="1061"/>
      <c r="AR1089" s="1044"/>
      <c r="AS1089" s="1044"/>
    </row>
    <row r="1090" spans="2:45" s="910" customFormat="1" hidden="1" outlineLevel="1">
      <c r="B1090" s="911"/>
      <c r="C1090" s="1249" t="s">
        <v>2</v>
      </c>
      <c r="D1090" s="1251"/>
      <c r="E1090" s="1251" t="s">
        <v>198</v>
      </c>
      <c r="F1090" s="912"/>
      <c r="G1090" s="912"/>
      <c r="H1090" s="912"/>
      <c r="I1090" s="912"/>
      <c r="J1090" s="912"/>
      <c r="K1090" s="912"/>
      <c r="L1090" s="912"/>
      <c r="M1090" s="912"/>
      <c r="N1090" s="912"/>
      <c r="O1090" s="912"/>
      <c r="P1090" s="912"/>
      <c r="Q1090" s="912"/>
      <c r="R1090" s="912"/>
      <c r="S1090" s="912"/>
      <c r="T1090" s="912"/>
      <c r="U1090" s="912"/>
      <c r="V1090" s="912"/>
      <c r="W1090" s="912"/>
      <c r="X1090" s="912"/>
      <c r="Y1090" s="912"/>
      <c r="Z1090" s="912"/>
      <c r="AA1090" s="912"/>
      <c r="AB1090" s="913"/>
      <c r="AC1090" s="913"/>
      <c r="AD1090" s="913"/>
      <c r="AE1090" s="913"/>
      <c r="AF1090" s="913"/>
      <c r="AG1090" s="913"/>
      <c r="AH1090" s="913"/>
      <c r="AI1090" s="913"/>
      <c r="AJ1090" s="914"/>
      <c r="AK1090" s="914"/>
      <c r="AL1090" s="914"/>
      <c r="AM1090" s="914"/>
      <c r="AN1090" s="1061">
        <v>1337500</v>
      </c>
      <c r="AO1090" s="1061">
        <v>1337500</v>
      </c>
      <c r="AP1090" s="1061">
        <v>1337500</v>
      </c>
      <c r="AQ1090" s="1061">
        <v>1337500</v>
      </c>
      <c r="AR1090" s="1044"/>
      <c r="AS1090" s="1044"/>
    </row>
    <row r="1091" spans="2:45" s="910" customFormat="1" hidden="1" outlineLevel="1">
      <c r="B1091" s="911"/>
      <c r="C1091" s="1249" t="s">
        <v>2</v>
      </c>
      <c r="D1091" s="1251"/>
      <c r="E1091" s="1252" t="s">
        <v>1869</v>
      </c>
      <c r="F1091" s="912"/>
      <c r="G1091" s="912"/>
      <c r="H1091" s="912"/>
      <c r="I1091" s="912"/>
      <c r="J1091" s="912"/>
      <c r="K1091" s="912"/>
      <c r="L1091" s="912"/>
      <c r="M1091" s="912"/>
      <c r="N1091" s="912"/>
      <c r="O1091" s="912"/>
      <c r="P1091" s="912"/>
      <c r="Q1091" s="912"/>
      <c r="R1091" s="912"/>
      <c r="S1091" s="912"/>
      <c r="T1091" s="912"/>
      <c r="U1091" s="912"/>
      <c r="V1091" s="912"/>
      <c r="W1091" s="912"/>
      <c r="X1091" s="912"/>
      <c r="Y1091" s="912"/>
      <c r="Z1091" s="912"/>
      <c r="AA1091" s="912"/>
      <c r="AB1091" s="913"/>
      <c r="AC1091" s="913"/>
      <c r="AD1091" s="913"/>
      <c r="AE1091" s="913"/>
      <c r="AF1091" s="913"/>
      <c r="AG1091" s="913"/>
      <c r="AH1091" s="913"/>
      <c r="AI1091" s="913"/>
      <c r="AJ1091" s="914"/>
      <c r="AK1091" s="914"/>
      <c r="AL1091" s="914"/>
      <c r="AM1091" s="914"/>
      <c r="AN1091" s="1061">
        <v>1287500</v>
      </c>
      <c r="AO1091" s="1061">
        <v>1287500</v>
      </c>
      <c r="AP1091" s="1061">
        <v>1287500</v>
      </c>
      <c r="AQ1091" s="1061">
        <v>1287500</v>
      </c>
      <c r="AR1091" s="1044"/>
      <c r="AS1091" s="1044"/>
    </row>
    <row r="1092" spans="2:45" s="910" customFormat="1" hidden="1" outlineLevel="1">
      <c r="B1092" s="911"/>
      <c r="C1092" s="1249" t="s">
        <v>2</v>
      </c>
      <c r="D1092" s="1251"/>
      <c r="E1092" s="1252" t="s">
        <v>1931</v>
      </c>
      <c r="F1092" s="912"/>
      <c r="G1092" s="912"/>
      <c r="H1092" s="912"/>
      <c r="I1092" s="912"/>
      <c r="J1092" s="912"/>
      <c r="K1092" s="912"/>
      <c r="L1092" s="912"/>
      <c r="M1092" s="912"/>
      <c r="N1092" s="912"/>
      <c r="O1092" s="912"/>
      <c r="P1092" s="912"/>
      <c r="Q1092" s="912"/>
      <c r="R1092" s="912"/>
      <c r="S1092" s="912"/>
      <c r="T1092" s="912"/>
      <c r="U1092" s="912"/>
      <c r="V1092" s="912"/>
      <c r="W1092" s="912"/>
      <c r="X1092" s="912"/>
      <c r="Y1092" s="912"/>
      <c r="Z1092" s="912"/>
      <c r="AA1092" s="912"/>
      <c r="AB1092" s="913"/>
      <c r="AC1092" s="913"/>
      <c r="AD1092" s="913"/>
      <c r="AE1092" s="913"/>
      <c r="AF1092" s="913"/>
      <c r="AG1092" s="913"/>
      <c r="AH1092" s="913"/>
      <c r="AI1092" s="913"/>
      <c r="AJ1092" s="914"/>
      <c r="AK1092" s="914"/>
      <c r="AL1092" s="914"/>
      <c r="AM1092" s="914"/>
      <c r="AN1092" s="1061">
        <v>2500000</v>
      </c>
      <c r="AO1092" s="1061">
        <v>2500000</v>
      </c>
      <c r="AP1092" s="1061">
        <v>1250000</v>
      </c>
      <c r="AQ1092" s="1061">
        <v>1250000</v>
      </c>
      <c r="AR1092" s="1044"/>
      <c r="AS1092" s="1044"/>
    </row>
    <row r="1093" spans="2:45" s="910" customFormat="1" hidden="1" outlineLevel="1">
      <c r="B1093" s="911"/>
      <c r="C1093" s="1249" t="s">
        <v>2</v>
      </c>
      <c r="D1093" s="1251"/>
      <c r="E1093" s="1252" t="s">
        <v>1870</v>
      </c>
      <c r="F1093" s="912"/>
      <c r="G1093" s="912"/>
      <c r="H1093" s="912"/>
      <c r="I1093" s="912"/>
      <c r="J1093" s="912"/>
      <c r="K1093" s="912"/>
      <c r="L1093" s="912"/>
      <c r="M1093" s="912"/>
      <c r="N1093" s="912"/>
      <c r="O1093" s="912"/>
      <c r="P1093" s="912"/>
      <c r="Q1093" s="912"/>
      <c r="R1093" s="912"/>
      <c r="S1093" s="912"/>
      <c r="T1093" s="912"/>
      <c r="U1093" s="912"/>
      <c r="V1093" s="912"/>
      <c r="W1093" s="912"/>
      <c r="X1093" s="912"/>
      <c r="Y1093" s="912"/>
      <c r="Z1093" s="912"/>
      <c r="AA1093" s="912"/>
      <c r="AB1093" s="913"/>
      <c r="AC1093" s="913"/>
      <c r="AD1093" s="913"/>
      <c r="AE1093" s="913"/>
      <c r="AF1093" s="913"/>
      <c r="AG1093" s="913"/>
      <c r="AH1093" s="913"/>
      <c r="AI1093" s="913"/>
      <c r="AJ1093" s="914"/>
      <c r="AK1093" s="914"/>
      <c r="AL1093" s="914"/>
      <c r="AM1093" s="914"/>
      <c r="AN1093" s="1061">
        <v>750000</v>
      </c>
      <c r="AO1093" s="1061">
        <v>750000</v>
      </c>
      <c r="AP1093" s="1061">
        <v>750000</v>
      </c>
      <c r="AQ1093" s="1061">
        <v>750000</v>
      </c>
      <c r="AR1093" s="1044"/>
      <c r="AS1093" s="1044"/>
    </row>
    <row r="1094" spans="2:45" s="1044" customFormat="1" ht="15" hidden="1" outlineLevel="1">
      <c r="B1094" s="1045"/>
      <c r="C1094" s="1249" t="s">
        <v>2</v>
      </c>
      <c r="D1094" s="1251"/>
      <c r="E1094" s="1252" t="s">
        <v>1979</v>
      </c>
      <c r="F1094" s="1030"/>
      <c r="G1094" s="1030"/>
      <c r="H1094" s="1030"/>
      <c r="I1094" s="1030"/>
      <c r="J1094" s="1030"/>
      <c r="K1094" s="1030"/>
      <c r="L1094" s="1030"/>
      <c r="M1094" s="1030"/>
      <c r="N1094" s="1030"/>
      <c r="O1094" s="1030"/>
      <c r="P1094" s="1030"/>
      <c r="Q1094" s="1030"/>
      <c r="R1094" s="1030"/>
      <c r="S1094" s="1030"/>
      <c r="T1094" s="1030"/>
      <c r="U1094" s="1030"/>
      <c r="V1094" s="1030"/>
      <c r="W1094" s="1030"/>
      <c r="X1094" s="1030"/>
      <c r="Y1094" s="1030"/>
      <c r="Z1094" s="1030"/>
      <c r="AA1094" s="1030"/>
      <c r="AB1094" s="1070"/>
      <c r="AC1094" s="1070"/>
      <c r="AD1094" s="1070"/>
      <c r="AE1094" s="1070"/>
      <c r="AF1094" s="1070"/>
      <c r="AG1094" s="1070"/>
      <c r="AH1094" s="1070"/>
      <c r="AI1094" s="1070"/>
      <c r="AJ1094" s="1061"/>
      <c r="AK1094" s="1061"/>
      <c r="AL1094" s="1061"/>
      <c r="AM1094" s="1061"/>
      <c r="AN1094" s="990"/>
      <c r="AO1094" s="1136"/>
      <c r="AP1094" s="990">
        <v>137003</v>
      </c>
      <c r="AQ1094" s="1155">
        <v>4096344</v>
      </c>
    </row>
    <row r="1095" spans="2:45" hidden="1" outlineLevel="1">
      <c r="C1095" s="1249" t="s">
        <v>2</v>
      </c>
      <c r="D1095" s="1251"/>
      <c r="E1095" s="1251" t="s">
        <v>254</v>
      </c>
      <c r="F1095" s="9"/>
      <c r="G1095" s="9"/>
      <c r="H1095" s="9"/>
      <c r="I1095" s="9"/>
      <c r="J1095" s="9"/>
      <c r="K1095" s="9"/>
      <c r="L1095" s="9"/>
      <c r="M1095" s="9"/>
      <c r="N1095" s="9"/>
      <c r="O1095" s="9"/>
      <c r="P1095" s="9"/>
      <c r="Q1095" s="9"/>
      <c r="R1095" s="9"/>
      <c r="S1095" s="9"/>
      <c r="T1095" s="9"/>
      <c r="U1095" s="9"/>
      <c r="V1095" s="9"/>
      <c r="W1095" s="9"/>
      <c r="X1095" s="9"/>
      <c r="Y1095" s="9"/>
      <c r="Z1095" s="9"/>
      <c r="AA1095" s="9"/>
      <c r="AB1095" s="12">
        <v>1700000</v>
      </c>
      <c r="AC1095" s="12">
        <v>1700000</v>
      </c>
      <c r="AD1095" s="12"/>
      <c r="AE1095" s="12"/>
      <c r="AF1095" s="12">
        <v>5761492</v>
      </c>
      <c r="AG1095" s="12">
        <v>0</v>
      </c>
      <c r="AH1095" s="12">
        <v>246000</v>
      </c>
      <c r="AI1095" s="12">
        <v>259500</v>
      </c>
      <c r="AJ1095" s="24">
        <v>291000</v>
      </c>
      <c r="AK1095" s="24">
        <v>263000</v>
      </c>
      <c r="AL1095" s="24">
        <v>105302</v>
      </c>
      <c r="AM1095" s="24">
        <v>105302</v>
      </c>
      <c r="AN1095" s="1061">
        <v>383869</v>
      </c>
      <c r="AO1095" s="1061">
        <v>388686</v>
      </c>
      <c r="AP1095" s="1061"/>
      <c r="AQ1095" s="1061"/>
      <c r="AR1095" s="1044"/>
      <c r="AS1095" s="1044"/>
    </row>
    <row r="1096" spans="2:45" hidden="1" outlineLevel="1">
      <c r="C1096" s="1249" t="s">
        <v>2</v>
      </c>
      <c r="D1096" s="1251"/>
      <c r="E1096" s="1253" t="s">
        <v>1987</v>
      </c>
      <c r="F1096" s="35"/>
      <c r="G1096" s="35"/>
      <c r="H1096" s="35"/>
      <c r="I1096" s="35"/>
      <c r="J1096" s="35"/>
      <c r="K1096" s="35"/>
      <c r="L1096" s="35"/>
      <c r="M1096" s="35"/>
      <c r="N1096" s="35"/>
      <c r="O1096" s="35"/>
      <c r="P1096" s="35"/>
      <c r="Q1096" s="35"/>
      <c r="R1096" s="35"/>
      <c r="S1096" s="35"/>
      <c r="T1096" s="35"/>
      <c r="U1096" s="35"/>
      <c r="V1096" s="35"/>
      <c r="W1096" s="35"/>
      <c r="X1096" s="35"/>
      <c r="Y1096" s="35"/>
      <c r="Z1096" s="35"/>
      <c r="AA1096" s="35"/>
      <c r="AB1096" s="34">
        <v>59948535</v>
      </c>
      <c r="AC1096" s="34">
        <v>59948533</v>
      </c>
      <c r="AD1096" s="34">
        <v>58473795</v>
      </c>
      <c r="AE1096" s="34">
        <v>58053164</v>
      </c>
      <c r="AF1096" s="34">
        <v>54272480</v>
      </c>
      <c r="AG1096" s="34">
        <v>48539393</v>
      </c>
      <c r="AH1096" s="34">
        <v>61810663</v>
      </c>
      <c r="AI1096" s="34">
        <v>61825763</v>
      </c>
      <c r="AJ1096" s="230">
        <v>29887000</v>
      </c>
      <c r="AK1096" s="230">
        <v>24659000</v>
      </c>
      <c r="AL1096" s="230">
        <f t="shared" ref="AL1096:AQ1096" si="299">SUM(AL1087:AL1095)</f>
        <v>32613346</v>
      </c>
      <c r="AM1096" s="230">
        <f t="shared" si="299"/>
        <v>32613346</v>
      </c>
      <c r="AN1096" s="920">
        <f t="shared" si="299"/>
        <v>38710088</v>
      </c>
      <c r="AO1096" s="920">
        <f t="shared" si="299"/>
        <v>33807204</v>
      </c>
      <c r="AP1096" s="920">
        <f t="shared" si="299"/>
        <v>32193908</v>
      </c>
      <c r="AQ1096" s="920">
        <f t="shared" si="299"/>
        <v>36153249</v>
      </c>
      <c r="AR1096" s="1044"/>
      <c r="AS1096" s="1044"/>
    </row>
    <row r="1097" spans="2:45" hidden="1" outlineLevel="1">
      <c r="C1097" s="1249" t="s">
        <v>2</v>
      </c>
      <c r="D1097" s="1251"/>
      <c r="E1097" s="670" t="s">
        <v>256</v>
      </c>
      <c r="F1097" s="27"/>
      <c r="G1097" s="27"/>
      <c r="H1097" s="27"/>
      <c r="I1097" s="27"/>
      <c r="J1097" s="27"/>
      <c r="K1097" s="27"/>
      <c r="L1097" s="27"/>
      <c r="M1097" s="27"/>
      <c r="N1097" s="27"/>
      <c r="O1097" s="27"/>
      <c r="P1097" s="27"/>
      <c r="Q1097" s="27"/>
      <c r="R1097" s="27"/>
      <c r="S1097" s="27"/>
      <c r="T1097" s="27"/>
      <c r="U1097" s="27"/>
      <c r="V1097" s="27"/>
      <c r="W1097" s="27"/>
      <c r="X1097" s="27"/>
      <c r="Y1097" s="27"/>
      <c r="Z1097" s="27"/>
      <c r="AA1097" s="27"/>
      <c r="AB1097" s="12"/>
      <c r="AC1097" s="12"/>
      <c r="AD1097" s="12"/>
      <c r="AE1097" s="12"/>
      <c r="AF1097" s="12"/>
      <c r="AG1097" s="12"/>
      <c r="AH1097" s="12"/>
      <c r="AI1097" s="12"/>
      <c r="AJ1097" s="371"/>
      <c r="AK1097" s="371"/>
      <c r="AL1097" s="371"/>
      <c r="AM1097" s="371"/>
      <c r="AN1097" s="921"/>
      <c r="AO1097" s="921"/>
      <c r="AP1097" s="921"/>
      <c r="AQ1097" s="921"/>
      <c r="AR1097" s="1044"/>
      <c r="AS1097" s="1044"/>
    </row>
    <row r="1098" spans="2:45" hidden="1" outlineLevel="1">
      <c r="C1098" s="1249" t="s">
        <v>2</v>
      </c>
      <c r="D1098" s="1252" t="s">
        <v>1564</v>
      </c>
      <c r="E1098" s="1251" t="s">
        <v>257</v>
      </c>
      <c r="F1098" s="9"/>
      <c r="G1098" s="9"/>
      <c r="H1098" s="9"/>
      <c r="I1098" s="9"/>
      <c r="J1098" s="9"/>
      <c r="K1098" s="9"/>
      <c r="L1098" s="9"/>
      <c r="M1098" s="9"/>
      <c r="N1098" s="9"/>
      <c r="O1098" s="9"/>
      <c r="P1098" s="9"/>
      <c r="Q1098" s="9"/>
      <c r="R1098" s="9"/>
      <c r="S1098" s="9"/>
      <c r="T1098" s="9"/>
      <c r="U1098" s="9"/>
      <c r="V1098" s="9"/>
      <c r="W1098" s="9"/>
      <c r="X1098" s="9"/>
      <c r="Y1098" s="9"/>
      <c r="Z1098" s="9"/>
      <c r="AA1098" s="9"/>
      <c r="AB1098" s="12">
        <v>1125000</v>
      </c>
      <c r="AC1098" s="12">
        <v>1125000</v>
      </c>
      <c r="AD1098" s="12">
        <v>1125000</v>
      </c>
      <c r="AE1098" s="12">
        <v>1125000</v>
      </c>
      <c r="AF1098" s="12">
        <v>1125000</v>
      </c>
      <c r="AG1098" s="12">
        <v>1125000</v>
      </c>
      <c r="AH1098" s="12">
        <v>3149018</v>
      </c>
      <c r="AI1098" s="12">
        <v>1649017</v>
      </c>
      <c r="AJ1098" s="24">
        <v>1725000</v>
      </c>
      <c r="AK1098" s="24">
        <v>1225000</v>
      </c>
      <c r="AL1098" s="24">
        <v>2787527</v>
      </c>
      <c r="AM1098" s="24">
        <v>2787527</v>
      </c>
      <c r="AN1098" s="1061">
        <v>3972340</v>
      </c>
      <c r="AO1098" s="1061">
        <v>3972340</v>
      </c>
      <c r="AP1098" s="1061">
        <v>1066551</v>
      </c>
      <c r="AQ1098" s="1061">
        <v>1066551</v>
      </c>
      <c r="AR1098" s="1044"/>
      <c r="AS1098" s="1044"/>
    </row>
    <row r="1099" spans="2:45" hidden="1" outlineLevel="1">
      <c r="C1099" s="1249" t="s">
        <v>2</v>
      </c>
      <c r="D1099" s="1252" t="s">
        <v>1564</v>
      </c>
      <c r="E1099" s="1251" t="s">
        <v>258</v>
      </c>
      <c r="F1099" s="9"/>
      <c r="G1099" s="9"/>
      <c r="H1099" s="9"/>
      <c r="I1099" s="9"/>
      <c r="J1099" s="9"/>
      <c r="K1099" s="9"/>
      <c r="L1099" s="9"/>
      <c r="M1099" s="9"/>
      <c r="N1099" s="9"/>
      <c r="O1099" s="9"/>
      <c r="P1099" s="9"/>
      <c r="Q1099" s="9"/>
      <c r="R1099" s="9"/>
      <c r="S1099" s="9"/>
      <c r="T1099" s="9"/>
      <c r="U1099" s="9"/>
      <c r="V1099" s="9"/>
      <c r="W1099" s="9"/>
      <c r="X1099" s="9"/>
      <c r="Y1099" s="9"/>
      <c r="Z1099" s="9"/>
      <c r="AA1099" s="9"/>
      <c r="AB1099" s="12">
        <v>2025000</v>
      </c>
      <c r="AC1099" s="12">
        <v>2025000</v>
      </c>
      <c r="AD1099" s="12">
        <v>2025000</v>
      </c>
      <c r="AE1099" s="12">
        <v>2025000</v>
      </c>
      <c r="AF1099" s="12">
        <v>2025000</v>
      </c>
      <c r="AG1099" s="12">
        <v>2025000</v>
      </c>
      <c r="AH1099" s="12">
        <v>4600789</v>
      </c>
      <c r="AI1099" s="12">
        <v>2700788</v>
      </c>
      <c r="AJ1099" s="24">
        <v>3200000</v>
      </c>
      <c r="AK1099" s="24">
        <v>2200000</v>
      </c>
      <c r="AL1099" s="24">
        <v>4858112</v>
      </c>
      <c r="AM1099" s="24">
        <v>4858112</v>
      </c>
      <c r="AN1099" s="1061">
        <v>5420324</v>
      </c>
      <c r="AO1099" s="1061">
        <v>5420324</v>
      </c>
      <c r="AP1099" s="1061">
        <v>1883810</v>
      </c>
      <c r="AQ1099" s="1061">
        <v>1883810</v>
      </c>
      <c r="AR1099" s="1044"/>
      <c r="AS1099" s="1044"/>
    </row>
    <row r="1100" spans="2:45" hidden="1" outlineLevel="1">
      <c r="C1100" s="1249" t="s">
        <v>2</v>
      </c>
      <c r="D1100" s="1252" t="s">
        <v>1561</v>
      </c>
      <c r="E1100" s="1251" t="s">
        <v>1285</v>
      </c>
      <c r="F1100" s="9"/>
      <c r="G1100" s="9"/>
      <c r="H1100" s="9"/>
      <c r="I1100" s="9"/>
      <c r="J1100" s="9"/>
      <c r="K1100" s="9"/>
      <c r="L1100" s="9"/>
      <c r="M1100" s="9"/>
      <c r="N1100" s="9"/>
      <c r="O1100" s="9"/>
      <c r="P1100" s="9"/>
      <c r="Q1100" s="9"/>
      <c r="R1100" s="9"/>
      <c r="S1100" s="9"/>
      <c r="T1100" s="9"/>
      <c r="U1100" s="9"/>
      <c r="V1100" s="9"/>
      <c r="W1100" s="9"/>
      <c r="X1100" s="9"/>
      <c r="Y1100" s="9"/>
      <c r="Z1100" s="9"/>
      <c r="AA1100" s="9"/>
      <c r="AB1100" s="12">
        <v>1125000</v>
      </c>
      <c r="AC1100" s="12">
        <v>1125000</v>
      </c>
      <c r="AD1100" s="12">
        <v>1125000</v>
      </c>
      <c r="AE1100" s="12">
        <v>1125000</v>
      </c>
      <c r="AF1100" s="12">
        <v>1125000</v>
      </c>
      <c r="AG1100" s="12">
        <v>1125000</v>
      </c>
      <c r="AH1100" s="12">
        <v>1175000</v>
      </c>
      <c r="AI1100" s="12">
        <v>1125000</v>
      </c>
      <c r="AJ1100" s="58"/>
      <c r="AK1100" s="58"/>
      <c r="AL1100" s="58"/>
      <c r="AM1100" s="58"/>
      <c r="AN1100" s="922"/>
      <c r="AO1100" s="922"/>
      <c r="AP1100" s="922"/>
      <c r="AQ1100" s="922"/>
      <c r="AR1100" s="1044"/>
      <c r="AS1100" s="1044"/>
    </row>
    <row r="1101" spans="2:45" hidden="1" outlineLevel="1">
      <c r="C1101" s="1249" t="s">
        <v>2</v>
      </c>
      <c r="D1101" s="1252" t="s">
        <v>1561</v>
      </c>
      <c r="E1101" s="1251" t="s">
        <v>1286</v>
      </c>
      <c r="F1101" s="9"/>
      <c r="G1101" s="9"/>
      <c r="H1101" s="9"/>
      <c r="I1101" s="9"/>
      <c r="J1101" s="9"/>
      <c r="K1101" s="9"/>
      <c r="L1101" s="9"/>
      <c r="M1101" s="9"/>
      <c r="N1101" s="9"/>
      <c r="O1101" s="9"/>
      <c r="P1101" s="9"/>
      <c r="Q1101" s="9"/>
      <c r="R1101" s="9"/>
      <c r="S1101" s="9"/>
      <c r="T1101" s="9"/>
      <c r="U1101" s="9"/>
      <c r="V1101" s="9"/>
      <c r="W1101" s="9"/>
      <c r="X1101" s="9"/>
      <c r="Y1101" s="9"/>
      <c r="Z1101" s="9"/>
      <c r="AA1101" s="9"/>
      <c r="AB1101" s="12">
        <v>1915830</v>
      </c>
      <c r="AC1101" s="12">
        <v>1915830</v>
      </c>
      <c r="AD1101" s="12">
        <v>1915830</v>
      </c>
      <c r="AE1101" s="12">
        <v>1915830</v>
      </c>
      <c r="AF1101" s="12">
        <v>1915830</v>
      </c>
      <c r="AG1101" s="12">
        <v>1915830</v>
      </c>
      <c r="AH1101" s="12">
        <v>1965830</v>
      </c>
      <c r="AI1101" s="12">
        <v>1915830</v>
      </c>
      <c r="AJ1101" s="58"/>
      <c r="AK1101" s="58"/>
      <c r="AL1101" s="58"/>
      <c r="AM1101" s="58"/>
      <c r="AN1101" s="922"/>
      <c r="AO1101" s="922"/>
      <c r="AP1101" s="922"/>
      <c r="AQ1101" s="922"/>
      <c r="AR1101" s="1044"/>
      <c r="AS1101" s="1044"/>
    </row>
    <row r="1102" spans="2:45" hidden="1" outlineLevel="1">
      <c r="C1102" s="1249" t="s">
        <v>2</v>
      </c>
      <c r="D1102" s="1251"/>
      <c r="E1102" s="1253" t="s">
        <v>259</v>
      </c>
      <c r="F1102" s="35"/>
      <c r="G1102" s="35"/>
      <c r="H1102" s="35"/>
      <c r="I1102" s="35"/>
      <c r="J1102" s="35"/>
      <c r="K1102" s="35"/>
      <c r="L1102" s="35"/>
      <c r="M1102" s="35"/>
      <c r="N1102" s="35"/>
      <c r="O1102" s="35"/>
      <c r="P1102" s="35"/>
      <c r="Q1102" s="35"/>
      <c r="R1102" s="35"/>
      <c r="S1102" s="35"/>
      <c r="T1102" s="35"/>
      <c r="U1102" s="35"/>
      <c r="V1102" s="35"/>
      <c r="W1102" s="35"/>
      <c r="X1102" s="35"/>
      <c r="Y1102" s="35"/>
      <c r="Z1102" s="35"/>
      <c r="AA1102" s="35"/>
      <c r="AB1102" s="34">
        <v>6190830</v>
      </c>
      <c r="AC1102" s="34">
        <v>6190830</v>
      </c>
      <c r="AD1102" s="34">
        <v>6190830</v>
      </c>
      <c r="AE1102" s="34">
        <v>6190830</v>
      </c>
      <c r="AF1102" s="34">
        <v>6190830</v>
      </c>
      <c r="AG1102" s="34">
        <v>6190830</v>
      </c>
      <c r="AH1102" s="34">
        <v>10890637</v>
      </c>
      <c r="AI1102" s="34">
        <v>7390635</v>
      </c>
      <c r="AJ1102" s="230">
        <v>4925000</v>
      </c>
      <c r="AK1102" s="230">
        <v>3425000</v>
      </c>
      <c r="AL1102" s="230">
        <f t="shared" ref="AL1102:AQ1102" si="300">SUM(AL1098:AL1101)</f>
        <v>7645639</v>
      </c>
      <c r="AM1102" s="230">
        <f t="shared" si="300"/>
        <v>7645639</v>
      </c>
      <c r="AN1102" s="920">
        <f t="shared" si="300"/>
        <v>9392664</v>
      </c>
      <c r="AO1102" s="920">
        <f t="shared" si="300"/>
        <v>9392664</v>
      </c>
      <c r="AP1102" s="920">
        <f t="shared" si="300"/>
        <v>2950361</v>
      </c>
      <c r="AQ1102" s="920">
        <f t="shared" si="300"/>
        <v>2950361</v>
      </c>
      <c r="AR1102" s="1044"/>
      <c r="AS1102" s="1044"/>
    </row>
    <row r="1103" spans="2:45" hidden="1" outlineLevel="1">
      <c r="C1103" s="1249" t="s">
        <v>2</v>
      </c>
      <c r="D1103" s="1251"/>
      <c r="E1103" s="1249" t="s">
        <v>260</v>
      </c>
      <c r="F1103" s="28"/>
      <c r="G1103" s="28"/>
      <c r="H1103" s="28"/>
      <c r="I1103" s="28"/>
      <c r="J1103" s="28"/>
      <c r="K1103" s="28"/>
      <c r="L1103" s="28"/>
      <c r="M1103" s="28"/>
      <c r="N1103" s="28"/>
      <c r="O1103" s="28"/>
      <c r="P1103" s="28"/>
      <c r="Q1103" s="28"/>
      <c r="R1103" s="28"/>
      <c r="S1103" s="28"/>
      <c r="T1103" s="28"/>
      <c r="U1103" s="28"/>
      <c r="V1103" s="28"/>
      <c r="W1103" s="28"/>
      <c r="X1103" s="28"/>
      <c r="Y1103" s="28"/>
      <c r="Z1103" s="28"/>
      <c r="AA1103" s="28"/>
      <c r="AB1103" s="12"/>
      <c r="AC1103" s="12"/>
      <c r="AD1103" s="12"/>
      <c r="AE1103" s="12"/>
      <c r="AF1103" s="12"/>
      <c r="AG1103" s="12"/>
      <c r="AH1103" s="12"/>
      <c r="AI1103" s="12"/>
      <c r="AJ1103" s="35"/>
      <c r="AK1103" s="35"/>
      <c r="AL1103" s="35"/>
      <c r="AM1103" s="35"/>
      <c r="AN1103" s="985"/>
      <c r="AO1103" s="985"/>
      <c r="AP1103" s="985"/>
      <c r="AQ1103" s="985"/>
      <c r="AR1103" s="1044"/>
      <c r="AS1103" s="1044"/>
    </row>
    <row r="1104" spans="2:45" hidden="1" outlineLevel="1">
      <c r="C1104" s="1249" t="s">
        <v>2</v>
      </c>
      <c r="D1104" s="1251"/>
      <c r="E1104" s="1251" t="s">
        <v>261</v>
      </c>
      <c r="F1104" s="9"/>
      <c r="G1104" s="9"/>
      <c r="H1104" s="9"/>
      <c r="I1104" s="9"/>
      <c r="J1104" s="9"/>
      <c r="K1104" s="9"/>
      <c r="L1104" s="9"/>
      <c r="M1104" s="9"/>
      <c r="N1104" s="9"/>
      <c r="O1104" s="9"/>
      <c r="P1104" s="9"/>
      <c r="Q1104" s="9"/>
      <c r="R1104" s="9"/>
      <c r="S1104" s="9"/>
      <c r="T1104" s="9"/>
      <c r="U1104" s="9"/>
      <c r="V1104" s="9"/>
      <c r="W1104" s="9"/>
      <c r="X1104" s="9"/>
      <c r="Y1104" s="9"/>
      <c r="Z1104" s="9"/>
      <c r="AA1104" s="9"/>
      <c r="AB1104" s="12">
        <v>2144921</v>
      </c>
      <c r="AC1104" s="12">
        <v>2144924</v>
      </c>
      <c r="AD1104" s="12">
        <v>2988267</v>
      </c>
      <c r="AE1104" s="12">
        <v>3074649</v>
      </c>
      <c r="AF1104" s="12">
        <v>4086957</v>
      </c>
      <c r="AG1104" s="12">
        <v>3360958</v>
      </c>
      <c r="AH1104" s="12">
        <f>3956336</f>
        <v>3956336</v>
      </c>
      <c r="AI1104" s="12">
        <f>3956336</f>
        <v>3956336</v>
      </c>
      <c r="AJ1104" s="21">
        <v>4858028</v>
      </c>
      <c r="AK1104" s="21">
        <v>4818030</v>
      </c>
      <c r="AL1104" s="21">
        <v>4952901</v>
      </c>
      <c r="AM1104" s="21">
        <v>4952901</v>
      </c>
      <c r="AN1104" s="1058">
        <v>5251375</v>
      </c>
      <c r="AO1104" s="1058">
        <v>5251375</v>
      </c>
      <c r="AP1104" s="1058">
        <v>5380368</v>
      </c>
      <c r="AQ1104" s="1058">
        <v>5380367</v>
      </c>
      <c r="AR1104" s="1044"/>
      <c r="AS1104" s="1044"/>
    </row>
    <row r="1105" spans="2:45" hidden="1" outlineLevel="1">
      <c r="C1105" s="1249" t="s">
        <v>2</v>
      </c>
      <c r="D1105" s="1251"/>
      <c r="E1105" s="1251" t="s">
        <v>262</v>
      </c>
      <c r="F1105" s="9"/>
      <c r="G1105" s="9"/>
      <c r="H1105" s="9"/>
      <c r="I1105" s="9"/>
      <c r="J1105" s="9"/>
      <c r="K1105" s="9"/>
      <c r="L1105" s="9"/>
      <c r="M1105" s="9"/>
      <c r="N1105" s="9"/>
      <c r="O1105" s="9"/>
      <c r="P1105" s="9"/>
      <c r="Q1105" s="9"/>
      <c r="R1105" s="9"/>
      <c r="S1105" s="9"/>
      <c r="T1105" s="9"/>
      <c r="U1105" s="9"/>
      <c r="V1105" s="9"/>
      <c r="W1105" s="9"/>
      <c r="X1105" s="9"/>
      <c r="Y1105" s="9"/>
      <c r="Z1105" s="9"/>
      <c r="AA1105" s="9"/>
      <c r="AB1105" s="12">
        <v>5764324</v>
      </c>
      <c r="AC1105" s="12">
        <v>3410098</v>
      </c>
      <c r="AD1105" s="12">
        <v>4236155</v>
      </c>
      <c r="AE1105" s="12">
        <v>3938771</v>
      </c>
      <c r="AF1105" s="12">
        <v>4892689</v>
      </c>
      <c r="AG1105" s="12">
        <v>4877689</v>
      </c>
      <c r="AH1105" s="12">
        <v>3653173</v>
      </c>
      <c r="AI1105" s="12">
        <v>3662735</v>
      </c>
      <c r="AJ1105" s="21">
        <v>3898194</v>
      </c>
      <c r="AK1105" s="21">
        <v>4003097</v>
      </c>
      <c r="AL1105" s="21">
        <f>4849521+640376</f>
        <v>5489897</v>
      </c>
      <c r="AM1105" s="21">
        <f>4875688+750024</f>
        <v>5625712</v>
      </c>
      <c r="AN1105" s="1058">
        <v>5730882</v>
      </c>
      <c r="AO1105" s="1058">
        <v>5696615</v>
      </c>
      <c r="AP1105" s="1058">
        <v>6208864</v>
      </c>
      <c r="AQ1105" s="1058">
        <v>6229622</v>
      </c>
      <c r="AR1105" s="1044"/>
      <c r="AS1105" s="1044"/>
    </row>
    <row r="1106" spans="2:45" s="1044" customFormat="1" hidden="1" outlineLevel="1">
      <c r="B1106" s="1045"/>
      <c r="C1106" s="1249" t="s">
        <v>2</v>
      </c>
      <c r="D1106" s="1251"/>
      <c r="E1106" s="1251" t="s">
        <v>263</v>
      </c>
      <c r="F1106" s="1030"/>
      <c r="G1106" s="1030"/>
      <c r="H1106" s="1030"/>
      <c r="I1106" s="1030"/>
      <c r="J1106" s="1030"/>
      <c r="K1106" s="1030"/>
      <c r="L1106" s="1030"/>
      <c r="M1106" s="1030"/>
      <c r="N1106" s="1030"/>
      <c r="O1106" s="1030"/>
      <c r="P1106" s="1030"/>
      <c r="Q1106" s="1030"/>
      <c r="R1106" s="1030"/>
      <c r="S1106" s="1030"/>
      <c r="T1106" s="1030"/>
      <c r="U1106" s="1030"/>
      <c r="V1106" s="1030"/>
      <c r="W1106" s="1030"/>
      <c r="X1106" s="1030"/>
      <c r="Y1106" s="1030"/>
      <c r="Z1106" s="1030"/>
      <c r="AA1106" s="1030"/>
      <c r="AB1106" s="1070">
        <v>1982794</v>
      </c>
      <c r="AC1106" s="1070">
        <v>1982793</v>
      </c>
      <c r="AD1106" s="1070">
        <v>2137943</v>
      </c>
      <c r="AE1106" s="1070">
        <v>2137944</v>
      </c>
      <c r="AF1106" s="1070">
        <v>2137943</v>
      </c>
      <c r="AG1106" s="1070">
        <v>2137944</v>
      </c>
      <c r="AH1106" s="1070">
        <v>1483521</v>
      </c>
      <c r="AI1106" s="1070">
        <v>1483520</v>
      </c>
      <c r="AJ1106" s="1058">
        <v>1434905</v>
      </c>
      <c r="AK1106" s="1058">
        <v>1434903</v>
      </c>
      <c r="AL1106" s="1058">
        <v>670183</v>
      </c>
      <c r="AM1106" s="1058">
        <v>670183</v>
      </c>
      <c r="AN1106" s="1058">
        <v>1931362</v>
      </c>
      <c r="AO1106" s="1058">
        <v>1931361</v>
      </c>
      <c r="AP1106" s="1058">
        <v>1836189</v>
      </c>
      <c r="AQ1106" s="1058">
        <v>1986188</v>
      </c>
    </row>
    <row r="1107" spans="2:45" hidden="1" outlineLevel="1">
      <c r="C1107" s="1249" t="s">
        <v>2</v>
      </c>
      <c r="D1107" s="1251"/>
      <c r="E1107" s="1252" t="s">
        <v>1972</v>
      </c>
      <c r="F1107" s="9"/>
      <c r="G1107" s="9"/>
      <c r="H1107" s="9"/>
      <c r="I1107" s="9"/>
      <c r="J1107" s="9"/>
      <c r="K1107" s="9"/>
      <c r="L1107" s="9"/>
      <c r="M1107" s="9"/>
      <c r="N1107" s="9"/>
      <c r="O1107" s="9"/>
      <c r="P1107" s="9"/>
      <c r="Q1107" s="9"/>
      <c r="R1107" s="9"/>
      <c r="S1107" s="9"/>
      <c r="T1107" s="9"/>
      <c r="U1107" s="9"/>
      <c r="V1107" s="9"/>
      <c r="W1107" s="9"/>
      <c r="X1107" s="9"/>
      <c r="Y1107" s="9"/>
      <c r="Z1107" s="9"/>
      <c r="AA1107" s="9"/>
      <c r="AB1107" s="12"/>
      <c r="AC1107" s="12"/>
      <c r="AD1107" s="12"/>
      <c r="AE1107" s="12"/>
      <c r="AF1107" s="12"/>
      <c r="AG1107" s="12"/>
      <c r="AH1107" s="12"/>
      <c r="AI1107" s="12"/>
      <c r="AJ1107" s="21"/>
      <c r="AK1107" s="21"/>
      <c r="AL1107" s="21"/>
      <c r="AM1107" s="21"/>
      <c r="AN1107" s="1058"/>
      <c r="AO1107" s="1058"/>
      <c r="AP1107" s="1058">
        <v>342700</v>
      </c>
      <c r="AQ1107" s="1058">
        <v>342700</v>
      </c>
      <c r="AR1107" s="1044"/>
      <c r="AS1107" s="1044"/>
    </row>
    <row r="1108" spans="2:45" hidden="1" outlineLevel="1">
      <c r="C1108" s="1249" t="s">
        <v>2</v>
      </c>
      <c r="D1108" s="1251"/>
      <c r="E1108" s="1253" t="s">
        <v>264</v>
      </c>
      <c r="F1108" s="35"/>
      <c r="G1108" s="35"/>
      <c r="H1108" s="35"/>
      <c r="I1108" s="35"/>
      <c r="J1108" s="35"/>
      <c r="K1108" s="35"/>
      <c r="L1108" s="35"/>
      <c r="M1108" s="35"/>
      <c r="N1108" s="35"/>
      <c r="O1108" s="35"/>
      <c r="P1108" s="35"/>
      <c r="Q1108" s="35"/>
      <c r="R1108" s="35"/>
      <c r="S1108" s="35"/>
      <c r="T1108" s="35"/>
      <c r="U1108" s="35"/>
      <c r="V1108" s="35"/>
      <c r="W1108" s="35"/>
      <c r="X1108" s="35"/>
      <c r="Y1108" s="35"/>
      <c r="Z1108" s="35"/>
      <c r="AA1108" s="35"/>
      <c r="AB1108" s="34">
        <v>9892039</v>
      </c>
      <c r="AC1108" s="34">
        <v>7537815</v>
      </c>
      <c r="AD1108" s="34">
        <v>9362365</v>
      </c>
      <c r="AE1108" s="34">
        <v>9151364</v>
      </c>
      <c r="AF1108" s="34">
        <v>11117589</v>
      </c>
      <c r="AG1108" s="34">
        <v>10376591</v>
      </c>
      <c r="AH1108" s="34">
        <f>9093030</f>
        <v>9093030</v>
      </c>
      <c r="AI1108" s="34">
        <f>9102591</f>
        <v>9102591</v>
      </c>
      <c r="AJ1108" s="45">
        <v>10191127</v>
      </c>
      <c r="AK1108" s="45">
        <v>10256030</v>
      </c>
      <c r="AL1108" s="45">
        <f t="shared" ref="AL1108:AQ1108" si="301">SUM(AL1104:AL1107)</f>
        <v>11112981</v>
      </c>
      <c r="AM1108" s="45">
        <f t="shared" si="301"/>
        <v>11248796</v>
      </c>
      <c r="AN1108" s="983">
        <f t="shared" si="301"/>
        <v>12913619</v>
      </c>
      <c r="AO1108" s="983">
        <f t="shared" si="301"/>
        <v>12879351</v>
      </c>
      <c r="AP1108" s="983">
        <f t="shared" si="301"/>
        <v>13768121</v>
      </c>
      <c r="AQ1108" s="983">
        <f t="shared" si="301"/>
        <v>13938877</v>
      </c>
      <c r="AR1108" s="1044"/>
      <c r="AS1108" s="1044"/>
    </row>
    <row r="1109" spans="2:45" hidden="1" outlineLevel="1">
      <c r="C1109" s="1249" t="s">
        <v>2</v>
      </c>
      <c r="D1109" s="1251"/>
      <c r="E1109" s="1249" t="s">
        <v>265</v>
      </c>
      <c r="F1109" s="28"/>
      <c r="G1109" s="28"/>
      <c r="H1109" s="28"/>
      <c r="I1109" s="28"/>
      <c r="J1109" s="28"/>
      <c r="K1109" s="28"/>
      <c r="L1109" s="28"/>
      <c r="M1109" s="28"/>
      <c r="N1109" s="28"/>
      <c r="O1109" s="28"/>
      <c r="P1109" s="28"/>
      <c r="Q1109" s="28"/>
      <c r="R1109" s="28"/>
      <c r="S1109" s="28"/>
      <c r="T1109" s="28"/>
      <c r="U1109" s="28"/>
      <c r="V1109" s="28"/>
      <c r="W1109" s="28"/>
      <c r="X1109" s="28"/>
      <c r="Y1109" s="28"/>
      <c r="Z1109" s="28"/>
      <c r="AA1109" s="28"/>
      <c r="AB1109" s="34">
        <v>478590648</v>
      </c>
      <c r="AC1109" s="34">
        <v>460624225</v>
      </c>
      <c r="AD1109" s="34">
        <v>607946917</v>
      </c>
      <c r="AE1109" s="34">
        <v>670830875</v>
      </c>
      <c r="AF1109" s="34">
        <v>907376126</v>
      </c>
      <c r="AG1109" s="34">
        <v>827390912</v>
      </c>
      <c r="AH1109" s="34">
        <f>753508249</f>
        <v>753508249</v>
      </c>
      <c r="AI1109" s="34">
        <f>548179564+81400000</f>
        <v>629579564</v>
      </c>
      <c r="AJ1109" s="45">
        <v>809623548</v>
      </c>
      <c r="AK1109" s="45">
        <v>679127080</v>
      </c>
      <c r="AL1109" s="45">
        <f>AL1108+AL1102+AL1096+AL1084+AL1061+AL1034+AL1020+AL1067+AL989</f>
        <v>960568429</v>
      </c>
      <c r="AM1109" s="45">
        <f>AM1108+AM1102+AM1096+AM1084+AM1061+AM1034+AM1020+AM1067+AM989</f>
        <v>1046720209</v>
      </c>
      <c r="AN1109" s="983">
        <f>AN1108+AN1102+AN1096+AN1084+AN1061+AN1034+AN1020+AN1067+AN989+AN1028</f>
        <v>808270970</v>
      </c>
      <c r="AO1109" s="983">
        <f>AO1108+AO1102+AO1096+AO1084+AO1061+AO1034+AO1020+AO1067+AO989+AO1028</f>
        <v>771182315</v>
      </c>
      <c r="AP1109" s="983">
        <f>AP1108+AP1102+AP1096+AP1084+AP1061+AP1034+AP1020+AP1067+AP989+AP1028</f>
        <v>898587780</v>
      </c>
      <c r="AQ1109" s="983">
        <f>AQ1108+AQ1102+AQ1096+AQ1084+AQ1061+AQ1034+AQ1020+AQ1067+AQ989+AQ1028</f>
        <v>890536019</v>
      </c>
      <c r="AR1109" s="1044"/>
      <c r="AS1109" s="1044"/>
    </row>
    <row r="1110" spans="2:45" hidden="1" outlineLevel="1">
      <c r="C1110" s="1249" t="s">
        <v>2</v>
      </c>
      <c r="D1110" s="1252" t="s">
        <v>1564</v>
      </c>
      <c r="E1110" s="1249" t="s">
        <v>1563</v>
      </c>
      <c r="F1110" s="28"/>
      <c r="G1110" s="28"/>
      <c r="H1110" s="28"/>
      <c r="I1110" s="28"/>
      <c r="J1110" s="28"/>
      <c r="K1110" s="28"/>
      <c r="L1110" s="28"/>
      <c r="M1110" s="28"/>
      <c r="N1110" s="28"/>
      <c r="O1110" s="28"/>
      <c r="P1110" s="28"/>
      <c r="Q1110" s="28"/>
      <c r="R1110" s="28"/>
      <c r="S1110" s="28"/>
      <c r="T1110" s="28"/>
      <c r="U1110" s="28"/>
      <c r="V1110" s="28"/>
      <c r="W1110" s="28"/>
      <c r="X1110" s="28"/>
      <c r="Y1110" s="28"/>
      <c r="Z1110" s="28"/>
      <c r="AA1110" s="28"/>
      <c r="AB1110" s="34"/>
      <c r="AC1110" s="34"/>
      <c r="AD1110" s="34"/>
      <c r="AE1110" s="12">
        <f ca="1">SUMIF($D974:G$1109,$D1110,AE974:AE1108)</f>
        <v>3150000</v>
      </c>
      <c r="AF1110" s="12">
        <f ca="1">SUMIF($D974:H$1109,$D1110,AF974:AF1108)</f>
        <v>3150000</v>
      </c>
      <c r="AG1110" s="12">
        <f ca="1">SUMIF($D974:I$1109,$D1110,AG974:AG1108)</f>
        <v>3150000</v>
      </c>
      <c r="AH1110" s="12">
        <f ca="1">SUMIF($D974:J$1109,$D1110,AH974:AH1108)</f>
        <v>7749807</v>
      </c>
      <c r="AI1110" s="12">
        <f ca="1">SUMIF($D974:K$1109,$D1110,AI974:AI1108)</f>
        <v>4349805</v>
      </c>
      <c r="AJ1110" s="12">
        <f ca="1">SUMIF($D974:L$1109,$D1110,AJ974:AJ1108)</f>
        <v>4925000</v>
      </c>
      <c r="AK1110" s="12">
        <f ca="1">SUMIF($D974:M$1109,$D1110,AK974:AK1108)</f>
        <v>3425000</v>
      </c>
      <c r="AL1110" s="12">
        <f ca="1">SUMIF($D974:AJ$1109,$D1110,AL974:AL1108)</f>
        <v>7645639</v>
      </c>
      <c r="AM1110" s="12">
        <f ca="1">SUMIF($D974:AK$1109,$D1110,AM974:AM1108)</f>
        <v>7645639</v>
      </c>
      <c r="AN1110" s="1070">
        <f ca="1">SUMIF($D974:AL$1109,$D1110,AN974:AN1108)</f>
        <v>9392664</v>
      </c>
      <c r="AO1110" s="1070">
        <f ca="1">SUMIF($D974:AM$1109,$D1110,AO974:AO1108)</f>
        <v>9392664</v>
      </c>
      <c r="AP1110" s="1070">
        <f ca="1">SUMIF($D974:AN$1109,$D1110,AP974:AP1108)</f>
        <v>2950361</v>
      </c>
      <c r="AQ1110" s="1070">
        <f ca="1">SUMIF($D974:AO$1109,$D1110,AQ974:AQ1108)</f>
        <v>2950361</v>
      </c>
      <c r="AR1110" s="1044"/>
      <c r="AS1110" s="1044"/>
    </row>
    <row r="1111" spans="2:45" s="218" customFormat="1" hidden="1" outlineLevel="1">
      <c r="B1111" s="567"/>
      <c r="C1111" s="1249" t="s">
        <v>2</v>
      </c>
      <c r="D1111" s="1252" t="s">
        <v>1561</v>
      </c>
      <c r="E1111" s="1252" t="s">
        <v>1562</v>
      </c>
      <c r="F1111" s="223"/>
      <c r="G1111" s="223"/>
      <c r="H1111" s="223"/>
      <c r="I1111" s="223"/>
      <c r="J1111" s="223"/>
      <c r="K1111" s="223"/>
      <c r="L1111" s="223"/>
      <c r="M1111" s="223"/>
      <c r="N1111" s="223"/>
      <c r="O1111" s="223"/>
      <c r="P1111" s="223"/>
      <c r="Q1111" s="223"/>
      <c r="R1111" s="223"/>
      <c r="S1111" s="223"/>
      <c r="T1111" s="223"/>
      <c r="U1111" s="223"/>
      <c r="V1111" s="223"/>
      <c r="W1111" s="223"/>
      <c r="X1111" s="223"/>
      <c r="Y1111" s="223"/>
      <c r="Z1111" s="223"/>
      <c r="AA1111" s="223"/>
      <c r="AB1111" s="12">
        <f>SUMIF(D975:$D$1109,$D1111,AB975:AB1109)</f>
        <v>3040830</v>
      </c>
      <c r="AC1111" s="12">
        <f ca="1">SUMIF($D975:E$1109,$D1111,AC975:AC1109)</f>
        <v>3040830</v>
      </c>
      <c r="AD1111" s="12">
        <f ca="1">SUMIF($D975:F$1109,$D1111,AD975:AD1109)</f>
        <v>3040830</v>
      </c>
      <c r="AE1111" s="12">
        <f ca="1">SUMIF($D975:G$1109,$D1111,AE975:AE1109)</f>
        <v>3040830</v>
      </c>
      <c r="AF1111" s="12">
        <f ca="1">SUMIF($D975:H$1109,$D1111,AF975:AF1109)</f>
        <v>3040830</v>
      </c>
      <c r="AG1111" s="12">
        <f ca="1">SUMIF($D975:I$1109,$D1111,AG975:AG1109)</f>
        <v>3040830</v>
      </c>
      <c r="AH1111" s="12">
        <f ca="1">SUMIF($D975:J$1109,$D1111,AH975:AH1109)</f>
        <v>3140830</v>
      </c>
      <c r="AI1111" s="12">
        <f ca="1">SUMIF($D975:K$1109,$D1111,AI975:AI1109)</f>
        <v>3040830</v>
      </c>
      <c r="AJ1111" s="12">
        <f ca="1">SUMIF($D975:L$1109,$D1111,AJ975:AJ1109)</f>
        <v>3500000</v>
      </c>
      <c r="AK1111" s="12">
        <f ca="1">SUMIF($D975:M$1109,$D1111,AK975:AK1109)</f>
        <v>3400000</v>
      </c>
      <c r="AL1111" s="12">
        <f ca="1">SUMIF($D975:AJ$1109,$D1111,AL975:AL1109)</f>
        <v>3339193</v>
      </c>
      <c r="AM1111" s="12">
        <f ca="1">SUMIF($D975:AK$1109,$D1111,AM975:AM1109)</f>
        <v>3339193</v>
      </c>
      <c r="AN1111" s="1070">
        <f ca="1">SUMIF($D975:AL$1109,$D1111,AN975:AN1109)</f>
        <v>3339193</v>
      </c>
      <c r="AO1111" s="1070">
        <f ca="1">SUMIF($D975:AM$1109,$D1111,AO975:AO1109)</f>
        <v>3339193</v>
      </c>
      <c r="AP1111" s="1070">
        <f ca="1">SUMIF($D975:AN$1109,$D1111,AP975:AP1109)</f>
        <v>3339193</v>
      </c>
      <c r="AQ1111" s="1070">
        <f ca="1">SUMIF($D975:AO$1109,$D1111,AQ975:AQ1109)</f>
        <v>3339193</v>
      </c>
      <c r="AR1111" s="1044"/>
      <c r="AS1111" s="1044"/>
    </row>
    <row r="1112" spans="2:45" collapsed="1">
      <c r="C1112" s="1249" t="s">
        <v>266</v>
      </c>
      <c r="D1112" s="1249"/>
      <c r="E1112" s="1250"/>
      <c r="F1112" s="6"/>
      <c r="G1112" s="6"/>
      <c r="H1112" s="6"/>
      <c r="I1112" s="6"/>
      <c r="J1112" s="6"/>
      <c r="K1112" s="6"/>
      <c r="L1112" s="6"/>
      <c r="M1112" s="6"/>
      <c r="N1112" s="6"/>
      <c r="O1112" s="6"/>
      <c r="P1112" s="6"/>
      <c r="Q1112" s="6"/>
      <c r="R1112" s="6"/>
      <c r="S1112" s="6"/>
      <c r="T1112" s="6"/>
      <c r="U1112" s="6"/>
      <c r="V1112" s="6"/>
      <c r="W1112" s="6"/>
      <c r="X1112" s="6"/>
      <c r="Y1112" s="6"/>
      <c r="Z1112" s="6"/>
      <c r="AA1112" s="6"/>
      <c r="AB1112" s="7"/>
      <c r="AC1112" s="7"/>
      <c r="AD1112" s="7"/>
      <c r="AE1112" s="7"/>
      <c r="AF1112" s="7"/>
      <c r="AG1112" s="7"/>
      <c r="AH1112" s="7"/>
      <c r="AI1112" s="7"/>
      <c r="AJ1112" s="26"/>
      <c r="AK1112" s="26"/>
      <c r="AL1112" s="369" t="s">
        <v>1776</v>
      </c>
      <c r="AM1112" s="369" t="s">
        <v>1776</v>
      </c>
      <c r="AN1112" s="369" t="s">
        <v>1776</v>
      </c>
      <c r="AO1112" s="369" t="s">
        <v>1776</v>
      </c>
      <c r="AP1112" s="696" t="s">
        <v>1776</v>
      </c>
      <c r="AQ1112" s="696" t="s">
        <v>1776</v>
      </c>
      <c r="AR1112" s="1044"/>
      <c r="AS1112" s="1044"/>
    </row>
    <row r="1113" spans="2:45" ht="12.75" hidden="1" customHeight="1" outlineLevel="1">
      <c r="C1113" s="816" t="s">
        <v>16</v>
      </c>
      <c r="D1113" s="9"/>
      <c r="E1113" s="27" t="s">
        <v>183</v>
      </c>
      <c r="F1113" s="27"/>
      <c r="G1113" s="27"/>
      <c r="H1113" s="27"/>
      <c r="I1113" s="27"/>
      <c r="J1113" s="27"/>
      <c r="K1113" s="27"/>
      <c r="L1113" s="27"/>
      <c r="M1113" s="27"/>
      <c r="N1113" s="27"/>
      <c r="O1113" s="27"/>
      <c r="P1113" s="27"/>
      <c r="Q1113" s="27"/>
      <c r="R1113" s="27"/>
      <c r="S1113" s="27"/>
      <c r="T1113" s="27"/>
      <c r="U1113" s="27"/>
      <c r="V1113" s="27"/>
      <c r="W1113" s="27"/>
      <c r="X1113" s="27"/>
      <c r="Y1113" s="27"/>
      <c r="Z1113" s="27"/>
      <c r="AA1113" s="27"/>
      <c r="AB1113" s="12"/>
      <c r="AC1113" s="12"/>
      <c r="AD1113" s="12"/>
      <c r="AE1113" s="12"/>
      <c r="AF1113" s="12"/>
      <c r="AG1113" s="12"/>
      <c r="AH1113" s="12"/>
      <c r="AI1113" s="12"/>
      <c r="AJ1113" s="35"/>
      <c r="AK1113" s="35"/>
      <c r="AL1113" s="35"/>
      <c r="AM1113" s="35"/>
      <c r="AN1113" s="985"/>
      <c r="AO1113" s="985"/>
      <c r="AP1113" s="985"/>
      <c r="AQ1113" s="985"/>
      <c r="AR1113" s="1044"/>
      <c r="AS1113" s="1044"/>
    </row>
    <row r="1114" spans="2:45" ht="12.75" hidden="1" customHeight="1" outlineLevel="1">
      <c r="C1114" s="816" t="s">
        <v>16</v>
      </c>
      <c r="D1114" s="9"/>
      <c r="E1114" s="9" t="s">
        <v>184</v>
      </c>
      <c r="F1114" s="9"/>
      <c r="G1114" s="9"/>
      <c r="H1114" s="9"/>
      <c r="I1114" s="9"/>
      <c r="J1114" s="9"/>
      <c r="K1114" s="9"/>
      <c r="L1114" s="9"/>
      <c r="M1114" s="9"/>
      <c r="N1114" s="9"/>
      <c r="O1114" s="9"/>
      <c r="P1114" s="9"/>
      <c r="Q1114" s="9"/>
      <c r="R1114" s="9"/>
      <c r="S1114" s="9"/>
      <c r="T1114" s="9"/>
      <c r="U1114" s="9"/>
      <c r="V1114" s="9"/>
      <c r="W1114" s="9"/>
      <c r="X1114" s="9"/>
      <c r="Y1114" s="9"/>
      <c r="Z1114" s="9"/>
      <c r="AA1114" s="9"/>
      <c r="AB1114" s="12">
        <v>3119832</v>
      </c>
      <c r="AC1114" s="12">
        <v>3119832</v>
      </c>
      <c r="AD1114" s="12">
        <v>3338860</v>
      </c>
      <c r="AE1114" s="12">
        <v>3338860</v>
      </c>
      <c r="AF1114" s="12">
        <v>3338860</v>
      </c>
      <c r="AG1114" s="12">
        <v>3338860</v>
      </c>
      <c r="AH1114" s="12">
        <f>2609690</f>
        <v>2609690</v>
      </c>
      <c r="AI1114" s="12">
        <v>2609690</v>
      </c>
      <c r="AJ1114" s="46">
        <v>1863521</v>
      </c>
      <c r="AK1114" s="46">
        <v>1863521</v>
      </c>
      <c r="AL1114" s="685">
        <v>1889319</v>
      </c>
      <c r="AM1114" s="46">
        <v>1889318</v>
      </c>
      <c r="AN1114" s="991">
        <v>1760105</v>
      </c>
      <c r="AO1114" s="991">
        <v>1760105</v>
      </c>
      <c r="AP1114" s="991">
        <v>1153301</v>
      </c>
      <c r="AQ1114" s="991">
        <v>1153301</v>
      </c>
      <c r="AR1114" s="1044"/>
      <c r="AS1114" s="1044"/>
    </row>
    <row r="1115" spans="2:45" ht="12.75" hidden="1" customHeight="1" outlineLevel="1">
      <c r="C1115" s="816" t="s">
        <v>16</v>
      </c>
      <c r="D1115" s="9"/>
      <c r="E1115" s="9" t="s">
        <v>185</v>
      </c>
      <c r="F1115" s="9"/>
      <c r="G1115" s="9"/>
      <c r="H1115" s="9"/>
      <c r="I1115" s="9"/>
      <c r="J1115" s="9"/>
      <c r="K1115" s="9"/>
      <c r="L1115" s="9"/>
      <c r="M1115" s="9"/>
      <c r="N1115" s="9"/>
      <c r="O1115" s="9"/>
      <c r="P1115" s="9"/>
      <c r="Q1115" s="9"/>
      <c r="R1115" s="9"/>
      <c r="S1115" s="9"/>
      <c r="T1115" s="9"/>
      <c r="U1115" s="9"/>
      <c r="V1115" s="9"/>
      <c r="W1115" s="9"/>
      <c r="X1115" s="9"/>
      <c r="Y1115" s="9"/>
      <c r="Z1115" s="9"/>
      <c r="AA1115" s="9"/>
      <c r="AB1115" s="12"/>
      <c r="AC1115" s="12"/>
      <c r="AD1115" s="12"/>
      <c r="AE1115" s="12"/>
      <c r="AF1115" s="12"/>
      <c r="AG1115" s="12"/>
      <c r="AH1115" s="12"/>
      <c r="AI1115" s="12"/>
      <c r="AJ1115" s="46">
        <v>0</v>
      </c>
      <c r="AK1115" s="46">
        <v>0</v>
      </c>
      <c r="AL1115" s="46"/>
      <c r="AM1115" s="46"/>
      <c r="AN1115" s="987">
        <v>200000</v>
      </c>
      <c r="AO1115" s="987">
        <v>200000</v>
      </c>
      <c r="AP1115" s="987">
        <v>200000</v>
      </c>
      <c r="AQ1115" s="987">
        <v>200000</v>
      </c>
      <c r="AR1115" s="1044"/>
      <c r="AS1115" s="1044"/>
    </row>
    <row r="1116" spans="2:45" ht="12.75" hidden="1" customHeight="1" outlineLevel="1">
      <c r="C1116" s="816" t="s">
        <v>16</v>
      </c>
      <c r="D1116" s="9"/>
      <c r="E1116" s="9" t="s">
        <v>267</v>
      </c>
      <c r="F1116" s="9"/>
      <c r="G1116" s="9"/>
      <c r="H1116" s="9"/>
      <c r="I1116" s="9"/>
      <c r="J1116" s="9"/>
      <c r="K1116" s="9"/>
      <c r="L1116" s="9"/>
      <c r="M1116" s="9"/>
      <c r="N1116" s="9"/>
      <c r="O1116" s="9"/>
      <c r="P1116" s="9"/>
      <c r="Q1116" s="9"/>
      <c r="R1116" s="9"/>
      <c r="S1116" s="9"/>
      <c r="T1116" s="9"/>
      <c r="U1116" s="9"/>
      <c r="V1116" s="9"/>
      <c r="W1116" s="9"/>
      <c r="X1116" s="9"/>
      <c r="Y1116" s="9"/>
      <c r="Z1116" s="9"/>
      <c r="AA1116" s="9"/>
      <c r="AB1116" s="12"/>
      <c r="AC1116" s="12"/>
      <c r="AD1116" s="12"/>
      <c r="AE1116" s="12"/>
      <c r="AF1116" s="12"/>
      <c r="AG1116" s="12"/>
      <c r="AH1116" s="12"/>
      <c r="AI1116" s="12"/>
      <c r="AJ1116" s="46">
        <v>925301</v>
      </c>
      <c r="AK1116" s="46">
        <v>925301</v>
      </c>
      <c r="AL1116" s="46">
        <v>941639</v>
      </c>
      <c r="AM1116" s="46">
        <v>941639</v>
      </c>
      <c r="AN1116" s="987">
        <v>693667</v>
      </c>
      <c r="AO1116" s="987">
        <v>693667</v>
      </c>
      <c r="AP1116" s="987">
        <v>729443</v>
      </c>
      <c r="AQ1116" s="987">
        <v>729443</v>
      </c>
      <c r="AR1116" s="1044"/>
      <c r="AS1116" s="1044"/>
    </row>
    <row r="1117" spans="2:45" ht="12.75" hidden="1" customHeight="1" outlineLevel="1">
      <c r="C1117" s="816" t="s">
        <v>16</v>
      </c>
      <c r="D1117" s="9"/>
      <c r="E1117" s="9" t="s">
        <v>186</v>
      </c>
      <c r="F1117" s="9"/>
      <c r="G1117" s="9"/>
      <c r="H1117" s="9"/>
      <c r="I1117" s="9"/>
      <c r="J1117" s="9"/>
      <c r="K1117" s="9"/>
      <c r="L1117" s="9"/>
      <c r="M1117" s="9"/>
      <c r="N1117" s="9"/>
      <c r="O1117" s="9"/>
      <c r="P1117" s="9"/>
      <c r="Q1117" s="9"/>
      <c r="R1117" s="9"/>
      <c r="S1117" s="9"/>
      <c r="T1117" s="9"/>
      <c r="U1117" s="9"/>
      <c r="V1117" s="9"/>
      <c r="W1117" s="9"/>
      <c r="X1117" s="9"/>
      <c r="Y1117" s="9"/>
      <c r="Z1117" s="9"/>
      <c r="AA1117" s="9"/>
      <c r="AB1117" s="12"/>
      <c r="AC1117" s="12"/>
      <c r="AD1117" s="12">
        <v>11985000</v>
      </c>
      <c r="AE1117" s="12">
        <v>10807000</v>
      </c>
      <c r="AF1117" s="12">
        <v>14191906</v>
      </c>
      <c r="AG1117" s="12">
        <v>9711271</v>
      </c>
      <c r="AH1117" s="12">
        <v>1300774</v>
      </c>
      <c r="AI1117" s="12">
        <v>1300774</v>
      </c>
      <c r="AJ1117" s="46"/>
      <c r="AK1117" s="46"/>
      <c r="AL1117" s="46"/>
      <c r="AM1117" s="46"/>
      <c r="AN1117" s="987"/>
      <c r="AO1117" s="987"/>
      <c r="AP1117" s="987"/>
      <c r="AQ1117" s="987"/>
      <c r="AR1117" s="1044"/>
      <c r="AS1117" s="1044"/>
    </row>
    <row r="1118" spans="2:45" ht="12.75" hidden="1" customHeight="1" outlineLevel="1">
      <c r="C1118" s="816" t="s">
        <v>16</v>
      </c>
      <c r="D1118" s="9"/>
      <c r="E1118" s="9" t="s">
        <v>187</v>
      </c>
      <c r="F1118" s="9"/>
      <c r="G1118" s="9"/>
      <c r="H1118" s="9"/>
      <c r="I1118" s="9"/>
      <c r="J1118" s="9"/>
      <c r="K1118" s="9"/>
      <c r="L1118" s="9"/>
      <c r="M1118" s="9"/>
      <c r="N1118" s="9"/>
      <c r="O1118" s="9"/>
      <c r="P1118" s="9"/>
      <c r="Q1118" s="9"/>
      <c r="R1118" s="9"/>
      <c r="S1118" s="9"/>
      <c r="T1118" s="9"/>
      <c r="U1118" s="9"/>
      <c r="V1118" s="9"/>
      <c r="W1118" s="9"/>
      <c r="X1118" s="9"/>
      <c r="Y1118" s="9"/>
      <c r="Z1118" s="9"/>
      <c r="AA1118" s="9"/>
      <c r="AB1118" s="12">
        <v>1562446</v>
      </c>
      <c r="AC1118" s="12">
        <v>1562446</v>
      </c>
      <c r="AD1118" s="12">
        <v>1639675</v>
      </c>
      <c r="AE1118" s="12">
        <v>1639674</v>
      </c>
      <c r="AF1118" s="12">
        <v>1639675</v>
      </c>
      <c r="AG1118" s="12">
        <v>1639674</v>
      </c>
      <c r="AH1118" s="12">
        <v>1244915</v>
      </c>
      <c r="AI1118" s="12">
        <v>1244916</v>
      </c>
      <c r="AJ1118" s="46"/>
      <c r="AK1118" s="46"/>
      <c r="AL1118" s="46"/>
      <c r="AM1118" s="46"/>
      <c r="AN1118" s="987"/>
      <c r="AO1118" s="987"/>
      <c r="AP1118" s="987"/>
      <c r="AQ1118" s="987"/>
      <c r="AR1118" s="1044"/>
      <c r="AS1118" s="1044"/>
    </row>
    <row r="1119" spans="2:45" ht="12.75" hidden="1" customHeight="1" outlineLevel="1">
      <c r="C1119" s="816" t="s">
        <v>16</v>
      </c>
      <c r="D1119" s="9"/>
      <c r="E1119" s="9" t="s">
        <v>188</v>
      </c>
      <c r="F1119" s="9"/>
      <c r="G1119" s="9"/>
      <c r="H1119" s="9"/>
      <c r="I1119" s="9"/>
      <c r="J1119" s="9"/>
      <c r="K1119" s="9"/>
      <c r="L1119" s="9"/>
      <c r="M1119" s="9"/>
      <c r="N1119" s="9"/>
      <c r="O1119" s="9"/>
      <c r="P1119" s="9"/>
      <c r="Q1119" s="9"/>
      <c r="R1119" s="9"/>
      <c r="S1119" s="9"/>
      <c r="T1119" s="9"/>
      <c r="U1119" s="9"/>
      <c r="V1119" s="9"/>
      <c r="W1119" s="9"/>
      <c r="X1119" s="9"/>
      <c r="Y1119" s="9"/>
      <c r="Z1119" s="9"/>
      <c r="AA1119" s="9"/>
      <c r="AB1119" s="12">
        <v>360179</v>
      </c>
      <c r="AC1119" s="12">
        <v>360179</v>
      </c>
      <c r="AD1119" s="12">
        <v>334651</v>
      </c>
      <c r="AE1119" s="12">
        <v>334651</v>
      </c>
      <c r="AF1119" s="12">
        <v>334651</v>
      </c>
      <c r="AG1119" s="12">
        <v>334651</v>
      </c>
      <c r="AH1119" s="12">
        <v>270230</v>
      </c>
      <c r="AI1119" s="12">
        <v>270230</v>
      </c>
      <c r="AJ1119" s="46"/>
      <c r="AK1119" s="46"/>
      <c r="AL1119" s="46"/>
      <c r="AM1119" s="46"/>
      <c r="AN1119" s="987"/>
      <c r="AO1119" s="987"/>
      <c r="AP1119" s="987"/>
      <c r="AQ1119" s="987"/>
      <c r="AR1119" s="1044"/>
      <c r="AS1119" s="1044"/>
    </row>
    <row r="1120" spans="2:45" ht="12.75" hidden="1" customHeight="1" outlineLevel="1">
      <c r="C1120" s="816" t="s">
        <v>16</v>
      </c>
      <c r="D1120" s="9"/>
      <c r="E1120" s="223" t="s">
        <v>1264</v>
      </c>
      <c r="F1120" s="9"/>
      <c r="G1120" s="9"/>
      <c r="H1120" s="9"/>
      <c r="I1120" s="9"/>
      <c r="J1120" s="9"/>
      <c r="K1120" s="9"/>
      <c r="L1120" s="9"/>
      <c r="M1120" s="9"/>
      <c r="N1120" s="9"/>
      <c r="O1120" s="9"/>
      <c r="P1120" s="9"/>
      <c r="Q1120" s="9"/>
      <c r="R1120" s="9"/>
      <c r="S1120" s="9"/>
      <c r="T1120" s="9"/>
      <c r="U1120" s="9"/>
      <c r="V1120" s="9"/>
      <c r="W1120" s="9"/>
      <c r="X1120" s="9"/>
      <c r="Y1120" s="9"/>
      <c r="Z1120" s="9"/>
      <c r="AA1120" s="9"/>
      <c r="AB1120" s="12"/>
      <c r="AC1120" s="12"/>
      <c r="AD1120" s="12"/>
      <c r="AE1120" s="12"/>
      <c r="AF1120" s="12"/>
      <c r="AG1120" s="12"/>
      <c r="AH1120" s="12"/>
      <c r="AI1120" s="12"/>
      <c r="AJ1120" s="46">
        <v>1692255</v>
      </c>
      <c r="AK1120" s="46">
        <v>1695255</v>
      </c>
      <c r="AL1120" s="685">
        <v>1712168</v>
      </c>
      <c r="AM1120" s="46">
        <v>1712167</v>
      </c>
      <c r="AN1120" s="987">
        <v>1946999</v>
      </c>
      <c r="AO1120" s="987">
        <v>1847001</v>
      </c>
      <c r="AP1120" s="987">
        <v>1873602</v>
      </c>
      <c r="AQ1120" s="987">
        <v>1873602</v>
      </c>
      <c r="AR1120" s="1044"/>
      <c r="AS1120" s="1044"/>
    </row>
    <row r="1121" spans="2:45" ht="12.75" hidden="1" customHeight="1" outlineLevel="1">
      <c r="C1121" s="816" t="s">
        <v>16</v>
      </c>
      <c r="D1121" s="9"/>
      <c r="E1121" s="9" t="s">
        <v>189</v>
      </c>
      <c r="F1121" s="9"/>
      <c r="G1121" s="9"/>
      <c r="H1121" s="9"/>
      <c r="I1121" s="9"/>
      <c r="J1121" s="9"/>
      <c r="K1121" s="9"/>
      <c r="L1121" s="9"/>
      <c r="M1121" s="9"/>
      <c r="N1121" s="9"/>
      <c r="O1121" s="9"/>
      <c r="P1121" s="9"/>
      <c r="Q1121" s="9"/>
      <c r="R1121" s="9"/>
      <c r="S1121" s="9"/>
      <c r="T1121" s="9"/>
      <c r="U1121" s="9"/>
      <c r="V1121" s="9"/>
      <c r="W1121" s="9"/>
      <c r="X1121" s="9"/>
      <c r="Y1121" s="9"/>
      <c r="Z1121" s="9"/>
      <c r="AA1121" s="9"/>
      <c r="AB1121" s="12">
        <v>2182343</v>
      </c>
      <c r="AC1121" s="12">
        <v>2182343</v>
      </c>
      <c r="AD1121" s="12">
        <v>2255452</v>
      </c>
      <c r="AE1121" s="12">
        <v>2255452</v>
      </c>
      <c r="AF1121" s="12">
        <v>2255452</v>
      </c>
      <c r="AG1121" s="12">
        <v>2255452</v>
      </c>
      <c r="AH1121" s="12">
        <v>1755091</v>
      </c>
      <c r="AI1121" s="12">
        <v>1755091</v>
      </c>
      <c r="AJ1121" s="46">
        <v>1989978</v>
      </c>
      <c r="AK1121" s="46">
        <v>1996978</v>
      </c>
      <c r="AL1121" s="46">
        <v>2220116</v>
      </c>
      <c r="AM1121" s="46">
        <v>2220115</v>
      </c>
      <c r="AN1121" s="987">
        <v>2381977</v>
      </c>
      <c r="AO1121" s="987">
        <v>2382023</v>
      </c>
      <c r="AP1121" s="987">
        <v>2591815</v>
      </c>
      <c r="AQ1121" s="987">
        <v>2591815</v>
      </c>
      <c r="AR1121" s="1044"/>
      <c r="AS1121" s="1044"/>
    </row>
    <row r="1122" spans="2:45" ht="12.75" hidden="1" customHeight="1" outlineLevel="1">
      <c r="C1122" s="816" t="s">
        <v>16</v>
      </c>
      <c r="D1122" s="9"/>
      <c r="E1122" s="9" t="s">
        <v>190</v>
      </c>
      <c r="F1122" s="9"/>
      <c r="G1122" s="9"/>
      <c r="H1122" s="9"/>
      <c r="I1122" s="9"/>
      <c r="J1122" s="9"/>
      <c r="K1122" s="9"/>
      <c r="L1122" s="9"/>
      <c r="M1122" s="9"/>
      <c r="N1122" s="9"/>
      <c r="O1122" s="9"/>
      <c r="P1122" s="9"/>
      <c r="Q1122" s="9"/>
      <c r="R1122" s="9"/>
      <c r="S1122" s="9"/>
      <c r="T1122" s="9"/>
      <c r="U1122" s="9"/>
      <c r="V1122" s="9"/>
      <c r="W1122" s="9"/>
      <c r="X1122" s="9"/>
      <c r="Y1122" s="9"/>
      <c r="Z1122" s="9"/>
      <c r="AA1122" s="9"/>
      <c r="AB1122" s="12"/>
      <c r="AC1122" s="12"/>
      <c r="AD1122" s="12"/>
      <c r="AE1122" s="12"/>
      <c r="AF1122" s="12"/>
      <c r="AG1122" s="12"/>
      <c r="AH1122" s="12"/>
      <c r="AI1122" s="12"/>
      <c r="AJ1122" s="46">
        <v>0</v>
      </c>
      <c r="AK1122" s="46">
        <v>0</v>
      </c>
      <c r="AL1122" s="46"/>
      <c r="AM1122" s="46"/>
      <c r="AN1122" s="987">
        <v>262041</v>
      </c>
      <c r="AO1122" s="987">
        <v>262041</v>
      </c>
      <c r="AP1122" s="987">
        <v>282636</v>
      </c>
      <c r="AQ1122" s="987">
        <v>282636</v>
      </c>
      <c r="AR1122" s="1044"/>
      <c r="AS1122" s="1044"/>
    </row>
    <row r="1123" spans="2:45" s="915" customFormat="1" ht="12.75" hidden="1" customHeight="1" outlineLevel="1">
      <c r="B1123" s="916"/>
      <c r="C1123" s="917" t="s">
        <v>16</v>
      </c>
      <c r="D1123" s="918"/>
      <c r="E1123" s="930" t="s">
        <v>1862</v>
      </c>
      <c r="F1123" s="918"/>
      <c r="G1123" s="918"/>
      <c r="H1123" s="918"/>
      <c r="I1123" s="918"/>
      <c r="J1123" s="918"/>
      <c r="K1123" s="918"/>
      <c r="L1123" s="918"/>
      <c r="M1123" s="918"/>
      <c r="N1123" s="918"/>
      <c r="O1123" s="918"/>
      <c r="P1123" s="918"/>
      <c r="Q1123" s="918"/>
      <c r="R1123" s="918"/>
      <c r="S1123" s="918"/>
      <c r="T1123" s="918"/>
      <c r="U1123" s="918"/>
      <c r="V1123" s="918"/>
      <c r="W1123" s="918"/>
      <c r="X1123" s="918"/>
      <c r="Y1123" s="918"/>
      <c r="Z1123" s="918"/>
      <c r="AA1123" s="918"/>
      <c r="AB1123" s="919"/>
      <c r="AC1123" s="919"/>
      <c r="AD1123" s="919"/>
      <c r="AE1123" s="919"/>
      <c r="AF1123" s="919"/>
      <c r="AG1123" s="919"/>
      <c r="AH1123" s="919"/>
      <c r="AI1123" s="919"/>
      <c r="AJ1123" s="923"/>
      <c r="AK1123" s="923"/>
      <c r="AL1123" s="923"/>
      <c r="AM1123" s="923"/>
      <c r="AN1123" s="987">
        <v>250000</v>
      </c>
      <c r="AO1123" s="987">
        <v>250000</v>
      </c>
      <c r="AP1123" s="987">
        <v>250000</v>
      </c>
      <c r="AQ1123" s="987">
        <v>250000</v>
      </c>
      <c r="AR1123" s="1044"/>
      <c r="AS1123" s="1044"/>
    </row>
    <row r="1124" spans="2:45" s="915" customFormat="1" ht="12.75" hidden="1" customHeight="1" outlineLevel="1">
      <c r="B1124" s="916"/>
      <c r="C1124" s="917" t="s">
        <v>16</v>
      </c>
      <c r="D1124" s="918"/>
      <c r="E1124" s="930" t="s">
        <v>1863</v>
      </c>
      <c r="F1124" s="918"/>
      <c r="G1124" s="918"/>
      <c r="H1124" s="918"/>
      <c r="I1124" s="918"/>
      <c r="J1124" s="918"/>
      <c r="K1124" s="918"/>
      <c r="L1124" s="918"/>
      <c r="M1124" s="918"/>
      <c r="N1124" s="918"/>
      <c r="O1124" s="918"/>
      <c r="P1124" s="918"/>
      <c r="Q1124" s="918"/>
      <c r="R1124" s="918"/>
      <c r="S1124" s="918"/>
      <c r="T1124" s="918"/>
      <c r="U1124" s="918"/>
      <c r="V1124" s="918"/>
      <c r="W1124" s="918"/>
      <c r="X1124" s="918"/>
      <c r="Y1124" s="918"/>
      <c r="Z1124" s="918"/>
      <c r="AA1124" s="918"/>
      <c r="AB1124" s="919"/>
      <c r="AC1124" s="919"/>
      <c r="AD1124" s="919"/>
      <c r="AE1124" s="919"/>
      <c r="AF1124" s="919"/>
      <c r="AG1124" s="919"/>
      <c r="AH1124" s="919"/>
      <c r="AI1124" s="919"/>
      <c r="AJ1124" s="923"/>
      <c r="AK1124" s="923"/>
      <c r="AL1124" s="923"/>
      <c r="AM1124" s="923"/>
      <c r="AN1124" s="987">
        <v>262977</v>
      </c>
      <c r="AO1124" s="987">
        <v>112977</v>
      </c>
      <c r="AP1124" s="987">
        <v>115397</v>
      </c>
      <c r="AQ1124" s="987">
        <v>115397</v>
      </c>
      <c r="AR1124" s="1044"/>
      <c r="AS1124" s="1044"/>
    </row>
    <row r="1125" spans="2:45" ht="12.75" hidden="1" customHeight="1" outlineLevel="1">
      <c r="C1125" s="816" t="s">
        <v>16</v>
      </c>
      <c r="D1125" s="9"/>
      <c r="E1125" s="35" t="s">
        <v>191</v>
      </c>
      <c r="F1125" s="35"/>
      <c r="G1125" s="35"/>
      <c r="H1125" s="35"/>
      <c r="I1125" s="35"/>
      <c r="J1125" s="35"/>
      <c r="K1125" s="35"/>
      <c r="L1125" s="35"/>
      <c r="M1125" s="35"/>
      <c r="N1125" s="35"/>
      <c r="O1125" s="35"/>
      <c r="P1125" s="35"/>
      <c r="Q1125" s="35"/>
      <c r="R1125" s="35"/>
      <c r="S1125" s="35"/>
      <c r="T1125" s="35"/>
      <c r="U1125" s="35"/>
      <c r="V1125" s="35"/>
      <c r="W1125" s="35"/>
      <c r="X1125" s="35"/>
      <c r="Y1125" s="35"/>
      <c r="Z1125" s="35"/>
      <c r="AA1125" s="35"/>
      <c r="AB1125" s="34">
        <v>7224800</v>
      </c>
      <c r="AC1125" s="34">
        <v>7224800</v>
      </c>
      <c r="AD1125" s="34">
        <v>19553638</v>
      </c>
      <c r="AE1125" s="34">
        <v>18375637</v>
      </c>
      <c r="AF1125" s="34">
        <v>21760544</v>
      </c>
      <c r="AG1125" s="34">
        <v>17279908</v>
      </c>
      <c r="AH1125" s="34">
        <f>7180700</f>
        <v>7180700</v>
      </c>
      <c r="AI1125" s="34">
        <v>7180701</v>
      </c>
      <c r="AJ1125" s="47">
        <v>6471055</v>
      </c>
      <c r="AK1125" s="47">
        <v>6481055</v>
      </c>
      <c r="AL1125" s="47">
        <f>SUM(AL1114:AL1122)</f>
        <v>6763242</v>
      </c>
      <c r="AM1125" s="47">
        <f>SUM(AM1114:AM1122)</f>
        <v>6763239</v>
      </c>
      <c r="AN1125" s="988">
        <f>SUM(AN1114:AN1124)</f>
        <v>7757766</v>
      </c>
      <c r="AO1125" s="988">
        <f>SUM(AO1114:AO1124)</f>
        <v>7507814</v>
      </c>
      <c r="AP1125" s="988">
        <f>SUM(AP1114:AP1124)</f>
        <v>7196194</v>
      </c>
      <c r="AQ1125" s="988">
        <f>SUM(AQ1114:AQ1124)</f>
        <v>7196194</v>
      </c>
      <c r="AR1125" s="1044"/>
      <c r="AS1125" s="1044"/>
    </row>
    <row r="1126" spans="2:45" ht="12.75" hidden="1" customHeight="1" outlineLevel="1">
      <c r="C1126" s="816" t="s">
        <v>16</v>
      </c>
      <c r="D1126" s="9"/>
      <c r="E1126" s="27" t="s">
        <v>192</v>
      </c>
      <c r="F1126" s="27"/>
      <c r="G1126" s="27"/>
      <c r="H1126" s="27"/>
      <c r="I1126" s="27"/>
      <c r="J1126" s="27"/>
      <c r="K1126" s="27"/>
      <c r="L1126" s="27"/>
      <c r="M1126" s="27"/>
      <c r="N1126" s="27"/>
      <c r="O1126" s="27"/>
      <c r="P1126" s="27"/>
      <c r="Q1126" s="27"/>
      <c r="R1126" s="27"/>
      <c r="S1126" s="27"/>
      <c r="T1126" s="27"/>
      <c r="U1126" s="27"/>
      <c r="V1126" s="27"/>
      <c r="W1126" s="27"/>
      <c r="X1126" s="27"/>
      <c r="Y1126" s="27"/>
      <c r="Z1126" s="27"/>
      <c r="AA1126" s="27"/>
      <c r="AB1126" s="12"/>
      <c r="AC1126" s="12"/>
      <c r="AD1126" s="12"/>
      <c r="AE1126" s="12"/>
      <c r="AF1126" s="12"/>
      <c r="AG1126" s="12"/>
      <c r="AH1126" s="12"/>
      <c r="AI1126" s="12"/>
      <c r="AJ1126" s="12">
        <v>0</v>
      </c>
      <c r="AK1126" s="12">
        <v>0</v>
      </c>
      <c r="AL1126" s="12"/>
      <c r="AM1126" s="12"/>
      <c r="AN1126" s="982"/>
      <c r="AO1126" s="982"/>
      <c r="AP1126" s="1070"/>
      <c r="AQ1126" s="1070"/>
      <c r="AR1126" s="1044"/>
      <c r="AS1126" s="1044"/>
    </row>
    <row r="1127" spans="2:45" ht="12.75" hidden="1" customHeight="1" outlineLevel="1">
      <c r="C1127" s="816" t="s">
        <v>16</v>
      </c>
      <c r="D1127" s="9"/>
      <c r="E1127" s="9" t="s">
        <v>193</v>
      </c>
      <c r="F1127" s="9"/>
      <c r="G1127" s="9"/>
      <c r="H1127" s="9"/>
      <c r="I1127" s="9"/>
      <c r="J1127" s="9"/>
      <c r="K1127" s="9"/>
      <c r="L1127" s="9"/>
      <c r="M1127" s="9"/>
      <c r="N1127" s="9"/>
      <c r="O1127" s="9"/>
      <c r="P1127" s="9"/>
      <c r="Q1127" s="9"/>
      <c r="R1127" s="9"/>
      <c r="S1127" s="9"/>
      <c r="T1127" s="9"/>
      <c r="U1127" s="9"/>
      <c r="V1127" s="9"/>
      <c r="W1127" s="9"/>
      <c r="X1127" s="9"/>
      <c r="Y1127" s="9"/>
      <c r="Z1127" s="9"/>
      <c r="AA1127" s="9"/>
      <c r="AB1127" s="12">
        <v>370000</v>
      </c>
      <c r="AC1127" s="12">
        <v>370000</v>
      </c>
      <c r="AD1127" s="12">
        <v>4800</v>
      </c>
      <c r="AE1127" s="12">
        <v>4800</v>
      </c>
      <c r="AF1127" s="12"/>
      <c r="AG1127" s="12"/>
      <c r="AH1127" s="12"/>
      <c r="AI1127" s="12"/>
      <c r="AJ1127" s="12">
        <v>0</v>
      </c>
      <c r="AK1127" s="12">
        <v>0</v>
      </c>
      <c r="AL1127" s="12"/>
      <c r="AM1127" s="12"/>
      <c r="AN1127" s="982"/>
      <c r="AO1127" s="982"/>
      <c r="AP1127" s="1070"/>
      <c r="AQ1127" s="1070"/>
      <c r="AR1127" s="1044"/>
      <c r="AS1127" s="1044"/>
    </row>
    <row r="1128" spans="2:45" ht="12.75" hidden="1" customHeight="1" outlineLevel="1">
      <c r="C1128" s="816" t="s">
        <v>16</v>
      </c>
      <c r="D1128" s="9"/>
      <c r="E1128" s="9" t="s">
        <v>194</v>
      </c>
      <c r="F1128" s="9"/>
      <c r="G1128" s="9"/>
      <c r="H1128" s="9"/>
      <c r="I1128" s="9"/>
      <c r="J1128" s="9"/>
      <c r="K1128" s="9"/>
      <c r="L1128" s="9"/>
      <c r="M1128" s="9"/>
      <c r="N1128" s="9"/>
      <c r="O1128" s="9"/>
      <c r="P1128" s="9"/>
      <c r="Q1128" s="9"/>
      <c r="R1128" s="9"/>
      <c r="S1128" s="9"/>
      <c r="T1128" s="9"/>
      <c r="U1128" s="9"/>
      <c r="V1128" s="9"/>
      <c r="W1128" s="9"/>
      <c r="X1128" s="9"/>
      <c r="Y1128" s="9"/>
      <c r="Z1128" s="9"/>
      <c r="AA1128" s="9"/>
      <c r="AB1128" s="12"/>
      <c r="AC1128" s="12"/>
      <c r="AD1128" s="12"/>
      <c r="AE1128" s="12"/>
      <c r="AF1128" s="12"/>
      <c r="AG1128" s="12"/>
      <c r="AH1128" s="12"/>
      <c r="AI1128" s="12"/>
      <c r="AJ1128" s="12">
        <v>0</v>
      </c>
      <c r="AK1128" s="12">
        <v>0</v>
      </c>
      <c r="AL1128" s="12"/>
      <c r="AM1128" s="12"/>
      <c r="AN1128" s="982"/>
      <c r="AO1128" s="982"/>
      <c r="AP1128" s="1070"/>
      <c r="AQ1128" s="1070"/>
      <c r="AR1128" s="1044"/>
      <c r="AS1128" s="1044"/>
    </row>
    <row r="1129" spans="2:45" ht="12.75" hidden="1" customHeight="1" outlineLevel="1">
      <c r="C1129" s="816" t="s">
        <v>16</v>
      </c>
      <c r="D1129" s="9"/>
      <c r="E1129" s="9" t="s">
        <v>195</v>
      </c>
      <c r="F1129" s="9"/>
      <c r="G1129" s="9"/>
      <c r="H1129" s="9"/>
      <c r="I1129" s="9"/>
      <c r="J1129" s="9"/>
      <c r="K1129" s="9"/>
      <c r="L1129" s="9"/>
      <c r="M1129" s="9"/>
      <c r="N1129" s="9"/>
      <c r="O1129" s="9"/>
      <c r="P1129" s="9"/>
      <c r="Q1129" s="9"/>
      <c r="R1129" s="9"/>
      <c r="S1129" s="9"/>
      <c r="T1129" s="9"/>
      <c r="U1129" s="9"/>
      <c r="V1129" s="9"/>
      <c r="W1129" s="9"/>
      <c r="X1129" s="9"/>
      <c r="Y1129" s="9"/>
      <c r="Z1129" s="9"/>
      <c r="AA1129" s="9"/>
      <c r="AB1129" s="12"/>
      <c r="AC1129" s="12"/>
      <c r="AD1129" s="12"/>
      <c r="AE1129" s="12"/>
      <c r="AF1129" s="12"/>
      <c r="AG1129" s="12"/>
      <c r="AH1129" s="12"/>
      <c r="AI1129" s="12"/>
      <c r="AJ1129" s="12">
        <v>0</v>
      </c>
      <c r="AK1129" s="12">
        <v>0</v>
      </c>
      <c r="AL1129" s="12"/>
      <c r="AM1129" s="12"/>
      <c r="AN1129" s="982"/>
      <c r="AO1129" s="982"/>
      <c r="AP1129" s="1070"/>
      <c r="AQ1129" s="1070"/>
      <c r="AR1129" s="1044"/>
      <c r="AS1129" s="1044"/>
    </row>
    <row r="1130" spans="2:45" ht="12.75" hidden="1" customHeight="1" outlineLevel="1">
      <c r="C1130" s="816" t="s">
        <v>16</v>
      </c>
      <c r="D1130" s="9"/>
      <c r="E1130" s="9" t="s">
        <v>196</v>
      </c>
      <c r="F1130" s="9"/>
      <c r="G1130" s="9"/>
      <c r="H1130" s="9"/>
      <c r="I1130" s="9"/>
      <c r="J1130" s="9"/>
      <c r="K1130" s="9"/>
      <c r="L1130" s="9"/>
      <c r="M1130" s="9"/>
      <c r="N1130" s="9"/>
      <c r="O1130" s="9"/>
      <c r="P1130" s="9"/>
      <c r="Q1130" s="9"/>
      <c r="R1130" s="9"/>
      <c r="S1130" s="9"/>
      <c r="T1130" s="9"/>
      <c r="U1130" s="9"/>
      <c r="V1130" s="9"/>
      <c r="W1130" s="9"/>
      <c r="X1130" s="9"/>
      <c r="Y1130" s="9"/>
      <c r="Z1130" s="9"/>
      <c r="AA1130" s="9"/>
      <c r="AB1130" s="12"/>
      <c r="AC1130" s="12"/>
      <c r="AD1130" s="12"/>
      <c r="AE1130" s="12"/>
      <c r="AF1130" s="12"/>
      <c r="AG1130" s="12"/>
      <c r="AH1130" s="12"/>
      <c r="AI1130" s="12"/>
      <c r="AJ1130" s="12">
        <v>0</v>
      </c>
      <c r="AK1130" s="12">
        <v>0</v>
      </c>
      <c r="AL1130" s="12"/>
      <c r="AM1130" s="12"/>
      <c r="AN1130" s="982"/>
      <c r="AO1130" s="982"/>
      <c r="AP1130" s="1070"/>
      <c r="AQ1130" s="1070"/>
      <c r="AR1130" s="1044"/>
      <c r="AS1130" s="1044"/>
    </row>
    <row r="1131" spans="2:45" ht="12.75" hidden="1" customHeight="1" outlineLevel="1">
      <c r="C1131" s="816" t="s">
        <v>16</v>
      </c>
      <c r="D1131" s="9"/>
      <c r="E1131" s="9" t="s">
        <v>197</v>
      </c>
      <c r="F1131" s="9"/>
      <c r="G1131" s="9"/>
      <c r="H1131" s="9"/>
      <c r="I1131" s="9"/>
      <c r="J1131" s="9"/>
      <c r="K1131" s="9"/>
      <c r="L1131" s="9"/>
      <c r="M1131" s="9"/>
      <c r="N1131" s="9"/>
      <c r="O1131" s="9"/>
      <c r="P1131" s="9"/>
      <c r="Q1131" s="9"/>
      <c r="R1131" s="9"/>
      <c r="S1131" s="9"/>
      <c r="T1131" s="9"/>
      <c r="U1131" s="9"/>
      <c r="V1131" s="9"/>
      <c r="W1131" s="9"/>
      <c r="X1131" s="9"/>
      <c r="Y1131" s="9"/>
      <c r="Z1131" s="9"/>
      <c r="AA1131" s="9"/>
      <c r="AB1131" s="12"/>
      <c r="AC1131" s="12"/>
      <c r="AD1131" s="12"/>
      <c r="AE1131" s="12"/>
      <c r="AF1131" s="12"/>
      <c r="AG1131" s="12"/>
      <c r="AH1131" s="12"/>
      <c r="AI1131" s="12"/>
      <c r="AJ1131" s="12">
        <v>0</v>
      </c>
      <c r="AK1131" s="12">
        <v>0</v>
      </c>
      <c r="AL1131" s="12">
        <v>500000</v>
      </c>
      <c r="AM1131" s="12">
        <v>1000000</v>
      </c>
      <c r="AN1131" s="982">
        <v>500000</v>
      </c>
      <c r="AO1131" s="1070">
        <v>500000</v>
      </c>
      <c r="AP1131" s="1070">
        <v>500000</v>
      </c>
      <c r="AQ1131" s="1070">
        <v>500000</v>
      </c>
      <c r="AR1131" s="1044"/>
      <c r="AS1131" s="1044"/>
    </row>
    <row r="1132" spans="2:45" ht="12.75" hidden="1" customHeight="1" outlineLevel="1">
      <c r="C1132" s="816" t="s">
        <v>16</v>
      </c>
      <c r="D1132" s="9"/>
      <c r="E1132" s="9" t="s">
        <v>198</v>
      </c>
      <c r="F1132" s="9"/>
      <c r="G1132" s="9"/>
      <c r="H1132" s="9"/>
      <c r="I1132" s="9"/>
      <c r="J1132" s="9"/>
      <c r="K1132" s="9"/>
      <c r="L1132" s="9"/>
      <c r="M1132" s="9"/>
      <c r="N1132" s="9"/>
      <c r="O1132" s="9"/>
      <c r="P1132" s="9"/>
      <c r="Q1132" s="9"/>
      <c r="R1132" s="9"/>
      <c r="S1132" s="9"/>
      <c r="T1132" s="9"/>
      <c r="U1132" s="9"/>
      <c r="V1132" s="9"/>
      <c r="W1132" s="9"/>
      <c r="X1132" s="9"/>
      <c r="Y1132" s="9"/>
      <c r="Z1132" s="9"/>
      <c r="AA1132" s="9"/>
      <c r="AB1132" s="12">
        <v>4521443</v>
      </c>
      <c r="AC1132" s="12">
        <v>4521443</v>
      </c>
      <c r="AD1132" s="12">
        <v>4521443</v>
      </c>
      <c r="AE1132" s="12">
        <v>4521443</v>
      </c>
      <c r="AF1132" s="12">
        <v>5771443</v>
      </c>
      <c r="AG1132" s="12">
        <v>5771443</v>
      </c>
      <c r="AH1132" s="12">
        <v>500000</v>
      </c>
      <c r="AI1132" s="12">
        <v>500000</v>
      </c>
      <c r="AJ1132" s="12">
        <v>2212500</v>
      </c>
      <c r="AK1132" s="12">
        <v>2212500</v>
      </c>
      <c r="AL1132" s="12">
        <v>3500000</v>
      </c>
      <c r="AM1132" s="12">
        <v>3500000</v>
      </c>
      <c r="AN1132" s="982"/>
      <c r="AO1132" s="982"/>
      <c r="AP1132" s="1070"/>
      <c r="AQ1132" s="1070"/>
      <c r="AR1132" s="1044"/>
      <c r="AS1132" s="1044"/>
    </row>
    <row r="1133" spans="2:45" ht="12.75" hidden="1" customHeight="1" outlineLevel="1">
      <c r="C1133" s="816" t="s">
        <v>16</v>
      </c>
      <c r="D1133" s="9"/>
      <c r="E1133" s="9" t="s">
        <v>199</v>
      </c>
      <c r="F1133" s="9"/>
      <c r="G1133" s="9"/>
      <c r="H1133" s="9"/>
      <c r="I1133" s="9"/>
      <c r="J1133" s="9"/>
      <c r="K1133" s="9"/>
      <c r="L1133" s="9"/>
      <c r="M1133" s="9"/>
      <c r="N1133" s="9"/>
      <c r="O1133" s="9"/>
      <c r="P1133" s="9"/>
      <c r="Q1133" s="9"/>
      <c r="R1133" s="9"/>
      <c r="S1133" s="9"/>
      <c r="T1133" s="9"/>
      <c r="U1133" s="9"/>
      <c r="V1133" s="9"/>
      <c r="W1133" s="9"/>
      <c r="X1133" s="9"/>
      <c r="Y1133" s="9"/>
      <c r="Z1133" s="9"/>
      <c r="AA1133" s="9"/>
      <c r="AB1133" s="12">
        <v>197813</v>
      </c>
      <c r="AC1133" s="12">
        <v>197813</v>
      </c>
      <c r="AD1133" s="12">
        <v>197813</v>
      </c>
      <c r="AE1133" s="12">
        <v>197813</v>
      </c>
      <c r="AF1133" s="12">
        <v>197813</v>
      </c>
      <c r="AG1133" s="12">
        <v>197813</v>
      </c>
      <c r="AH1133" s="12">
        <v>187813</v>
      </c>
      <c r="AI1133" s="12">
        <v>187813</v>
      </c>
      <c r="AJ1133" s="12">
        <v>187813</v>
      </c>
      <c r="AK1133" s="12">
        <v>187813</v>
      </c>
      <c r="AL1133" s="12">
        <v>187813</v>
      </c>
      <c r="AM1133" s="12">
        <v>187813</v>
      </c>
      <c r="AN1133" s="982"/>
      <c r="AO1133" s="982"/>
      <c r="AP1133" s="1070"/>
      <c r="AQ1133" s="1070"/>
      <c r="AR1133" s="1044"/>
      <c r="AS1133" s="1044"/>
    </row>
    <row r="1134" spans="2:45" ht="12.75" hidden="1" customHeight="1" outlineLevel="1">
      <c r="C1134" s="816" t="s">
        <v>16</v>
      </c>
      <c r="D1134" s="9"/>
      <c r="E1134" s="9" t="s">
        <v>200</v>
      </c>
      <c r="F1134" s="9"/>
      <c r="G1134" s="9"/>
      <c r="H1134" s="9"/>
      <c r="I1134" s="9"/>
      <c r="J1134" s="9"/>
      <c r="K1134" s="9"/>
      <c r="L1134" s="9"/>
      <c r="M1134" s="9"/>
      <c r="N1134" s="9"/>
      <c r="O1134" s="9"/>
      <c r="P1134" s="9"/>
      <c r="Q1134" s="9"/>
      <c r="R1134" s="9"/>
      <c r="S1134" s="9"/>
      <c r="T1134" s="9"/>
      <c r="U1134" s="9"/>
      <c r="V1134" s="9"/>
      <c r="W1134" s="9"/>
      <c r="X1134" s="9"/>
      <c r="Y1134" s="9"/>
      <c r="Z1134" s="9"/>
      <c r="AA1134" s="9"/>
      <c r="AB1134" s="12"/>
      <c r="AC1134" s="12"/>
      <c r="AD1134" s="12">
        <v>737434</v>
      </c>
      <c r="AE1134" s="12">
        <v>200000</v>
      </c>
      <c r="AF1134" s="12">
        <v>629548</v>
      </c>
      <c r="AG1134" s="12">
        <v>150000</v>
      </c>
      <c r="AH1134" s="12">
        <v>248036</v>
      </c>
      <c r="AI1134" s="12">
        <v>248036</v>
      </c>
      <c r="AJ1134" s="12">
        <v>248036</v>
      </c>
      <c r="AK1134" s="12">
        <v>248036</v>
      </c>
      <c r="AL1134" s="12"/>
      <c r="AM1134" s="12"/>
      <c r="AN1134" s="982"/>
      <c r="AO1134" s="982"/>
      <c r="AP1134" s="1070"/>
      <c r="AQ1134" s="1070"/>
      <c r="AR1134" s="1044"/>
      <c r="AS1134" s="1044"/>
    </row>
    <row r="1135" spans="2:45" ht="12.75" hidden="1" customHeight="1" outlineLevel="1">
      <c r="C1135" s="816" t="s">
        <v>16</v>
      </c>
      <c r="D1135" s="9"/>
      <c r="E1135" s="28" t="s">
        <v>201</v>
      </c>
      <c r="F1135" s="9"/>
      <c r="G1135" s="9"/>
      <c r="H1135" s="9"/>
      <c r="I1135" s="9"/>
      <c r="J1135" s="9"/>
      <c r="K1135" s="9"/>
      <c r="L1135" s="9"/>
      <c r="M1135" s="9"/>
      <c r="N1135" s="9"/>
      <c r="O1135" s="9"/>
      <c r="P1135" s="9"/>
      <c r="Q1135" s="9"/>
      <c r="R1135" s="9"/>
      <c r="S1135" s="9"/>
      <c r="T1135" s="9"/>
      <c r="U1135" s="9"/>
      <c r="V1135" s="9"/>
      <c r="W1135" s="9"/>
      <c r="X1135" s="9"/>
      <c r="Y1135" s="9"/>
      <c r="Z1135" s="9"/>
      <c r="AA1135" s="9"/>
      <c r="AB1135" s="34">
        <v>280954498</v>
      </c>
      <c r="AC1135" s="34">
        <v>280357498</v>
      </c>
      <c r="AD1135" s="34">
        <v>354896546</v>
      </c>
      <c r="AE1135" s="34">
        <v>350775693</v>
      </c>
      <c r="AF1135" s="34">
        <v>464575995</v>
      </c>
      <c r="AG1135" s="34">
        <v>453158268</v>
      </c>
      <c r="AH1135" s="34">
        <f>446451527</f>
        <v>446451527</v>
      </c>
      <c r="AI1135" s="34">
        <v>352460831</v>
      </c>
      <c r="AJ1135" s="47">
        <v>525861525</v>
      </c>
      <c r="AK1135" s="47">
        <v>426835831</v>
      </c>
      <c r="AL1135" s="47">
        <f>SUM(AL1136:AL1141)</f>
        <v>520622824</v>
      </c>
      <c r="AM1135" s="47">
        <f>SUM(AM1136:AM1141)</f>
        <v>518657523</v>
      </c>
      <c r="AN1135" s="988">
        <f>SUM(AN1136:AN1142)</f>
        <v>542908751</v>
      </c>
      <c r="AO1135" s="988">
        <f>SUM(AO1136:AO1142)</f>
        <v>537433608</v>
      </c>
      <c r="AP1135" s="988">
        <f t="shared" ref="AP1135:AQ1135" si="302">SUM(AP1136:AP1142)</f>
        <v>580123673</v>
      </c>
      <c r="AQ1135" s="988">
        <f t="shared" si="302"/>
        <v>579923674</v>
      </c>
      <c r="AR1135" s="1044"/>
      <c r="AS1135" s="1044"/>
    </row>
    <row r="1136" spans="2:45" ht="12.75" hidden="1" customHeight="1" outlineLevel="1">
      <c r="C1136" s="816" t="s">
        <v>16</v>
      </c>
      <c r="D1136" s="9"/>
      <c r="E1136" s="42" t="s">
        <v>202</v>
      </c>
      <c r="F1136" s="42"/>
      <c r="G1136" s="42"/>
      <c r="H1136" s="42"/>
      <c r="I1136" s="42"/>
      <c r="J1136" s="42"/>
      <c r="K1136" s="42"/>
      <c r="L1136" s="42"/>
      <c r="M1136" s="42"/>
      <c r="N1136" s="42"/>
      <c r="O1136" s="42"/>
      <c r="P1136" s="42"/>
      <c r="Q1136" s="42"/>
      <c r="R1136" s="42"/>
      <c r="S1136" s="42"/>
      <c r="T1136" s="42"/>
      <c r="U1136" s="42"/>
      <c r="V1136" s="42"/>
      <c r="W1136" s="42"/>
      <c r="X1136" s="42"/>
      <c r="Y1136" s="42"/>
      <c r="Z1136" s="42"/>
      <c r="AA1136" s="42"/>
      <c r="AB1136" s="12">
        <v>5000000</v>
      </c>
      <c r="AC1136" s="12">
        <v>5000000</v>
      </c>
      <c r="AD1136" s="12">
        <v>7500000</v>
      </c>
      <c r="AE1136" s="12">
        <v>7500000</v>
      </c>
      <c r="AF1136" s="12">
        <v>7501000</v>
      </c>
      <c r="AG1136" s="12">
        <v>7500000</v>
      </c>
      <c r="AH1136" s="12">
        <v>7529639</v>
      </c>
      <c r="AI1136" s="12">
        <v>7529639</v>
      </c>
      <c r="AJ1136" s="48">
        <v>9404639</v>
      </c>
      <c r="AK1136" s="48">
        <v>9404639</v>
      </c>
      <c r="AL1136" s="48">
        <v>9404639</v>
      </c>
      <c r="AM1136" s="48">
        <v>9404639</v>
      </c>
      <c r="AN1136" s="989">
        <v>9404639</v>
      </c>
      <c r="AO1136" s="989">
        <v>9404639</v>
      </c>
      <c r="AP1136" s="989">
        <v>9404639</v>
      </c>
      <c r="AQ1136" s="989">
        <v>9404639</v>
      </c>
      <c r="AR1136" s="1044"/>
      <c r="AS1136" s="1044"/>
    </row>
    <row r="1137" spans="2:45" ht="12.75" hidden="1" customHeight="1" outlineLevel="1">
      <c r="C1137" s="816" t="s">
        <v>16</v>
      </c>
      <c r="D1137" s="9"/>
      <c r="E1137" s="939" t="s">
        <v>1872</v>
      </c>
      <c r="F1137" s="42"/>
      <c r="G1137" s="42"/>
      <c r="H1137" s="42"/>
      <c r="I1137" s="42"/>
      <c r="J1137" s="42"/>
      <c r="K1137" s="42"/>
      <c r="L1137" s="42"/>
      <c r="M1137" s="42"/>
      <c r="N1137" s="42"/>
      <c r="O1137" s="42"/>
      <c r="P1137" s="42"/>
      <c r="Q1137" s="42"/>
      <c r="R1137" s="42"/>
      <c r="S1137" s="42"/>
      <c r="T1137" s="42"/>
      <c r="U1137" s="42"/>
      <c r="V1137" s="42"/>
      <c r="W1137" s="42"/>
      <c r="X1137" s="42"/>
      <c r="Y1137" s="42"/>
      <c r="Z1137" s="42"/>
      <c r="AA1137" s="42"/>
      <c r="AB1137" s="12">
        <v>4500000</v>
      </c>
      <c r="AC1137" s="12">
        <v>4500000</v>
      </c>
      <c r="AD1137" s="12">
        <v>7000000</v>
      </c>
      <c r="AE1137" s="12">
        <v>7000000</v>
      </c>
      <c r="AF1137" s="12">
        <v>11951000</v>
      </c>
      <c r="AG1137" s="12">
        <v>12050000</v>
      </c>
      <c r="AH1137" s="12">
        <v>12030800</v>
      </c>
      <c r="AI1137" s="12">
        <v>12030800</v>
      </c>
      <c r="AJ1137" s="48">
        <v>13905800</v>
      </c>
      <c r="AK1137" s="48">
        <v>13905800</v>
      </c>
      <c r="AL1137" s="48">
        <f>43236459+3759692</f>
        <v>46996151</v>
      </c>
      <c r="AM1137" s="48">
        <f>43236458+3759692</f>
        <v>46996150</v>
      </c>
      <c r="AN1137" s="989">
        <v>44236459</v>
      </c>
      <c r="AO1137" s="989">
        <v>44236458</v>
      </c>
      <c r="AP1137" s="989">
        <v>44236458</v>
      </c>
      <c r="AQ1137" s="989">
        <v>44236459</v>
      </c>
      <c r="AR1137" s="1044"/>
      <c r="AS1137" s="1044"/>
    </row>
    <row r="1138" spans="2:45" s="926" customFormat="1" ht="12.75" hidden="1" customHeight="1" outlineLevel="1">
      <c r="B1138" s="927"/>
      <c r="C1138" s="935" t="s">
        <v>16</v>
      </c>
      <c r="D1138" s="928"/>
      <c r="E1138" s="939" t="s">
        <v>1864</v>
      </c>
      <c r="F1138" s="931"/>
      <c r="G1138" s="931"/>
      <c r="H1138" s="931"/>
      <c r="I1138" s="931"/>
      <c r="J1138" s="931"/>
      <c r="K1138" s="931"/>
      <c r="L1138" s="931"/>
      <c r="M1138" s="931"/>
      <c r="N1138" s="931"/>
      <c r="O1138" s="931"/>
      <c r="P1138" s="931"/>
      <c r="Q1138" s="931"/>
      <c r="R1138" s="931"/>
      <c r="S1138" s="931"/>
      <c r="T1138" s="931"/>
      <c r="U1138" s="931"/>
      <c r="V1138" s="931"/>
      <c r="W1138" s="931"/>
      <c r="X1138" s="931"/>
      <c r="Y1138" s="931"/>
      <c r="Z1138" s="931"/>
      <c r="AA1138" s="931"/>
      <c r="AB1138" s="929"/>
      <c r="AC1138" s="929"/>
      <c r="AD1138" s="929"/>
      <c r="AE1138" s="929"/>
      <c r="AF1138" s="929"/>
      <c r="AG1138" s="929"/>
      <c r="AH1138" s="929"/>
      <c r="AI1138" s="929"/>
      <c r="AJ1138" s="932"/>
      <c r="AK1138" s="932"/>
      <c r="AL1138" s="932"/>
      <c r="AM1138" s="932"/>
      <c r="AN1138" s="989">
        <v>3759692</v>
      </c>
      <c r="AO1138" s="989">
        <v>3759692</v>
      </c>
      <c r="AP1138" s="989">
        <v>3759692</v>
      </c>
      <c r="AQ1138" s="989">
        <v>3759692</v>
      </c>
      <c r="AR1138" s="1044"/>
      <c r="AS1138" s="1044"/>
    </row>
    <row r="1139" spans="2:45" ht="12.75" hidden="1" customHeight="1" outlineLevel="1">
      <c r="C1139" s="816" t="s">
        <v>16</v>
      </c>
      <c r="D1139" s="9"/>
      <c r="E1139" s="42" t="s">
        <v>204</v>
      </c>
      <c r="F1139" s="42"/>
      <c r="G1139" s="42"/>
      <c r="H1139" s="42"/>
      <c r="I1139" s="42"/>
      <c r="J1139" s="42"/>
      <c r="K1139" s="42"/>
      <c r="L1139" s="42"/>
      <c r="M1139" s="42"/>
      <c r="N1139" s="42"/>
      <c r="O1139" s="42"/>
      <c r="P1139" s="42"/>
      <c r="Q1139" s="42"/>
      <c r="R1139" s="42"/>
      <c r="S1139" s="42"/>
      <c r="T1139" s="42"/>
      <c r="U1139" s="42"/>
      <c r="V1139" s="42"/>
      <c r="W1139" s="42"/>
      <c r="X1139" s="42"/>
      <c r="Y1139" s="42"/>
      <c r="Z1139" s="42"/>
      <c r="AA1139" s="42"/>
      <c r="AB1139" s="12">
        <v>105974655</v>
      </c>
      <c r="AC1139" s="12">
        <v>105974655</v>
      </c>
      <c r="AD1139" s="12">
        <v>105874655</v>
      </c>
      <c r="AE1139" s="12">
        <v>105874655</v>
      </c>
      <c r="AF1139" s="12">
        <v>106074655</v>
      </c>
      <c r="AG1139" s="12">
        <v>105874655</v>
      </c>
      <c r="AH1139" s="12">
        <v>84422827</v>
      </c>
      <c r="AI1139" s="12">
        <v>84422827</v>
      </c>
      <c r="AJ1139" s="48">
        <v>90047827</v>
      </c>
      <c r="AK1139" s="48">
        <v>90047827</v>
      </c>
      <c r="AL1139" s="48">
        <v>96151977</v>
      </c>
      <c r="AM1139" s="48">
        <f>96151977</f>
        <v>96151977</v>
      </c>
      <c r="AN1139" s="989">
        <v>85905147</v>
      </c>
      <c r="AO1139" s="989">
        <v>85905147</v>
      </c>
      <c r="AP1139" s="989">
        <v>89305147</v>
      </c>
      <c r="AQ1139" s="989">
        <v>89305147</v>
      </c>
      <c r="AR1139" s="1044"/>
      <c r="AS1139" s="1044"/>
    </row>
    <row r="1140" spans="2:45" ht="12.75" hidden="1" customHeight="1" outlineLevel="1">
      <c r="C1140" s="816" t="s">
        <v>16</v>
      </c>
      <c r="D1140" s="9"/>
      <c r="E1140" s="598" t="s">
        <v>205</v>
      </c>
      <c r="F1140" s="42"/>
      <c r="G1140" s="42"/>
      <c r="H1140" s="42"/>
      <c r="I1140" s="42"/>
      <c r="J1140" s="42"/>
      <c r="K1140" s="42"/>
      <c r="L1140" s="42"/>
      <c r="M1140" s="42"/>
      <c r="N1140" s="42"/>
      <c r="O1140" s="42"/>
      <c r="P1140" s="42"/>
      <c r="Q1140" s="42"/>
      <c r="R1140" s="42"/>
      <c r="S1140" s="42"/>
      <c r="T1140" s="42"/>
      <c r="U1140" s="42"/>
      <c r="V1140" s="42"/>
      <c r="W1140" s="42"/>
      <c r="X1140" s="42"/>
      <c r="Y1140" s="42"/>
      <c r="Z1140" s="42"/>
      <c r="AA1140" s="42"/>
      <c r="AB1140" s="12">
        <v>165479843</v>
      </c>
      <c r="AC1140" s="12">
        <v>164882843</v>
      </c>
      <c r="AD1140" s="12">
        <v>216021891</v>
      </c>
      <c r="AE1140" s="12">
        <v>211901038</v>
      </c>
      <c r="AF1140" s="12">
        <f>313049338+2</f>
        <v>313049340</v>
      </c>
      <c r="AG1140" s="12">
        <f>301733614-1</f>
        <v>301733613</v>
      </c>
      <c r="AH1140" s="12">
        <f>325164261</f>
        <v>325164261</v>
      </c>
      <c r="AI1140" s="12">
        <v>234373565</v>
      </c>
      <c r="AJ1140" s="48">
        <v>395199259</v>
      </c>
      <c r="AK1140" s="48">
        <v>299413565</v>
      </c>
      <c r="AL1140" s="48">
        <v>357487557</v>
      </c>
      <c r="AM1140" s="48">
        <v>357487557</v>
      </c>
      <c r="AN1140" s="989">
        <v>393224872</v>
      </c>
      <c r="AO1140" s="989">
        <v>393224872</v>
      </c>
      <c r="AP1140" s="989">
        <v>433217737</v>
      </c>
      <c r="AQ1140" s="989">
        <v>433217737</v>
      </c>
      <c r="AR1140" s="1044"/>
      <c r="AS1140" s="1044"/>
    </row>
    <row r="1141" spans="2:45" ht="12.75" hidden="1" customHeight="1" outlineLevel="1">
      <c r="C1141" s="816" t="s">
        <v>16</v>
      </c>
      <c r="D1141" s="944" t="s">
        <v>1572</v>
      </c>
      <c r="E1141" s="947" t="s">
        <v>206</v>
      </c>
      <c r="F1141" s="42"/>
      <c r="G1141" s="42"/>
      <c r="H1141" s="42"/>
      <c r="I1141" s="42"/>
      <c r="J1141" s="42"/>
      <c r="K1141" s="42"/>
      <c r="L1141" s="42"/>
      <c r="M1141" s="42"/>
      <c r="N1141" s="42"/>
      <c r="O1141" s="42"/>
      <c r="P1141" s="42"/>
      <c r="Q1141" s="42"/>
      <c r="R1141" s="42"/>
      <c r="S1141" s="42"/>
      <c r="T1141" s="42"/>
      <c r="U1141" s="42"/>
      <c r="V1141" s="42"/>
      <c r="W1141" s="42"/>
      <c r="X1141" s="42"/>
      <c r="Y1141" s="42"/>
      <c r="Z1141" s="42"/>
      <c r="AA1141" s="42"/>
      <c r="AB1141" s="12">
        <v>0</v>
      </c>
      <c r="AC1141" s="12">
        <v>0</v>
      </c>
      <c r="AD1141" s="12">
        <v>18500000</v>
      </c>
      <c r="AE1141" s="12">
        <v>18500000</v>
      </c>
      <c r="AF1141" s="12">
        <v>26000000</v>
      </c>
      <c r="AG1141" s="12">
        <v>26000000</v>
      </c>
      <c r="AH1141" s="12">
        <v>17304000</v>
      </c>
      <c r="AI1141" s="12">
        <v>14104000</v>
      </c>
      <c r="AJ1141" s="48">
        <v>17304000</v>
      </c>
      <c r="AK1141" s="48">
        <v>14104000</v>
      </c>
      <c r="AL1141" s="48">
        <v>10582500</v>
      </c>
      <c r="AM1141" s="48">
        <v>8617200</v>
      </c>
      <c r="AN1141" s="989">
        <v>0</v>
      </c>
      <c r="AO1141" s="989"/>
      <c r="AP1141" s="989"/>
      <c r="AQ1141" s="989"/>
      <c r="AR1141" s="1044"/>
      <c r="AS1141" s="1044"/>
    </row>
    <row r="1142" spans="2:45" s="933" customFormat="1" ht="12.75" hidden="1" customHeight="1" outlineLevel="1">
      <c r="B1142" s="934"/>
      <c r="C1142" s="942" t="s">
        <v>16</v>
      </c>
      <c r="D1142" s="1051" t="s">
        <v>1572</v>
      </c>
      <c r="E1142" s="949" t="s">
        <v>1865</v>
      </c>
      <c r="F1142" s="937"/>
      <c r="G1142" s="937"/>
      <c r="H1142" s="937"/>
      <c r="I1142" s="937"/>
      <c r="J1142" s="937"/>
      <c r="K1142" s="937"/>
      <c r="L1142" s="937"/>
      <c r="M1142" s="937"/>
      <c r="N1142" s="937"/>
      <c r="O1142" s="937"/>
      <c r="P1142" s="937"/>
      <c r="Q1142" s="937"/>
      <c r="R1142" s="937"/>
      <c r="S1142" s="937"/>
      <c r="T1142" s="937"/>
      <c r="U1142" s="937"/>
      <c r="V1142" s="937"/>
      <c r="W1142" s="937"/>
      <c r="X1142" s="937"/>
      <c r="Y1142" s="937"/>
      <c r="Z1142" s="937"/>
      <c r="AA1142" s="937"/>
      <c r="AB1142" s="936"/>
      <c r="AC1142" s="936"/>
      <c r="AD1142" s="936"/>
      <c r="AE1142" s="936"/>
      <c r="AF1142" s="936"/>
      <c r="AG1142" s="936"/>
      <c r="AH1142" s="936"/>
      <c r="AI1142" s="936"/>
      <c r="AJ1142" s="938"/>
      <c r="AK1142" s="938"/>
      <c r="AL1142" s="938"/>
      <c r="AM1142" s="938"/>
      <c r="AN1142" s="989">
        <v>6377942</v>
      </c>
      <c r="AO1142" s="989">
        <v>902800</v>
      </c>
      <c r="AP1142" s="989">
        <v>200000</v>
      </c>
      <c r="AQ1142" s="989">
        <v>0</v>
      </c>
      <c r="AR1142" s="1044"/>
      <c r="AS1142" s="1044"/>
    </row>
    <row r="1143" spans="2:45" ht="12.75" hidden="1" customHeight="1" outlineLevel="1">
      <c r="C1143" s="816" t="s">
        <v>16</v>
      </c>
      <c r="D1143" s="9"/>
      <c r="E1143" s="9" t="s">
        <v>207</v>
      </c>
      <c r="F1143" s="9"/>
      <c r="G1143" s="9"/>
      <c r="H1143" s="9"/>
      <c r="I1143" s="9"/>
      <c r="J1143" s="9"/>
      <c r="K1143" s="9"/>
      <c r="L1143" s="9"/>
      <c r="M1143" s="9"/>
      <c r="N1143" s="9"/>
      <c r="O1143" s="9"/>
      <c r="P1143" s="9"/>
      <c r="Q1143" s="9"/>
      <c r="R1143" s="9"/>
      <c r="S1143" s="9"/>
      <c r="T1143" s="9"/>
      <c r="U1143" s="9"/>
      <c r="V1143" s="9"/>
      <c r="W1143" s="9"/>
      <c r="X1143" s="9"/>
      <c r="Y1143" s="9"/>
      <c r="Z1143" s="9"/>
      <c r="AA1143" s="9"/>
      <c r="AB1143" s="12">
        <v>436491</v>
      </c>
      <c r="AC1143" s="12">
        <v>436492</v>
      </c>
      <c r="AD1143" s="12">
        <v>436491</v>
      </c>
      <c r="AE1143" s="12">
        <v>436492</v>
      </c>
      <c r="AF1143" s="12">
        <v>657000</v>
      </c>
      <c r="AG1143" s="12">
        <v>650000</v>
      </c>
      <c r="AH1143" s="12">
        <v>0</v>
      </c>
      <c r="AI1143" s="12">
        <v>0</v>
      </c>
      <c r="AJ1143" s="12">
        <v>0</v>
      </c>
      <c r="AK1143" s="12">
        <v>0</v>
      </c>
      <c r="AL1143" s="12"/>
      <c r="AM1143" s="12"/>
      <c r="AN1143" s="982"/>
      <c r="AO1143" s="982"/>
      <c r="AP1143" s="1070"/>
      <c r="AQ1143" s="1070"/>
      <c r="AR1143" s="1044"/>
      <c r="AS1143" s="1044"/>
    </row>
    <row r="1144" spans="2:45" ht="12.75" hidden="1" customHeight="1" outlineLevel="1">
      <c r="C1144" s="816" t="s">
        <v>16</v>
      </c>
      <c r="D1144" s="9"/>
      <c r="E1144" s="9" t="s">
        <v>208</v>
      </c>
      <c r="F1144" s="9"/>
      <c r="G1144" s="9"/>
      <c r="H1144" s="9"/>
      <c r="I1144" s="9"/>
      <c r="J1144" s="9"/>
      <c r="K1144" s="9"/>
      <c r="L1144" s="9"/>
      <c r="M1144" s="9"/>
      <c r="N1144" s="9"/>
      <c r="O1144" s="9"/>
      <c r="P1144" s="9"/>
      <c r="Q1144" s="9"/>
      <c r="R1144" s="9"/>
      <c r="S1144" s="9"/>
      <c r="T1144" s="9"/>
      <c r="U1144" s="9"/>
      <c r="V1144" s="9"/>
      <c r="W1144" s="9"/>
      <c r="X1144" s="9"/>
      <c r="Y1144" s="9"/>
      <c r="Z1144" s="9"/>
      <c r="AA1144" s="9"/>
      <c r="AB1144" s="12"/>
      <c r="AC1144" s="12"/>
      <c r="AD1144" s="12">
        <v>1000000</v>
      </c>
      <c r="AE1144" s="12">
        <v>1000000</v>
      </c>
      <c r="AF1144" s="12">
        <v>1000000</v>
      </c>
      <c r="AG1144" s="12">
        <v>1000000</v>
      </c>
      <c r="AH1144" s="12">
        <v>0</v>
      </c>
      <c r="AI1144" s="12">
        <v>0</v>
      </c>
      <c r="AJ1144" s="46">
        <v>250000</v>
      </c>
      <c r="AK1144" s="46">
        <v>250000</v>
      </c>
      <c r="AL1144" s="46">
        <v>250000</v>
      </c>
      <c r="AM1144" s="46">
        <v>250000</v>
      </c>
      <c r="AN1144" s="987"/>
      <c r="AO1144" s="987"/>
      <c r="AP1144" s="987"/>
      <c r="AQ1144" s="987"/>
      <c r="AR1144" s="1044"/>
      <c r="AS1144" s="1044"/>
    </row>
    <row r="1145" spans="2:45" ht="12.75" hidden="1" customHeight="1" outlineLevel="1">
      <c r="C1145" s="816" t="s">
        <v>16</v>
      </c>
      <c r="D1145" s="9"/>
      <c r="E1145" s="9" t="s">
        <v>209</v>
      </c>
      <c r="F1145" s="9"/>
      <c r="G1145" s="9"/>
      <c r="H1145" s="9"/>
      <c r="I1145" s="9"/>
      <c r="J1145" s="9"/>
      <c r="K1145" s="9"/>
      <c r="L1145" s="9"/>
      <c r="M1145" s="9"/>
      <c r="N1145" s="9"/>
      <c r="O1145" s="9"/>
      <c r="P1145" s="9"/>
      <c r="Q1145" s="9"/>
      <c r="R1145" s="9"/>
      <c r="S1145" s="9"/>
      <c r="T1145" s="9"/>
      <c r="U1145" s="9"/>
      <c r="V1145" s="9"/>
      <c r="W1145" s="9"/>
      <c r="X1145" s="9"/>
      <c r="Y1145" s="9"/>
      <c r="Z1145" s="9"/>
      <c r="AA1145" s="9"/>
      <c r="AB1145" s="12"/>
      <c r="AC1145" s="12"/>
      <c r="AD1145" s="12">
        <v>0</v>
      </c>
      <c r="AE1145" s="12">
        <v>100000000</v>
      </c>
      <c r="AF1145" s="12">
        <f>105000000-25000000-80000000</f>
        <v>0</v>
      </c>
      <c r="AG1145" s="12">
        <f>25000000-25000000</f>
        <v>0</v>
      </c>
      <c r="AH1145" s="12">
        <v>0</v>
      </c>
      <c r="AI1145" s="12">
        <v>0</v>
      </c>
      <c r="AJ1145" s="12">
        <v>0</v>
      </c>
      <c r="AK1145" s="12">
        <v>0</v>
      </c>
      <c r="AL1145" s="12"/>
      <c r="AM1145" s="12"/>
      <c r="AN1145" s="982"/>
      <c r="AO1145" s="982"/>
      <c r="AP1145" s="1070"/>
      <c r="AQ1145" s="1070"/>
      <c r="AR1145" s="1044"/>
      <c r="AS1145" s="1044"/>
    </row>
    <row r="1146" spans="2:45" ht="12.75" hidden="1" customHeight="1" outlineLevel="1">
      <c r="C1146" s="816" t="s">
        <v>16</v>
      </c>
      <c r="D1146" s="9"/>
      <c r="E1146" s="597" t="s">
        <v>210</v>
      </c>
      <c r="F1146" s="9"/>
      <c r="G1146" s="9"/>
      <c r="H1146" s="9"/>
      <c r="I1146" s="9"/>
      <c r="J1146" s="9"/>
      <c r="K1146" s="9"/>
      <c r="L1146" s="9"/>
      <c r="M1146" s="9"/>
      <c r="N1146" s="9"/>
      <c r="O1146" s="9"/>
      <c r="P1146" s="9"/>
      <c r="Q1146" s="9"/>
      <c r="R1146" s="9"/>
      <c r="S1146" s="9"/>
      <c r="T1146" s="9"/>
      <c r="U1146" s="9"/>
      <c r="V1146" s="9"/>
      <c r="W1146" s="9"/>
      <c r="X1146" s="9"/>
      <c r="Y1146" s="9"/>
      <c r="Z1146" s="9"/>
      <c r="AA1146" s="9"/>
      <c r="AB1146" s="12"/>
      <c r="AC1146" s="12"/>
      <c r="AD1146" s="12"/>
      <c r="AE1146" s="12"/>
      <c r="AF1146" s="12">
        <v>25000000</v>
      </c>
      <c r="AG1146" s="12">
        <v>29000000</v>
      </c>
      <c r="AH1146" s="12">
        <v>21862446</v>
      </c>
      <c r="AI1146" s="12">
        <v>17762446</v>
      </c>
      <c r="AJ1146" s="12">
        <v>21862446</v>
      </c>
      <c r="AK1146" s="12">
        <v>17762446</v>
      </c>
      <c r="AL1146" s="12">
        <v>9111524</v>
      </c>
      <c r="AM1146" s="12">
        <v>9111524</v>
      </c>
      <c r="AN1146" s="982">
        <v>3000000</v>
      </c>
      <c r="AO1146" s="982">
        <v>223048</v>
      </c>
      <c r="AP1146" s="1070"/>
      <c r="AQ1146" s="1070"/>
      <c r="AR1146" s="1044"/>
      <c r="AS1146" s="1044"/>
    </row>
    <row r="1147" spans="2:45" ht="12.75" hidden="1" customHeight="1" outlineLevel="1">
      <c r="C1147" s="816" t="s">
        <v>16</v>
      </c>
      <c r="D1147" s="223" t="s">
        <v>1572</v>
      </c>
      <c r="E1147" s="9" t="s">
        <v>211</v>
      </c>
      <c r="F1147" s="9"/>
      <c r="G1147" s="9"/>
      <c r="H1147" s="9"/>
      <c r="I1147" s="9"/>
      <c r="J1147" s="9"/>
      <c r="K1147" s="9"/>
      <c r="L1147" s="9"/>
      <c r="M1147" s="9"/>
      <c r="N1147" s="9"/>
      <c r="O1147" s="9"/>
      <c r="P1147" s="9"/>
      <c r="Q1147" s="9"/>
      <c r="R1147" s="9"/>
      <c r="S1147" s="9"/>
      <c r="T1147" s="9"/>
      <c r="U1147" s="9"/>
      <c r="V1147" s="9"/>
      <c r="W1147" s="9"/>
      <c r="X1147" s="9"/>
      <c r="Y1147" s="9"/>
      <c r="Z1147" s="9"/>
      <c r="AA1147" s="9"/>
      <c r="AB1147" s="12">
        <v>1097399</v>
      </c>
      <c r="AC1147" s="12">
        <v>997398</v>
      </c>
      <c r="AD1147" s="12"/>
      <c r="AE1147" s="12"/>
      <c r="AF1147" s="12">
        <v>1000000</v>
      </c>
      <c r="AG1147" s="12">
        <v>1000000</v>
      </c>
      <c r="AH1147" s="12">
        <v>3560000</v>
      </c>
      <c r="AI1147" s="12">
        <v>3560000</v>
      </c>
      <c r="AJ1147" s="12">
        <v>3560000</v>
      </c>
      <c r="AK1147" s="12">
        <v>3560000</v>
      </c>
      <c r="AL1147" s="12">
        <v>2670000</v>
      </c>
      <c r="AM1147" s="12">
        <v>2670000</v>
      </c>
      <c r="AN1147" s="982">
        <v>1335000</v>
      </c>
      <c r="AO1147" s="982">
        <v>1335000</v>
      </c>
      <c r="AP1147" s="1070">
        <v>3420000</v>
      </c>
      <c r="AQ1147" s="1070">
        <v>3420000</v>
      </c>
      <c r="AR1147" s="1044"/>
      <c r="AS1147" s="1044"/>
    </row>
    <row r="1148" spans="2:45" ht="12.75" hidden="1" customHeight="1" outlineLevel="1">
      <c r="C1148" s="816" t="s">
        <v>16</v>
      </c>
      <c r="D1148" s="9"/>
      <c r="E1148" s="223" t="s">
        <v>1000</v>
      </c>
      <c r="F1148" s="9"/>
      <c r="G1148" s="9"/>
      <c r="H1148" s="9"/>
      <c r="I1148" s="9"/>
      <c r="J1148" s="9"/>
      <c r="K1148" s="9"/>
      <c r="L1148" s="9"/>
      <c r="M1148" s="9"/>
      <c r="N1148" s="9"/>
      <c r="O1148" s="9"/>
      <c r="P1148" s="9"/>
      <c r="Q1148" s="9"/>
      <c r="R1148" s="9"/>
      <c r="S1148" s="9"/>
      <c r="T1148" s="9"/>
      <c r="U1148" s="9"/>
      <c r="V1148" s="9"/>
      <c r="W1148" s="9"/>
      <c r="X1148" s="9"/>
      <c r="Y1148" s="9"/>
      <c r="Z1148" s="9"/>
      <c r="AA1148" s="9"/>
      <c r="AB1148" s="12"/>
      <c r="AC1148" s="12"/>
      <c r="AD1148" s="12"/>
      <c r="AE1148" s="12"/>
      <c r="AF1148" s="12"/>
      <c r="AG1148" s="12"/>
      <c r="AH1148" s="12"/>
      <c r="AI1148" s="12">
        <v>30000000</v>
      </c>
      <c r="AJ1148" s="12">
        <v>0</v>
      </c>
      <c r="AK1148" s="12">
        <v>0</v>
      </c>
      <c r="AL1148" s="12"/>
      <c r="AM1148" s="12"/>
      <c r="AN1148" s="982"/>
      <c r="AO1148" s="982"/>
      <c r="AP1148" s="1070"/>
      <c r="AQ1148" s="1070"/>
      <c r="AR1148" s="1044"/>
      <c r="AS1148" s="1044"/>
    </row>
    <row r="1149" spans="2:45" ht="12.75" hidden="1" customHeight="1" outlineLevel="1">
      <c r="C1149" s="816" t="s">
        <v>16</v>
      </c>
      <c r="D1149" s="9"/>
      <c r="E1149" s="9" t="s">
        <v>212</v>
      </c>
      <c r="F1149" s="9"/>
      <c r="G1149" s="9"/>
      <c r="H1149" s="9"/>
      <c r="I1149" s="9"/>
      <c r="J1149" s="9"/>
      <c r="K1149" s="9"/>
      <c r="L1149" s="9"/>
      <c r="M1149" s="9"/>
      <c r="N1149" s="9"/>
      <c r="O1149" s="9"/>
      <c r="P1149" s="9"/>
      <c r="Q1149" s="9"/>
      <c r="R1149" s="9"/>
      <c r="S1149" s="9"/>
      <c r="T1149" s="9"/>
      <c r="U1149" s="9"/>
      <c r="V1149" s="9"/>
      <c r="W1149" s="9"/>
      <c r="X1149" s="9"/>
      <c r="Y1149" s="9"/>
      <c r="Z1149" s="9"/>
      <c r="AA1149" s="9"/>
      <c r="AB1149" s="12"/>
      <c r="AC1149" s="12"/>
      <c r="AD1149" s="12"/>
      <c r="AE1149" s="12"/>
      <c r="AF1149" s="12">
        <v>349500</v>
      </c>
      <c r="AG1149" s="12">
        <v>349500</v>
      </c>
      <c r="AH1149" s="12"/>
      <c r="AI1149" s="12"/>
      <c r="AJ1149" s="12">
        <v>0</v>
      </c>
      <c r="AK1149" s="12">
        <v>0</v>
      </c>
      <c r="AL1149" s="12"/>
      <c r="AM1149" s="12"/>
      <c r="AN1149" s="982"/>
      <c r="AO1149" s="982"/>
      <c r="AP1149" s="1070"/>
      <c r="AQ1149" s="1070"/>
      <c r="AR1149" s="1044"/>
      <c r="AS1149" s="1044"/>
    </row>
    <row r="1150" spans="2:45" ht="12.75" hidden="1" customHeight="1" outlineLevel="1">
      <c r="C1150" s="816" t="s">
        <v>16</v>
      </c>
      <c r="D1150" s="9"/>
      <c r="E1150" s="9" t="s">
        <v>213</v>
      </c>
      <c r="F1150" s="9"/>
      <c r="G1150" s="9"/>
      <c r="H1150" s="9"/>
      <c r="I1150" s="9"/>
      <c r="J1150" s="9"/>
      <c r="K1150" s="9"/>
      <c r="L1150" s="9"/>
      <c r="M1150" s="9"/>
      <c r="N1150" s="9"/>
      <c r="O1150" s="9"/>
      <c r="P1150" s="9"/>
      <c r="Q1150" s="9"/>
      <c r="R1150" s="9"/>
      <c r="S1150" s="9"/>
      <c r="T1150" s="9"/>
      <c r="U1150" s="9"/>
      <c r="V1150" s="9"/>
      <c r="W1150" s="9"/>
      <c r="X1150" s="9"/>
      <c r="Y1150" s="9"/>
      <c r="Z1150" s="9"/>
      <c r="AA1150" s="9"/>
      <c r="AB1150" s="12"/>
      <c r="AC1150" s="12"/>
      <c r="AD1150" s="12"/>
      <c r="AE1150" s="12"/>
      <c r="AF1150" s="12">
        <v>675000</v>
      </c>
      <c r="AG1150" s="12">
        <v>675000</v>
      </c>
      <c r="AH1150" s="12">
        <v>0</v>
      </c>
      <c r="AI1150" s="12">
        <v>0</v>
      </c>
      <c r="AJ1150" s="12">
        <v>0</v>
      </c>
      <c r="AK1150" s="12">
        <v>0</v>
      </c>
      <c r="AL1150" s="12"/>
      <c r="AM1150" s="12"/>
      <c r="AN1150" s="982"/>
      <c r="AO1150" s="982"/>
      <c r="AP1150" s="1070"/>
      <c r="AQ1150" s="1070"/>
      <c r="AR1150" s="1044"/>
      <c r="AS1150" s="1044"/>
    </row>
    <row r="1151" spans="2:45" ht="12.75" hidden="1" customHeight="1" outlineLevel="1">
      <c r="C1151" s="816" t="s">
        <v>16</v>
      </c>
      <c r="D1151" s="9"/>
      <c r="E1151" s="223" t="s">
        <v>753</v>
      </c>
      <c r="F1151" s="9"/>
      <c r="G1151" s="9"/>
      <c r="H1151" s="9"/>
      <c r="I1151" s="9"/>
      <c r="J1151" s="9"/>
      <c r="K1151" s="9"/>
      <c r="L1151" s="9"/>
      <c r="M1151" s="9"/>
      <c r="N1151" s="9"/>
      <c r="O1151" s="9"/>
      <c r="P1151" s="9"/>
      <c r="Q1151" s="9"/>
      <c r="R1151" s="9"/>
      <c r="S1151" s="9"/>
      <c r="T1151" s="9"/>
      <c r="U1151" s="9"/>
      <c r="V1151" s="9"/>
      <c r="W1151" s="9"/>
      <c r="X1151" s="9"/>
      <c r="Y1151" s="9"/>
      <c r="Z1151" s="9"/>
      <c r="AA1151" s="9"/>
      <c r="AB1151" s="12"/>
      <c r="AC1151" s="12"/>
      <c r="AD1151" s="12"/>
      <c r="AE1151" s="12"/>
      <c r="AF1151" s="12">
        <v>25000000</v>
      </c>
      <c r="AG1151" s="12">
        <v>25000000</v>
      </c>
      <c r="AH1151" s="12">
        <v>17812500</v>
      </c>
      <c r="AI1151" s="12">
        <f>17812500+34400000</f>
        <v>52212500</v>
      </c>
      <c r="AJ1151" s="227" t="s">
        <v>1265</v>
      </c>
      <c r="AK1151" s="227" t="s">
        <v>1265</v>
      </c>
      <c r="AL1151" s="227"/>
      <c r="AM1151" s="227"/>
      <c r="AN1151" s="990"/>
      <c r="AO1151" s="990"/>
      <c r="AP1151" s="990"/>
      <c r="AQ1151" s="990"/>
      <c r="AR1151" s="1044"/>
      <c r="AS1151" s="1044"/>
    </row>
    <row r="1152" spans="2:45" s="1044" customFormat="1" ht="12.75" hidden="1" customHeight="1" outlineLevel="1">
      <c r="B1152" s="1045"/>
      <c r="C1152" s="1053" t="s">
        <v>16</v>
      </c>
      <c r="D1152" s="1030"/>
      <c r="E1152" s="1051" t="s">
        <v>1973</v>
      </c>
      <c r="F1152" s="1030"/>
      <c r="G1152" s="1030"/>
      <c r="H1152" s="1030"/>
      <c r="I1152" s="1030"/>
      <c r="J1152" s="1030"/>
      <c r="K1152" s="1030"/>
      <c r="L1152" s="1030"/>
      <c r="M1152" s="1030"/>
      <c r="N1152" s="1030"/>
      <c r="O1152" s="1030"/>
      <c r="P1152" s="1030"/>
      <c r="Q1152" s="1030"/>
      <c r="R1152" s="1030"/>
      <c r="S1152" s="1030"/>
      <c r="T1152" s="1030"/>
      <c r="U1152" s="1030"/>
      <c r="V1152" s="1030"/>
      <c r="W1152" s="1030"/>
      <c r="X1152" s="1030"/>
      <c r="Y1152" s="1030"/>
      <c r="Z1152" s="1030"/>
      <c r="AA1152" s="1030"/>
      <c r="AB1152" s="1070"/>
      <c r="AC1152" s="1070"/>
      <c r="AD1152" s="1070"/>
      <c r="AE1152" s="1070"/>
      <c r="AF1152" s="1070"/>
      <c r="AG1152" s="1070"/>
      <c r="AH1152" s="1070"/>
      <c r="AI1152" s="1070"/>
      <c r="AJ1152" s="990"/>
      <c r="AK1152" s="990"/>
      <c r="AL1152" s="990"/>
      <c r="AM1152" s="990"/>
      <c r="AN1152" s="990"/>
      <c r="AO1152" s="990"/>
      <c r="AP1152" s="990">
        <v>266025</v>
      </c>
      <c r="AQ1152" s="990">
        <v>196024</v>
      </c>
    </row>
    <row r="1153" spans="2:45" ht="12.75" hidden="1" customHeight="1" outlineLevel="1">
      <c r="C1153" s="816" t="s">
        <v>16</v>
      </c>
      <c r="D1153" s="9"/>
      <c r="E1153" s="223" t="s">
        <v>1697</v>
      </c>
      <c r="F1153" s="9"/>
      <c r="G1153" s="9"/>
      <c r="H1153" s="9"/>
      <c r="I1153" s="9"/>
      <c r="J1153" s="9"/>
      <c r="K1153" s="9"/>
      <c r="L1153" s="9"/>
      <c r="M1153" s="9"/>
      <c r="N1153" s="9"/>
      <c r="O1153" s="9"/>
      <c r="P1153" s="9"/>
      <c r="Q1153" s="9"/>
      <c r="R1153" s="9"/>
      <c r="S1153" s="9"/>
      <c r="T1153" s="9"/>
      <c r="U1153" s="9"/>
      <c r="V1153" s="9"/>
      <c r="W1153" s="9"/>
      <c r="X1153" s="9"/>
      <c r="Y1153" s="9"/>
      <c r="Z1153" s="9"/>
      <c r="AA1153" s="9"/>
      <c r="AB1153" s="12"/>
      <c r="AC1153" s="12"/>
      <c r="AD1153" s="12"/>
      <c r="AE1153" s="12"/>
      <c r="AF1153" s="12"/>
      <c r="AG1153" s="12"/>
      <c r="AH1153" s="12"/>
      <c r="AI1153" s="12"/>
      <c r="AJ1153" s="227"/>
      <c r="AK1153" s="227"/>
      <c r="AL1153" s="374">
        <v>2000000</v>
      </c>
      <c r="AM1153" s="374">
        <v>2000000</v>
      </c>
      <c r="AN1153" s="986"/>
      <c r="AO1153" s="986"/>
      <c r="AP1153" s="986"/>
      <c r="AQ1153" s="986"/>
      <c r="AR1153" s="1044"/>
      <c r="AS1153" s="1044"/>
    </row>
    <row r="1154" spans="2:45" ht="12.75" hidden="1" customHeight="1" outlineLevel="1">
      <c r="C1154" s="816" t="s">
        <v>16</v>
      </c>
      <c r="D1154" s="9"/>
      <c r="E1154" s="35" t="s">
        <v>215</v>
      </c>
      <c r="F1154" s="35"/>
      <c r="G1154" s="35"/>
      <c r="H1154" s="35"/>
      <c r="I1154" s="35"/>
      <c r="J1154" s="35"/>
      <c r="K1154" s="35"/>
      <c r="L1154" s="35"/>
      <c r="M1154" s="35"/>
      <c r="N1154" s="35"/>
      <c r="O1154" s="35"/>
      <c r="P1154" s="35"/>
      <c r="Q1154" s="35"/>
      <c r="R1154" s="35"/>
      <c r="S1154" s="35"/>
      <c r="T1154" s="35"/>
      <c r="U1154" s="35"/>
      <c r="V1154" s="35"/>
      <c r="W1154" s="35"/>
      <c r="X1154" s="35"/>
      <c r="Y1154" s="35"/>
      <c r="Z1154" s="35"/>
      <c r="AA1154" s="35"/>
      <c r="AB1154" s="34">
        <v>287577644</v>
      </c>
      <c r="AC1154" s="34">
        <v>286880644</v>
      </c>
      <c r="AD1154" s="34">
        <v>361794527</v>
      </c>
      <c r="AE1154" s="34">
        <v>457136241</v>
      </c>
      <c r="AF1154" s="34">
        <f>564856299-80000000</f>
        <v>484856299</v>
      </c>
      <c r="AG1154" s="34">
        <f>556952024-40000000</f>
        <v>516952024</v>
      </c>
      <c r="AH1154" s="34">
        <f>490622322</f>
        <v>490622322</v>
      </c>
      <c r="AI1154" s="34">
        <f>392531626+64400000</f>
        <v>456931626</v>
      </c>
      <c r="AJ1154" s="47">
        <v>554182320</v>
      </c>
      <c r="AK1154" s="47">
        <v>451096626</v>
      </c>
      <c r="AL1154" s="47">
        <f>SUM(AL1144:AL1153)+SUM(AL1126:AL1135)</f>
        <v>538842161</v>
      </c>
      <c r="AM1154" s="47">
        <f>SUM(AM1144:AM1153)+SUM(AM1126:AM1135)</f>
        <v>537376860</v>
      </c>
      <c r="AN1154" s="988">
        <f t="shared" ref="AN1154:AO1154" si="303">SUM(AN1144:AN1153)+SUM(AN1126:AN1135)</f>
        <v>547743751</v>
      </c>
      <c r="AO1154" s="988">
        <f t="shared" si="303"/>
        <v>539491656</v>
      </c>
      <c r="AP1154" s="988">
        <f t="shared" ref="AP1154:AQ1154" si="304">SUM(AP1144:AP1153)+SUM(AP1126:AP1135)</f>
        <v>584309698</v>
      </c>
      <c r="AQ1154" s="988">
        <f t="shared" si="304"/>
        <v>584039698</v>
      </c>
      <c r="AR1154" s="1044"/>
      <c r="AS1154" s="1044"/>
    </row>
    <row r="1155" spans="2:45" s="940" customFormat="1" ht="12.75" hidden="1" customHeight="1" outlineLevel="1">
      <c r="B1155" s="941"/>
      <c r="C1155" s="956" t="s">
        <v>16</v>
      </c>
      <c r="D1155" s="943"/>
      <c r="E1155" s="961" t="s">
        <v>1873</v>
      </c>
      <c r="F1155" s="952"/>
      <c r="G1155" s="952"/>
      <c r="H1155" s="952"/>
      <c r="I1155" s="952"/>
      <c r="J1155" s="952"/>
      <c r="K1155" s="952"/>
      <c r="L1155" s="952"/>
      <c r="M1155" s="952"/>
      <c r="N1155" s="952"/>
      <c r="O1155" s="952"/>
      <c r="P1155" s="952"/>
      <c r="Q1155" s="952"/>
      <c r="R1155" s="952"/>
      <c r="S1155" s="952"/>
      <c r="T1155" s="952"/>
      <c r="U1155" s="952"/>
      <c r="V1155" s="952"/>
      <c r="W1155" s="952"/>
      <c r="X1155" s="952"/>
      <c r="Y1155" s="952"/>
      <c r="Z1155" s="952"/>
      <c r="AA1155" s="952"/>
      <c r="AB1155" s="945"/>
      <c r="AC1155" s="945"/>
      <c r="AD1155" s="945"/>
      <c r="AE1155" s="945"/>
      <c r="AF1155" s="945"/>
      <c r="AG1155" s="945"/>
      <c r="AH1155" s="945"/>
      <c r="AI1155" s="945"/>
      <c r="AJ1155" s="948"/>
      <c r="AK1155" s="948"/>
      <c r="AL1155" s="948"/>
      <c r="AM1155" s="948"/>
      <c r="AN1155" s="988"/>
      <c r="AO1155" s="988"/>
      <c r="AP1155" s="988"/>
      <c r="AQ1155" s="988"/>
      <c r="AR1155" s="1044"/>
      <c r="AS1155" s="1044"/>
    </row>
    <row r="1156" spans="2:45" s="940" customFormat="1" ht="12.75" hidden="1" customHeight="1" outlineLevel="1">
      <c r="B1156" s="941"/>
      <c r="C1156" s="950" t="s">
        <v>16</v>
      </c>
      <c r="D1156" s="943"/>
      <c r="E1156" s="951" t="s">
        <v>1697</v>
      </c>
      <c r="F1156" s="946"/>
      <c r="G1156" s="946"/>
      <c r="H1156" s="946"/>
      <c r="I1156" s="946"/>
      <c r="J1156" s="946"/>
      <c r="K1156" s="946"/>
      <c r="L1156" s="946"/>
      <c r="M1156" s="946"/>
      <c r="N1156" s="946"/>
      <c r="O1156" s="946"/>
      <c r="P1156" s="946"/>
      <c r="Q1156" s="946"/>
      <c r="R1156" s="946"/>
      <c r="S1156" s="946"/>
      <c r="T1156" s="946"/>
      <c r="U1156" s="946"/>
      <c r="V1156" s="946"/>
      <c r="W1156" s="946"/>
      <c r="X1156" s="946"/>
      <c r="Y1156" s="946"/>
      <c r="Z1156" s="946"/>
      <c r="AA1156" s="946"/>
      <c r="AB1156" s="945"/>
      <c r="AC1156" s="945"/>
      <c r="AD1156" s="945"/>
      <c r="AE1156" s="945"/>
      <c r="AF1156" s="945"/>
      <c r="AG1156" s="945"/>
      <c r="AH1156" s="945"/>
      <c r="AI1156" s="945"/>
      <c r="AJ1156" s="948"/>
      <c r="AK1156" s="948"/>
      <c r="AL1156" s="948"/>
      <c r="AM1156" s="948"/>
      <c r="AN1156" s="990">
        <v>2000000</v>
      </c>
      <c r="AO1156" s="990">
        <v>2000000</v>
      </c>
      <c r="AP1156" s="990">
        <v>2000000</v>
      </c>
      <c r="AQ1156" s="990">
        <v>2000000</v>
      </c>
      <c r="AR1156" s="1044"/>
      <c r="AS1156" s="1044"/>
    </row>
    <row r="1157" spans="2:45" s="1044" customFormat="1" ht="12.75" hidden="1" customHeight="1" outlineLevel="1">
      <c r="B1157" s="1045"/>
      <c r="C1157" s="1053" t="s">
        <v>16</v>
      </c>
      <c r="D1157" s="1030"/>
      <c r="E1157" s="953" t="s">
        <v>1866</v>
      </c>
      <c r="F1157" s="985"/>
      <c r="G1157" s="985"/>
      <c r="H1157" s="985"/>
      <c r="I1157" s="985"/>
      <c r="J1157" s="985"/>
      <c r="K1157" s="985"/>
      <c r="L1157" s="985"/>
      <c r="M1157" s="985"/>
      <c r="N1157" s="985"/>
      <c r="O1157" s="985"/>
      <c r="P1157" s="985"/>
      <c r="Q1157" s="985"/>
      <c r="R1157" s="985"/>
      <c r="S1157" s="985"/>
      <c r="T1157" s="985"/>
      <c r="U1157" s="985"/>
      <c r="V1157" s="985"/>
      <c r="W1157" s="985"/>
      <c r="X1157" s="985"/>
      <c r="Y1157" s="985"/>
      <c r="Z1157" s="985"/>
      <c r="AA1157" s="985"/>
      <c r="AB1157" s="1073"/>
      <c r="AC1157" s="1073"/>
      <c r="AD1157" s="1073"/>
      <c r="AE1157" s="1073"/>
      <c r="AF1157" s="1073"/>
      <c r="AG1157" s="1073"/>
      <c r="AH1157" s="1073"/>
      <c r="AI1157" s="1073"/>
      <c r="AJ1157" s="988"/>
      <c r="AK1157" s="988"/>
      <c r="AL1157" s="988"/>
      <c r="AM1157" s="988"/>
      <c r="AN1157" s="990">
        <v>1325000</v>
      </c>
      <c r="AO1157" s="990">
        <v>1325000</v>
      </c>
      <c r="AP1157" s="990">
        <v>1325000</v>
      </c>
      <c r="AQ1157" s="990">
        <v>1325000</v>
      </c>
    </row>
    <row r="1158" spans="2:45" s="1044" customFormat="1" ht="12.75" hidden="1" customHeight="1" outlineLevel="1">
      <c r="B1158" s="1045"/>
      <c r="C1158" s="1053" t="s">
        <v>16</v>
      </c>
      <c r="D1158" s="1030"/>
      <c r="E1158" s="1051" t="s">
        <v>1974</v>
      </c>
      <c r="F1158" s="985"/>
      <c r="G1158" s="985"/>
      <c r="H1158" s="985"/>
      <c r="I1158" s="985"/>
      <c r="J1158" s="985"/>
      <c r="K1158" s="985"/>
      <c r="L1158" s="985"/>
      <c r="M1158" s="985"/>
      <c r="N1158" s="985"/>
      <c r="O1158" s="985"/>
      <c r="P1158" s="985"/>
      <c r="Q1158" s="985"/>
      <c r="R1158" s="985"/>
      <c r="S1158" s="985"/>
      <c r="T1158" s="985"/>
      <c r="U1158" s="985"/>
      <c r="V1158" s="985"/>
      <c r="W1158" s="985"/>
      <c r="X1158" s="985"/>
      <c r="Y1158" s="985"/>
      <c r="Z1158" s="985"/>
      <c r="AA1158" s="985"/>
      <c r="AB1158" s="1073"/>
      <c r="AC1158" s="1073"/>
      <c r="AD1158" s="1073"/>
      <c r="AE1158" s="1073"/>
      <c r="AF1158" s="1073"/>
      <c r="AG1158" s="1073"/>
      <c r="AH1158" s="1073"/>
      <c r="AI1158" s="1073"/>
      <c r="AJ1158" s="988"/>
      <c r="AK1158" s="988"/>
      <c r="AL1158" s="988"/>
      <c r="AM1158" s="988"/>
      <c r="AN1158" s="990"/>
      <c r="AO1158" s="990"/>
      <c r="AP1158" s="990">
        <v>160000</v>
      </c>
      <c r="AQ1158" s="990">
        <v>160000</v>
      </c>
    </row>
    <row r="1159" spans="2:45" s="1044" customFormat="1" ht="12.75" hidden="1" customHeight="1" outlineLevel="1">
      <c r="B1159" s="1045"/>
      <c r="C1159" s="1053" t="s">
        <v>16</v>
      </c>
      <c r="D1159" s="1030"/>
      <c r="E1159" s="1051" t="s">
        <v>1992</v>
      </c>
      <c r="F1159" s="985"/>
      <c r="G1159" s="985"/>
      <c r="H1159" s="985"/>
      <c r="I1159" s="985"/>
      <c r="J1159" s="985"/>
      <c r="K1159" s="985"/>
      <c r="L1159" s="985"/>
      <c r="M1159" s="985"/>
      <c r="N1159" s="985"/>
      <c r="O1159" s="985"/>
      <c r="P1159" s="985"/>
      <c r="Q1159" s="985"/>
      <c r="R1159" s="985"/>
      <c r="S1159" s="985"/>
      <c r="T1159" s="985"/>
      <c r="U1159" s="985"/>
      <c r="V1159" s="985"/>
      <c r="W1159" s="985"/>
      <c r="X1159" s="985"/>
      <c r="Y1159" s="985"/>
      <c r="Z1159" s="985"/>
      <c r="AA1159" s="985"/>
      <c r="AB1159" s="1073"/>
      <c r="AC1159" s="1073"/>
      <c r="AD1159" s="1073"/>
      <c r="AE1159" s="1073"/>
      <c r="AF1159" s="1073"/>
      <c r="AG1159" s="1073"/>
      <c r="AH1159" s="1073"/>
      <c r="AI1159" s="1073"/>
      <c r="AJ1159" s="988"/>
      <c r="AK1159" s="988"/>
      <c r="AL1159" s="988"/>
      <c r="AM1159" s="988"/>
      <c r="AN1159" s="990"/>
      <c r="AO1159" s="990"/>
      <c r="AP1159" s="990">
        <v>70000</v>
      </c>
      <c r="AQ1159" s="990">
        <v>70000</v>
      </c>
    </row>
    <row r="1160" spans="2:45" s="1044" customFormat="1" ht="12.75" hidden="1" customHeight="1" outlineLevel="1">
      <c r="B1160" s="1045"/>
      <c r="C1160" s="1053" t="s">
        <v>16</v>
      </c>
      <c r="D1160" s="1030"/>
      <c r="E1160" s="1051" t="s">
        <v>1975</v>
      </c>
      <c r="F1160" s="985"/>
      <c r="G1160" s="985"/>
      <c r="H1160" s="985"/>
      <c r="I1160" s="985"/>
      <c r="J1160" s="985"/>
      <c r="K1160" s="985"/>
      <c r="L1160" s="985"/>
      <c r="M1160" s="985"/>
      <c r="N1160" s="985"/>
      <c r="O1160" s="985"/>
      <c r="P1160" s="985"/>
      <c r="Q1160" s="985"/>
      <c r="R1160" s="985"/>
      <c r="S1160" s="985"/>
      <c r="T1160" s="985"/>
      <c r="U1160" s="985"/>
      <c r="V1160" s="985"/>
      <c r="W1160" s="985"/>
      <c r="X1160" s="985"/>
      <c r="Y1160" s="985"/>
      <c r="Z1160" s="985"/>
      <c r="AA1160" s="985"/>
      <c r="AB1160" s="1073"/>
      <c r="AC1160" s="1073"/>
      <c r="AD1160" s="1073"/>
      <c r="AE1160" s="1073"/>
      <c r="AF1160" s="1073"/>
      <c r="AG1160" s="1073"/>
      <c r="AH1160" s="1073"/>
      <c r="AI1160" s="1073"/>
      <c r="AJ1160" s="988"/>
      <c r="AK1160" s="988"/>
      <c r="AL1160" s="988"/>
      <c r="AM1160" s="988"/>
      <c r="AN1160" s="990"/>
      <c r="AO1160" s="990"/>
      <c r="AP1160" s="990">
        <v>150000</v>
      </c>
      <c r="AQ1160" s="990">
        <v>150000</v>
      </c>
    </row>
    <row r="1161" spans="2:45" s="1044" customFormat="1" ht="12.75" hidden="1" customHeight="1" outlineLevel="1">
      <c r="B1161" s="1045"/>
      <c r="C1161" s="1053" t="s">
        <v>16</v>
      </c>
      <c r="D1161" s="1030"/>
      <c r="E1161" s="1051" t="s">
        <v>1976</v>
      </c>
      <c r="F1161" s="985"/>
      <c r="G1161" s="985"/>
      <c r="H1161" s="985"/>
      <c r="I1161" s="985"/>
      <c r="J1161" s="985"/>
      <c r="K1161" s="985"/>
      <c r="L1161" s="985"/>
      <c r="M1161" s="985"/>
      <c r="N1161" s="985"/>
      <c r="O1161" s="985"/>
      <c r="P1161" s="985"/>
      <c r="Q1161" s="985"/>
      <c r="R1161" s="985"/>
      <c r="S1161" s="985"/>
      <c r="T1161" s="985"/>
      <c r="U1161" s="985"/>
      <c r="V1161" s="985"/>
      <c r="W1161" s="985"/>
      <c r="X1161" s="985"/>
      <c r="Y1161" s="985"/>
      <c r="Z1161" s="985"/>
      <c r="AA1161" s="985"/>
      <c r="AB1161" s="1073"/>
      <c r="AC1161" s="1073"/>
      <c r="AD1161" s="1073"/>
      <c r="AE1161" s="1073"/>
      <c r="AF1161" s="1073"/>
      <c r="AG1161" s="1073"/>
      <c r="AH1161" s="1073"/>
      <c r="AI1161" s="1073"/>
      <c r="AJ1161" s="988"/>
      <c r="AK1161" s="988"/>
      <c r="AL1161" s="988"/>
      <c r="AM1161" s="988"/>
      <c r="AN1161" s="990"/>
      <c r="AO1161" s="990"/>
      <c r="AP1161" s="990">
        <v>63000</v>
      </c>
      <c r="AQ1161" s="990">
        <v>63000</v>
      </c>
    </row>
    <row r="1162" spans="2:45" s="940" customFormat="1" ht="12.75" hidden="1" customHeight="1" outlineLevel="1">
      <c r="B1162" s="941"/>
      <c r="C1162" s="1053" t="s">
        <v>16</v>
      </c>
      <c r="D1162" s="943"/>
      <c r="E1162" s="953" t="s">
        <v>1980</v>
      </c>
      <c r="F1162" s="946"/>
      <c r="G1162" s="946"/>
      <c r="H1162" s="946"/>
      <c r="I1162" s="946"/>
      <c r="J1162" s="946"/>
      <c r="K1162" s="946"/>
      <c r="L1162" s="946"/>
      <c r="M1162" s="946"/>
      <c r="N1162" s="946"/>
      <c r="O1162" s="946"/>
      <c r="P1162" s="946"/>
      <c r="Q1162" s="946"/>
      <c r="R1162" s="946"/>
      <c r="S1162" s="946"/>
      <c r="T1162" s="946"/>
      <c r="U1162" s="946"/>
      <c r="V1162" s="946"/>
      <c r="W1162" s="946"/>
      <c r="X1162" s="946"/>
      <c r="Y1162" s="946"/>
      <c r="Z1162" s="946"/>
      <c r="AA1162" s="946"/>
      <c r="AB1162" s="945"/>
      <c r="AC1162" s="945"/>
      <c r="AD1162" s="945"/>
      <c r="AE1162" s="945"/>
      <c r="AF1162" s="945"/>
      <c r="AG1162" s="945"/>
      <c r="AH1162" s="945"/>
      <c r="AI1162" s="945"/>
      <c r="AJ1162" s="948"/>
      <c r="AK1162" s="948"/>
      <c r="AL1162" s="948"/>
      <c r="AM1162" s="948"/>
      <c r="AN1162" s="990"/>
      <c r="AO1162" s="990"/>
      <c r="AP1162" s="990">
        <v>300000</v>
      </c>
      <c r="AQ1162" s="990">
        <v>0</v>
      </c>
      <c r="AR1162" s="1044"/>
      <c r="AS1162" s="1044"/>
    </row>
    <row r="1163" spans="2:45" s="940" customFormat="1" ht="12.75" hidden="1" customHeight="1" outlineLevel="1">
      <c r="B1163" s="941"/>
      <c r="C1163" s="950" t="s">
        <v>16</v>
      </c>
      <c r="D1163" s="943"/>
      <c r="E1163" s="952" t="s">
        <v>1867</v>
      </c>
      <c r="F1163" s="946"/>
      <c r="G1163" s="946"/>
      <c r="H1163" s="946"/>
      <c r="I1163" s="946"/>
      <c r="J1163" s="946"/>
      <c r="K1163" s="946"/>
      <c r="L1163" s="946"/>
      <c r="M1163" s="946"/>
      <c r="N1163" s="946"/>
      <c r="O1163" s="946"/>
      <c r="P1163" s="946"/>
      <c r="Q1163" s="946"/>
      <c r="R1163" s="946"/>
      <c r="S1163" s="946"/>
      <c r="T1163" s="946"/>
      <c r="U1163" s="946"/>
      <c r="V1163" s="946"/>
      <c r="W1163" s="946"/>
      <c r="X1163" s="946"/>
      <c r="Y1163" s="946"/>
      <c r="Z1163" s="946"/>
      <c r="AA1163" s="946"/>
      <c r="AB1163" s="945"/>
      <c r="AC1163" s="945"/>
      <c r="AD1163" s="945"/>
      <c r="AE1163" s="945"/>
      <c r="AF1163" s="945"/>
      <c r="AG1163" s="945"/>
      <c r="AH1163" s="945"/>
      <c r="AI1163" s="945"/>
      <c r="AJ1163" s="948"/>
      <c r="AK1163" s="948"/>
      <c r="AL1163" s="948"/>
      <c r="AM1163" s="948"/>
      <c r="AN1163" s="988">
        <f>SUM(AN1156:AN1162)</f>
        <v>3325000</v>
      </c>
      <c r="AO1163" s="988">
        <f>SUM(AO1156:AO1162)</f>
        <v>3325000</v>
      </c>
      <c r="AP1163" s="988">
        <f t="shared" ref="AP1163:AQ1163" si="305">SUM(AP1156:AP1162)</f>
        <v>4068000</v>
      </c>
      <c r="AQ1163" s="988">
        <f t="shared" si="305"/>
        <v>3768000</v>
      </c>
      <c r="AR1163" s="1044"/>
      <c r="AS1163" s="1044"/>
    </row>
    <row r="1164" spans="2:45" s="954" customFormat="1" ht="12.75" hidden="1" customHeight="1" outlineLevel="1">
      <c r="B1164" s="955"/>
      <c r="C1164" s="964" t="s">
        <v>16</v>
      </c>
      <c r="D1164" s="957"/>
      <c r="E1164" s="968" t="s">
        <v>1874</v>
      </c>
      <c r="F1164" s="959"/>
      <c r="G1164" s="959"/>
      <c r="H1164" s="959"/>
      <c r="I1164" s="959"/>
      <c r="J1164" s="959"/>
      <c r="K1164" s="959"/>
      <c r="L1164" s="959"/>
      <c r="M1164" s="959"/>
      <c r="N1164" s="959"/>
      <c r="O1164" s="959"/>
      <c r="P1164" s="959"/>
      <c r="Q1164" s="959"/>
      <c r="R1164" s="959"/>
      <c r="S1164" s="959"/>
      <c r="T1164" s="959"/>
      <c r="U1164" s="959"/>
      <c r="V1164" s="959"/>
      <c r="W1164" s="959"/>
      <c r="X1164" s="959"/>
      <c r="Y1164" s="959"/>
      <c r="Z1164" s="959"/>
      <c r="AA1164" s="959"/>
      <c r="AB1164" s="958"/>
      <c r="AC1164" s="958"/>
      <c r="AD1164" s="958"/>
      <c r="AE1164" s="958"/>
      <c r="AF1164" s="958"/>
      <c r="AG1164" s="958"/>
      <c r="AH1164" s="958"/>
      <c r="AI1164" s="958"/>
      <c r="AJ1164" s="960"/>
      <c r="AK1164" s="960"/>
      <c r="AL1164" s="960"/>
      <c r="AM1164" s="960"/>
      <c r="AN1164" s="990"/>
      <c r="AO1164" s="990"/>
      <c r="AP1164" s="990"/>
      <c r="AQ1164" s="990"/>
      <c r="AR1164" s="1044"/>
      <c r="AS1164" s="1044"/>
    </row>
    <row r="1165" spans="2:45" s="954" customFormat="1" ht="12.75" hidden="1" customHeight="1" outlineLevel="1">
      <c r="B1165" s="955"/>
      <c r="C1165" s="964" t="s">
        <v>16</v>
      </c>
      <c r="D1165" s="957"/>
      <c r="E1165" s="965" t="s">
        <v>198</v>
      </c>
      <c r="F1165" s="959"/>
      <c r="G1165" s="959"/>
      <c r="H1165" s="959"/>
      <c r="I1165" s="959"/>
      <c r="J1165" s="959"/>
      <c r="K1165" s="959"/>
      <c r="L1165" s="959"/>
      <c r="M1165" s="959"/>
      <c r="N1165" s="959"/>
      <c r="O1165" s="959"/>
      <c r="P1165" s="959"/>
      <c r="Q1165" s="959"/>
      <c r="R1165" s="959"/>
      <c r="S1165" s="959"/>
      <c r="T1165" s="959"/>
      <c r="U1165" s="959"/>
      <c r="V1165" s="959"/>
      <c r="W1165" s="959"/>
      <c r="X1165" s="959"/>
      <c r="Y1165" s="959"/>
      <c r="Z1165" s="959"/>
      <c r="AA1165" s="959"/>
      <c r="AB1165" s="958"/>
      <c r="AC1165" s="958"/>
      <c r="AD1165" s="958"/>
      <c r="AE1165" s="958"/>
      <c r="AF1165" s="958"/>
      <c r="AG1165" s="958"/>
      <c r="AH1165" s="958"/>
      <c r="AI1165" s="958"/>
      <c r="AJ1165" s="960"/>
      <c r="AK1165" s="960"/>
      <c r="AL1165" s="960"/>
      <c r="AM1165" s="960"/>
      <c r="AN1165" s="990">
        <v>1337500</v>
      </c>
      <c r="AO1165" s="990">
        <v>1337500</v>
      </c>
      <c r="AP1165" s="990">
        <v>1337500</v>
      </c>
      <c r="AQ1165" s="990">
        <v>1337500</v>
      </c>
      <c r="AR1165" s="1044"/>
      <c r="AS1165" s="1044"/>
    </row>
    <row r="1166" spans="2:45" s="954" customFormat="1" ht="12.75" hidden="1" customHeight="1" outlineLevel="1">
      <c r="B1166" s="955"/>
      <c r="C1166" s="964" t="s">
        <v>16</v>
      </c>
      <c r="D1166" s="957"/>
      <c r="E1166" s="967" t="s">
        <v>1869</v>
      </c>
      <c r="F1166" s="959"/>
      <c r="G1166" s="959"/>
      <c r="H1166" s="959"/>
      <c r="I1166" s="959"/>
      <c r="J1166" s="959"/>
      <c r="K1166" s="959"/>
      <c r="L1166" s="959"/>
      <c r="M1166" s="959"/>
      <c r="N1166" s="959"/>
      <c r="O1166" s="959"/>
      <c r="P1166" s="959"/>
      <c r="Q1166" s="959"/>
      <c r="R1166" s="959"/>
      <c r="S1166" s="959"/>
      <c r="T1166" s="959"/>
      <c r="U1166" s="959"/>
      <c r="V1166" s="959"/>
      <c r="W1166" s="959"/>
      <c r="X1166" s="959"/>
      <c r="Y1166" s="959"/>
      <c r="Z1166" s="959"/>
      <c r="AA1166" s="959"/>
      <c r="AB1166" s="958"/>
      <c r="AC1166" s="958"/>
      <c r="AD1166" s="958"/>
      <c r="AE1166" s="958"/>
      <c r="AF1166" s="958"/>
      <c r="AG1166" s="958"/>
      <c r="AH1166" s="958"/>
      <c r="AI1166" s="958"/>
      <c r="AJ1166" s="960"/>
      <c r="AK1166" s="960"/>
      <c r="AL1166" s="960"/>
      <c r="AM1166" s="960"/>
      <c r="AN1166" s="990">
        <v>1287500</v>
      </c>
      <c r="AO1166" s="990">
        <v>1287500</v>
      </c>
      <c r="AP1166" s="990">
        <v>1287500</v>
      </c>
      <c r="AQ1166" s="990">
        <v>1287500</v>
      </c>
      <c r="AR1166" s="1044"/>
      <c r="AS1166" s="1044"/>
    </row>
    <row r="1167" spans="2:45" s="954" customFormat="1" ht="12.75" hidden="1" customHeight="1" outlineLevel="1">
      <c r="B1167" s="955"/>
      <c r="C1167" s="964" t="s">
        <v>16</v>
      </c>
      <c r="D1167" s="957"/>
      <c r="E1167" s="967" t="s">
        <v>1931</v>
      </c>
      <c r="F1167" s="959"/>
      <c r="G1167" s="959"/>
      <c r="H1167" s="959"/>
      <c r="I1167" s="959"/>
      <c r="J1167" s="959"/>
      <c r="K1167" s="959"/>
      <c r="L1167" s="959"/>
      <c r="M1167" s="959"/>
      <c r="N1167" s="959"/>
      <c r="O1167" s="959"/>
      <c r="P1167" s="959"/>
      <c r="Q1167" s="959"/>
      <c r="R1167" s="959"/>
      <c r="S1167" s="959"/>
      <c r="T1167" s="959"/>
      <c r="U1167" s="959"/>
      <c r="V1167" s="959"/>
      <c r="W1167" s="959"/>
      <c r="X1167" s="959"/>
      <c r="Y1167" s="959"/>
      <c r="Z1167" s="959"/>
      <c r="AA1167" s="959"/>
      <c r="AB1167" s="958"/>
      <c r="AC1167" s="958"/>
      <c r="AD1167" s="958"/>
      <c r="AE1167" s="958"/>
      <c r="AF1167" s="958"/>
      <c r="AG1167" s="958"/>
      <c r="AH1167" s="958"/>
      <c r="AI1167" s="958"/>
      <c r="AJ1167" s="960"/>
      <c r="AK1167" s="960"/>
      <c r="AL1167" s="960"/>
      <c r="AM1167" s="960"/>
      <c r="AN1167" s="990">
        <v>2500000</v>
      </c>
      <c r="AO1167" s="990">
        <v>2500000</v>
      </c>
      <c r="AP1167" s="990">
        <v>1250000</v>
      </c>
      <c r="AQ1167" s="990">
        <v>1250000</v>
      </c>
      <c r="AR1167" s="1044"/>
      <c r="AS1167" s="1044"/>
    </row>
    <row r="1168" spans="2:45" s="1044" customFormat="1" ht="12.75" hidden="1" customHeight="1" outlineLevel="1">
      <c r="B1168" s="1045"/>
      <c r="C1168" s="1053" t="s">
        <v>16</v>
      </c>
      <c r="D1168" s="1030"/>
      <c r="E1168" s="1051" t="s">
        <v>1870</v>
      </c>
      <c r="F1168" s="985"/>
      <c r="G1168" s="985"/>
      <c r="H1168" s="985"/>
      <c r="I1168" s="985"/>
      <c r="J1168" s="985"/>
      <c r="K1168" s="985"/>
      <c r="L1168" s="985"/>
      <c r="M1168" s="985"/>
      <c r="N1168" s="985"/>
      <c r="O1168" s="985"/>
      <c r="P1168" s="985"/>
      <c r="Q1168" s="985"/>
      <c r="R1168" s="985"/>
      <c r="S1168" s="985"/>
      <c r="T1168" s="985"/>
      <c r="U1168" s="985"/>
      <c r="V1168" s="985"/>
      <c r="W1168" s="985"/>
      <c r="X1168" s="985"/>
      <c r="Y1168" s="985"/>
      <c r="Z1168" s="985"/>
      <c r="AA1168" s="985"/>
      <c r="AB1168" s="1073"/>
      <c r="AC1168" s="1073"/>
      <c r="AD1168" s="1073"/>
      <c r="AE1168" s="1073"/>
      <c r="AF1168" s="1073"/>
      <c r="AG1168" s="1073"/>
      <c r="AH1168" s="1073"/>
      <c r="AI1168" s="1073"/>
      <c r="AJ1168" s="988"/>
      <c r="AK1168" s="988"/>
      <c r="AL1168" s="988"/>
      <c r="AM1168" s="988"/>
      <c r="AN1168" s="990">
        <v>750000</v>
      </c>
      <c r="AO1168" s="990">
        <v>750000</v>
      </c>
      <c r="AP1168" s="990">
        <v>750000</v>
      </c>
      <c r="AQ1168" s="990">
        <v>750000</v>
      </c>
    </row>
    <row r="1169" spans="2:45" s="954" customFormat="1" ht="12.75" hidden="1" customHeight="1" outlineLevel="1">
      <c r="B1169" s="955"/>
      <c r="C1169" s="1053" t="s">
        <v>16</v>
      </c>
      <c r="D1169" s="957"/>
      <c r="E1169" s="967" t="s">
        <v>1979</v>
      </c>
      <c r="F1169" s="959"/>
      <c r="G1169" s="959"/>
      <c r="H1169" s="959"/>
      <c r="I1169" s="959"/>
      <c r="J1169" s="959"/>
      <c r="K1169" s="959"/>
      <c r="L1169" s="959"/>
      <c r="M1169" s="959"/>
      <c r="N1169" s="959"/>
      <c r="O1169" s="959"/>
      <c r="P1169" s="959"/>
      <c r="Q1169" s="959"/>
      <c r="R1169" s="959"/>
      <c r="S1169" s="959"/>
      <c r="T1169" s="959"/>
      <c r="U1169" s="959"/>
      <c r="V1169" s="959"/>
      <c r="W1169" s="959"/>
      <c r="X1169" s="959"/>
      <c r="Y1169" s="959"/>
      <c r="Z1169" s="959"/>
      <c r="AA1169" s="959"/>
      <c r="AB1169" s="958"/>
      <c r="AC1169" s="958"/>
      <c r="AD1169" s="958"/>
      <c r="AE1169" s="958"/>
      <c r="AF1169" s="958"/>
      <c r="AG1169" s="958"/>
      <c r="AH1169" s="958"/>
      <c r="AI1169" s="958"/>
      <c r="AJ1169" s="960"/>
      <c r="AK1169" s="960"/>
      <c r="AL1169" s="960"/>
      <c r="AM1169" s="960"/>
      <c r="AN1169" s="990"/>
      <c r="AO1169" s="990"/>
      <c r="AP1169" s="990">
        <v>137003</v>
      </c>
      <c r="AQ1169" s="990">
        <v>4096344</v>
      </c>
      <c r="AR1169" s="1044"/>
      <c r="AS1169" s="1044"/>
    </row>
    <row r="1170" spans="2:45" s="954" customFormat="1" ht="12.75" hidden="1" customHeight="1" outlineLevel="1">
      <c r="B1170" s="955"/>
      <c r="C1170" s="964" t="s">
        <v>16</v>
      </c>
      <c r="D1170" s="957"/>
      <c r="E1170" s="969" t="s">
        <v>1875</v>
      </c>
      <c r="F1170" s="959"/>
      <c r="G1170" s="959"/>
      <c r="H1170" s="959"/>
      <c r="I1170" s="959"/>
      <c r="J1170" s="959"/>
      <c r="K1170" s="959"/>
      <c r="L1170" s="959"/>
      <c r="M1170" s="959"/>
      <c r="N1170" s="959"/>
      <c r="O1170" s="959"/>
      <c r="P1170" s="959"/>
      <c r="Q1170" s="959"/>
      <c r="R1170" s="959"/>
      <c r="S1170" s="959"/>
      <c r="T1170" s="959"/>
      <c r="U1170" s="959"/>
      <c r="V1170" s="959"/>
      <c r="W1170" s="959"/>
      <c r="X1170" s="959"/>
      <c r="Y1170" s="959"/>
      <c r="Z1170" s="959"/>
      <c r="AA1170" s="959"/>
      <c r="AB1170" s="958"/>
      <c r="AC1170" s="958"/>
      <c r="AD1170" s="958"/>
      <c r="AE1170" s="958"/>
      <c r="AF1170" s="958"/>
      <c r="AG1170" s="958"/>
      <c r="AH1170" s="958"/>
      <c r="AI1170" s="958"/>
      <c r="AJ1170" s="960"/>
      <c r="AK1170" s="960"/>
      <c r="AL1170" s="960"/>
      <c r="AM1170" s="960"/>
      <c r="AN1170" s="988">
        <f>SUM(AN1165:AN1169)</f>
        <v>5875000</v>
      </c>
      <c r="AO1170" s="988">
        <f>SUM(AO1165:AO1169)</f>
        <v>5875000</v>
      </c>
      <c r="AP1170" s="988">
        <f t="shared" ref="AP1170:AQ1170" si="306">SUM(AP1165:AP1169)</f>
        <v>4762003</v>
      </c>
      <c r="AQ1170" s="988">
        <f t="shared" si="306"/>
        <v>8721344</v>
      </c>
      <c r="AR1170" s="1044"/>
      <c r="AS1170" s="1044"/>
    </row>
    <row r="1171" spans="2:45" ht="12.75" hidden="1" customHeight="1" outlineLevel="1">
      <c r="C1171" s="816" t="s">
        <v>16</v>
      </c>
      <c r="D1171" s="9"/>
      <c r="E1171" s="27" t="s">
        <v>216</v>
      </c>
      <c r="F1171" s="27"/>
      <c r="G1171" s="27"/>
      <c r="H1171" s="27"/>
      <c r="I1171" s="27"/>
      <c r="J1171" s="27"/>
      <c r="K1171" s="27"/>
      <c r="L1171" s="27"/>
      <c r="M1171" s="27"/>
      <c r="N1171" s="27"/>
      <c r="O1171" s="27"/>
      <c r="P1171" s="27"/>
      <c r="Q1171" s="27"/>
      <c r="R1171" s="27"/>
      <c r="S1171" s="27"/>
      <c r="T1171" s="27"/>
      <c r="U1171" s="27"/>
      <c r="V1171" s="27"/>
      <c r="W1171" s="27"/>
      <c r="X1171" s="27"/>
      <c r="Y1171" s="27"/>
      <c r="Z1171" s="27"/>
      <c r="AA1171" s="27"/>
      <c r="AB1171" s="12"/>
      <c r="AC1171" s="12"/>
      <c r="AD1171" s="12"/>
      <c r="AE1171" s="12"/>
      <c r="AF1171" s="12"/>
      <c r="AG1171" s="12"/>
      <c r="AH1171" s="12"/>
      <c r="AI1171" s="12"/>
      <c r="AJ1171" s="47"/>
      <c r="AK1171" s="47"/>
      <c r="AL1171" s="47"/>
      <c r="AM1171" s="47"/>
      <c r="AN1171" s="990"/>
      <c r="AO1171" s="990"/>
      <c r="AP1171" s="990"/>
      <c r="AQ1171" s="990"/>
      <c r="AR1171" s="1044"/>
      <c r="AS1171" s="1044"/>
    </row>
    <row r="1172" spans="2:45" ht="12.75" hidden="1" customHeight="1" outlineLevel="1">
      <c r="C1172" s="816" t="s">
        <v>16</v>
      </c>
      <c r="D1172" s="9"/>
      <c r="E1172" s="9" t="s">
        <v>268</v>
      </c>
      <c r="F1172" s="9"/>
      <c r="G1172" s="9"/>
      <c r="H1172" s="9"/>
      <c r="I1172" s="9"/>
      <c r="J1172" s="9"/>
      <c r="K1172" s="9"/>
      <c r="L1172" s="9"/>
      <c r="M1172" s="9"/>
      <c r="N1172" s="9"/>
      <c r="O1172" s="9"/>
      <c r="P1172" s="9"/>
      <c r="Q1172" s="9"/>
      <c r="R1172" s="9"/>
      <c r="S1172" s="9"/>
      <c r="T1172" s="9"/>
      <c r="U1172" s="9"/>
      <c r="V1172" s="9"/>
      <c r="W1172" s="9"/>
      <c r="X1172" s="9"/>
      <c r="Y1172" s="9"/>
      <c r="Z1172" s="9"/>
      <c r="AA1172" s="9"/>
      <c r="AB1172" s="12">
        <v>8381844</v>
      </c>
      <c r="AC1172" s="12"/>
      <c r="AD1172" s="12">
        <v>16698922</v>
      </c>
      <c r="AE1172" s="12"/>
      <c r="AF1172" s="12">
        <v>16723141</v>
      </c>
      <c r="AG1172" s="12">
        <v>0</v>
      </c>
      <c r="AH1172" s="12">
        <v>1000000</v>
      </c>
      <c r="AI1172" s="228">
        <v>0</v>
      </c>
      <c r="AJ1172" s="46">
        <v>1000000</v>
      </c>
      <c r="AK1172" s="227">
        <v>0</v>
      </c>
      <c r="AL1172" s="46"/>
      <c r="AM1172" s="227"/>
      <c r="AN1172" s="990"/>
      <c r="AO1172" s="990"/>
      <c r="AP1172" s="990"/>
      <c r="AQ1172" s="990"/>
      <c r="AR1172" s="1044"/>
      <c r="AS1172" s="1044"/>
    </row>
    <row r="1173" spans="2:45" ht="12.75" hidden="1" customHeight="1" outlineLevel="1">
      <c r="C1173" s="816" t="s">
        <v>16</v>
      </c>
      <c r="D1173" s="9"/>
      <c r="E1173" s="223" t="s">
        <v>753</v>
      </c>
      <c r="F1173" s="9"/>
      <c r="G1173" s="9"/>
      <c r="H1173" s="9"/>
      <c r="I1173" s="9"/>
      <c r="J1173" s="9"/>
      <c r="K1173" s="9"/>
      <c r="L1173" s="9"/>
      <c r="M1173" s="9"/>
      <c r="N1173" s="9"/>
      <c r="O1173" s="9"/>
      <c r="P1173" s="9"/>
      <c r="Q1173" s="9"/>
      <c r="R1173" s="9"/>
      <c r="S1173" s="9"/>
      <c r="T1173" s="9"/>
      <c r="U1173" s="9"/>
      <c r="V1173" s="9"/>
      <c r="W1173" s="9"/>
      <c r="X1173" s="9"/>
      <c r="Y1173" s="9"/>
      <c r="Z1173" s="9"/>
      <c r="AA1173" s="9"/>
      <c r="AB1173" s="12"/>
      <c r="AC1173" s="12"/>
      <c r="AD1173" s="12"/>
      <c r="AE1173" s="12"/>
      <c r="AF1173" s="12"/>
      <c r="AG1173" s="12"/>
      <c r="AH1173" s="12"/>
      <c r="AI1173" s="228"/>
      <c r="AJ1173" s="46">
        <v>17812500</v>
      </c>
      <c r="AK1173" s="227">
        <v>17812500</v>
      </c>
      <c r="AL1173" s="46">
        <v>93812500</v>
      </c>
      <c r="AM1173" s="227">
        <v>35312500</v>
      </c>
      <c r="AN1173" s="990">
        <v>17500000</v>
      </c>
      <c r="AO1173" s="990">
        <v>17500000</v>
      </c>
      <c r="AP1173" s="990">
        <v>17500000</v>
      </c>
      <c r="AQ1173" s="990">
        <v>17500000</v>
      </c>
      <c r="AR1173" s="1044"/>
      <c r="AS1173" s="1044"/>
    </row>
    <row r="1174" spans="2:45" s="962" customFormat="1" ht="12.75" hidden="1" customHeight="1" outlineLevel="1">
      <c r="B1174" s="963"/>
      <c r="C1174" s="973" t="s">
        <v>16</v>
      </c>
      <c r="D1174" s="965"/>
      <c r="E1174" s="974" t="s">
        <v>1700</v>
      </c>
      <c r="F1174" s="965"/>
      <c r="G1174" s="965"/>
      <c r="H1174" s="965"/>
      <c r="I1174" s="965"/>
      <c r="J1174" s="965"/>
      <c r="K1174" s="965"/>
      <c r="L1174" s="965"/>
      <c r="M1174" s="965"/>
      <c r="N1174" s="965"/>
      <c r="O1174" s="965"/>
      <c r="P1174" s="965"/>
      <c r="Q1174" s="965"/>
      <c r="R1174" s="965"/>
      <c r="S1174" s="965"/>
      <c r="T1174" s="965"/>
      <c r="U1174" s="965"/>
      <c r="V1174" s="965"/>
      <c r="W1174" s="965"/>
      <c r="X1174" s="965"/>
      <c r="Y1174" s="965"/>
      <c r="Z1174" s="965"/>
      <c r="AA1174" s="965"/>
      <c r="AB1174" s="966"/>
      <c r="AC1174" s="966"/>
      <c r="AD1174" s="966"/>
      <c r="AE1174" s="966"/>
      <c r="AF1174" s="966"/>
      <c r="AG1174" s="966"/>
      <c r="AH1174" s="966"/>
      <c r="AI1174" s="972"/>
      <c r="AJ1174" s="970"/>
      <c r="AK1174" s="971"/>
      <c r="AL1174" s="970"/>
      <c r="AM1174" s="971"/>
      <c r="AN1174" s="990">
        <v>3900000</v>
      </c>
      <c r="AO1174" s="990">
        <v>3900000</v>
      </c>
      <c r="AP1174" s="990">
        <v>3900000</v>
      </c>
      <c r="AQ1174" s="990">
        <v>3900000</v>
      </c>
      <c r="AR1174" s="1044"/>
      <c r="AS1174" s="1044"/>
    </row>
    <row r="1175" spans="2:45" ht="12.75" hidden="1" customHeight="1" outlineLevel="1">
      <c r="C1175" s="816" t="s">
        <v>16</v>
      </c>
      <c r="D1175" s="9"/>
      <c r="E1175" s="35" t="s">
        <v>219</v>
      </c>
      <c r="F1175" s="35"/>
      <c r="G1175" s="35"/>
      <c r="H1175" s="35"/>
      <c r="I1175" s="35"/>
      <c r="J1175" s="35"/>
      <c r="K1175" s="35"/>
      <c r="L1175" s="35"/>
      <c r="M1175" s="35"/>
      <c r="N1175" s="35"/>
      <c r="O1175" s="35"/>
      <c r="P1175" s="35"/>
      <c r="Q1175" s="35"/>
      <c r="R1175" s="35"/>
      <c r="S1175" s="35"/>
      <c r="T1175" s="35"/>
      <c r="U1175" s="35"/>
      <c r="V1175" s="35"/>
      <c r="W1175" s="35"/>
      <c r="X1175" s="35"/>
      <c r="Y1175" s="35"/>
      <c r="Z1175" s="35"/>
      <c r="AA1175" s="35"/>
      <c r="AB1175" s="34">
        <v>8381844</v>
      </c>
      <c r="AC1175" s="34"/>
      <c r="AD1175" s="34">
        <v>16698922</v>
      </c>
      <c r="AE1175" s="34"/>
      <c r="AF1175" s="34">
        <v>16723141</v>
      </c>
      <c r="AG1175" s="34">
        <v>0</v>
      </c>
      <c r="AH1175" s="34">
        <v>1000000</v>
      </c>
      <c r="AI1175" s="34">
        <v>0</v>
      </c>
      <c r="AJ1175" s="47">
        <v>18812500</v>
      </c>
      <c r="AK1175" s="47">
        <v>17812500</v>
      </c>
      <c r="AL1175" s="47">
        <f>SUM(AL1173)</f>
        <v>93812500</v>
      </c>
      <c r="AM1175" s="47">
        <f>SUM(AM1173)</f>
        <v>35312500</v>
      </c>
      <c r="AN1175" s="988">
        <f>SUM(AN1173:AN1174)</f>
        <v>21400000</v>
      </c>
      <c r="AO1175" s="988">
        <f>SUM(AO1173:AO1174)</f>
        <v>21400000</v>
      </c>
      <c r="AP1175" s="988">
        <f>SUM(AP1173:AP1174)</f>
        <v>21400000</v>
      </c>
      <c r="AQ1175" s="988">
        <f>SUM(AQ1173:AQ1174)</f>
        <v>21400000</v>
      </c>
      <c r="AR1175" s="1044"/>
      <c r="AS1175" s="1044"/>
    </row>
    <row r="1176" spans="2:45" ht="12.75" hidden="1" customHeight="1" outlineLevel="1">
      <c r="C1176" s="816" t="s">
        <v>16</v>
      </c>
      <c r="D1176" s="9"/>
      <c r="E1176" s="28" t="s">
        <v>220</v>
      </c>
      <c r="F1176" s="28"/>
      <c r="G1176" s="28"/>
      <c r="H1176" s="28"/>
      <c r="I1176" s="28"/>
      <c r="J1176" s="28"/>
      <c r="K1176" s="28"/>
      <c r="L1176" s="28"/>
      <c r="M1176" s="28"/>
      <c r="N1176" s="28"/>
      <c r="O1176" s="28"/>
      <c r="P1176" s="28"/>
      <c r="Q1176" s="28"/>
      <c r="R1176" s="28"/>
      <c r="S1176" s="28"/>
      <c r="T1176" s="28"/>
      <c r="U1176" s="28"/>
      <c r="V1176" s="28"/>
      <c r="W1176" s="28"/>
      <c r="X1176" s="28"/>
      <c r="Y1176" s="28"/>
      <c r="Z1176" s="28"/>
      <c r="AA1176" s="28"/>
      <c r="AB1176" s="12"/>
      <c r="AC1176" s="12"/>
      <c r="AD1176" s="12"/>
      <c r="AE1176" s="12"/>
      <c r="AF1176" s="12"/>
      <c r="AG1176" s="12"/>
      <c r="AH1176" s="12"/>
      <c r="AI1176" s="12"/>
      <c r="AJ1176" s="47"/>
      <c r="AK1176" s="47"/>
      <c r="AL1176" s="47"/>
      <c r="AM1176" s="47"/>
      <c r="AN1176" s="988"/>
      <c r="AO1176" s="988"/>
      <c r="AP1176" s="988"/>
      <c r="AQ1176" s="988"/>
      <c r="AR1176" s="1044"/>
      <c r="AS1176" s="1044"/>
    </row>
    <row r="1177" spans="2:45" ht="12.75" hidden="1" customHeight="1" outlineLevel="1">
      <c r="C1177" s="816" t="s">
        <v>16</v>
      </c>
      <c r="D1177" s="223" t="s">
        <v>1573</v>
      </c>
      <c r="E1177" s="9" t="s">
        <v>221</v>
      </c>
      <c r="F1177" s="9"/>
      <c r="G1177" s="9"/>
      <c r="H1177" s="9"/>
      <c r="I1177" s="9"/>
      <c r="J1177" s="9"/>
      <c r="K1177" s="9"/>
      <c r="L1177" s="9"/>
      <c r="M1177" s="9"/>
      <c r="N1177" s="9"/>
      <c r="O1177" s="9"/>
      <c r="P1177" s="9"/>
      <c r="Q1177" s="9"/>
      <c r="R1177" s="9"/>
      <c r="S1177" s="9"/>
      <c r="T1177" s="9"/>
      <c r="U1177" s="9"/>
      <c r="V1177" s="9"/>
      <c r="W1177" s="9"/>
      <c r="X1177" s="9"/>
      <c r="Y1177" s="9"/>
      <c r="Z1177" s="9"/>
      <c r="AA1177" s="9"/>
      <c r="AB1177" s="12">
        <v>36798320</v>
      </c>
      <c r="AC1177" s="12">
        <v>36798320</v>
      </c>
      <c r="AD1177" s="12">
        <v>38798320</v>
      </c>
      <c r="AE1177" s="12">
        <v>38798320</v>
      </c>
      <c r="AF1177" s="12">
        <v>40207503</v>
      </c>
      <c r="AG1177" s="12">
        <v>43097782</v>
      </c>
      <c r="AH1177" s="12">
        <v>36023625</v>
      </c>
      <c r="AI1177" s="12">
        <v>35741187</v>
      </c>
      <c r="AJ1177" s="227"/>
      <c r="AK1177" s="227"/>
      <c r="AL1177" s="227"/>
      <c r="AM1177" s="227"/>
      <c r="AN1177" s="990"/>
      <c r="AO1177" s="990"/>
      <c r="AP1177" s="990"/>
      <c r="AQ1177" s="990"/>
      <c r="AR1177" s="1044"/>
      <c r="AS1177" s="1044"/>
    </row>
    <row r="1178" spans="2:45" ht="12.75" hidden="1" customHeight="1" outlineLevel="1">
      <c r="C1178" s="816" t="s">
        <v>16</v>
      </c>
      <c r="D1178" s="223" t="s">
        <v>1573</v>
      </c>
      <c r="E1178" s="9" t="s">
        <v>222</v>
      </c>
      <c r="F1178" s="9"/>
      <c r="G1178" s="9"/>
      <c r="H1178" s="9"/>
      <c r="I1178" s="9"/>
      <c r="J1178" s="9"/>
      <c r="K1178" s="9"/>
      <c r="L1178" s="9"/>
      <c r="M1178" s="9"/>
      <c r="N1178" s="9"/>
      <c r="O1178" s="9"/>
      <c r="P1178" s="9"/>
      <c r="Q1178" s="9"/>
      <c r="R1178" s="9"/>
      <c r="S1178" s="9"/>
      <c r="T1178" s="9"/>
      <c r="U1178" s="9"/>
      <c r="V1178" s="9"/>
      <c r="W1178" s="9"/>
      <c r="X1178" s="9"/>
      <c r="Y1178" s="9"/>
      <c r="Z1178" s="9"/>
      <c r="AA1178" s="9"/>
      <c r="AB1178" s="12">
        <v>2599961</v>
      </c>
      <c r="AC1178" s="12">
        <v>2599962</v>
      </c>
      <c r="AD1178" s="12">
        <v>6417156</v>
      </c>
      <c r="AE1178" s="12">
        <v>6417156</v>
      </c>
      <c r="AF1178" s="12">
        <v>7637935</v>
      </c>
      <c r="AG1178" s="12">
        <v>7637935</v>
      </c>
      <c r="AH1178" s="12">
        <v>9276507</v>
      </c>
      <c r="AI1178" s="12">
        <v>5176507</v>
      </c>
      <c r="AJ1178" s="227"/>
      <c r="AK1178" s="227"/>
      <c r="AL1178" s="227"/>
      <c r="AM1178" s="227"/>
      <c r="AN1178" s="990"/>
      <c r="AO1178" s="990"/>
      <c r="AP1178" s="990"/>
      <c r="AQ1178" s="990"/>
      <c r="AR1178" s="1044"/>
      <c r="AS1178" s="1044"/>
    </row>
    <row r="1179" spans="2:45" ht="12.75" hidden="1" customHeight="1" outlineLevel="1">
      <c r="C1179" s="816" t="s">
        <v>16</v>
      </c>
      <c r="D1179" s="223" t="s">
        <v>1573</v>
      </c>
      <c r="E1179" s="9" t="s">
        <v>223</v>
      </c>
      <c r="F1179" s="9"/>
      <c r="G1179" s="9"/>
      <c r="H1179" s="9"/>
      <c r="I1179" s="9"/>
      <c r="J1179" s="9"/>
      <c r="K1179" s="9"/>
      <c r="L1179" s="9"/>
      <c r="M1179" s="9"/>
      <c r="N1179" s="9"/>
      <c r="O1179" s="9"/>
      <c r="P1179" s="9"/>
      <c r="Q1179" s="9"/>
      <c r="R1179" s="9"/>
      <c r="S1179" s="9"/>
      <c r="T1179" s="9"/>
      <c r="U1179" s="9"/>
      <c r="V1179" s="9"/>
      <c r="W1179" s="9"/>
      <c r="X1179" s="9"/>
      <c r="Y1179" s="9"/>
      <c r="Z1179" s="9"/>
      <c r="AA1179" s="9"/>
      <c r="AB1179" s="12">
        <v>8732155</v>
      </c>
      <c r="AC1179" s="12">
        <v>8732155</v>
      </c>
      <c r="AD1179" s="12">
        <v>8732155</v>
      </c>
      <c r="AE1179" s="12">
        <v>8732155</v>
      </c>
      <c r="AF1179" s="12">
        <v>10607155</v>
      </c>
      <c r="AG1179" s="12">
        <v>10607155</v>
      </c>
      <c r="AH1179" s="12">
        <v>2800000</v>
      </c>
      <c r="AI1179" s="12">
        <v>2800000</v>
      </c>
      <c r="AJ1179" s="46">
        <v>2515000</v>
      </c>
      <c r="AK1179" s="46">
        <v>2515000</v>
      </c>
      <c r="AL1179" s="46">
        <v>2000000</v>
      </c>
      <c r="AM1179" s="46">
        <v>2000000</v>
      </c>
      <c r="AN1179" s="987">
        <v>5000000</v>
      </c>
      <c r="AO1179" s="987">
        <v>5000000</v>
      </c>
      <c r="AP1179" s="987">
        <v>5000000</v>
      </c>
      <c r="AQ1179" s="987">
        <v>5000000</v>
      </c>
      <c r="AR1179" s="1044"/>
      <c r="AS1179" s="1044"/>
    </row>
    <row r="1180" spans="2:45" ht="12.75" hidden="1" customHeight="1" outlineLevel="1">
      <c r="C1180" s="816" t="s">
        <v>16</v>
      </c>
      <c r="D1180" s="1051" t="s">
        <v>1573</v>
      </c>
      <c r="E1180" s="9" t="s">
        <v>224</v>
      </c>
      <c r="F1180" s="9"/>
      <c r="G1180" s="9"/>
      <c r="H1180" s="9"/>
      <c r="I1180" s="9"/>
      <c r="J1180" s="9"/>
      <c r="K1180" s="9"/>
      <c r="L1180" s="9"/>
      <c r="M1180" s="9"/>
      <c r="N1180" s="9"/>
      <c r="O1180" s="9"/>
      <c r="P1180" s="9"/>
      <c r="Q1180" s="9"/>
      <c r="R1180" s="9"/>
      <c r="S1180" s="9"/>
      <c r="T1180" s="9"/>
      <c r="U1180" s="9"/>
      <c r="V1180" s="9"/>
      <c r="W1180" s="9"/>
      <c r="X1180" s="9"/>
      <c r="Y1180" s="9"/>
      <c r="Z1180" s="9"/>
      <c r="AA1180" s="9"/>
      <c r="AB1180" s="12">
        <v>452144</v>
      </c>
      <c r="AC1180" s="12">
        <v>452145</v>
      </c>
      <c r="AD1180" s="12">
        <v>452145</v>
      </c>
      <c r="AE1180" s="12">
        <v>452144</v>
      </c>
      <c r="AF1180" s="12">
        <v>452145</v>
      </c>
      <c r="AG1180" s="12">
        <v>452144</v>
      </c>
      <c r="AH1180" s="12">
        <v>0</v>
      </c>
      <c r="AI1180" s="12">
        <v>0</v>
      </c>
      <c r="AJ1180" s="46"/>
      <c r="AK1180" s="46"/>
      <c r="AL1180" s="46">
        <v>1500000</v>
      </c>
      <c r="AM1180" s="227">
        <v>1500000</v>
      </c>
      <c r="AN1180" s="990">
        <v>1500000</v>
      </c>
      <c r="AO1180" s="990">
        <v>1500000</v>
      </c>
      <c r="AP1180" s="990">
        <v>1500000</v>
      </c>
      <c r="AQ1180" s="990">
        <v>1500000</v>
      </c>
      <c r="AR1180" s="1044"/>
      <c r="AS1180" s="1044"/>
    </row>
    <row r="1181" spans="2:45" s="1044" customFormat="1" ht="12.75" hidden="1" customHeight="1" outlineLevel="1">
      <c r="B1181" s="1045"/>
      <c r="C1181" s="1053" t="s">
        <v>16</v>
      </c>
      <c r="D1181" s="1051" t="s">
        <v>1573</v>
      </c>
      <c r="E1181" s="1051" t="s">
        <v>1977</v>
      </c>
      <c r="F1181" s="1030"/>
      <c r="G1181" s="1030"/>
      <c r="H1181" s="1030"/>
      <c r="I1181" s="1030"/>
      <c r="J1181" s="1030"/>
      <c r="K1181" s="1030"/>
      <c r="L1181" s="1030"/>
      <c r="M1181" s="1030"/>
      <c r="N1181" s="1030"/>
      <c r="O1181" s="1030"/>
      <c r="P1181" s="1030"/>
      <c r="Q1181" s="1030"/>
      <c r="R1181" s="1030"/>
      <c r="S1181" s="1030"/>
      <c r="T1181" s="1030"/>
      <c r="U1181" s="1030"/>
      <c r="V1181" s="1030"/>
      <c r="W1181" s="1030"/>
      <c r="X1181" s="1030"/>
      <c r="Y1181" s="1030"/>
      <c r="Z1181" s="1030"/>
      <c r="AA1181" s="1030"/>
      <c r="AB1181" s="1070"/>
      <c r="AC1181" s="1070"/>
      <c r="AD1181" s="1070"/>
      <c r="AE1181" s="1070"/>
      <c r="AF1181" s="1070"/>
      <c r="AG1181" s="1070"/>
      <c r="AH1181" s="1070"/>
      <c r="AI1181" s="1070"/>
      <c r="AJ1181" s="987"/>
      <c r="AK1181" s="987"/>
      <c r="AL1181" s="987"/>
      <c r="AM1181" s="990"/>
      <c r="AN1181" s="990"/>
      <c r="AO1181" s="990"/>
      <c r="AP1181" s="1137">
        <v>2061250</v>
      </c>
      <c r="AQ1181" s="990">
        <v>2061250</v>
      </c>
    </row>
    <row r="1182" spans="2:45" ht="12.75" hidden="1" customHeight="1" outlineLevel="1">
      <c r="C1182" s="816" t="s">
        <v>16</v>
      </c>
      <c r="D1182" s="1051" t="s">
        <v>1573</v>
      </c>
      <c r="E1182" s="9" t="s">
        <v>225</v>
      </c>
      <c r="F1182" s="9"/>
      <c r="G1182" s="9"/>
      <c r="H1182" s="9"/>
      <c r="I1182" s="9"/>
      <c r="J1182" s="9"/>
      <c r="K1182" s="9"/>
      <c r="L1182" s="9"/>
      <c r="M1182" s="9"/>
      <c r="N1182" s="9"/>
      <c r="O1182" s="9"/>
      <c r="P1182" s="9"/>
      <c r="Q1182" s="9"/>
      <c r="R1182" s="9"/>
      <c r="S1182" s="9"/>
      <c r="T1182" s="9"/>
      <c r="U1182" s="9"/>
      <c r="V1182" s="9"/>
      <c r="W1182" s="9"/>
      <c r="X1182" s="9"/>
      <c r="Y1182" s="9"/>
      <c r="Z1182" s="9"/>
      <c r="AA1182" s="9"/>
      <c r="AB1182" s="12">
        <v>2495220</v>
      </c>
      <c r="AC1182" s="12">
        <v>2495220</v>
      </c>
      <c r="AD1182" s="12">
        <v>2495220</v>
      </c>
      <c r="AE1182" s="12">
        <v>2495220</v>
      </c>
      <c r="AF1182" s="12">
        <v>2495220</v>
      </c>
      <c r="AG1182" s="12">
        <v>2495220</v>
      </c>
      <c r="AH1182" s="12">
        <v>0</v>
      </c>
      <c r="AI1182" s="12">
        <v>0</v>
      </c>
      <c r="AJ1182" s="46"/>
      <c r="AK1182" s="46"/>
      <c r="AL1182" s="46"/>
      <c r="AM1182" s="46"/>
      <c r="AN1182" s="987"/>
      <c r="AO1182" s="987"/>
      <c r="AP1182" s="987"/>
      <c r="AQ1182" s="987"/>
      <c r="AR1182" s="1044"/>
      <c r="AS1182" s="1044"/>
    </row>
    <row r="1183" spans="2:45" ht="12.75" hidden="1" customHeight="1" outlineLevel="1">
      <c r="C1183" s="816" t="s">
        <v>16</v>
      </c>
      <c r="D1183" s="1051" t="s">
        <v>1573</v>
      </c>
      <c r="E1183" s="9" t="s">
        <v>226</v>
      </c>
      <c r="F1183" s="9"/>
      <c r="G1183" s="9"/>
      <c r="H1183" s="9"/>
      <c r="I1183" s="9"/>
      <c r="J1183" s="9"/>
      <c r="K1183" s="9"/>
      <c r="L1183" s="9"/>
      <c r="M1183" s="9"/>
      <c r="N1183" s="9"/>
      <c r="O1183" s="9"/>
      <c r="P1183" s="9"/>
      <c r="Q1183" s="9"/>
      <c r="R1183" s="9"/>
      <c r="S1183" s="9"/>
      <c r="T1183" s="9"/>
      <c r="U1183" s="9"/>
      <c r="V1183" s="9"/>
      <c r="W1183" s="9"/>
      <c r="X1183" s="9"/>
      <c r="Y1183" s="9"/>
      <c r="Z1183" s="9"/>
      <c r="AA1183" s="9"/>
      <c r="AB1183" s="12">
        <v>1818402</v>
      </c>
      <c r="AC1183" s="12">
        <v>1818402</v>
      </c>
      <c r="AD1183" s="12">
        <v>300000</v>
      </c>
      <c r="AE1183" s="12">
        <v>300000</v>
      </c>
      <c r="AF1183" s="12">
        <v>300000</v>
      </c>
      <c r="AG1183" s="12">
        <v>300000</v>
      </c>
      <c r="AH1183" s="12">
        <v>0</v>
      </c>
      <c r="AI1183" s="12">
        <v>17000000</v>
      </c>
      <c r="AJ1183" s="46"/>
      <c r="AK1183" s="46"/>
      <c r="AL1183" s="46"/>
      <c r="AM1183" s="46"/>
      <c r="AN1183" s="987"/>
      <c r="AO1183" s="987"/>
      <c r="AP1183" s="987"/>
      <c r="AQ1183" s="987"/>
      <c r="AR1183" s="1044"/>
      <c r="AS1183" s="1044"/>
    </row>
    <row r="1184" spans="2:45" ht="12.75" hidden="1" customHeight="1" outlineLevel="1">
      <c r="C1184" s="816" t="s">
        <v>16</v>
      </c>
      <c r="D1184" s="9"/>
      <c r="E1184" s="223" t="s">
        <v>1005</v>
      </c>
      <c r="F1184" s="9"/>
      <c r="G1184" s="9"/>
      <c r="H1184" s="9"/>
      <c r="I1184" s="9"/>
      <c r="J1184" s="9"/>
      <c r="K1184" s="9"/>
      <c r="L1184" s="9"/>
      <c r="M1184" s="9"/>
      <c r="N1184" s="9"/>
      <c r="O1184" s="9"/>
      <c r="P1184" s="9"/>
      <c r="Q1184" s="9"/>
      <c r="R1184" s="9"/>
      <c r="S1184" s="9"/>
      <c r="T1184" s="9"/>
      <c r="U1184" s="9"/>
      <c r="V1184" s="9"/>
      <c r="W1184" s="9"/>
      <c r="X1184" s="9"/>
      <c r="Y1184" s="9"/>
      <c r="Z1184" s="9"/>
      <c r="AA1184" s="9"/>
      <c r="AB1184" s="12">
        <v>3316355</v>
      </c>
      <c r="AC1184" s="12">
        <v>0</v>
      </c>
      <c r="AD1184" s="12"/>
      <c r="AE1184" s="12"/>
      <c r="AF1184" s="12"/>
      <c r="AG1184" s="12"/>
      <c r="AH1184" s="12"/>
      <c r="AI1184" s="12"/>
      <c r="AJ1184" s="46">
        <v>5000000</v>
      </c>
      <c r="AK1184" s="227"/>
      <c r="AL1184" s="46"/>
      <c r="AM1184" s="227"/>
      <c r="AN1184" s="990"/>
      <c r="AO1184" s="990"/>
      <c r="AP1184" s="990"/>
      <c r="AQ1184" s="990"/>
      <c r="AR1184" s="1044"/>
      <c r="AS1184" s="1044"/>
    </row>
    <row r="1185" spans="2:45" ht="12.75" hidden="1" customHeight="1" outlineLevel="1">
      <c r="C1185" s="816" t="s">
        <v>16</v>
      </c>
      <c r="D1185" s="1051" t="s">
        <v>1573</v>
      </c>
      <c r="E1185" s="597" t="s">
        <v>227</v>
      </c>
      <c r="F1185" s="9"/>
      <c r="G1185" s="9"/>
      <c r="H1185" s="9"/>
      <c r="I1185" s="9"/>
      <c r="J1185" s="9"/>
      <c r="K1185" s="9"/>
      <c r="L1185" s="9"/>
      <c r="M1185" s="9"/>
      <c r="N1185" s="9"/>
      <c r="O1185" s="9"/>
      <c r="P1185" s="9"/>
      <c r="Q1185" s="9"/>
      <c r="R1185" s="9"/>
      <c r="S1185" s="9"/>
      <c r="T1185" s="9"/>
      <c r="U1185" s="9"/>
      <c r="V1185" s="9"/>
      <c r="W1185" s="9"/>
      <c r="X1185" s="9"/>
      <c r="Y1185" s="9"/>
      <c r="Z1185" s="9"/>
      <c r="AA1185" s="9"/>
      <c r="AB1185" s="12">
        <v>197046</v>
      </c>
      <c r="AC1185" s="12">
        <v>197047</v>
      </c>
      <c r="AD1185" s="12">
        <v>5616355</v>
      </c>
      <c r="AE1185" s="12">
        <v>0</v>
      </c>
      <c r="AF1185" s="12">
        <v>10616355</v>
      </c>
      <c r="AG1185" s="12">
        <v>0</v>
      </c>
      <c r="AH1185" s="12">
        <v>7006794</v>
      </c>
      <c r="AI1185" s="228"/>
      <c r="AJ1185" s="46">
        <v>10206794</v>
      </c>
      <c r="AK1185" s="227"/>
      <c r="AL1185" s="46">
        <v>10206794</v>
      </c>
      <c r="AM1185" s="227"/>
      <c r="AN1185" s="990">
        <v>10206794</v>
      </c>
      <c r="AO1185" s="990"/>
      <c r="AP1185" s="1137">
        <v>10206794</v>
      </c>
      <c r="AQ1185" s="990"/>
      <c r="AR1185" s="1044"/>
      <c r="AS1185" s="1044"/>
    </row>
    <row r="1186" spans="2:45" ht="12.75" hidden="1" customHeight="1" outlineLevel="1">
      <c r="C1186" s="816" t="s">
        <v>16</v>
      </c>
      <c r="D1186" s="1051" t="s">
        <v>1573</v>
      </c>
      <c r="E1186" s="1051" t="s">
        <v>2045</v>
      </c>
      <c r="F1186" s="9"/>
      <c r="G1186" s="9"/>
      <c r="H1186" s="9"/>
      <c r="I1186" s="9"/>
      <c r="J1186" s="9"/>
      <c r="K1186" s="9"/>
      <c r="L1186" s="9"/>
      <c r="M1186" s="9"/>
      <c r="N1186" s="9"/>
      <c r="O1186" s="9"/>
      <c r="P1186" s="9"/>
      <c r="Q1186" s="9"/>
      <c r="R1186" s="9"/>
      <c r="S1186" s="9"/>
      <c r="T1186" s="9"/>
      <c r="U1186" s="9"/>
      <c r="V1186" s="9"/>
      <c r="W1186" s="9"/>
      <c r="X1186" s="9"/>
      <c r="Y1186" s="9"/>
      <c r="Z1186" s="9"/>
      <c r="AA1186" s="9"/>
      <c r="AB1186" s="12">
        <v>918565</v>
      </c>
      <c r="AC1186" s="12">
        <v>918565</v>
      </c>
      <c r="AD1186" s="12">
        <v>197047</v>
      </c>
      <c r="AE1186" s="12">
        <v>197047</v>
      </c>
      <c r="AF1186" s="12">
        <v>197047</v>
      </c>
      <c r="AG1186" s="12">
        <v>197047</v>
      </c>
      <c r="AH1186" s="12">
        <v>0</v>
      </c>
      <c r="AI1186" s="12">
        <v>0</v>
      </c>
      <c r="AJ1186" s="46"/>
      <c r="AK1186" s="46"/>
      <c r="AL1186" s="46"/>
      <c r="AM1186" s="46"/>
      <c r="AN1186" s="987"/>
      <c r="AO1186" s="987"/>
      <c r="AP1186" s="987"/>
      <c r="AQ1186" s="987"/>
      <c r="AR1186" s="1044"/>
      <c r="AS1186" s="1044"/>
    </row>
    <row r="1187" spans="2:45" s="975" customFormat="1" ht="12.75" hidden="1" customHeight="1" outlineLevel="1">
      <c r="B1187" s="976"/>
      <c r="C1187" s="980" t="s">
        <v>16</v>
      </c>
      <c r="D1187" s="1051" t="s">
        <v>1573</v>
      </c>
      <c r="E1187" s="981" t="s">
        <v>1876</v>
      </c>
      <c r="F1187" s="977"/>
      <c r="G1187" s="977"/>
      <c r="H1187" s="977"/>
      <c r="I1187" s="977"/>
      <c r="J1187" s="977"/>
      <c r="K1187" s="977"/>
      <c r="L1187" s="977"/>
      <c r="M1187" s="977"/>
      <c r="N1187" s="977"/>
      <c r="O1187" s="977"/>
      <c r="P1187" s="977"/>
      <c r="Q1187" s="977"/>
      <c r="R1187" s="977"/>
      <c r="S1187" s="977"/>
      <c r="T1187" s="977"/>
      <c r="U1187" s="977"/>
      <c r="V1187" s="977"/>
      <c r="W1187" s="977"/>
      <c r="X1187" s="977"/>
      <c r="Y1187" s="977"/>
      <c r="Z1187" s="977"/>
      <c r="AA1187" s="977"/>
      <c r="AB1187" s="978"/>
      <c r="AC1187" s="978"/>
      <c r="AD1187" s="978"/>
      <c r="AE1187" s="978"/>
      <c r="AF1187" s="978"/>
      <c r="AG1187" s="978"/>
      <c r="AH1187" s="978"/>
      <c r="AI1187" s="978"/>
      <c r="AJ1187" s="979"/>
      <c r="AK1187" s="979"/>
      <c r="AL1187" s="979"/>
      <c r="AM1187" s="979"/>
      <c r="AN1187" s="987">
        <v>1500000</v>
      </c>
      <c r="AO1187" s="987">
        <v>1500000</v>
      </c>
      <c r="AP1187" s="1138">
        <v>1500000</v>
      </c>
      <c r="AQ1187" s="987">
        <v>1500000</v>
      </c>
      <c r="AR1187" s="1044"/>
      <c r="AS1187" s="1044"/>
    </row>
    <row r="1188" spans="2:45" ht="12.75" hidden="1" customHeight="1" outlineLevel="1">
      <c r="C1188" s="816" t="s">
        <v>16</v>
      </c>
      <c r="D1188" s="1051" t="s">
        <v>1573</v>
      </c>
      <c r="E1188" s="9" t="s">
        <v>229</v>
      </c>
      <c r="F1188" s="9"/>
      <c r="G1188" s="9"/>
      <c r="H1188" s="9"/>
      <c r="I1188" s="9"/>
      <c r="J1188" s="9"/>
      <c r="K1188" s="9"/>
      <c r="L1188" s="9"/>
      <c r="M1188" s="9"/>
      <c r="N1188" s="9"/>
      <c r="O1188" s="9"/>
      <c r="P1188" s="9"/>
      <c r="Q1188" s="9"/>
      <c r="R1188" s="9"/>
      <c r="S1188" s="9"/>
      <c r="T1188" s="9"/>
      <c r="U1188" s="9"/>
      <c r="V1188" s="9"/>
      <c r="W1188" s="9"/>
      <c r="X1188" s="9"/>
      <c r="Y1188" s="9"/>
      <c r="Z1188" s="9"/>
      <c r="AA1188" s="9"/>
      <c r="AB1188" s="12">
        <v>45633</v>
      </c>
      <c r="AC1188" s="12">
        <v>45633</v>
      </c>
      <c r="AD1188" s="12">
        <v>918565</v>
      </c>
      <c r="AE1188" s="12">
        <v>918565</v>
      </c>
      <c r="AF1188" s="12">
        <v>0</v>
      </c>
      <c r="AG1188" s="12">
        <v>0</v>
      </c>
      <c r="AH1188" s="12">
        <v>0</v>
      </c>
      <c r="AI1188" s="12">
        <v>0</v>
      </c>
      <c r="AJ1188" s="46"/>
      <c r="AK1188" s="46"/>
      <c r="AL1188" s="46"/>
      <c r="AM1188" s="46"/>
      <c r="AN1188" s="987"/>
      <c r="AO1188" s="987"/>
      <c r="AP1188" s="987"/>
      <c r="AQ1188" s="987"/>
      <c r="AR1188" s="1044"/>
      <c r="AS1188" s="1044"/>
    </row>
    <row r="1189" spans="2:45" ht="12.75" hidden="1" customHeight="1" outlineLevel="1">
      <c r="C1189" s="816" t="s">
        <v>16</v>
      </c>
      <c r="D1189" s="1051" t="s">
        <v>1573</v>
      </c>
      <c r="E1189" s="9" t="s">
        <v>230</v>
      </c>
      <c r="F1189" s="9"/>
      <c r="G1189" s="9"/>
      <c r="H1189" s="9"/>
      <c r="I1189" s="9"/>
      <c r="J1189" s="9"/>
      <c r="K1189" s="9"/>
      <c r="L1189" s="9"/>
      <c r="M1189" s="9"/>
      <c r="N1189" s="9"/>
      <c r="O1189" s="9"/>
      <c r="P1189" s="9"/>
      <c r="Q1189" s="9"/>
      <c r="R1189" s="9"/>
      <c r="S1189" s="9"/>
      <c r="T1189" s="9"/>
      <c r="U1189" s="9"/>
      <c r="V1189" s="9"/>
      <c r="W1189" s="9"/>
      <c r="X1189" s="9"/>
      <c r="Y1189" s="9"/>
      <c r="Z1189" s="9"/>
      <c r="AA1189" s="9"/>
      <c r="AB1189" s="12">
        <v>106477</v>
      </c>
      <c r="AC1189" s="12">
        <v>106477</v>
      </c>
      <c r="AD1189" s="12">
        <v>45633</v>
      </c>
      <c r="AE1189" s="12">
        <v>45633</v>
      </c>
      <c r="AF1189" s="12">
        <v>918565</v>
      </c>
      <c r="AG1189" s="12">
        <v>918565</v>
      </c>
      <c r="AH1189" s="12">
        <v>0</v>
      </c>
      <c r="AI1189" s="12">
        <v>0</v>
      </c>
      <c r="AJ1189" s="46"/>
      <c r="AK1189" s="46"/>
      <c r="AL1189" s="46"/>
      <c r="AM1189" s="46"/>
      <c r="AN1189" s="987"/>
      <c r="AO1189" s="987"/>
      <c r="AP1189" s="987"/>
      <c r="AQ1189" s="987"/>
      <c r="AR1189" s="1044"/>
      <c r="AS1189" s="1044"/>
    </row>
    <row r="1190" spans="2:45" ht="12.75" hidden="1" customHeight="1" outlineLevel="1">
      <c r="C1190" s="816" t="s">
        <v>16</v>
      </c>
      <c r="D1190" s="1051" t="s">
        <v>1573</v>
      </c>
      <c r="E1190" s="9" t="s">
        <v>269</v>
      </c>
      <c r="F1190" s="9"/>
      <c r="G1190" s="9"/>
      <c r="H1190" s="9"/>
      <c r="I1190" s="9"/>
      <c r="J1190" s="9"/>
      <c r="K1190" s="9"/>
      <c r="L1190" s="9"/>
      <c r="M1190" s="9"/>
      <c r="N1190" s="9"/>
      <c r="O1190" s="9"/>
      <c r="P1190" s="9"/>
      <c r="Q1190" s="9"/>
      <c r="R1190" s="9"/>
      <c r="S1190" s="9"/>
      <c r="T1190" s="9"/>
      <c r="U1190" s="9"/>
      <c r="V1190" s="9"/>
      <c r="W1190" s="9"/>
      <c r="X1190" s="9"/>
      <c r="Y1190" s="9"/>
      <c r="Z1190" s="9"/>
      <c r="AA1190" s="9"/>
      <c r="AB1190" s="12">
        <v>3000000</v>
      </c>
      <c r="AC1190" s="12">
        <v>3000000</v>
      </c>
      <c r="AD1190" s="12">
        <v>106477</v>
      </c>
      <c r="AE1190" s="12">
        <v>106477</v>
      </c>
      <c r="AF1190" s="12">
        <v>45633</v>
      </c>
      <c r="AG1190" s="12">
        <v>45633</v>
      </c>
      <c r="AH1190" s="12">
        <v>0</v>
      </c>
      <c r="AI1190" s="12">
        <v>0</v>
      </c>
      <c r="AJ1190" s="46"/>
      <c r="AK1190" s="46"/>
      <c r="AL1190" s="46">
        <v>110000</v>
      </c>
      <c r="AM1190" s="46">
        <v>110000</v>
      </c>
      <c r="AN1190" s="987"/>
      <c r="AO1190" s="987"/>
      <c r="AP1190" s="987"/>
      <c r="AQ1190" s="987"/>
      <c r="AR1190" s="1044"/>
      <c r="AS1190" s="1044"/>
    </row>
    <row r="1191" spans="2:45" s="1044" customFormat="1" ht="12.75" hidden="1" customHeight="1" outlineLevel="1">
      <c r="B1191" s="1045"/>
      <c r="C1191" s="1053" t="s">
        <v>16</v>
      </c>
      <c r="D1191" s="1051" t="s">
        <v>1573</v>
      </c>
      <c r="E1191" s="1051" t="s">
        <v>1978</v>
      </c>
      <c r="F1191" s="1030"/>
      <c r="G1191" s="1030"/>
      <c r="H1191" s="1030"/>
      <c r="I1191" s="1030"/>
      <c r="J1191" s="1030"/>
      <c r="K1191" s="1030"/>
      <c r="L1191" s="1030"/>
      <c r="M1191" s="1030"/>
      <c r="N1191" s="1030"/>
      <c r="O1191" s="1030"/>
      <c r="P1191" s="1030"/>
      <c r="Q1191" s="1030"/>
      <c r="R1191" s="1030"/>
      <c r="S1191" s="1030"/>
      <c r="T1191" s="1030"/>
      <c r="U1191" s="1030"/>
      <c r="V1191" s="1030"/>
      <c r="W1191" s="1030"/>
      <c r="X1191" s="1030"/>
      <c r="Y1191" s="1030"/>
      <c r="Z1191" s="1030"/>
      <c r="AA1191" s="1030"/>
      <c r="AB1191" s="1070"/>
      <c r="AC1191" s="1070"/>
      <c r="AD1191" s="1070"/>
      <c r="AE1191" s="1070"/>
      <c r="AF1191" s="1070"/>
      <c r="AG1191" s="1070"/>
      <c r="AH1191" s="1070"/>
      <c r="AI1191" s="1070"/>
      <c r="AJ1191" s="987"/>
      <c r="AK1191" s="987"/>
      <c r="AL1191" s="987"/>
      <c r="AM1191" s="987"/>
      <c r="AN1191" s="987"/>
      <c r="AO1191" s="987"/>
      <c r="AP1191" s="1138">
        <v>49500000</v>
      </c>
      <c r="AQ1191" s="987">
        <v>49500000</v>
      </c>
    </row>
    <row r="1192" spans="2:45" ht="12.75" hidden="1" customHeight="1" outlineLevel="1">
      <c r="C1192" s="816" t="s">
        <v>16</v>
      </c>
      <c r="D1192" s="223" t="s">
        <v>1573</v>
      </c>
      <c r="E1192" s="9" t="s">
        <v>231</v>
      </c>
      <c r="F1192" s="9"/>
      <c r="G1192" s="9"/>
      <c r="H1192" s="9"/>
      <c r="I1192" s="9"/>
      <c r="J1192" s="9"/>
      <c r="K1192" s="9"/>
      <c r="L1192" s="9"/>
      <c r="M1192" s="9"/>
      <c r="N1192" s="9"/>
      <c r="O1192" s="9"/>
      <c r="P1192" s="9"/>
      <c r="Q1192" s="9"/>
      <c r="R1192" s="9"/>
      <c r="S1192" s="9"/>
      <c r="T1192" s="9"/>
      <c r="U1192" s="9"/>
      <c r="V1192" s="9"/>
      <c r="W1192" s="9"/>
      <c r="X1192" s="9"/>
      <c r="Y1192" s="9"/>
      <c r="Z1192" s="9"/>
      <c r="AA1192" s="9"/>
      <c r="AB1192" s="12">
        <v>2000000</v>
      </c>
      <c r="AC1192" s="12">
        <v>0</v>
      </c>
      <c r="AD1192" s="12">
        <v>7350000</v>
      </c>
      <c r="AE1192" s="12">
        <v>7350000</v>
      </c>
      <c r="AF1192" s="12">
        <v>27350000</v>
      </c>
      <c r="AG1192" s="12">
        <v>22350000</v>
      </c>
      <c r="AH1192" s="12">
        <v>15000000</v>
      </c>
      <c r="AI1192" s="12">
        <v>15000000</v>
      </c>
      <c r="AJ1192" s="46">
        <v>16875000</v>
      </c>
      <c r="AK1192" s="46">
        <v>16875000</v>
      </c>
      <c r="AL1192" s="46">
        <v>16875000</v>
      </c>
      <c r="AM1192" s="46">
        <v>16875000</v>
      </c>
      <c r="AN1192" s="987">
        <v>10000000</v>
      </c>
      <c r="AO1192" s="987">
        <v>10000000</v>
      </c>
      <c r="AP1192" s="987">
        <v>9940024</v>
      </c>
      <c r="AQ1192" s="987">
        <v>9940024</v>
      </c>
      <c r="AR1192" s="1044"/>
      <c r="AS1192" s="1044"/>
    </row>
    <row r="1193" spans="2:45" ht="12.75" hidden="1" customHeight="1" outlineLevel="1">
      <c r="C1193" s="816" t="s">
        <v>16</v>
      </c>
      <c r="D1193" s="9"/>
      <c r="E1193" s="9" t="s">
        <v>232</v>
      </c>
      <c r="F1193" s="9"/>
      <c r="G1193" s="9"/>
      <c r="H1193" s="9"/>
      <c r="I1193" s="9"/>
      <c r="J1193" s="9"/>
      <c r="K1193" s="9"/>
      <c r="L1193" s="9"/>
      <c r="M1193" s="9"/>
      <c r="N1193" s="9"/>
      <c r="O1193" s="9"/>
      <c r="P1193" s="9"/>
      <c r="Q1193" s="9"/>
      <c r="R1193" s="9"/>
      <c r="S1193" s="9"/>
      <c r="T1193" s="9"/>
      <c r="U1193" s="9"/>
      <c r="V1193" s="9"/>
      <c r="W1193" s="9"/>
      <c r="X1193" s="9"/>
      <c r="Y1193" s="9"/>
      <c r="Z1193" s="9"/>
      <c r="AA1193" s="9"/>
      <c r="AB1193" s="12"/>
      <c r="AC1193" s="12"/>
      <c r="AD1193" s="12">
        <v>3900000</v>
      </c>
      <c r="AE1193" s="12">
        <v>0</v>
      </c>
      <c r="AF1193" s="12">
        <v>216477</v>
      </c>
      <c r="AG1193" s="12">
        <v>216477</v>
      </c>
      <c r="AH1193" s="12">
        <v>5230625</v>
      </c>
      <c r="AI1193" s="12">
        <v>0</v>
      </c>
      <c r="AJ1193" s="46"/>
      <c r="AK1193" s="46"/>
      <c r="AL1193" s="46"/>
      <c r="AM1193" s="46"/>
      <c r="AN1193" s="987"/>
      <c r="AO1193" s="987"/>
      <c r="AP1193" s="987"/>
      <c r="AQ1193" s="987"/>
      <c r="AR1193" s="1044"/>
      <c r="AS1193" s="1044"/>
    </row>
    <row r="1194" spans="2:45" ht="12.75" hidden="1" customHeight="1" outlineLevel="1">
      <c r="C1194" s="816" t="s">
        <v>16</v>
      </c>
      <c r="D1194" s="9"/>
      <c r="E1194" s="9" t="s">
        <v>233</v>
      </c>
      <c r="F1194" s="9"/>
      <c r="G1194" s="9"/>
      <c r="H1194" s="9"/>
      <c r="I1194" s="9"/>
      <c r="J1194" s="9"/>
      <c r="K1194" s="9"/>
      <c r="L1194" s="9"/>
      <c r="M1194" s="9"/>
      <c r="N1194" s="9"/>
      <c r="O1194" s="9"/>
      <c r="P1194" s="9"/>
      <c r="Q1194" s="9"/>
      <c r="R1194" s="9"/>
      <c r="S1194" s="9"/>
      <c r="T1194" s="9"/>
      <c r="U1194" s="9"/>
      <c r="V1194" s="9"/>
      <c r="W1194" s="9"/>
      <c r="X1194" s="9"/>
      <c r="Y1194" s="9"/>
      <c r="Z1194" s="9"/>
      <c r="AA1194" s="9"/>
      <c r="AB1194" s="12"/>
      <c r="AC1194" s="12"/>
      <c r="AD1194" s="12"/>
      <c r="AE1194" s="12"/>
      <c r="AF1194" s="12">
        <v>6850000</v>
      </c>
      <c r="AG1194" s="12">
        <v>0</v>
      </c>
      <c r="AH1194" s="12">
        <v>0</v>
      </c>
      <c r="AI1194" s="12">
        <v>0</v>
      </c>
      <c r="AJ1194" s="46"/>
      <c r="AK1194" s="46"/>
      <c r="AL1194" s="46"/>
      <c r="AM1194" s="46"/>
      <c r="AN1194" s="987"/>
      <c r="AO1194" s="987"/>
      <c r="AP1194" s="987"/>
      <c r="AQ1194" s="987"/>
      <c r="AR1194" s="1044"/>
      <c r="AS1194" s="1044"/>
    </row>
    <row r="1195" spans="2:45" ht="12.75" hidden="1" customHeight="1" outlineLevel="1">
      <c r="C1195" s="816" t="s">
        <v>16</v>
      </c>
      <c r="D1195" s="9"/>
      <c r="E1195" s="9" t="s">
        <v>234</v>
      </c>
      <c r="F1195" s="9"/>
      <c r="G1195" s="9"/>
      <c r="H1195" s="9"/>
      <c r="I1195" s="9"/>
      <c r="J1195" s="9"/>
      <c r="K1195" s="9"/>
      <c r="L1195" s="9"/>
      <c r="M1195" s="9"/>
      <c r="N1195" s="9"/>
      <c r="O1195" s="9"/>
      <c r="P1195" s="9"/>
      <c r="Q1195" s="9"/>
      <c r="R1195" s="9"/>
      <c r="S1195" s="9"/>
      <c r="T1195" s="9"/>
      <c r="U1195" s="9"/>
      <c r="V1195" s="9"/>
      <c r="W1195" s="9"/>
      <c r="X1195" s="9"/>
      <c r="Y1195" s="9"/>
      <c r="Z1195" s="9"/>
      <c r="AA1195" s="9"/>
      <c r="AB1195" s="12"/>
      <c r="AC1195" s="12"/>
      <c r="AD1195" s="12"/>
      <c r="AE1195" s="12"/>
      <c r="AF1195" s="12">
        <v>2500000</v>
      </c>
      <c r="AG1195" s="12">
        <v>2500000</v>
      </c>
      <c r="AH1195" s="12">
        <v>0</v>
      </c>
      <c r="AI1195" s="12">
        <v>0</v>
      </c>
      <c r="AJ1195" s="46"/>
      <c r="AK1195" s="46"/>
      <c r="AL1195" s="46"/>
      <c r="AM1195" s="46"/>
      <c r="AN1195" s="987">
        <v>2125000</v>
      </c>
      <c r="AO1195" s="987">
        <v>2125000</v>
      </c>
      <c r="AP1195" s="987"/>
      <c r="AQ1195" s="987"/>
      <c r="AR1195" s="1044"/>
      <c r="AS1195" s="1044"/>
    </row>
    <row r="1196" spans="2:45" ht="12.75" hidden="1" customHeight="1" outlineLevel="1">
      <c r="C1196" s="816" t="s">
        <v>16</v>
      </c>
      <c r="D1196" s="1051" t="s">
        <v>1573</v>
      </c>
      <c r="E1196" s="223" t="s">
        <v>1703</v>
      </c>
      <c r="F1196" s="9"/>
      <c r="G1196" s="9"/>
      <c r="H1196" s="9"/>
      <c r="I1196" s="9"/>
      <c r="J1196" s="9"/>
      <c r="K1196" s="9"/>
      <c r="L1196" s="9"/>
      <c r="M1196" s="9"/>
      <c r="N1196" s="9"/>
      <c r="O1196" s="9"/>
      <c r="P1196" s="9"/>
      <c r="Q1196" s="9"/>
      <c r="R1196" s="9"/>
      <c r="S1196" s="9"/>
      <c r="T1196" s="9"/>
      <c r="U1196" s="9"/>
      <c r="V1196" s="9"/>
      <c r="W1196" s="9"/>
      <c r="X1196" s="9"/>
      <c r="Y1196" s="9"/>
      <c r="Z1196" s="9"/>
      <c r="AA1196" s="9"/>
      <c r="AB1196" s="12"/>
      <c r="AC1196" s="12"/>
      <c r="AD1196" s="12"/>
      <c r="AE1196" s="12"/>
      <c r="AF1196" s="12"/>
      <c r="AG1196" s="12"/>
      <c r="AH1196" s="12"/>
      <c r="AI1196" s="12"/>
      <c r="AJ1196" s="46"/>
      <c r="AK1196" s="46"/>
      <c r="AL1196" s="24">
        <v>26500000</v>
      </c>
      <c r="AM1196" s="24">
        <v>26500000</v>
      </c>
      <c r="AN1196" s="984">
        <v>37725000</v>
      </c>
      <c r="AO1196" s="984">
        <v>37525000</v>
      </c>
      <c r="AP1196" s="1137">
        <v>67600000</v>
      </c>
      <c r="AQ1196" s="990">
        <v>67600000</v>
      </c>
      <c r="AR1196" s="1044"/>
      <c r="AS1196" s="1044"/>
    </row>
    <row r="1197" spans="2:45" ht="12.75" hidden="1" customHeight="1" outlineLevel="1">
      <c r="C1197" s="816" t="s">
        <v>16</v>
      </c>
      <c r="D1197" s="1051" t="s">
        <v>1573</v>
      </c>
      <c r="E1197" s="223" t="s">
        <v>1215</v>
      </c>
      <c r="F1197" s="9"/>
      <c r="G1197" s="9"/>
      <c r="H1197" s="9"/>
      <c r="I1197" s="9"/>
      <c r="J1197" s="9"/>
      <c r="K1197" s="9"/>
      <c r="L1197" s="9"/>
      <c r="M1197" s="9"/>
      <c r="N1197" s="9"/>
      <c r="O1197" s="9"/>
      <c r="P1197" s="9"/>
      <c r="Q1197" s="9"/>
      <c r="R1197" s="9"/>
      <c r="S1197" s="9"/>
      <c r="T1197" s="9"/>
      <c r="U1197" s="9"/>
      <c r="V1197" s="9"/>
      <c r="W1197" s="9"/>
      <c r="X1197" s="9"/>
      <c r="Y1197" s="9"/>
      <c r="Z1197" s="9"/>
      <c r="AA1197" s="9"/>
      <c r="AB1197" s="12"/>
      <c r="AC1197" s="12"/>
      <c r="AD1197" s="12"/>
      <c r="AE1197" s="12"/>
      <c r="AF1197" s="12"/>
      <c r="AG1197" s="12"/>
      <c r="AH1197" s="12"/>
      <c r="AI1197" s="12"/>
      <c r="AJ1197" s="24">
        <v>2100000</v>
      </c>
      <c r="AK1197" s="24"/>
      <c r="AL1197" s="24">
        <v>2100000</v>
      </c>
      <c r="AM1197" s="24"/>
      <c r="AN1197" s="984"/>
      <c r="AO1197" s="984"/>
      <c r="AP1197" s="1061"/>
      <c r="AQ1197" s="1061"/>
      <c r="AR1197" s="1044"/>
      <c r="AS1197" s="1044"/>
    </row>
    <row r="1198" spans="2:45" ht="12.75" hidden="1" customHeight="1" outlineLevel="1">
      <c r="C1198" s="816" t="s">
        <v>16</v>
      </c>
      <c r="D1198" s="1051" t="s">
        <v>1573</v>
      </c>
      <c r="E1198" s="223" t="s">
        <v>235</v>
      </c>
      <c r="F1198" s="9"/>
      <c r="G1198" s="9"/>
      <c r="H1198" s="9"/>
      <c r="I1198" s="9"/>
      <c r="J1198" s="9"/>
      <c r="K1198" s="9"/>
      <c r="L1198" s="9"/>
      <c r="M1198" s="9"/>
      <c r="N1198" s="9"/>
      <c r="O1198" s="9"/>
      <c r="P1198" s="9"/>
      <c r="Q1198" s="9"/>
      <c r="R1198" s="9"/>
      <c r="S1198" s="9"/>
      <c r="T1198" s="9"/>
      <c r="U1198" s="9"/>
      <c r="V1198" s="9"/>
      <c r="W1198" s="9"/>
      <c r="X1198" s="9"/>
      <c r="Y1198" s="9"/>
      <c r="Z1198" s="9"/>
      <c r="AA1198" s="9"/>
      <c r="AB1198" s="12"/>
      <c r="AC1198" s="12"/>
      <c r="AD1198" s="12"/>
      <c r="AE1198" s="12"/>
      <c r="AF1198" s="12"/>
      <c r="AG1198" s="12"/>
      <c r="AH1198" s="12"/>
      <c r="AI1198" s="12"/>
      <c r="AJ1198" s="46">
        <v>2700000</v>
      </c>
      <c r="AK1198" s="46">
        <v>2700000</v>
      </c>
      <c r="AL1198" s="46"/>
      <c r="AM1198" s="46"/>
      <c r="AN1198" s="987"/>
      <c r="AO1198" s="987"/>
      <c r="AP1198" s="987"/>
      <c r="AQ1198" s="987"/>
      <c r="AR1198" s="1044"/>
      <c r="AS1198" s="1044"/>
    </row>
    <row r="1199" spans="2:45" ht="12.75" hidden="1" customHeight="1" outlineLevel="1">
      <c r="C1199" s="816" t="s">
        <v>16</v>
      </c>
      <c r="D1199" s="1051" t="s">
        <v>1573</v>
      </c>
      <c r="E1199" s="223" t="s">
        <v>1700</v>
      </c>
      <c r="F1199" s="9"/>
      <c r="G1199" s="9"/>
      <c r="H1199" s="9"/>
      <c r="I1199" s="9"/>
      <c r="J1199" s="9"/>
      <c r="K1199" s="9"/>
      <c r="L1199" s="9"/>
      <c r="M1199" s="9"/>
      <c r="N1199" s="9"/>
      <c r="O1199" s="9"/>
      <c r="P1199" s="9"/>
      <c r="Q1199" s="9"/>
      <c r="R1199" s="9"/>
      <c r="S1199" s="9"/>
      <c r="T1199" s="9"/>
      <c r="U1199" s="9"/>
      <c r="V1199" s="9"/>
      <c r="W1199" s="9"/>
      <c r="X1199" s="9"/>
      <c r="Y1199" s="9"/>
      <c r="Z1199" s="9"/>
      <c r="AA1199" s="9"/>
      <c r="AB1199" s="12"/>
      <c r="AC1199" s="12"/>
      <c r="AD1199" s="12"/>
      <c r="AE1199" s="12"/>
      <c r="AF1199" s="12"/>
      <c r="AG1199" s="12"/>
      <c r="AH1199" s="12"/>
      <c r="AI1199" s="12"/>
      <c r="AJ1199" s="46"/>
      <c r="AK1199" s="46"/>
      <c r="AL1199" s="24">
        <v>4050000</v>
      </c>
      <c r="AM1199" s="24">
        <v>4050000</v>
      </c>
      <c r="AN1199" s="984"/>
      <c r="AO1199" s="984"/>
      <c r="AP1199" s="1061"/>
      <c r="AQ1199" s="1061"/>
      <c r="AR1199" s="1044"/>
      <c r="AS1199" s="1044"/>
    </row>
    <row r="1200" spans="2:45" ht="12.75" hidden="1" customHeight="1" outlineLevel="1">
      <c r="C1200" s="816" t="s">
        <v>16</v>
      </c>
      <c r="D1200" s="1051" t="s">
        <v>1573</v>
      </c>
      <c r="E1200" s="1051" t="s">
        <v>1868</v>
      </c>
      <c r="F1200" s="9"/>
      <c r="G1200" s="9"/>
      <c r="H1200" s="9"/>
      <c r="I1200" s="9"/>
      <c r="J1200" s="9"/>
      <c r="K1200" s="9"/>
      <c r="L1200" s="9"/>
      <c r="M1200" s="9"/>
      <c r="N1200" s="9"/>
      <c r="O1200" s="9"/>
      <c r="P1200" s="9"/>
      <c r="Q1200" s="9"/>
      <c r="R1200" s="9"/>
      <c r="S1200" s="9"/>
      <c r="T1200" s="9"/>
      <c r="U1200" s="9"/>
      <c r="V1200" s="9"/>
      <c r="W1200" s="9"/>
      <c r="X1200" s="9"/>
      <c r="Y1200" s="9"/>
      <c r="Z1200" s="9"/>
      <c r="AA1200" s="9"/>
      <c r="AB1200" s="12"/>
      <c r="AC1200" s="12"/>
      <c r="AD1200" s="12"/>
      <c r="AE1200" s="12"/>
      <c r="AF1200" s="12"/>
      <c r="AG1200" s="12"/>
      <c r="AH1200" s="12"/>
      <c r="AI1200" s="12"/>
      <c r="AJ1200" s="46"/>
      <c r="AK1200" s="46"/>
      <c r="AL1200" s="46">
        <v>850000</v>
      </c>
      <c r="AM1200" s="46">
        <v>1275000</v>
      </c>
      <c r="AN1200" s="987">
        <v>1062500</v>
      </c>
      <c r="AO1200" s="987">
        <v>1062500</v>
      </c>
      <c r="AP1200" s="1138">
        <v>1062500</v>
      </c>
      <c r="AQ1200" s="987">
        <v>1062500</v>
      </c>
      <c r="AR1200" s="1044"/>
      <c r="AS1200" s="1044"/>
    </row>
    <row r="1201" spans="3:45" ht="12.75" hidden="1" customHeight="1" outlineLevel="1">
      <c r="C1201" s="816" t="s">
        <v>16</v>
      </c>
      <c r="D1201" s="9"/>
      <c r="E1201" s="35" t="s">
        <v>236</v>
      </c>
      <c r="F1201" s="35"/>
      <c r="G1201" s="35"/>
      <c r="H1201" s="35"/>
      <c r="I1201" s="35"/>
      <c r="J1201" s="35"/>
      <c r="K1201" s="35"/>
      <c r="L1201" s="35"/>
      <c r="M1201" s="35"/>
      <c r="N1201" s="35"/>
      <c r="O1201" s="35"/>
      <c r="P1201" s="35"/>
      <c r="Q1201" s="35"/>
      <c r="R1201" s="35"/>
      <c r="S1201" s="35"/>
      <c r="T1201" s="35"/>
      <c r="U1201" s="35"/>
      <c r="V1201" s="35"/>
      <c r="W1201" s="35"/>
      <c r="X1201" s="35"/>
      <c r="Y1201" s="35"/>
      <c r="Z1201" s="35"/>
      <c r="AA1201" s="35"/>
      <c r="AB1201" s="34">
        <v>62480278</v>
      </c>
      <c r="AC1201" s="34">
        <v>57163926</v>
      </c>
      <c r="AD1201" s="34">
        <v>75329073</v>
      </c>
      <c r="AE1201" s="34">
        <v>65812717</v>
      </c>
      <c r="AF1201" s="34">
        <v>110394035</v>
      </c>
      <c r="AG1201" s="34">
        <v>90817958</v>
      </c>
      <c r="AH1201" s="34">
        <f>75337551</f>
        <v>75337551</v>
      </c>
      <c r="AI1201" s="34">
        <f>58717694+17000000</f>
        <v>75717694</v>
      </c>
      <c r="AJ1201" s="47">
        <v>39396794</v>
      </c>
      <c r="AK1201" s="47">
        <v>22090000</v>
      </c>
      <c r="AL1201" s="47">
        <f t="shared" ref="AL1201:AQ1201" si="307">SUM(AL1179:AL1200)</f>
        <v>64191794</v>
      </c>
      <c r="AM1201" s="47">
        <f t="shared" si="307"/>
        <v>52310000</v>
      </c>
      <c r="AN1201" s="988">
        <f t="shared" si="307"/>
        <v>69119294</v>
      </c>
      <c r="AO1201" s="988">
        <f t="shared" si="307"/>
        <v>58712500</v>
      </c>
      <c r="AP1201" s="988">
        <f t="shared" si="307"/>
        <v>148370568</v>
      </c>
      <c r="AQ1201" s="988">
        <f t="shared" si="307"/>
        <v>138163774</v>
      </c>
      <c r="AR1201" s="1044"/>
      <c r="AS1201" s="1044"/>
    </row>
    <row r="1202" spans="3:45" ht="12.75" hidden="1" customHeight="1" outlineLevel="1">
      <c r="C1202" s="816" t="s">
        <v>16</v>
      </c>
      <c r="D1202" s="9"/>
      <c r="E1202" s="27" t="s">
        <v>221</v>
      </c>
      <c r="F1202" s="35"/>
      <c r="G1202" s="35"/>
      <c r="H1202" s="35"/>
      <c r="I1202" s="35"/>
      <c r="J1202" s="35"/>
      <c r="K1202" s="35"/>
      <c r="L1202" s="35"/>
      <c r="M1202" s="35"/>
      <c r="N1202" s="35"/>
      <c r="O1202" s="35"/>
      <c r="P1202" s="35"/>
      <c r="Q1202" s="35"/>
      <c r="R1202" s="35"/>
      <c r="S1202" s="35"/>
      <c r="T1202" s="35"/>
      <c r="U1202" s="35"/>
      <c r="V1202" s="35"/>
      <c r="W1202" s="35"/>
      <c r="X1202" s="35"/>
      <c r="Y1202" s="35"/>
      <c r="Z1202" s="35"/>
      <c r="AA1202" s="35"/>
      <c r="AB1202" s="12"/>
      <c r="AC1202" s="12"/>
      <c r="AD1202" s="12"/>
      <c r="AE1202" s="12"/>
      <c r="AF1202" s="12"/>
      <c r="AG1202" s="12"/>
      <c r="AH1202" s="12"/>
      <c r="AI1202" s="12"/>
      <c r="AJ1202" s="46"/>
      <c r="AK1202" s="46"/>
      <c r="AL1202" s="46"/>
      <c r="AM1202" s="46"/>
      <c r="AN1202" s="987"/>
      <c r="AO1202" s="987"/>
      <c r="AP1202" s="987"/>
      <c r="AQ1202" s="987"/>
      <c r="AR1202" s="1044"/>
      <c r="AS1202" s="1044"/>
    </row>
    <row r="1203" spans="3:45" ht="12.75" hidden="1" customHeight="1" outlineLevel="1">
      <c r="C1203" s="816" t="s">
        <v>16</v>
      </c>
      <c r="D1203" s="9"/>
      <c r="E1203" s="224" t="s">
        <v>1001</v>
      </c>
      <c r="F1203" s="35"/>
      <c r="G1203" s="35"/>
      <c r="H1203" s="35"/>
      <c r="I1203" s="35"/>
      <c r="J1203" s="35"/>
      <c r="K1203" s="35"/>
      <c r="L1203" s="35"/>
      <c r="M1203" s="35"/>
      <c r="N1203" s="35"/>
      <c r="O1203" s="35"/>
      <c r="P1203" s="35"/>
      <c r="Q1203" s="35"/>
      <c r="R1203" s="35"/>
      <c r="S1203" s="35"/>
      <c r="T1203" s="35"/>
      <c r="U1203" s="35"/>
      <c r="V1203" s="35"/>
      <c r="W1203" s="35"/>
      <c r="X1203" s="35"/>
      <c r="Y1203" s="35"/>
      <c r="Z1203" s="35"/>
      <c r="AA1203" s="35"/>
      <c r="AB1203" s="12"/>
      <c r="AC1203" s="12"/>
      <c r="AD1203" s="12"/>
      <c r="AE1203" s="12"/>
      <c r="AF1203" s="12"/>
      <c r="AG1203" s="12"/>
      <c r="AH1203" s="12"/>
      <c r="AI1203" s="12"/>
      <c r="AJ1203" s="46">
        <v>35605472</v>
      </c>
      <c r="AK1203" s="46">
        <v>38078432</v>
      </c>
      <c r="AL1203" s="46">
        <v>38980500</v>
      </c>
      <c r="AM1203" s="46">
        <v>39031850</v>
      </c>
      <c r="AN1203" s="987">
        <v>38492055</v>
      </c>
      <c r="AO1203" s="984">
        <v>37599919</v>
      </c>
      <c r="AP1203" s="987">
        <v>36508620</v>
      </c>
      <c r="AQ1203" s="1061">
        <v>36490669</v>
      </c>
      <c r="AR1203" s="1044"/>
      <c r="AS1203" s="1044"/>
    </row>
    <row r="1204" spans="3:45" ht="12.75" hidden="1" customHeight="1" outlineLevel="1">
      <c r="C1204" s="816" t="s">
        <v>16</v>
      </c>
      <c r="D1204" s="9"/>
      <c r="E1204" s="224" t="s">
        <v>1002</v>
      </c>
      <c r="F1204" s="35"/>
      <c r="G1204" s="35"/>
      <c r="H1204" s="35"/>
      <c r="I1204" s="35"/>
      <c r="J1204" s="35"/>
      <c r="K1204" s="35"/>
      <c r="L1204" s="35"/>
      <c r="M1204" s="35"/>
      <c r="N1204" s="35"/>
      <c r="O1204" s="35"/>
      <c r="P1204" s="35"/>
      <c r="Q1204" s="35"/>
      <c r="R1204" s="35"/>
      <c r="S1204" s="35"/>
      <c r="T1204" s="35"/>
      <c r="U1204" s="35"/>
      <c r="V1204" s="35"/>
      <c r="W1204" s="35"/>
      <c r="X1204" s="35"/>
      <c r="Y1204" s="35"/>
      <c r="Z1204" s="35"/>
      <c r="AA1204" s="35"/>
      <c r="AB1204" s="12"/>
      <c r="AC1204" s="12"/>
      <c r="AD1204" s="12"/>
      <c r="AE1204" s="12"/>
      <c r="AF1204" s="12"/>
      <c r="AG1204" s="12"/>
      <c r="AH1204" s="12"/>
      <c r="AI1204" s="12"/>
      <c r="AJ1204" s="46">
        <v>5972111</v>
      </c>
      <c r="AK1204" s="46">
        <v>5972111</v>
      </c>
      <c r="AL1204" s="46">
        <v>7813119</v>
      </c>
      <c r="AM1204" s="46">
        <v>7813119</v>
      </c>
      <c r="AN1204" s="987">
        <v>7710499</v>
      </c>
      <c r="AO1204" s="984">
        <v>7710499</v>
      </c>
      <c r="AP1204" s="987">
        <v>8596623</v>
      </c>
      <c r="AQ1204" s="1061">
        <v>8596623</v>
      </c>
      <c r="AR1204" s="1044"/>
      <c r="AS1204" s="1044"/>
    </row>
    <row r="1205" spans="3:45" ht="12.75" hidden="1" customHeight="1" outlineLevel="1">
      <c r="C1205" s="816" t="s">
        <v>16</v>
      </c>
      <c r="D1205" s="9"/>
      <c r="E1205" s="35" t="s">
        <v>237</v>
      </c>
      <c r="F1205" s="35"/>
      <c r="G1205" s="35"/>
      <c r="H1205" s="35"/>
      <c r="I1205" s="35"/>
      <c r="J1205" s="35"/>
      <c r="K1205" s="35"/>
      <c r="L1205" s="35"/>
      <c r="M1205" s="35"/>
      <c r="N1205" s="35"/>
      <c r="O1205" s="35"/>
      <c r="P1205" s="35"/>
      <c r="Q1205" s="35"/>
      <c r="R1205" s="35"/>
      <c r="S1205" s="35"/>
      <c r="T1205" s="35"/>
      <c r="U1205" s="35"/>
      <c r="V1205" s="35"/>
      <c r="W1205" s="35"/>
      <c r="X1205" s="35"/>
      <c r="Y1205" s="35"/>
      <c r="Z1205" s="35"/>
      <c r="AA1205" s="35"/>
      <c r="AB1205" s="12"/>
      <c r="AC1205" s="12"/>
      <c r="AD1205" s="12"/>
      <c r="AE1205" s="12"/>
      <c r="AF1205" s="12"/>
      <c r="AG1205" s="12"/>
      <c r="AH1205" s="12"/>
      <c r="AI1205" s="12"/>
      <c r="AJ1205" s="47">
        <v>41577583</v>
      </c>
      <c r="AK1205" s="47">
        <v>44050543</v>
      </c>
      <c r="AL1205" s="47">
        <f t="shared" ref="AL1205:AQ1205" si="308">SUM(AL1203:AL1204)</f>
        <v>46793619</v>
      </c>
      <c r="AM1205" s="47">
        <f t="shared" si="308"/>
        <v>46844969</v>
      </c>
      <c r="AN1205" s="988">
        <f t="shared" si="308"/>
        <v>46202554</v>
      </c>
      <c r="AO1205" s="988">
        <f t="shared" si="308"/>
        <v>45310418</v>
      </c>
      <c r="AP1205" s="988">
        <f t="shared" si="308"/>
        <v>45105243</v>
      </c>
      <c r="AQ1205" s="988">
        <f t="shared" si="308"/>
        <v>45087292</v>
      </c>
      <c r="AR1205" s="1044"/>
      <c r="AS1205" s="1044"/>
    </row>
    <row r="1206" spans="3:45" ht="12.75" hidden="1" customHeight="1" outlineLevel="1">
      <c r="C1206" s="816" t="s">
        <v>16</v>
      </c>
      <c r="D1206" s="9"/>
      <c r="E1206" s="27" t="s">
        <v>238</v>
      </c>
      <c r="F1206" s="27"/>
      <c r="G1206" s="27"/>
      <c r="H1206" s="27"/>
      <c r="I1206" s="27"/>
      <c r="J1206" s="27"/>
      <c r="K1206" s="27"/>
      <c r="L1206" s="27"/>
      <c r="M1206" s="27"/>
      <c r="N1206" s="27"/>
      <c r="O1206" s="27"/>
      <c r="P1206" s="27"/>
      <c r="Q1206" s="27"/>
      <c r="R1206" s="27"/>
      <c r="S1206" s="27"/>
      <c r="T1206" s="27"/>
      <c r="U1206" s="27"/>
      <c r="V1206" s="27"/>
      <c r="W1206" s="27"/>
      <c r="X1206" s="27"/>
      <c r="Y1206" s="27"/>
      <c r="Z1206" s="27"/>
      <c r="AA1206" s="27"/>
      <c r="AB1206" s="12"/>
      <c r="AC1206" s="12"/>
      <c r="AD1206" s="12"/>
      <c r="AE1206" s="12"/>
      <c r="AF1206" s="12"/>
      <c r="AG1206" s="12"/>
      <c r="AH1206" s="12"/>
      <c r="AI1206" s="12"/>
      <c r="AJ1206" s="47"/>
      <c r="AK1206" s="47"/>
      <c r="AL1206" s="47"/>
      <c r="AM1206" s="47"/>
      <c r="AN1206" s="988"/>
      <c r="AO1206" s="988"/>
      <c r="AP1206" s="988"/>
      <c r="AQ1206" s="988"/>
      <c r="AR1206" s="1044"/>
      <c r="AS1206" s="1044"/>
    </row>
    <row r="1207" spans="3:45" ht="12.75" hidden="1" customHeight="1" outlineLevel="1">
      <c r="C1207" s="816" t="s">
        <v>16</v>
      </c>
      <c r="D1207" s="9"/>
      <c r="E1207" s="9" t="s">
        <v>239</v>
      </c>
      <c r="F1207" s="9"/>
      <c r="G1207" s="9"/>
      <c r="H1207" s="9"/>
      <c r="I1207" s="9"/>
      <c r="J1207" s="9"/>
      <c r="K1207" s="9"/>
      <c r="L1207" s="9"/>
      <c r="M1207" s="9"/>
      <c r="N1207" s="9"/>
      <c r="O1207" s="9"/>
      <c r="P1207" s="9"/>
      <c r="Q1207" s="9"/>
      <c r="R1207" s="9"/>
      <c r="S1207" s="9"/>
      <c r="T1207" s="9"/>
      <c r="U1207" s="9"/>
      <c r="V1207" s="9"/>
      <c r="W1207" s="9"/>
      <c r="X1207" s="9"/>
      <c r="Y1207" s="9"/>
      <c r="Z1207" s="9"/>
      <c r="AA1207" s="9"/>
      <c r="AB1207" s="12"/>
      <c r="AC1207" s="12"/>
      <c r="AD1207" s="12"/>
      <c r="AE1207" s="12"/>
      <c r="AF1207" s="12">
        <v>2500000</v>
      </c>
      <c r="AG1207" s="12">
        <v>2500000</v>
      </c>
      <c r="AH1207" s="12">
        <v>2000000</v>
      </c>
      <c r="AI1207" s="12">
        <v>2000000</v>
      </c>
      <c r="AJ1207" s="12">
        <v>2000000</v>
      </c>
      <c r="AK1207" s="12">
        <v>2000000</v>
      </c>
      <c r="AL1207" s="12">
        <v>2003704</v>
      </c>
      <c r="AM1207" s="12">
        <v>2003704</v>
      </c>
      <c r="AN1207" s="982"/>
      <c r="AO1207" s="982"/>
      <c r="AP1207" s="1070"/>
      <c r="AQ1207" s="1070"/>
      <c r="AR1207" s="1044"/>
      <c r="AS1207" s="1044"/>
    </row>
    <row r="1208" spans="3:45" ht="12.75" hidden="1" customHeight="1" outlineLevel="1">
      <c r="C1208" s="816" t="s">
        <v>16</v>
      </c>
      <c r="D1208" s="9"/>
      <c r="E1208" s="223" t="s">
        <v>1460</v>
      </c>
      <c r="F1208" s="9"/>
      <c r="G1208" s="9"/>
      <c r="H1208" s="9"/>
      <c r="I1208" s="9"/>
      <c r="J1208" s="9"/>
      <c r="K1208" s="9"/>
      <c r="L1208" s="9"/>
      <c r="M1208" s="9"/>
      <c r="N1208" s="9"/>
      <c r="O1208" s="9"/>
      <c r="P1208" s="9"/>
      <c r="Q1208" s="9"/>
      <c r="R1208" s="9"/>
      <c r="S1208" s="9"/>
      <c r="T1208" s="9"/>
      <c r="U1208" s="9"/>
      <c r="V1208" s="9"/>
      <c r="W1208" s="9"/>
      <c r="X1208" s="9"/>
      <c r="Y1208" s="9"/>
      <c r="Z1208" s="9"/>
      <c r="AA1208" s="9"/>
      <c r="AB1208" s="12">
        <v>635556</v>
      </c>
      <c r="AC1208" s="12">
        <v>635556</v>
      </c>
      <c r="AD1208" s="12"/>
      <c r="AE1208" s="12"/>
      <c r="AF1208" s="12"/>
      <c r="AG1208" s="12"/>
      <c r="AH1208" s="12"/>
      <c r="AI1208" s="12"/>
      <c r="AJ1208" s="12"/>
      <c r="AK1208" s="12"/>
      <c r="AL1208" s="12"/>
      <c r="AM1208" s="12"/>
      <c r="AN1208" s="982"/>
      <c r="AO1208" s="982"/>
      <c r="AP1208" s="1070"/>
      <c r="AQ1208" s="1070"/>
      <c r="AR1208" s="1044"/>
      <c r="AS1208" s="1044"/>
    </row>
    <row r="1209" spans="3:45" ht="12.75" hidden="1" customHeight="1" outlineLevel="1">
      <c r="C1209" s="816" t="s">
        <v>16</v>
      </c>
      <c r="D1209" s="9"/>
      <c r="E1209" s="9" t="s">
        <v>240</v>
      </c>
      <c r="F1209" s="9"/>
      <c r="G1209" s="9"/>
      <c r="H1209" s="9"/>
      <c r="I1209" s="9"/>
      <c r="J1209" s="9"/>
      <c r="K1209" s="9"/>
      <c r="L1209" s="9"/>
      <c r="M1209" s="9"/>
      <c r="N1209" s="9"/>
      <c r="O1209" s="9"/>
      <c r="P1209" s="9"/>
      <c r="Q1209" s="9"/>
      <c r="R1209" s="9"/>
      <c r="S1209" s="9"/>
      <c r="T1209" s="9"/>
      <c r="U1209" s="9"/>
      <c r="V1209" s="9"/>
      <c r="W1209" s="9"/>
      <c r="X1209" s="9"/>
      <c r="Y1209" s="9"/>
      <c r="Z1209" s="9"/>
      <c r="AA1209" s="9"/>
      <c r="AB1209" s="12">
        <v>2625742</v>
      </c>
      <c r="AC1209" s="12">
        <v>2625742</v>
      </c>
      <c r="AD1209" s="12">
        <v>3200742</v>
      </c>
      <c r="AE1209" s="12">
        <v>3200742</v>
      </c>
      <c r="AF1209" s="12">
        <v>3200742</v>
      </c>
      <c r="AG1209" s="12">
        <v>3200742</v>
      </c>
      <c r="AH1209" s="12">
        <v>1520353</v>
      </c>
      <c r="AI1209" s="12">
        <v>1520353</v>
      </c>
      <c r="AJ1209" s="12">
        <v>1520353</v>
      </c>
      <c r="AK1209" s="12">
        <v>1520353</v>
      </c>
      <c r="AL1209" s="12">
        <v>1520353</v>
      </c>
      <c r="AM1209" s="12">
        <v>1520353</v>
      </c>
      <c r="AN1209" s="982"/>
      <c r="AO1209" s="982"/>
      <c r="AP1209" s="1070"/>
      <c r="AQ1209" s="1070"/>
      <c r="AR1209" s="1044"/>
      <c r="AS1209" s="1044"/>
    </row>
    <row r="1210" spans="3:45" ht="12.75" hidden="1" customHeight="1" outlineLevel="1">
      <c r="C1210" s="816" t="s">
        <v>16</v>
      </c>
      <c r="D1210" s="9"/>
      <c r="E1210" s="9" t="s">
        <v>241</v>
      </c>
      <c r="F1210" s="9"/>
      <c r="G1210" s="9"/>
      <c r="H1210" s="9"/>
      <c r="I1210" s="9"/>
      <c r="J1210" s="9"/>
      <c r="K1210" s="9"/>
      <c r="L1210" s="9"/>
      <c r="M1210" s="9"/>
      <c r="N1210" s="9"/>
      <c r="O1210" s="9"/>
      <c r="P1210" s="9"/>
      <c r="Q1210" s="9"/>
      <c r="R1210" s="9"/>
      <c r="S1210" s="9"/>
      <c r="T1210" s="9"/>
      <c r="U1210" s="9"/>
      <c r="V1210" s="9"/>
      <c r="W1210" s="9"/>
      <c r="X1210" s="9"/>
      <c r="Y1210" s="9"/>
      <c r="Z1210" s="9"/>
      <c r="AA1210" s="9"/>
      <c r="AB1210" s="12">
        <v>2259393</v>
      </c>
      <c r="AC1210" s="12">
        <v>2259393</v>
      </c>
      <c r="AD1210" s="12">
        <v>1759393</v>
      </c>
      <c r="AE1210" s="12">
        <v>1759393</v>
      </c>
      <c r="AF1210" s="12">
        <v>1759393</v>
      </c>
      <c r="AG1210" s="12">
        <v>1759393</v>
      </c>
      <c r="AH1210" s="12">
        <v>0</v>
      </c>
      <c r="AI1210" s="12">
        <v>0</v>
      </c>
      <c r="AJ1210" s="12">
        <v>0</v>
      </c>
      <c r="AK1210" s="12">
        <v>0</v>
      </c>
      <c r="AL1210" s="12"/>
      <c r="AM1210" s="12"/>
      <c r="AN1210" s="982"/>
      <c r="AO1210" s="982"/>
      <c r="AP1210" s="1070"/>
      <c r="AQ1210" s="1070"/>
      <c r="AR1210" s="1044"/>
      <c r="AS1210" s="1044"/>
    </row>
    <row r="1211" spans="3:45" ht="12.75" hidden="1" customHeight="1" outlineLevel="1">
      <c r="C1211" s="816" t="s">
        <v>16</v>
      </c>
      <c r="D1211" s="9"/>
      <c r="E1211" s="9" t="s">
        <v>242</v>
      </c>
      <c r="F1211" s="9"/>
      <c r="G1211" s="9"/>
      <c r="H1211" s="9"/>
      <c r="I1211" s="9"/>
      <c r="J1211" s="9"/>
      <c r="K1211" s="9"/>
      <c r="L1211" s="9"/>
      <c r="M1211" s="9"/>
      <c r="N1211" s="9"/>
      <c r="O1211" s="9"/>
      <c r="P1211" s="9"/>
      <c r="Q1211" s="9"/>
      <c r="R1211" s="9"/>
      <c r="S1211" s="9"/>
      <c r="T1211" s="9"/>
      <c r="U1211" s="9"/>
      <c r="V1211" s="9"/>
      <c r="W1211" s="9"/>
      <c r="X1211" s="9"/>
      <c r="Y1211" s="9"/>
      <c r="Z1211" s="9"/>
      <c r="AA1211" s="9"/>
      <c r="AB1211" s="12">
        <v>2332084</v>
      </c>
      <c r="AC1211" s="12">
        <v>1218083</v>
      </c>
      <c r="AD1211" s="12"/>
      <c r="AE1211" s="12"/>
      <c r="AF1211" s="12">
        <v>1750000</v>
      </c>
      <c r="AG1211" s="12">
        <v>1750000</v>
      </c>
      <c r="AH1211" s="12">
        <v>0</v>
      </c>
      <c r="AI1211" s="12">
        <v>0</v>
      </c>
      <c r="AJ1211" s="12">
        <v>0</v>
      </c>
      <c r="AK1211" s="12">
        <v>0</v>
      </c>
      <c r="AL1211" s="12"/>
      <c r="AM1211" s="12"/>
      <c r="AN1211" s="982"/>
      <c r="AO1211" s="982"/>
      <c r="AP1211" s="1070"/>
      <c r="AQ1211" s="1070"/>
      <c r="AR1211" s="1044"/>
      <c r="AS1211" s="1044"/>
    </row>
    <row r="1212" spans="3:45" ht="12.75" hidden="1" customHeight="1" outlineLevel="1">
      <c r="C1212" s="816" t="s">
        <v>16</v>
      </c>
      <c r="D1212" s="9"/>
      <c r="E1212" s="9" t="s">
        <v>243</v>
      </c>
      <c r="F1212" s="9"/>
      <c r="G1212" s="9"/>
      <c r="H1212" s="9"/>
      <c r="I1212" s="9"/>
      <c r="J1212" s="9"/>
      <c r="K1212" s="9"/>
      <c r="L1212" s="9"/>
      <c r="M1212" s="9"/>
      <c r="N1212" s="9"/>
      <c r="O1212" s="9"/>
      <c r="P1212" s="9"/>
      <c r="Q1212" s="9"/>
      <c r="R1212" s="9"/>
      <c r="S1212" s="9"/>
      <c r="T1212" s="9"/>
      <c r="U1212" s="9"/>
      <c r="V1212" s="9"/>
      <c r="W1212" s="9"/>
      <c r="X1212" s="9"/>
      <c r="Y1212" s="9"/>
      <c r="Z1212" s="9"/>
      <c r="AA1212" s="9"/>
      <c r="AB1212" s="12"/>
      <c r="AC1212" s="12"/>
      <c r="AD1212" s="12"/>
      <c r="AE1212" s="12"/>
      <c r="AF1212" s="12">
        <v>1750000</v>
      </c>
      <c r="AG1212" s="12">
        <v>1750000</v>
      </c>
      <c r="AH1212" s="12">
        <v>0</v>
      </c>
      <c r="AI1212" s="12">
        <v>0</v>
      </c>
      <c r="AJ1212" s="12">
        <v>0</v>
      </c>
      <c r="AK1212" s="12">
        <v>0</v>
      </c>
      <c r="AL1212" s="12"/>
      <c r="AM1212" s="12"/>
      <c r="AN1212" s="982"/>
      <c r="AO1212" s="982"/>
      <c r="AP1212" s="1070"/>
      <c r="AQ1212" s="1070"/>
      <c r="AR1212" s="1044"/>
      <c r="AS1212" s="1044"/>
    </row>
    <row r="1213" spans="3:45" ht="12.75" hidden="1" customHeight="1" outlineLevel="1">
      <c r="C1213" s="816" t="s">
        <v>16</v>
      </c>
      <c r="D1213" s="9"/>
      <c r="E1213" s="9" t="s">
        <v>244</v>
      </c>
      <c r="F1213" s="9"/>
      <c r="G1213" s="9"/>
      <c r="H1213" s="9"/>
      <c r="I1213" s="9"/>
      <c r="J1213" s="9"/>
      <c r="K1213" s="9"/>
      <c r="L1213" s="9"/>
      <c r="M1213" s="9"/>
      <c r="N1213" s="9"/>
      <c r="O1213" s="9"/>
      <c r="P1213" s="9"/>
      <c r="Q1213" s="9"/>
      <c r="R1213" s="9"/>
      <c r="S1213" s="9"/>
      <c r="T1213" s="9"/>
      <c r="U1213" s="9"/>
      <c r="V1213" s="9"/>
      <c r="W1213" s="9"/>
      <c r="X1213" s="9"/>
      <c r="Y1213" s="9"/>
      <c r="Z1213" s="9"/>
      <c r="AA1213" s="9"/>
      <c r="AB1213" s="12">
        <v>43636</v>
      </c>
      <c r="AC1213" s="12">
        <v>43636</v>
      </c>
      <c r="AD1213" s="12">
        <v>93636</v>
      </c>
      <c r="AE1213" s="12">
        <v>93636</v>
      </c>
      <c r="AF1213" s="12">
        <v>93636</v>
      </c>
      <c r="AG1213" s="12">
        <v>93636</v>
      </c>
      <c r="AH1213" s="12">
        <v>66716</v>
      </c>
      <c r="AI1213" s="12">
        <v>66716</v>
      </c>
      <c r="AJ1213" s="12">
        <v>0</v>
      </c>
      <c r="AK1213" s="12">
        <v>0</v>
      </c>
      <c r="AL1213" s="12"/>
      <c r="AM1213" s="12"/>
      <c r="AN1213" s="982"/>
      <c r="AO1213" s="982"/>
      <c r="AP1213" s="1070"/>
      <c r="AQ1213" s="1070"/>
      <c r="AR1213" s="1044"/>
      <c r="AS1213" s="1044"/>
    </row>
    <row r="1214" spans="3:45" ht="12.75" hidden="1" customHeight="1" outlineLevel="1">
      <c r="C1214" s="816" t="s">
        <v>16</v>
      </c>
      <c r="D1214" s="9"/>
      <c r="E1214" s="9" t="s">
        <v>245</v>
      </c>
      <c r="F1214" s="9"/>
      <c r="G1214" s="9"/>
      <c r="H1214" s="9"/>
      <c r="I1214" s="9"/>
      <c r="J1214" s="9"/>
      <c r="K1214" s="9"/>
      <c r="L1214" s="9"/>
      <c r="M1214" s="9"/>
      <c r="N1214" s="9"/>
      <c r="O1214" s="9"/>
      <c r="P1214" s="9"/>
      <c r="Q1214" s="9"/>
      <c r="R1214" s="9"/>
      <c r="S1214" s="9"/>
      <c r="T1214" s="9"/>
      <c r="U1214" s="9"/>
      <c r="V1214" s="9"/>
      <c r="W1214" s="9"/>
      <c r="X1214" s="9"/>
      <c r="Y1214" s="9"/>
      <c r="Z1214" s="9"/>
      <c r="AA1214" s="9"/>
      <c r="AB1214" s="12"/>
      <c r="AC1214" s="12"/>
      <c r="AD1214" s="12"/>
      <c r="AE1214" s="12"/>
      <c r="AF1214" s="12">
        <v>5000000</v>
      </c>
      <c r="AG1214" s="12">
        <v>5000000</v>
      </c>
      <c r="AH1214" s="12">
        <v>2000000</v>
      </c>
      <c r="AI1214" s="12">
        <v>2000000</v>
      </c>
      <c r="AJ1214" s="12">
        <v>2000000</v>
      </c>
      <c r="AK1214" s="12">
        <v>2000000</v>
      </c>
      <c r="AL1214" s="12"/>
      <c r="AM1214" s="12"/>
      <c r="AN1214" s="982"/>
      <c r="AO1214" s="982"/>
      <c r="AP1214" s="1070"/>
      <c r="AQ1214" s="1070"/>
      <c r="AR1214" s="1044"/>
      <c r="AS1214" s="1044"/>
    </row>
    <row r="1215" spans="3:45" ht="12.75" hidden="1" customHeight="1" outlineLevel="1">
      <c r="C1215" s="816" t="s">
        <v>16</v>
      </c>
      <c r="D1215" s="9"/>
      <c r="E1215" s="9" t="s">
        <v>246</v>
      </c>
      <c r="F1215" s="9"/>
      <c r="G1215" s="9"/>
      <c r="H1215" s="9"/>
      <c r="I1215" s="9"/>
      <c r="J1215" s="9"/>
      <c r="K1215" s="9"/>
      <c r="L1215" s="9"/>
      <c r="M1215" s="9"/>
      <c r="N1215" s="9"/>
      <c r="O1215" s="9"/>
      <c r="P1215" s="9"/>
      <c r="Q1215" s="9"/>
      <c r="R1215" s="9"/>
      <c r="S1215" s="9"/>
      <c r="T1215" s="9"/>
      <c r="U1215" s="9"/>
      <c r="V1215" s="9"/>
      <c r="W1215" s="9"/>
      <c r="X1215" s="9"/>
      <c r="Y1215" s="9"/>
      <c r="Z1215" s="9"/>
      <c r="AA1215" s="9"/>
      <c r="AB1215" s="12"/>
      <c r="AC1215" s="12"/>
      <c r="AD1215" s="12"/>
      <c r="AE1215" s="12"/>
      <c r="AF1215" s="12">
        <v>1125000</v>
      </c>
      <c r="AG1215" s="12">
        <v>1125000</v>
      </c>
      <c r="AH1215" s="12">
        <v>0</v>
      </c>
      <c r="AI1215" s="12">
        <v>0</v>
      </c>
      <c r="AJ1215" s="12">
        <v>0</v>
      </c>
      <c r="AK1215" s="12">
        <v>0</v>
      </c>
      <c r="AL1215" s="12"/>
      <c r="AM1215" s="12"/>
      <c r="AN1215" s="982"/>
      <c r="AO1215" s="982"/>
      <c r="AP1215" s="1070"/>
      <c r="AQ1215" s="1070"/>
      <c r="AR1215" s="1044"/>
      <c r="AS1215" s="1044"/>
    </row>
    <row r="1216" spans="3:45" ht="12.75" hidden="1" customHeight="1" outlineLevel="1">
      <c r="C1216" s="816" t="s">
        <v>16</v>
      </c>
      <c r="D1216" s="9"/>
      <c r="E1216" s="9" t="s">
        <v>247</v>
      </c>
      <c r="F1216" s="9"/>
      <c r="G1216" s="9"/>
      <c r="H1216" s="9"/>
      <c r="I1216" s="9"/>
      <c r="J1216" s="9"/>
      <c r="K1216" s="9"/>
      <c r="L1216" s="9"/>
      <c r="M1216" s="9"/>
      <c r="N1216" s="9"/>
      <c r="O1216" s="9"/>
      <c r="P1216" s="9"/>
      <c r="Q1216" s="9"/>
      <c r="R1216" s="9"/>
      <c r="S1216" s="9"/>
      <c r="T1216" s="9"/>
      <c r="U1216" s="9"/>
      <c r="V1216" s="9"/>
      <c r="W1216" s="9"/>
      <c r="X1216" s="9"/>
      <c r="Y1216" s="9"/>
      <c r="Z1216" s="9"/>
      <c r="AA1216" s="9"/>
      <c r="AB1216" s="12"/>
      <c r="AC1216" s="12"/>
      <c r="AD1216" s="12"/>
      <c r="AE1216" s="12"/>
      <c r="AF1216" s="12">
        <v>125000</v>
      </c>
      <c r="AG1216" s="12">
        <v>125000</v>
      </c>
      <c r="AH1216" s="12">
        <v>0</v>
      </c>
      <c r="AI1216" s="12">
        <v>0</v>
      </c>
      <c r="AJ1216" s="12">
        <v>0</v>
      </c>
      <c r="AK1216" s="12">
        <v>0</v>
      </c>
      <c r="AL1216" s="12"/>
      <c r="AM1216" s="12"/>
      <c r="AN1216" s="982"/>
      <c r="AO1216" s="982"/>
      <c r="AP1216" s="1070"/>
      <c r="AQ1216" s="1070"/>
      <c r="AR1216" s="1044"/>
      <c r="AS1216" s="1044"/>
    </row>
    <row r="1217" spans="2:45" ht="12.75" hidden="1" customHeight="1" outlineLevel="1">
      <c r="C1217" s="816" t="s">
        <v>16</v>
      </c>
      <c r="D1217" s="9"/>
      <c r="E1217" s="223" t="s">
        <v>1003</v>
      </c>
      <c r="F1217" s="9"/>
      <c r="G1217" s="9"/>
      <c r="H1217" s="9"/>
      <c r="I1217" s="9"/>
      <c r="J1217" s="9"/>
      <c r="K1217" s="9"/>
      <c r="L1217" s="9"/>
      <c r="M1217" s="9"/>
      <c r="N1217" s="9"/>
      <c r="O1217" s="9"/>
      <c r="P1217" s="9"/>
      <c r="Q1217" s="9"/>
      <c r="R1217" s="9"/>
      <c r="S1217" s="9"/>
      <c r="T1217" s="9"/>
      <c r="U1217" s="9"/>
      <c r="V1217" s="9"/>
      <c r="W1217" s="9"/>
      <c r="X1217" s="9"/>
      <c r="Y1217" s="9"/>
      <c r="Z1217" s="9"/>
      <c r="AA1217" s="9"/>
      <c r="AB1217" s="12"/>
      <c r="AC1217" s="12"/>
      <c r="AD1217" s="12"/>
      <c r="AE1217" s="12"/>
      <c r="AF1217" s="12"/>
      <c r="AG1217" s="12"/>
      <c r="AH1217" s="12"/>
      <c r="AI1217" s="12"/>
      <c r="AJ1217" s="46">
        <v>7836013</v>
      </c>
      <c r="AK1217" s="46">
        <v>7836012</v>
      </c>
      <c r="AL1217" s="46"/>
      <c r="AM1217" s="46"/>
      <c r="AN1217" s="987"/>
      <c r="AO1217" s="987"/>
      <c r="AP1217" s="987"/>
      <c r="AQ1217" s="987"/>
      <c r="AR1217" s="1044"/>
      <c r="AS1217" s="1044"/>
    </row>
    <row r="1218" spans="2:45" ht="12.75" hidden="1" customHeight="1" outlineLevel="1">
      <c r="C1218" s="816" t="s">
        <v>16</v>
      </c>
      <c r="D1218" s="9"/>
      <c r="E1218" s="370" t="s">
        <v>1702</v>
      </c>
      <c r="F1218" s="9"/>
      <c r="G1218" s="9"/>
      <c r="H1218" s="9"/>
      <c r="I1218" s="9"/>
      <c r="J1218" s="9"/>
      <c r="K1218" s="9"/>
      <c r="L1218" s="9"/>
      <c r="M1218" s="9"/>
      <c r="N1218" s="9"/>
      <c r="O1218" s="9"/>
      <c r="P1218" s="9"/>
      <c r="Q1218" s="9"/>
      <c r="R1218" s="9"/>
      <c r="S1218" s="9"/>
      <c r="T1218" s="9"/>
      <c r="U1218" s="9"/>
      <c r="V1218" s="9"/>
      <c r="W1218" s="9"/>
      <c r="X1218" s="9"/>
      <c r="Y1218" s="9"/>
      <c r="Z1218" s="9"/>
      <c r="AA1218" s="9"/>
      <c r="AB1218" s="12"/>
      <c r="AC1218" s="12"/>
      <c r="AD1218" s="12"/>
      <c r="AE1218" s="12"/>
      <c r="AF1218" s="12"/>
      <c r="AG1218" s="12"/>
      <c r="AH1218" s="12"/>
      <c r="AI1218" s="12"/>
      <c r="AJ1218" s="46"/>
      <c r="AK1218" s="46"/>
      <c r="AL1218" s="24">
        <v>2003691</v>
      </c>
      <c r="AM1218" s="24">
        <v>2003690</v>
      </c>
      <c r="AN1218" s="984"/>
      <c r="AO1218" s="984"/>
      <c r="AP1218" s="1061"/>
      <c r="AQ1218" s="1061"/>
      <c r="AR1218" s="1044"/>
      <c r="AS1218" s="1044"/>
    </row>
    <row r="1219" spans="2:45" ht="12.75" hidden="1" customHeight="1" outlineLevel="1">
      <c r="C1219" s="816" t="s">
        <v>16</v>
      </c>
      <c r="D1219" s="9"/>
      <c r="E1219" s="370" t="s">
        <v>1216</v>
      </c>
      <c r="F1219" s="9"/>
      <c r="G1219" s="9"/>
      <c r="H1219" s="9"/>
      <c r="I1219" s="9"/>
      <c r="J1219" s="9"/>
      <c r="K1219" s="9"/>
      <c r="L1219" s="9"/>
      <c r="M1219" s="9"/>
      <c r="N1219" s="9"/>
      <c r="O1219" s="9"/>
      <c r="P1219" s="9"/>
      <c r="Q1219" s="9"/>
      <c r="R1219" s="9"/>
      <c r="S1219" s="9"/>
      <c r="T1219" s="9"/>
      <c r="U1219" s="9"/>
      <c r="V1219" s="9"/>
      <c r="W1219" s="9"/>
      <c r="X1219" s="9"/>
      <c r="Y1219" s="9"/>
      <c r="Z1219" s="9"/>
      <c r="AA1219" s="9"/>
      <c r="AB1219" s="12"/>
      <c r="AC1219" s="12"/>
      <c r="AD1219" s="12"/>
      <c r="AE1219" s="12"/>
      <c r="AF1219" s="12"/>
      <c r="AG1219" s="12"/>
      <c r="AH1219" s="12"/>
      <c r="AI1219" s="12"/>
      <c r="AJ1219" s="24">
        <v>655403</v>
      </c>
      <c r="AK1219" s="24">
        <v>642902</v>
      </c>
      <c r="AL1219" s="24">
        <v>649153</v>
      </c>
      <c r="AM1219" s="24">
        <v>649152</v>
      </c>
      <c r="AN1219" s="984"/>
      <c r="AO1219" s="984"/>
      <c r="AP1219" s="1061"/>
      <c r="AQ1219" s="1061"/>
      <c r="AR1219" s="1044"/>
      <c r="AS1219" s="1044"/>
    </row>
    <row r="1220" spans="2:45" ht="12.75" hidden="1" customHeight="1" outlineLevel="1">
      <c r="C1220" s="816" t="s">
        <v>16</v>
      </c>
      <c r="D1220" s="9"/>
      <c r="E1220" s="370" t="s">
        <v>1304</v>
      </c>
      <c r="F1220" s="9"/>
      <c r="G1220" s="9"/>
      <c r="H1220" s="9"/>
      <c r="I1220" s="9"/>
      <c r="J1220" s="9"/>
      <c r="K1220" s="9"/>
      <c r="L1220" s="9"/>
      <c r="M1220" s="9"/>
      <c r="N1220" s="9"/>
      <c r="O1220" s="9"/>
      <c r="P1220" s="9"/>
      <c r="Q1220" s="9"/>
      <c r="R1220" s="9"/>
      <c r="S1220" s="9"/>
      <c r="T1220" s="9"/>
      <c r="U1220" s="9"/>
      <c r="V1220" s="9"/>
      <c r="W1220" s="9"/>
      <c r="X1220" s="9"/>
      <c r="Y1220" s="9"/>
      <c r="Z1220" s="9"/>
      <c r="AA1220" s="9"/>
      <c r="AB1220" s="12"/>
      <c r="AC1220" s="12"/>
      <c r="AD1220" s="12"/>
      <c r="AE1220" s="12"/>
      <c r="AF1220" s="12"/>
      <c r="AG1220" s="12"/>
      <c r="AH1220" s="12"/>
      <c r="AI1220" s="12"/>
      <c r="AJ1220" s="24"/>
      <c r="AK1220" s="24"/>
      <c r="AL1220" s="24"/>
      <c r="AM1220" s="24">
        <v>240000000</v>
      </c>
      <c r="AN1220" s="984"/>
      <c r="AO1220" s="984"/>
      <c r="AP1220" s="1061"/>
      <c r="AQ1220" s="1061"/>
      <c r="AR1220" s="1044"/>
      <c r="AS1220" s="1044"/>
    </row>
    <row r="1221" spans="2:45" ht="12.75" hidden="1" customHeight="1" outlineLevel="1">
      <c r="C1221" s="816" t="s">
        <v>16</v>
      </c>
      <c r="D1221" s="9"/>
      <c r="E1221" s="35" t="s">
        <v>249</v>
      </c>
      <c r="F1221" s="35"/>
      <c r="G1221" s="35"/>
      <c r="H1221" s="35"/>
      <c r="I1221" s="35"/>
      <c r="J1221" s="35"/>
      <c r="K1221" s="35"/>
      <c r="L1221" s="35"/>
      <c r="M1221" s="35"/>
      <c r="N1221" s="35"/>
      <c r="O1221" s="35"/>
      <c r="P1221" s="35"/>
      <c r="Q1221" s="35"/>
      <c r="R1221" s="35"/>
      <c r="S1221" s="35"/>
      <c r="T1221" s="35"/>
      <c r="U1221" s="35"/>
      <c r="V1221" s="35"/>
      <c r="W1221" s="35"/>
      <c r="X1221" s="35"/>
      <c r="Y1221" s="35"/>
      <c r="Z1221" s="35"/>
      <c r="AA1221" s="35"/>
      <c r="AB1221" s="34">
        <v>7896411</v>
      </c>
      <c r="AC1221" s="34">
        <v>6782410</v>
      </c>
      <c r="AD1221" s="34">
        <v>5053771</v>
      </c>
      <c r="AE1221" s="34">
        <v>5053771</v>
      </c>
      <c r="AF1221" s="34">
        <v>17303771</v>
      </c>
      <c r="AG1221" s="34">
        <v>17303771</v>
      </c>
      <c r="AH1221" s="34">
        <v>5587069</v>
      </c>
      <c r="AI1221" s="34">
        <v>5587069</v>
      </c>
      <c r="AJ1221" s="47">
        <v>14011769</v>
      </c>
      <c r="AK1221" s="47">
        <v>13999267</v>
      </c>
      <c r="AL1221" s="47">
        <f>SUM(AL1207:AL1220)</f>
        <v>6176901</v>
      </c>
      <c r="AM1221" s="47">
        <f>SUM(AM1207:AM1220)</f>
        <v>246176899</v>
      </c>
      <c r="AN1221" s="988"/>
      <c r="AO1221" s="988"/>
      <c r="AP1221" s="988"/>
      <c r="AQ1221" s="988"/>
      <c r="AR1221" s="1044"/>
      <c r="AS1221" s="1044"/>
    </row>
    <row r="1222" spans="2:45" ht="12.75" hidden="1" customHeight="1" outlineLevel="1">
      <c r="C1222" s="816" t="s">
        <v>16</v>
      </c>
      <c r="D1222" s="9"/>
      <c r="E1222" s="28" t="s">
        <v>260</v>
      </c>
      <c r="F1222" s="28"/>
      <c r="G1222" s="28"/>
      <c r="H1222" s="28"/>
      <c r="I1222" s="28"/>
      <c r="J1222" s="28"/>
      <c r="K1222" s="28"/>
      <c r="L1222" s="28"/>
      <c r="M1222" s="28"/>
      <c r="N1222" s="28"/>
      <c r="O1222" s="28"/>
      <c r="P1222" s="28"/>
      <c r="Q1222" s="28"/>
      <c r="R1222" s="28"/>
      <c r="S1222" s="28"/>
      <c r="T1222" s="28"/>
      <c r="U1222" s="28"/>
      <c r="V1222" s="28"/>
      <c r="W1222" s="28"/>
      <c r="X1222" s="28"/>
      <c r="Y1222" s="28"/>
      <c r="Z1222" s="28"/>
      <c r="AA1222" s="28"/>
      <c r="AB1222" s="12"/>
      <c r="AC1222" s="12"/>
      <c r="AD1222" s="12"/>
      <c r="AE1222" s="12"/>
      <c r="AF1222" s="12"/>
      <c r="AG1222" s="12"/>
      <c r="AH1222" s="12"/>
      <c r="AI1222" s="12"/>
      <c r="AJ1222" s="47"/>
      <c r="AK1222" s="47"/>
      <c r="AL1222" s="47"/>
      <c r="AM1222" s="47"/>
      <c r="AN1222" s="988"/>
      <c r="AO1222" s="988"/>
      <c r="AP1222" s="988"/>
      <c r="AQ1222" s="988"/>
      <c r="AR1222" s="1044"/>
      <c r="AS1222" s="1044"/>
    </row>
    <row r="1223" spans="2:45" ht="12.75" hidden="1" customHeight="1" outlineLevel="1">
      <c r="C1223" s="816" t="s">
        <v>16</v>
      </c>
      <c r="D1223" s="9"/>
      <c r="E1223" s="9" t="s">
        <v>261</v>
      </c>
      <c r="F1223" s="9"/>
      <c r="G1223" s="9"/>
      <c r="H1223" s="9"/>
      <c r="I1223" s="9"/>
      <c r="J1223" s="9"/>
      <c r="K1223" s="9"/>
      <c r="L1223" s="9"/>
      <c r="M1223" s="9"/>
      <c r="N1223" s="9"/>
      <c r="O1223" s="9"/>
      <c r="P1223" s="9"/>
      <c r="Q1223" s="9"/>
      <c r="R1223" s="9"/>
      <c r="S1223" s="9"/>
      <c r="T1223" s="9"/>
      <c r="U1223" s="9"/>
      <c r="V1223" s="9"/>
      <c r="W1223" s="9"/>
      <c r="X1223" s="9"/>
      <c r="Y1223" s="9"/>
      <c r="Z1223" s="9"/>
      <c r="AA1223" s="9"/>
      <c r="AB1223" s="12">
        <v>1201702</v>
      </c>
      <c r="AC1223" s="12">
        <v>1201704</v>
      </c>
      <c r="AD1223" s="12">
        <v>1805893</v>
      </c>
      <c r="AE1223" s="12">
        <v>1892277</v>
      </c>
      <c r="AF1223" s="12">
        <v>2904584</v>
      </c>
      <c r="AG1223" s="12">
        <v>2178585</v>
      </c>
      <c r="AH1223" s="12">
        <f>2911962</f>
        <v>2911962</v>
      </c>
      <c r="AI1223" s="12">
        <f>2911962</f>
        <v>2911962</v>
      </c>
      <c r="AJ1223" s="46">
        <v>3856186</v>
      </c>
      <c r="AK1223" s="46">
        <v>4068000</v>
      </c>
      <c r="AL1223" s="46">
        <v>4114673</v>
      </c>
      <c r="AM1223" s="46">
        <v>4114674</v>
      </c>
      <c r="AN1223" s="987">
        <v>3406466</v>
      </c>
      <c r="AO1223" s="987">
        <v>3406466</v>
      </c>
      <c r="AP1223" s="987">
        <v>3307573</v>
      </c>
      <c r="AQ1223" s="987">
        <v>3307572</v>
      </c>
      <c r="AR1223" s="1044"/>
      <c r="AS1223" s="1044"/>
    </row>
    <row r="1224" spans="2:45" ht="12.75" hidden="1" customHeight="1" outlineLevel="1">
      <c r="C1224" s="816" t="s">
        <v>16</v>
      </c>
      <c r="D1224" s="9"/>
      <c r="E1224" s="9" t="s">
        <v>262</v>
      </c>
      <c r="F1224" s="9"/>
      <c r="G1224" s="9"/>
      <c r="H1224" s="9"/>
      <c r="I1224" s="9"/>
      <c r="J1224" s="9"/>
      <c r="K1224" s="9"/>
      <c r="L1224" s="9"/>
      <c r="M1224" s="9"/>
      <c r="N1224" s="9"/>
      <c r="O1224" s="9"/>
      <c r="P1224" s="9"/>
      <c r="Q1224" s="9"/>
      <c r="R1224" s="9"/>
      <c r="S1224" s="9"/>
      <c r="T1224" s="9"/>
      <c r="U1224" s="9"/>
      <c r="V1224" s="9"/>
      <c r="W1224" s="9"/>
      <c r="X1224" s="9"/>
      <c r="Y1224" s="9"/>
      <c r="Z1224" s="9"/>
      <c r="AA1224" s="9"/>
      <c r="AB1224" s="12">
        <v>987862</v>
      </c>
      <c r="AC1224" s="12">
        <v>987861</v>
      </c>
      <c r="AD1224" s="12">
        <v>1589303</v>
      </c>
      <c r="AE1224" s="12">
        <v>1291919</v>
      </c>
      <c r="AF1224" s="12">
        <v>1575828</v>
      </c>
      <c r="AG1224" s="12">
        <v>1575828</v>
      </c>
      <c r="AH1224" s="12">
        <v>1209022</v>
      </c>
      <c r="AI1224" s="12">
        <v>1194433</v>
      </c>
      <c r="AJ1224" s="46">
        <v>1714901</v>
      </c>
      <c r="AK1224" s="46">
        <v>2121611</v>
      </c>
      <c r="AL1224" s="46">
        <v>2856094</v>
      </c>
      <c r="AM1224" s="46">
        <v>3010510</v>
      </c>
      <c r="AN1224" s="987">
        <v>2950657</v>
      </c>
      <c r="AO1224" s="987">
        <v>2950657</v>
      </c>
      <c r="AP1224" s="987">
        <v>3288504</v>
      </c>
      <c r="AQ1224" s="987">
        <v>3288504</v>
      </c>
      <c r="AR1224" s="1044"/>
      <c r="AS1224" s="1044"/>
    </row>
    <row r="1225" spans="2:45" ht="12.75" hidden="1" customHeight="1" outlineLevel="1">
      <c r="C1225" s="816" t="s">
        <v>16</v>
      </c>
      <c r="D1225" s="9"/>
      <c r="E1225" s="9" t="s">
        <v>263</v>
      </c>
      <c r="F1225" s="9"/>
      <c r="G1225" s="9"/>
      <c r="H1225" s="9"/>
      <c r="I1225" s="9"/>
      <c r="J1225" s="9"/>
      <c r="K1225" s="9"/>
      <c r="L1225" s="9"/>
      <c r="M1225" s="9"/>
      <c r="N1225" s="9"/>
      <c r="O1225" s="9"/>
      <c r="P1225" s="9"/>
      <c r="Q1225" s="9"/>
      <c r="R1225" s="9"/>
      <c r="S1225" s="9"/>
      <c r="T1225" s="9"/>
      <c r="U1225" s="9"/>
      <c r="V1225" s="9"/>
      <c r="W1225" s="9"/>
      <c r="X1225" s="9"/>
      <c r="Y1225" s="9"/>
      <c r="Z1225" s="9"/>
      <c r="AA1225" s="9"/>
      <c r="AB1225" s="12">
        <v>1305325</v>
      </c>
      <c r="AC1225" s="12">
        <v>1305323</v>
      </c>
      <c r="AD1225" s="12">
        <v>1160720</v>
      </c>
      <c r="AE1225" s="12">
        <v>1160721</v>
      </c>
      <c r="AF1225" s="12">
        <v>1160720</v>
      </c>
      <c r="AG1225" s="12">
        <v>1160721</v>
      </c>
      <c r="AH1225" s="12">
        <v>774962</v>
      </c>
      <c r="AI1225" s="12">
        <v>774962</v>
      </c>
      <c r="AJ1225" s="46">
        <v>774963</v>
      </c>
      <c r="AK1225" s="46">
        <v>234903</v>
      </c>
      <c r="AL1225" s="46">
        <v>450850</v>
      </c>
      <c r="AM1225" s="46">
        <v>450850</v>
      </c>
      <c r="AN1225" s="987">
        <v>561317</v>
      </c>
      <c r="AO1225" s="987">
        <v>561316</v>
      </c>
      <c r="AP1225" s="987">
        <v>483471</v>
      </c>
      <c r="AQ1225" s="987">
        <v>633471</v>
      </c>
      <c r="AR1225" s="1044"/>
      <c r="AS1225" s="1044"/>
    </row>
    <row r="1226" spans="2:45" s="1044" customFormat="1" ht="12.75" hidden="1" customHeight="1" outlineLevel="1">
      <c r="B1226" s="1045"/>
      <c r="C1226" s="1053" t="s">
        <v>16</v>
      </c>
      <c r="D1226" s="1030"/>
      <c r="E1226" s="1051" t="s">
        <v>1972</v>
      </c>
      <c r="F1226" s="1030"/>
      <c r="G1226" s="1030"/>
      <c r="H1226" s="1030"/>
      <c r="I1226" s="1030"/>
      <c r="J1226" s="1030"/>
      <c r="K1226" s="1030"/>
      <c r="L1226" s="1030"/>
      <c r="M1226" s="1030"/>
      <c r="N1226" s="1030"/>
      <c r="O1226" s="1030"/>
      <c r="P1226" s="1030"/>
      <c r="Q1226" s="1030"/>
      <c r="R1226" s="1030"/>
      <c r="S1226" s="1030"/>
      <c r="T1226" s="1030"/>
      <c r="U1226" s="1030"/>
      <c r="V1226" s="1030"/>
      <c r="W1226" s="1030"/>
      <c r="X1226" s="1030"/>
      <c r="Y1226" s="1030"/>
      <c r="Z1226" s="1030"/>
      <c r="AA1226" s="1030"/>
      <c r="AB1226" s="1070"/>
      <c r="AC1226" s="1070"/>
      <c r="AD1226" s="1070"/>
      <c r="AE1226" s="1070"/>
      <c r="AF1226" s="1070"/>
      <c r="AG1226" s="1070"/>
      <c r="AH1226" s="1070"/>
      <c r="AI1226" s="1070"/>
      <c r="AJ1226" s="987"/>
      <c r="AK1226" s="987"/>
      <c r="AL1226" s="987"/>
      <c r="AM1226" s="987"/>
      <c r="AN1226" s="987"/>
      <c r="AO1226" s="987"/>
      <c r="AP1226" s="987">
        <v>312867</v>
      </c>
      <c r="AQ1226" s="987">
        <v>312867</v>
      </c>
    </row>
    <row r="1227" spans="2:45" ht="12.75" hidden="1" customHeight="1" outlineLevel="1">
      <c r="C1227" s="816" t="s">
        <v>16</v>
      </c>
      <c r="D1227" s="9"/>
      <c r="E1227" s="35" t="s">
        <v>264</v>
      </c>
      <c r="F1227" s="35"/>
      <c r="G1227" s="35"/>
      <c r="H1227" s="35"/>
      <c r="I1227" s="35"/>
      <c r="J1227" s="35"/>
      <c r="K1227" s="35"/>
      <c r="L1227" s="35"/>
      <c r="M1227" s="35"/>
      <c r="N1227" s="35"/>
      <c r="O1227" s="35"/>
      <c r="P1227" s="35"/>
      <c r="Q1227" s="35"/>
      <c r="R1227" s="35"/>
      <c r="S1227" s="35"/>
      <c r="T1227" s="35"/>
      <c r="U1227" s="35"/>
      <c r="V1227" s="35"/>
      <c r="W1227" s="35"/>
      <c r="X1227" s="35"/>
      <c r="Y1227" s="35"/>
      <c r="Z1227" s="35"/>
      <c r="AA1227" s="35"/>
      <c r="AB1227" s="34">
        <v>3494889</v>
      </c>
      <c r="AC1227" s="34">
        <v>3494888</v>
      </c>
      <c r="AD1227" s="34">
        <v>4555916</v>
      </c>
      <c r="AE1227" s="34">
        <v>4344917</v>
      </c>
      <c r="AF1227" s="34">
        <v>5641132</v>
      </c>
      <c r="AG1227" s="34">
        <v>4915134</v>
      </c>
      <c r="AH1227" s="34">
        <f>4895946</f>
        <v>4895946</v>
      </c>
      <c r="AI1227" s="34">
        <f>4881357</f>
        <v>4881357</v>
      </c>
      <c r="AJ1227" s="47">
        <v>6346050</v>
      </c>
      <c r="AK1227" s="47">
        <v>6424514</v>
      </c>
      <c r="AL1227" s="47">
        <f>SUM(AL1223:AL1225)</f>
        <v>7421617</v>
      </c>
      <c r="AM1227" s="47">
        <f>SUM(AM1223:AM1225)</f>
        <v>7576034</v>
      </c>
      <c r="AN1227" s="988">
        <f>SUM(AN1223:AN1225)</f>
        <v>6918440</v>
      </c>
      <c r="AO1227" s="988">
        <f>SUM(AO1223:AO1225)</f>
        <v>6918439</v>
      </c>
      <c r="AP1227" s="988">
        <f>SUM(AP1223:AP1226)</f>
        <v>7392415</v>
      </c>
      <c r="AQ1227" s="988">
        <f>SUM(AQ1223:AQ1226)</f>
        <v>7542414</v>
      </c>
      <c r="AR1227" s="1044"/>
      <c r="AS1227" s="1044"/>
    </row>
    <row r="1228" spans="2:45" ht="12.75" hidden="1" customHeight="1" outlineLevel="1">
      <c r="C1228" s="816" t="s">
        <v>16</v>
      </c>
      <c r="D1228" s="9"/>
      <c r="E1228" s="28" t="s">
        <v>1004</v>
      </c>
      <c r="F1228" s="28"/>
      <c r="G1228" s="28"/>
      <c r="H1228" s="28"/>
      <c r="I1228" s="28"/>
      <c r="J1228" s="28"/>
      <c r="K1228" s="28"/>
      <c r="L1228" s="28"/>
      <c r="M1228" s="28"/>
      <c r="N1228" s="28"/>
      <c r="O1228" s="28"/>
      <c r="P1228" s="28"/>
      <c r="Q1228" s="28"/>
      <c r="R1228" s="28"/>
      <c r="S1228" s="28"/>
      <c r="T1228" s="28"/>
      <c r="U1228" s="28"/>
      <c r="V1228" s="28"/>
      <c r="W1228" s="28"/>
      <c r="X1228" s="28"/>
      <c r="Y1228" s="28"/>
      <c r="Z1228" s="28"/>
      <c r="AA1228" s="28"/>
      <c r="AB1228" s="34">
        <v>377055866</v>
      </c>
      <c r="AC1228" s="34">
        <v>361546668</v>
      </c>
      <c r="AD1228" s="34">
        <v>482985847</v>
      </c>
      <c r="AE1228" s="34">
        <v>550723283</v>
      </c>
      <c r="AF1228" s="34">
        <f>736678922-80000000</f>
        <v>656678922</v>
      </c>
      <c r="AG1228" s="34">
        <f>647268795</f>
        <v>647268795</v>
      </c>
      <c r="AH1228" s="34">
        <f>584623588</f>
        <v>584623588</v>
      </c>
      <c r="AI1228" s="34">
        <f>468898447+81400000</f>
        <v>550298447</v>
      </c>
      <c r="AJ1228" s="45">
        <v>680798071</v>
      </c>
      <c r="AK1228" s="983">
        <f t="shared" ref="AK1228:AQ1228" si="309">AK1227+AK1221+AK1205+AK1201+AK1175+AK1170+AK1154+AK1125+AK1163</f>
        <v>561954505</v>
      </c>
      <c r="AL1228" s="983">
        <f t="shared" si="309"/>
        <v>764001834</v>
      </c>
      <c r="AM1228" s="983">
        <f t="shared" si="309"/>
        <v>932360501</v>
      </c>
      <c r="AN1228" s="983">
        <f t="shared" si="309"/>
        <v>708341805</v>
      </c>
      <c r="AO1228" s="983">
        <f t="shared" si="309"/>
        <v>688540827</v>
      </c>
      <c r="AP1228" s="983">
        <f t="shared" si="309"/>
        <v>822604121</v>
      </c>
      <c r="AQ1228" s="983">
        <f t="shared" si="309"/>
        <v>815918716</v>
      </c>
      <c r="AR1228" s="1044"/>
      <c r="AS1228" s="1044"/>
    </row>
    <row r="1229" spans="2:45" ht="12.75" hidden="1" customHeight="1" outlineLevel="1">
      <c r="C1229" s="1053" t="s">
        <v>16</v>
      </c>
      <c r="D1229" s="223" t="s">
        <v>1572</v>
      </c>
      <c r="E1229" s="223" t="s">
        <v>1571</v>
      </c>
      <c r="F1229" s="28"/>
      <c r="G1229" s="28"/>
      <c r="H1229" s="28"/>
      <c r="I1229" s="28"/>
      <c r="J1229" s="28"/>
      <c r="K1229" s="28"/>
      <c r="L1229" s="28"/>
      <c r="M1229" s="28"/>
      <c r="N1229" s="28"/>
      <c r="O1229" s="28"/>
      <c r="P1229" s="28"/>
      <c r="Q1229" s="28"/>
      <c r="R1229" s="28"/>
      <c r="S1229" s="28"/>
      <c r="T1229" s="28"/>
      <c r="U1229" s="28"/>
      <c r="V1229" s="28"/>
      <c r="W1229" s="28"/>
      <c r="X1229" s="28"/>
      <c r="Y1229" s="28"/>
      <c r="Z1229" s="28"/>
      <c r="AA1229" s="28"/>
      <c r="AB1229" s="12">
        <f>SUMIF(D1113:$D$1227,$D1229,AB1113:AB1227)</f>
        <v>1097399</v>
      </c>
      <c r="AC1229" s="12">
        <f ca="1">SUMIF($D1113:E$1227,$D1229,AC1113:AC1227)</f>
        <v>997398</v>
      </c>
      <c r="AD1229" s="12">
        <f ca="1">SUMIF($D1113:F$1227,$D1229,AD1113:AD1227)</f>
        <v>18500000</v>
      </c>
      <c r="AE1229" s="12">
        <f ca="1">SUMIF($D1113:G$1227,$D1229,AE1113:AE1227)</f>
        <v>18500000</v>
      </c>
      <c r="AF1229" s="12">
        <f ca="1">SUMIF($D1113:H$1227,$D1229,AF1113:AF1227)</f>
        <v>27000000</v>
      </c>
      <c r="AG1229" s="12">
        <f ca="1">SUMIF($D1113:I$1227,$D1229,AG1113:AG1227)</f>
        <v>27000000</v>
      </c>
      <c r="AH1229" s="12">
        <f ca="1">SUMIF($D1113:J$1227,$D1229,AH1113:AH1227)</f>
        <v>20864000</v>
      </c>
      <c r="AI1229" s="12">
        <f ca="1">SUMIF($D1113:K$1227,$D1229,AI1113:AI1227)</f>
        <v>17664000</v>
      </c>
      <c r="AJ1229" s="12">
        <f ca="1">SUMIF($D1113:L$1227,$D1229,AJ1113:AJ1227)</f>
        <v>20864000</v>
      </c>
      <c r="AK1229" s="12">
        <f ca="1">SUMIF($D1113:M$1227,$D1229,AK1113:AK1227)</f>
        <v>17664000</v>
      </c>
      <c r="AL1229" s="12">
        <f ca="1">SUMIF($D1113:AJ$1227,$D1229,AL1113:AL1227)</f>
        <v>13252500</v>
      </c>
      <c r="AM1229" s="12">
        <f ca="1">SUMIF($D1113:AK$1227,$D1229,AM1113:AM1227)</f>
        <v>11287200</v>
      </c>
      <c r="AN1229" s="1070">
        <f ca="1">SUMIF($D1113:AL$1227,$D1229,AN1113:AN1227)</f>
        <v>7712942</v>
      </c>
      <c r="AO1229" s="1070">
        <f ca="1">SUMIF($D1113:AM$1227,$D1229,AO1113:AO1227)</f>
        <v>2237800</v>
      </c>
      <c r="AP1229" s="1070">
        <f ca="1">SUMIF($D1113:AN$1227,$D1229,AP1113:AP1227)</f>
        <v>3620000</v>
      </c>
      <c r="AQ1229" s="1070">
        <f ca="1">SUMIF($D1113:AO$1227,$D1229,AQ1113:AQ1227)</f>
        <v>3420000</v>
      </c>
      <c r="AR1229" s="1044"/>
      <c r="AS1229" s="1044"/>
    </row>
    <row r="1230" spans="2:45" ht="12.75" hidden="1" customHeight="1" outlineLevel="1">
      <c r="C1230" s="1053" t="s">
        <v>16</v>
      </c>
      <c r="D1230" s="223" t="s">
        <v>1573</v>
      </c>
      <c r="E1230" s="223" t="s">
        <v>1574</v>
      </c>
      <c r="F1230" s="28"/>
      <c r="G1230" s="28"/>
      <c r="H1230" s="28"/>
      <c r="I1230" s="28"/>
      <c r="J1230" s="28"/>
      <c r="K1230" s="28"/>
      <c r="L1230" s="28"/>
      <c r="M1230" s="28"/>
      <c r="N1230" s="28"/>
      <c r="O1230" s="28"/>
      <c r="P1230" s="28"/>
      <c r="Q1230" s="28"/>
      <c r="R1230" s="28"/>
      <c r="S1230" s="28"/>
      <c r="T1230" s="28"/>
      <c r="U1230" s="28"/>
      <c r="V1230" s="28"/>
      <c r="W1230" s="28"/>
      <c r="X1230" s="28"/>
      <c r="Y1230" s="28"/>
      <c r="Z1230" s="28"/>
      <c r="AA1230" s="28"/>
      <c r="AB1230" s="12">
        <f>SUMIF($D1114:D$1227,$D1230,AB1114:AB1228)</f>
        <v>59163923</v>
      </c>
      <c r="AC1230" s="12">
        <f ca="1">SUMIF($D1114:E$1227,$D1230,AC1114:AC1228)</f>
        <v>57163926</v>
      </c>
      <c r="AD1230" s="12">
        <f ca="1">SUMIF($D1114:F$1227,$D1230,AD1114:AD1228)</f>
        <v>71429073</v>
      </c>
      <c r="AE1230" s="12">
        <f ca="1">SUMIF($D1114:G$1227,$D1230,AE1114:AE1228)</f>
        <v>65812717</v>
      </c>
      <c r="AF1230" s="12">
        <f ca="1">SUMIF($D1114:H$1227,$D1230,AF1114:AF1228)</f>
        <v>100827558</v>
      </c>
      <c r="AG1230" s="12">
        <f ca="1">SUMIF($D1114:I$1227,$D1230,AG1114:AG1228)</f>
        <v>88101481</v>
      </c>
      <c r="AH1230" s="12">
        <f ca="1">SUMIF($D1114:J$1227,$D1230,AH1114:AH1228)</f>
        <v>70106926</v>
      </c>
      <c r="AI1230" s="12">
        <f ca="1">SUMIF($D1114:K$1227,$D1230,AI1114:AI1228)</f>
        <v>75717694</v>
      </c>
      <c r="AJ1230" s="12">
        <f ca="1">SUMIF($D1114:L$1227,$D1230,AJ1114:AJ1228)</f>
        <v>34396794</v>
      </c>
      <c r="AK1230" s="12">
        <f ca="1">SUMIF($D1114:M$1227,$D1230,AK1114:AK1228)</f>
        <v>22090000</v>
      </c>
      <c r="AL1230" s="12">
        <f ca="1">SUMIF($D1114:AJ$1227,$D1230,AL1114:AL1228)</f>
        <v>64191794</v>
      </c>
      <c r="AM1230" s="12">
        <f ca="1">SUMIF($D1114:AK$1227,$D1230,AM1114:AM1228)</f>
        <v>52310000</v>
      </c>
      <c r="AN1230" s="1070">
        <f ca="1">SUMIF($D1114:AL$1227,$D1230,AN1114:AN1228)</f>
        <v>66994294</v>
      </c>
      <c r="AO1230" s="1070">
        <f ca="1">SUMIF($D1114:AM$1227,$D1230,AO1114:AO1228)</f>
        <v>56587500</v>
      </c>
      <c r="AP1230" s="1070">
        <f ca="1">SUMIF($D1114:AN$1227,$D1230,AP1114:AP1228)</f>
        <v>148370568</v>
      </c>
      <c r="AQ1230" s="1070">
        <f ca="1">SUMIF($D1114:AO$1227,$D1230,AQ1114:AQ1228)</f>
        <v>138163774</v>
      </c>
      <c r="AR1230" s="1044"/>
      <c r="AS1230" s="1044"/>
    </row>
    <row r="1231" spans="2:45" ht="12.75" hidden="1" customHeight="1" outlineLevel="1">
      <c r="C1231" s="816"/>
      <c r="D1231" s="223"/>
      <c r="E1231" s="223"/>
      <c r="F1231" s="28"/>
      <c r="G1231" s="28"/>
      <c r="H1231" s="28"/>
      <c r="I1231" s="28"/>
      <c r="J1231" s="28"/>
      <c r="K1231" s="28"/>
      <c r="L1231" s="28"/>
      <c r="M1231" s="28"/>
      <c r="N1231" s="28"/>
      <c r="O1231" s="28"/>
      <c r="P1231" s="28"/>
      <c r="Q1231" s="28"/>
      <c r="R1231" s="28"/>
      <c r="S1231" s="28"/>
      <c r="T1231" s="28"/>
      <c r="U1231" s="28"/>
      <c r="V1231" s="28"/>
      <c r="W1231" s="28"/>
      <c r="X1231" s="28"/>
      <c r="Y1231" s="28"/>
      <c r="Z1231" s="28"/>
      <c r="AA1231" s="28"/>
      <c r="AB1231" s="12"/>
      <c r="AC1231" s="12"/>
      <c r="AD1231" s="12"/>
      <c r="AE1231" s="12"/>
      <c r="AF1231" s="12"/>
      <c r="AG1231" s="12"/>
      <c r="AH1231" s="12"/>
      <c r="AI1231" s="12"/>
      <c r="AJ1231" s="12"/>
      <c r="AK1231" s="12"/>
      <c r="AL1231" s="12"/>
      <c r="AM1231" s="12"/>
      <c r="AN1231" s="982"/>
      <c r="AO1231" s="982"/>
      <c r="AP1231" s="1070"/>
      <c r="AQ1231" s="1070"/>
      <c r="AR1231" s="1044"/>
      <c r="AS1231" s="1044"/>
    </row>
    <row r="1232" spans="2:45" ht="12.75" hidden="1" customHeight="1" outlineLevel="1">
      <c r="C1232" s="816"/>
      <c r="D1232" s="9"/>
      <c r="E1232" s="35"/>
      <c r="F1232" s="35"/>
      <c r="G1232" s="35"/>
      <c r="H1232" s="35"/>
      <c r="I1232" s="35"/>
      <c r="J1232" s="35"/>
      <c r="K1232" s="35"/>
      <c r="L1232" s="35"/>
      <c r="M1232" s="35"/>
      <c r="N1232" s="35"/>
      <c r="O1232" s="35"/>
      <c r="P1232" s="35"/>
      <c r="Q1232" s="35"/>
      <c r="R1232" s="35"/>
      <c r="S1232" s="35"/>
      <c r="T1232" s="35"/>
      <c r="U1232" s="35"/>
      <c r="V1232" s="35"/>
      <c r="W1232" s="35"/>
      <c r="X1232" s="35"/>
      <c r="Y1232" s="35"/>
      <c r="Z1232" s="35"/>
      <c r="AA1232" s="35"/>
      <c r="AB1232" s="34"/>
      <c r="AC1232" s="34"/>
      <c r="AD1232" s="34"/>
      <c r="AE1232" s="34"/>
      <c r="AF1232" s="34"/>
      <c r="AG1232" s="34"/>
      <c r="AH1232" s="34"/>
      <c r="AI1232" s="34"/>
      <c r="AJ1232" s="47"/>
      <c r="AK1232" s="47"/>
      <c r="AL1232" s="47"/>
      <c r="AM1232" s="47"/>
      <c r="AN1232" s="988"/>
      <c r="AO1232" s="988"/>
      <c r="AP1232" s="988"/>
      <c r="AQ1232" s="988"/>
      <c r="AR1232" s="1044"/>
      <c r="AS1232" s="1044"/>
    </row>
    <row r="1233" spans="3:45" collapsed="1">
      <c r="C1233" s="816" t="s">
        <v>1057</v>
      </c>
      <c r="D1233" s="5"/>
      <c r="E1233" s="6"/>
      <c r="F1233" s="6"/>
      <c r="G1233" s="6"/>
      <c r="H1233" s="6"/>
      <c r="I1233" s="6"/>
      <c r="J1233" s="6"/>
      <c r="K1233" s="6"/>
      <c r="L1233" s="6"/>
      <c r="M1233" s="6"/>
      <c r="N1233" s="6"/>
      <c r="O1233" s="6"/>
      <c r="P1233" s="6"/>
      <c r="Q1233" s="6"/>
      <c r="R1233" s="6"/>
      <c r="S1233" s="6"/>
      <c r="T1233" s="6"/>
      <c r="U1233" s="6"/>
      <c r="V1233" s="6"/>
      <c r="W1233" s="6"/>
      <c r="X1233" s="6"/>
      <c r="Y1233" s="6"/>
      <c r="Z1233" s="6"/>
      <c r="AA1233" s="6"/>
      <c r="AB1233" s="7"/>
      <c r="AC1233" s="7"/>
      <c r="AD1233" s="7"/>
      <c r="AE1233" s="7"/>
      <c r="AF1233" s="7"/>
      <c r="AG1233" s="7"/>
      <c r="AH1233" s="7"/>
      <c r="AI1233" s="7"/>
      <c r="AJ1233" s="26"/>
      <c r="AK1233" s="26"/>
      <c r="AL1233" s="26"/>
      <c r="AM1233" s="26"/>
      <c r="AN1233" s="26" t="s">
        <v>1913</v>
      </c>
      <c r="AO1233" s="26" t="s">
        <v>1913</v>
      </c>
      <c r="AP1233" s="696" t="s">
        <v>1971</v>
      </c>
      <c r="AQ1233" s="696" t="s">
        <v>1971</v>
      </c>
      <c r="AR1233" s="1044"/>
      <c r="AS1233" s="1044"/>
    </row>
    <row r="1234" spans="3:45" hidden="1" outlineLevel="1">
      <c r="C1234" s="816" t="s">
        <v>1058</v>
      </c>
      <c r="D1234" s="223"/>
      <c r="E1234" s="28" t="s">
        <v>1059</v>
      </c>
      <c r="F1234" s="28"/>
      <c r="G1234" s="28"/>
      <c r="H1234" s="28"/>
      <c r="I1234" s="28"/>
      <c r="J1234" s="28"/>
      <c r="K1234" s="28"/>
      <c r="L1234" s="28"/>
      <c r="M1234" s="28"/>
      <c r="N1234" s="28"/>
      <c r="O1234" s="28"/>
      <c r="P1234" s="28"/>
      <c r="Q1234" s="28"/>
      <c r="R1234" s="28"/>
      <c r="S1234" s="28"/>
      <c r="T1234" s="28"/>
      <c r="U1234" s="28"/>
      <c r="V1234" s="12">
        <v>52393291</v>
      </c>
      <c r="W1234" s="12">
        <v>52393291</v>
      </c>
      <c r="X1234" s="12">
        <v>52150478</v>
      </c>
      <c r="Y1234" s="12">
        <v>52150478</v>
      </c>
      <c r="Z1234" s="12">
        <v>56229015</v>
      </c>
      <c r="AA1234" s="12">
        <v>56229015</v>
      </c>
      <c r="AB1234" s="12">
        <v>59948535</v>
      </c>
      <c r="AC1234" s="12">
        <v>59948533</v>
      </c>
      <c r="AD1234" s="12">
        <v>61479988</v>
      </c>
      <c r="AE1234" s="12">
        <v>62059357</v>
      </c>
      <c r="AF1234" s="12">
        <v>54272480</v>
      </c>
      <c r="AG1234" s="12">
        <v>48539393</v>
      </c>
      <c r="AH1234" s="12">
        <v>61810663</v>
      </c>
      <c r="AI1234" s="12">
        <v>61825763</v>
      </c>
      <c r="AJ1234" s="263">
        <v>29887000</v>
      </c>
      <c r="AK1234" s="263">
        <v>24659000</v>
      </c>
      <c r="AL1234" s="263">
        <v>32613346</v>
      </c>
      <c r="AM1234" s="263">
        <v>32613346</v>
      </c>
      <c r="AN1234" s="996">
        <v>32835088</v>
      </c>
      <c r="AO1234" s="996">
        <v>27932204</v>
      </c>
      <c r="AP1234" s="1064">
        <v>27431905</v>
      </c>
      <c r="AQ1234" s="1064">
        <v>27431905</v>
      </c>
      <c r="AR1234" s="1044"/>
      <c r="AS1234" s="1044"/>
    </row>
    <row r="1235" spans="3:45" collapsed="1">
      <c r="C1235" s="816" t="s">
        <v>1452</v>
      </c>
      <c r="D1235" s="5"/>
      <c r="E1235" s="6"/>
      <c r="F1235" s="6"/>
      <c r="G1235" s="6"/>
      <c r="H1235" s="6"/>
      <c r="I1235" s="6"/>
      <c r="J1235" s="6"/>
      <c r="K1235" s="6"/>
      <c r="L1235" s="6"/>
      <c r="M1235" s="6"/>
      <c r="N1235" s="6"/>
      <c r="O1235" s="6"/>
      <c r="P1235" s="6"/>
      <c r="Q1235" s="6"/>
      <c r="R1235" s="6"/>
      <c r="S1235" s="6"/>
      <c r="T1235" s="6"/>
      <c r="U1235" s="6"/>
      <c r="V1235" s="6"/>
      <c r="W1235" s="6"/>
      <c r="X1235" s="6"/>
      <c r="Y1235" s="6"/>
      <c r="Z1235" s="6"/>
      <c r="AA1235" s="6"/>
      <c r="AB1235" s="7"/>
      <c r="AC1235" s="7"/>
      <c r="AD1235" s="7"/>
      <c r="AE1235" s="7"/>
      <c r="AF1235" s="7"/>
      <c r="AG1235" s="7"/>
      <c r="AH1235" s="7"/>
      <c r="AI1235" s="7"/>
      <c r="AJ1235" s="26"/>
      <c r="AK1235" s="26"/>
      <c r="AL1235" s="26"/>
      <c r="AM1235" s="26"/>
      <c r="AN1235" s="26"/>
      <c r="AO1235" s="26"/>
      <c r="AP1235" s="26"/>
      <c r="AQ1235" s="26"/>
      <c r="AR1235" s="1044"/>
      <c r="AS1235" s="1044"/>
    </row>
    <row r="1236" spans="3:45" hidden="1" outlineLevel="1">
      <c r="C1236" s="816" t="s">
        <v>2</v>
      </c>
      <c r="D1236" s="9">
        <v>1</v>
      </c>
      <c r="E1236" s="384" t="s">
        <v>3</v>
      </c>
      <c r="F1236" s="384"/>
      <c r="G1236" s="384"/>
      <c r="H1236" s="384"/>
      <c r="I1236" s="384"/>
      <c r="J1236" s="384"/>
      <c r="K1236" s="384"/>
      <c r="L1236" s="384"/>
      <c r="M1236" s="384"/>
      <c r="N1236" s="384"/>
      <c r="O1236" s="384"/>
      <c r="P1236" s="384"/>
      <c r="Q1236" s="384"/>
      <c r="R1236" s="384"/>
      <c r="S1236" s="384"/>
      <c r="T1236" s="384"/>
      <c r="U1236" s="384"/>
      <c r="V1236" s="384"/>
      <c r="W1236" s="384"/>
      <c r="X1236" s="384"/>
      <c r="Y1236" s="384"/>
      <c r="Z1236" s="384"/>
      <c r="AA1236" s="384"/>
      <c r="AB1236" s="385"/>
      <c r="AC1236" s="385"/>
      <c r="AD1236" s="385"/>
      <c r="AE1236" s="385"/>
      <c r="AF1236" s="385">
        <v>75032928</v>
      </c>
      <c r="AG1236" s="385">
        <v>113577041</v>
      </c>
      <c r="AH1236" s="12"/>
      <c r="AI1236" s="12"/>
      <c r="AJ1236" s="18"/>
      <c r="AK1236" s="18"/>
      <c r="AL1236" s="18"/>
      <c r="AM1236" s="18"/>
      <c r="AN1236" s="26"/>
      <c r="AO1236" s="26"/>
      <c r="AP1236" s="26"/>
      <c r="AQ1236" s="26"/>
      <c r="AR1236" s="1044"/>
      <c r="AS1236" s="1044"/>
    </row>
    <row r="1237" spans="3:45" hidden="1" outlineLevel="1">
      <c r="C1237" s="816" t="s">
        <v>2</v>
      </c>
      <c r="D1237" s="9">
        <v>2</v>
      </c>
      <c r="E1237" s="384" t="s">
        <v>4</v>
      </c>
      <c r="F1237" s="384"/>
      <c r="G1237" s="384"/>
      <c r="H1237" s="384"/>
      <c r="I1237" s="384"/>
      <c r="J1237" s="384"/>
      <c r="K1237" s="384"/>
      <c r="L1237" s="384"/>
      <c r="M1237" s="384"/>
      <c r="N1237" s="384"/>
      <c r="O1237" s="384"/>
      <c r="P1237" s="384"/>
      <c r="Q1237" s="384"/>
      <c r="R1237" s="384"/>
      <c r="S1237" s="384"/>
      <c r="T1237" s="384"/>
      <c r="U1237" s="384"/>
      <c r="V1237" s="384"/>
      <c r="W1237" s="384"/>
      <c r="X1237" s="384"/>
      <c r="Y1237" s="384"/>
      <c r="Z1237" s="384"/>
      <c r="AA1237" s="384"/>
      <c r="AB1237" s="385"/>
      <c r="AC1237" s="385"/>
      <c r="AD1237" s="385"/>
      <c r="AE1237" s="385"/>
      <c r="AF1237" s="385">
        <v>55174562</v>
      </c>
      <c r="AG1237" s="385">
        <v>238303049</v>
      </c>
      <c r="AH1237" s="12"/>
      <c r="AI1237" s="12"/>
      <c r="AJ1237" s="18"/>
      <c r="AK1237" s="18"/>
      <c r="AL1237" s="18"/>
      <c r="AM1237" s="18"/>
      <c r="AN1237" s="26"/>
      <c r="AO1237" s="26"/>
      <c r="AP1237" s="26"/>
      <c r="AQ1237" s="26"/>
      <c r="AR1237" s="1044"/>
      <c r="AS1237" s="1044"/>
    </row>
    <row r="1238" spans="3:45" hidden="1" outlineLevel="1">
      <c r="C1238" s="816" t="s">
        <v>2</v>
      </c>
      <c r="D1238" s="9">
        <v>4</v>
      </c>
      <c r="E1238" s="386" t="s">
        <v>6</v>
      </c>
      <c r="F1238" s="386"/>
      <c r="G1238" s="386"/>
      <c r="H1238" s="386"/>
      <c r="I1238" s="386"/>
      <c r="J1238" s="386"/>
      <c r="K1238" s="386"/>
      <c r="L1238" s="386"/>
      <c r="M1238" s="386"/>
      <c r="N1238" s="386"/>
      <c r="O1238" s="386"/>
      <c r="P1238" s="386"/>
      <c r="Q1238" s="386"/>
      <c r="R1238" s="386"/>
      <c r="S1238" s="386"/>
      <c r="T1238" s="386"/>
      <c r="U1238" s="386"/>
      <c r="V1238" s="386"/>
      <c r="W1238" s="386"/>
      <c r="X1238" s="386"/>
      <c r="Y1238" s="386"/>
      <c r="Z1238" s="386"/>
      <c r="AA1238" s="386"/>
      <c r="AB1238" s="385"/>
      <c r="AC1238" s="385"/>
      <c r="AD1238" s="385"/>
      <c r="AE1238" s="385"/>
      <c r="AF1238" s="385">
        <v>1543547</v>
      </c>
      <c r="AG1238" s="385">
        <v>5176459</v>
      </c>
      <c r="AH1238" s="12"/>
      <c r="AI1238" s="12"/>
      <c r="AJ1238" s="49"/>
      <c r="AK1238" s="49"/>
      <c r="AL1238" s="49"/>
      <c r="AM1238" s="49"/>
      <c r="AN1238" s="26"/>
      <c r="AO1238" s="26"/>
      <c r="AP1238" s="26"/>
      <c r="AQ1238" s="26"/>
      <c r="AR1238" s="1044"/>
      <c r="AS1238" s="1044"/>
    </row>
    <row r="1239" spans="3:45" hidden="1" outlineLevel="1">
      <c r="C1239" s="816" t="s">
        <v>2</v>
      </c>
      <c r="D1239" s="9">
        <v>5</v>
      </c>
      <c r="E1239" s="386" t="s">
        <v>7</v>
      </c>
      <c r="F1239" s="386"/>
      <c r="G1239" s="386"/>
      <c r="H1239" s="386"/>
      <c r="I1239" s="386"/>
      <c r="J1239" s="386"/>
      <c r="K1239" s="386"/>
      <c r="L1239" s="386"/>
      <c r="M1239" s="386"/>
      <c r="N1239" s="386"/>
      <c r="O1239" s="386"/>
      <c r="P1239" s="386"/>
      <c r="Q1239" s="386"/>
      <c r="R1239" s="386"/>
      <c r="S1239" s="386"/>
      <c r="T1239" s="386"/>
      <c r="U1239" s="386"/>
      <c r="V1239" s="386"/>
      <c r="W1239" s="386"/>
      <c r="X1239" s="386"/>
      <c r="Y1239" s="386"/>
      <c r="Z1239" s="386"/>
      <c r="AA1239" s="386"/>
      <c r="AB1239" s="385"/>
      <c r="AC1239" s="385"/>
      <c r="AD1239" s="385"/>
      <c r="AE1239" s="385"/>
      <c r="AF1239" s="385">
        <v>59125792</v>
      </c>
      <c r="AG1239" s="385">
        <v>39899036</v>
      </c>
      <c r="AH1239" s="12"/>
      <c r="AI1239" s="12"/>
      <c r="AJ1239" s="49"/>
      <c r="AK1239" s="49"/>
      <c r="AL1239" s="49"/>
      <c r="AM1239" s="49"/>
      <c r="AN1239" s="26"/>
      <c r="AO1239" s="26"/>
      <c r="AP1239" s="26"/>
      <c r="AQ1239" s="26"/>
      <c r="AR1239" s="1044"/>
      <c r="AS1239" s="1044"/>
    </row>
    <row r="1240" spans="3:45" hidden="1" outlineLevel="1">
      <c r="C1240" s="816" t="s">
        <v>2</v>
      </c>
      <c r="D1240" s="9">
        <v>6</v>
      </c>
      <c r="E1240" s="386" t="s">
        <v>8</v>
      </c>
      <c r="F1240" s="386"/>
      <c r="G1240" s="386"/>
      <c r="H1240" s="386"/>
      <c r="I1240" s="386"/>
      <c r="J1240" s="386"/>
      <c r="K1240" s="386"/>
      <c r="L1240" s="386"/>
      <c r="M1240" s="386"/>
      <c r="N1240" s="386"/>
      <c r="O1240" s="386"/>
      <c r="P1240" s="386"/>
      <c r="Q1240" s="386"/>
      <c r="R1240" s="386"/>
      <c r="S1240" s="386"/>
      <c r="T1240" s="386"/>
      <c r="U1240" s="386"/>
      <c r="V1240" s="386"/>
      <c r="W1240" s="386"/>
      <c r="X1240" s="386"/>
      <c r="Y1240" s="386"/>
      <c r="Z1240" s="386"/>
      <c r="AA1240" s="386"/>
      <c r="AB1240" s="385"/>
      <c r="AC1240" s="385"/>
      <c r="AD1240" s="385"/>
      <c r="AE1240" s="385"/>
      <c r="AF1240" s="385">
        <v>53879716</v>
      </c>
      <c r="AG1240" s="385">
        <v>120211379</v>
      </c>
      <c r="AH1240" s="12"/>
      <c r="AI1240" s="12"/>
      <c r="AJ1240" s="49"/>
      <c r="AK1240" s="49"/>
      <c r="AL1240" s="49"/>
      <c r="AM1240" s="49"/>
      <c r="AN1240" s="26"/>
      <c r="AO1240" s="26"/>
      <c r="AP1240" s="26"/>
      <c r="AQ1240" s="26"/>
      <c r="AR1240" s="1044"/>
      <c r="AS1240" s="1044"/>
    </row>
    <row r="1241" spans="3:45" hidden="1" outlineLevel="1">
      <c r="C1241" s="816" t="s">
        <v>2</v>
      </c>
      <c r="D1241" s="9">
        <v>7</v>
      </c>
      <c r="E1241" s="386" t="s">
        <v>9</v>
      </c>
      <c r="F1241" s="386"/>
      <c r="G1241" s="386"/>
      <c r="H1241" s="386"/>
      <c r="I1241" s="386"/>
      <c r="J1241" s="386"/>
      <c r="K1241" s="386"/>
      <c r="L1241" s="386"/>
      <c r="M1241" s="386"/>
      <c r="N1241" s="386"/>
      <c r="O1241" s="386"/>
      <c r="P1241" s="386"/>
      <c r="Q1241" s="386"/>
      <c r="R1241" s="386"/>
      <c r="S1241" s="386"/>
      <c r="T1241" s="386"/>
      <c r="U1241" s="386"/>
      <c r="V1241" s="386"/>
      <c r="W1241" s="386"/>
      <c r="X1241" s="386"/>
      <c r="Y1241" s="386"/>
      <c r="Z1241" s="386"/>
      <c r="AA1241" s="386"/>
      <c r="AB1241" s="385"/>
      <c r="AC1241" s="385"/>
      <c r="AD1241" s="385"/>
      <c r="AE1241" s="385"/>
      <c r="AF1241" s="385">
        <v>2844193</v>
      </c>
      <c r="AG1241" s="385">
        <v>27885110</v>
      </c>
      <c r="AH1241" s="12"/>
      <c r="AI1241" s="12"/>
      <c r="AJ1241" s="49"/>
      <c r="AK1241" s="49"/>
      <c r="AL1241" s="49"/>
      <c r="AM1241" s="49"/>
      <c r="AN1241" s="26"/>
      <c r="AO1241" s="26"/>
      <c r="AP1241" s="26"/>
      <c r="AQ1241" s="26"/>
      <c r="AR1241" s="1044"/>
      <c r="AS1241" s="1044"/>
    </row>
    <row r="1242" spans="3:45" hidden="1" outlineLevel="1">
      <c r="C1242" s="816" t="s">
        <v>2</v>
      </c>
      <c r="D1242" s="9">
        <v>8</v>
      </c>
      <c r="E1242" s="386" t="s">
        <v>10</v>
      </c>
      <c r="F1242" s="386"/>
      <c r="G1242" s="386"/>
      <c r="H1242" s="386"/>
      <c r="I1242" s="386"/>
      <c r="J1242" s="386"/>
      <c r="K1242" s="386"/>
      <c r="L1242" s="386"/>
      <c r="M1242" s="386"/>
      <c r="N1242" s="386"/>
      <c r="O1242" s="386"/>
      <c r="P1242" s="386"/>
      <c r="Q1242" s="386"/>
      <c r="R1242" s="386"/>
      <c r="S1242" s="386"/>
      <c r="T1242" s="386"/>
      <c r="U1242" s="386"/>
      <c r="V1242" s="386"/>
      <c r="W1242" s="386"/>
      <c r="X1242" s="386"/>
      <c r="Y1242" s="386"/>
      <c r="Z1242" s="386"/>
      <c r="AA1242" s="386"/>
      <c r="AB1242" s="385"/>
      <c r="AC1242" s="385"/>
      <c r="AD1242" s="385"/>
      <c r="AE1242" s="385"/>
      <c r="AF1242" s="385">
        <v>12636914</v>
      </c>
      <c r="AG1242" s="385">
        <v>93114255</v>
      </c>
      <c r="AH1242" s="12"/>
      <c r="AI1242" s="12"/>
      <c r="AJ1242" s="49"/>
      <c r="AK1242" s="49"/>
      <c r="AL1242" s="49"/>
      <c r="AM1242" s="49"/>
      <c r="AN1242" s="26"/>
      <c r="AO1242" s="26"/>
      <c r="AP1242" s="26"/>
      <c r="AQ1242" s="26"/>
      <c r="AR1242" s="1044"/>
      <c r="AS1242" s="1044"/>
    </row>
    <row r="1243" spans="3:45" hidden="1" outlineLevel="1">
      <c r="C1243" s="816" t="s">
        <v>2</v>
      </c>
      <c r="D1243" s="9">
        <v>9</v>
      </c>
      <c r="E1243" s="386" t="s">
        <v>11</v>
      </c>
      <c r="F1243" s="386"/>
      <c r="G1243" s="386"/>
      <c r="H1243" s="386"/>
      <c r="I1243" s="386"/>
      <c r="J1243" s="386"/>
      <c r="K1243" s="386"/>
      <c r="L1243" s="386"/>
      <c r="M1243" s="386"/>
      <c r="N1243" s="386"/>
      <c r="O1243" s="386"/>
      <c r="P1243" s="386"/>
      <c r="Q1243" s="386"/>
      <c r="R1243" s="386"/>
      <c r="S1243" s="386"/>
      <c r="T1243" s="386"/>
      <c r="U1243" s="386"/>
      <c r="V1243" s="386"/>
      <c r="W1243" s="386"/>
      <c r="X1243" s="386"/>
      <c r="Y1243" s="386"/>
      <c r="Z1243" s="386"/>
      <c r="AA1243" s="386"/>
      <c r="AB1243" s="385"/>
      <c r="AC1243" s="385"/>
      <c r="AD1243" s="385"/>
      <c r="AE1243" s="385"/>
      <c r="AF1243" s="385">
        <v>0</v>
      </c>
      <c r="AG1243" s="385">
        <v>0</v>
      </c>
      <c r="AH1243" s="12"/>
      <c r="AI1243" s="12"/>
      <c r="AJ1243" s="49"/>
      <c r="AK1243" s="49"/>
      <c r="AL1243" s="49"/>
      <c r="AM1243" s="49"/>
      <c r="AN1243" s="26"/>
      <c r="AO1243" s="26"/>
      <c r="AP1243" s="26"/>
      <c r="AQ1243" s="26"/>
      <c r="AR1243" s="1044"/>
      <c r="AS1243" s="1044"/>
    </row>
    <row r="1244" spans="3:45" hidden="1" outlineLevel="1">
      <c r="C1244" s="816" t="s">
        <v>2</v>
      </c>
      <c r="D1244" s="9">
        <v>10</v>
      </c>
      <c r="E1244" s="384" t="s">
        <v>12</v>
      </c>
      <c r="F1244" s="384"/>
      <c r="G1244" s="384"/>
      <c r="H1244" s="384"/>
      <c r="I1244" s="384"/>
      <c r="J1244" s="384"/>
      <c r="K1244" s="384"/>
      <c r="L1244" s="384"/>
      <c r="M1244" s="384"/>
      <c r="N1244" s="384"/>
      <c r="O1244" s="384"/>
      <c r="P1244" s="384"/>
      <c r="Q1244" s="384"/>
      <c r="R1244" s="384"/>
      <c r="S1244" s="384"/>
      <c r="T1244" s="384"/>
      <c r="U1244" s="384"/>
      <c r="V1244" s="384"/>
      <c r="W1244" s="384"/>
      <c r="X1244" s="384"/>
      <c r="Y1244" s="384"/>
      <c r="Z1244" s="384"/>
      <c r="AA1244" s="384"/>
      <c r="AB1244" s="385"/>
      <c r="AC1244" s="385"/>
      <c r="AD1244" s="385"/>
      <c r="AE1244" s="385"/>
      <c r="AF1244" s="385">
        <v>5455944</v>
      </c>
      <c r="AG1244" s="385">
        <v>11688731</v>
      </c>
      <c r="AH1244" s="12"/>
      <c r="AI1244" s="12"/>
      <c r="AJ1244" s="18"/>
      <c r="AK1244" s="18"/>
      <c r="AL1244" s="18"/>
      <c r="AM1244" s="18"/>
      <c r="AN1244" s="26"/>
      <c r="AO1244" s="26"/>
      <c r="AP1244" s="26"/>
      <c r="AQ1244" s="26"/>
      <c r="AR1244" s="1044"/>
      <c r="AS1244" s="1044"/>
    </row>
    <row r="1245" spans="3:45" hidden="1" outlineLevel="1">
      <c r="C1245" s="816" t="s">
        <v>2</v>
      </c>
      <c r="D1245" s="9">
        <v>3</v>
      </c>
      <c r="E1245" s="20" t="s">
        <v>19</v>
      </c>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c r="AB1245" s="12"/>
      <c r="AC1245" s="12"/>
      <c r="AD1245" s="12"/>
      <c r="AE1245" s="12"/>
      <c r="AF1245" s="12">
        <v>42207890</v>
      </c>
      <c r="AG1245" s="12">
        <v>151035340</v>
      </c>
      <c r="AH1245" s="12"/>
      <c r="AI1245" s="12"/>
      <c r="AJ1245" s="22"/>
      <c r="AK1245" s="22"/>
      <c r="AL1245" s="22"/>
      <c r="AM1245" s="22"/>
      <c r="AN1245" s="26"/>
      <c r="AO1245" s="26"/>
      <c r="AP1245" s="26"/>
      <c r="AQ1245" s="26"/>
      <c r="AR1245" s="1044"/>
      <c r="AS1245" s="1044"/>
    </row>
    <row r="1246" spans="3:45" hidden="1" outlineLevel="1">
      <c r="C1246" s="816" t="s">
        <v>2</v>
      </c>
      <c r="D1246" s="9">
        <v>3</v>
      </c>
      <c r="E1246" s="20" t="s">
        <v>20</v>
      </c>
      <c r="F1246" s="20"/>
      <c r="G1246" s="20"/>
      <c r="H1246" s="20"/>
      <c r="I1246" s="20"/>
      <c r="J1246" s="20"/>
      <c r="K1246" s="20"/>
      <c r="L1246" s="20"/>
      <c r="M1246" s="20"/>
      <c r="N1246" s="20"/>
      <c r="O1246" s="20"/>
      <c r="P1246" s="20"/>
      <c r="Q1246" s="20"/>
      <c r="R1246" s="20"/>
      <c r="S1246" s="20"/>
      <c r="T1246" s="20"/>
      <c r="U1246" s="20"/>
      <c r="V1246" s="20"/>
      <c r="W1246" s="20"/>
      <c r="X1246" s="20"/>
      <c r="Y1246" s="20"/>
      <c r="Z1246" s="20"/>
      <c r="AA1246" s="20"/>
      <c r="AB1246" s="12"/>
      <c r="AC1246" s="12"/>
      <c r="AD1246" s="12"/>
      <c r="AE1246" s="12"/>
      <c r="AF1246" s="12">
        <v>0</v>
      </c>
      <c r="AG1246" s="12">
        <v>0</v>
      </c>
      <c r="AH1246" s="12"/>
      <c r="AI1246" s="12"/>
      <c r="AJ1246" s="22"/>
      <c r="AK1246" s="22"/>
      <c r="AL1246" s="22"/>
      <c r="AM1246" s="22"/>
      <c r="AN1246" s="26"/>
      <c r="AO1246" s="26"/>
      <c r="AP1246" s="26"/>
      <c r="AQ1246" s="26"/>
      <c r="AR1246" s="1044"/>
      <c r="AS1246" s="1044"/>
    </row>
    <row r="1247" spans="3:45" hidden="1" outlineLevel="1">
      <c r="C1247" s="816" t="s">
        <v>2</v>
      </c>
      <c r="D1247" s="9">
        <v>3</v>
      </c>
      <c r="E1247" s="20" t="s">
        <v>21</v>
      </c>
      <c r="F1247" s="20"/>
      <c r="G1247" s="20"/>
      <c r="H1247" s="20"/>
      <c r="I1247" s="20"/>
      <c r="J1247" s="20"/>
      <c r="K1247" s="20"/>
      <c r="L1247" s="20"/>
      <c r="M1247" s="20"/>
      <c r="N1247" s="20"/>
      <c r="O1247" s="20"/>
      <c r="P1247" s="20"/>
      <c r="Q1247" s="20"/>
      <c r="R1247" s="20"/>
      <c r="S1247" s="20"/>
      <c r="T1247" s="20"/>
      <c r="U1247" s="20"/>
      <c r="V1247" s="20"/>
      <c r="W1247" s="20"/>
      <c r="X1247" s="20"/>
      <c r="Y1247" s="20"/>
      <c r="Z1247" s="20"/>
      <c r="AA1247" s="20"/>
      <c r="AB1247" s="12"/>
      <c r="AC1247" s="12"/>
      <c r="AD1247" s="12"/>
      <c r="AE1247" s="12"/>
      <c r="AF1247" s="12">
        <v>459085</v>
      </c>
      <c r="AG1247" s="12">
        <v>1397421</v>
      </c>
      <c r="AH1247" s="12"/>
      <c r="AI1247" s="12"/>
      <c r="AJ1247" s="22"/>
      <c r="AK1247" s="22"/>
      <c r="AL1247" s="22"/>
      <c r="AM1247" s="22"/>
      <c r="AN1247" s="26"/>
      <c r="AO1247" s="26"/>
      <c r="AP1247" s="26"/>
      <c r="AQ1247" s="26"/>
      <c r="AR1247" s="1044"/>
      <c r="AS1247" s="1044"/>
    </row>
    <row r="1248" spans="3:45" hidden="1" outlineLevel="1">
      <c r="C1248" s="816" t="s">
        <v>2</v>
      </c>
      <c r="D1248" s="9">
        <v>3</v>
      </c>
      <c r="E1248" s="20" t="s">
        <v>22</v>
      </c>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c r="AB1248" s="12"/>
      <c r="AC1248" s="12"/>
      <c r="AD1248" s="12"/>
      <c r="AE1248" s="12"/>
      <c r="AF1248" s="12">
        <v>1362079</v>
      </c>
      <c r="AG1248" s="12">
        <v>781956</v>
      </c>
      <c r="AH1248" s="12"/>
      <c r="AI1248" s="12"/>
      <c r="AJ1248" s="22"/>
      <c r="AK1248" s="22"/>
      <c r="AL1248" s="22"/>
      <c r="AM1248" s="22"/>
      <c r="AN1248" s="26"/>
      <c r="AO1248" s="26"/>
      <c r="AP1248" s="26"/>
      <c r="AQ1248" s="26"/>
      <c r="AR1248" s="1044"/>
      <c r="AS1248" s="1044"/>
    </row>
    <row r="1249" spans="3:45" hidden="1" outlineLevel="1">
      <c r="C1249" s="816" t="s">
        <v>2</v>
      </c>
      <c r="D1249" s="9">
        <v>3</v>
      </c>
      <c r="E1249" s="20" t="s">
        <v>23</v>
      </c>
      <c r="F1249" s="20"/>
      <c r="G1249" s="20"/>
      <c r="H1249" s="20"/>
      <c r="I1249" s="20"/>
      <c r="J1249" s="20"/>
      <c r="K1249" s="20"/>
      <c r="L1249" s="20"/>
      <c r="M1249" s="20"/>
      <c r="N1249" s="20"/>
      <c r="O1249" s="20"/>
      <c r="P1249" s="20"/>
      <c r="Q1249" s="20"/>
      <c r="R1249" s="20"/>
      <c r="S1249" s="20"/>
      <c r="T1249" s="20"/>
      <c r="U1249" s="20"/>
      <c r="V1249" s="20"/>
      <c r="W1249" s="20"/>
      <c r="X1249" s="20"/>
      <c r="Y1249" s="20"/>
      <c r="Z1249" s="20"/>
      <c r="AA1249" s="20"/>
      <c r="AB1249" s="12"/>
      <c r="AC1249" s="12"/>
      <c r="AD1249" s="12"/>
      <c r="AE1249" s="12"/>
      <c r="AF1249" s="12">
        <v>0</v>
      </c>
      <c r="AG1249" s="12">
        <v>0</v>
      </c>
      <c r="AH1249" s="12"/>
      <c r="AI1249" s="12"/>
      <c r="AJ1249" s="22"/>
      <c r="AK1249" s="22"/>
      <c r="AL1249" s="22"/>
      <c r="AM1249" s="22"/>
      <c r="AN1249" s="26"/>
      <c r="AO1249" s="26"/>
      <c r="AP1249" s="26"/>
      <c r="AQ1249" s="26"/>
      <c r="AR1249" s="1044"/>
      <c r="AS1249" s="1044"/>
    </row>
    <row r="1250" spans="3:45" hidden="1" outlineLevel="1">
      <c r="C1250" s="816" t="s">
        <v>2</v>
      </c>
      <c r="D1250" s="9">
        <v>3</v>
      </c>
      <c r="E1250" s="20" t="s">
        <v>24</v>
      </c>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c r="AB1250" s="12"/>
      <c r="AC1250" s="12"/>
      <c r="AD1250" s="12"/>
      <c r="AE1250" s="12"/>
      <c r="AF1250" s="12">
        <v>1099434</v>
      </c>
      <c r="AG1250" s="12">
        <v>3700000</v>
      </c>
      <c r="AH1250" s="12"/>
      <c r="AI1250" s="12"/>
      <c r="AJ1250" s="22"/>
      <c r="AK1250" s="22"/>
      <c r="AL1250" s="22"/>
      <c r="AM1250" s="22"/>
      <c r="AN1250" s="26"/>
      <c r="AO1250" s="26"/>
      <c r="AP1250" s="26"/>
      <c r="AQ1250" s="26"/>
      <c r="AR1250" s="1044"/>
      <c r="AS1250" s="1044"/>
    </row>
    <row r="1251" spans="3:45" hidden="1" outlineLevel="1">
      <c r="C1251" s="816" t="s">
        <v>2</v>
      </c>
      <c r="D1251" s="9">
        <v>3</v>
      </c>
      <c r="E1251" s="20" t="s">
        <v>25</v>
      </c>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c r="AB1251" s="12"/>
      <c r="AC1251" s="12"/>
      <c r="AD1251" s="12"/>
      <c r="AE1251" s="12"/>
      <c r="AF1251" s="12">
        <v>0</v>
      </c>
      <c r="AG1251" s="12">
        <v>0</v>
      </c>
      <c r="AH1251" s="12"/>
      <c r="AI1251" s="12"/>
      <c r="AJ1251" s="22"/>
      <c r="AK1251" s="22"/>
      <c r="AL1251" s="22"/>
      <c r="AM1251" s="22"/>
      <c r="AN1251" s="26"/>
      <c r="AO1251" s="26"/>
      <c r="AP1251" s="26"/>
      <c r="AQ1251" s="26"/>
      <c r="AR1251" s="1044"/>
      <c r="AS1251" s="1044"/>
    </row>
    <row r="1252" spans="3:45" hidden="1" outlineLevel="1">
      <c r="C1252" s="816" t="s">
        <v>2</v>
      </c>
      <c r="D1252" s="9">
        <v>3</v>
      </c>
      <c r="E1252" s="20" t="s">
        <v>26</v>
      </c>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c r="AB1252" s="12"/>
      <c r="AC1252" s="12"/>
      <c r="AD1252" s="12"/>
      <c r="AE1252" s="12"/>
      <c r="AF1252" s="12">
        <v>0</v>
      </c>
      <c r="AG1252" s="12">
        <v>0</v>
      </c>
      <c r="AH1252" s="12"/>
      <c r="AI1252" s="12"/>
      <c r="AJ1252" s="22"/>
      <c r="AK1252" s="22"/>
      <c r="AL1252" s="22"/>
      <c r="AM1252" s="22"/>
      <c r="AN1252" s="26"/>
      <c r="AO1252" s="26"/>
      <c r="AP1252" s="26"/>
      <c r="AQ1252" s="26"/>
      <c r="AR1252" s="1044"/>
      <c r="AS1252" s="1044"/>
    </row>
    <row r="1253" spans="3:45" hidden="1" outlineLevel="1">
      <c r="C1253" s="816" t="s">
        <v>2</v>
      </c>
      <c r="D1253" s="9">
        <v>3</v>
      </c>
      <c r="E1253" s="20" t="s">
        <v>270</v>
      </c>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c r="AB1253" s="12"/>
      <c r="AC1253" s="12"/>
      <c r="AD1253" s="12"/>
      <c r="AE1253" s="12"/>
      <c r="AF1253" s="12">
        <v>2100525</v>
      </c>
      <c r="AG1253" s="12">
        <v>500534</v>
      </c>
      <c r="AH1253" s="12"/>
      <c r="AI1253" s="12"/>
      <c r="AJ1253" s="22"/>
      <c r="AK1253" s="22"/>
      <c r="AL1253" s="22"/>
      <c r="AM1253" s="22"/>
      <c r="AN1253" s="26"/>
      <c r="AO1253" s="26"/>
      <c r="AP1253" s="26"/>
      <c r="AQ1253" s="26"/>
      <c r="AR1253" s="1044"/>
      <c r="AS1253" s="1044"/>
    </row>
    <row r="1254" spans="3:45" hidden="1" outlineLevel="1">
      <c r="C1254" s="816" t="s">
        <v>2</v>
      </c>
      <c r="D1254" s="9">
        <v>3</v>
      </c>
      <c r="E1254" s="20" t="s">
        <v>271</v>
      </c>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c r="AB1254" s="12"/>
      <c r="AC1254" s="12"/>
      <c r="AD1254" s="12"/>
      <c r="AE1254" s="12"/>
      <c r="AF1254" s="12">
        <v>346477</v>
      </c>
      <c r="AG1254" s="12">
        <v>31036670</v>
      </c>
      <c r="AH1254" s="12"/>
      <c r="AI1254" s="12"/>
      <c r="AJ1254" s="22"/>
      <c r="AK1254" s="22"/>
      <c r="AL1254" s="22"/>
      <c r="AM1254" s="22"/>
      <c r="AN1254" s="26"/>
      <c r="AO1254" s="26"/>
      <c r="AP1254" s="26"/>
      <c r="AQ1254" s="26"/>
      <c r="AR1254" s="1044"/>
      <c r="AS1254" s="1044"/>
    </row>
    <row r="1255" spans="3:45" hidden="1" outlineLevel="1">
      <c r="C1255" s="816" t="s">
        <v>2</v>
      </c>
      <c r="D1255" s="9">
        <v>3</v>
      </c>
      <c r="E1255" s="20" t="s">
        <v>272</v>
      </c>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c r="AB1255" s="12"/>
      <c r="AC1255" s="12"/>
      <c r="AD1255" s="12"/>
      <c r="AE1255" s="12"/>
      <c r="AF1255" s="12">
        <v>836157</v>
      </c>
      <c r="AG1255" s="12">
        <v>423000</v>
      </c>
      <c r="AH1255" s="12"/>
      <c r="AI1255" s="12"/>
      <c r="AJ1255" s="22"/>
      <c r="AK1255" s="22"/>
      <c r="AL1255" s="22"/>
      <c r="AM1255" s="22"/>
      <c r="AN1255" s="26"/>
      <c r="AO1255" s="26"/>
      <c r="AP1255" s="26"/>
      <c r="AQ1255" s="26"/>
      <c r="AR1255" s="1044"/>
      <c r="AS1255" s="1044"/>
    </row>
    <row r="1256" spans="3:45" hidden="1" outlineLevel="1">
      <c r="C1256" s="816" t="s">
        <v>2</v>
      </c>
      <c r="D1256" s="9">
        <v>3</v>
      </c>
      <c r="E1256" s="20" t="s">
        <v>273</v>
      </c>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c r="AB1256" s="12"/>
      <c r="AC1256" s="12"/>
      <c r="AD1256" s="12"/>
      <c r="AE1256" s="12"/>
      <c r="AF1256" s="12">
        <v>4060536</v>
      </c>
      <c r="AG1256" s="12">
        <v>2754706</v>
      </c>
      <c r="AH1256" s="12"/>
      <c r="AI1256" s="12"/>
      <c r="AJ1256" s="22"/>
      <c r="AK1256" s="22"/>
      <c r="AL1256" s="22"/>
      <c r="AM1256" s="22"/>
      <c r="AN1256" s="26"/>
      <c r="AO1256" s="26"/>
      <c r="AP1256" s="26"/>
      <c r="AQ1256" s="26"/>
      <c r="AR1256" s="1044"/>
      <c r="AS1256" s="1044"/>
    </row>
    <row r="1257" spans="3:45" hidden="1" outlineLevel="1">
      <c r="C1257" s="816" t="s">
        <v>2</v>
      </c>
      <c r="D1257" s="9">
        <v>3</v>
      </c>
      <c r="E1257" s="20" t="s">
        <v>274</v>
      </c>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c r="AB1257" s="12"/>
      <c r="AC1257" s="12"/>
      <c r="AD1257" s="12"/>
      <c r="AE1257" s="12"/>
      <c r="AF1257" s="12"/>
      <c r="AG1257" s="12"/>
      <c r="AH1257" s="12"/>
      <c r="AI1257" s="12"/>
      <c r="AJ1257" s="22"/>
      <c r="AK1257" s="22"/>
      <c r="AL1257" s="22"/>
      <c r="AM1257" s="22"/>
      <c r="AN1257" s="26"/>
      <c r="AO1257" s="26"/>
      <c r="AP1257" s="26"/>
      <c r="AQ1257" s="26"/>
      <c r="AR1257" s="1044"/>
      <c r="AS1257" s="1044"/>
    </row>
    <row r="1258" spans="3:45" hidden="1" outlineLevel="1">
      <c r="C1258" s="816" t="s">
        <v>2</v>
      </c>
      <c r="D1258" s="9">
        <v>3</v>
      </c>
      <c r="E1258" s="20" t="s">
        <v>275</v>
      </c>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c r="AB1258" s="12"/>
      <c r="AC1258" s="12"/>
      <c r="AD1258" s="12"/>
      <c r="AE1258" s="12"/>
      <c r="AF1258" s="12">
        <v>1296990</v>
      </c>
      <c r="AG1258" s="12">
        <v>125000</v>
      </c>
      <c r="AH1258" s="12"/>
      <c r="AI1258" s="12"/>
      <c r="AJ1258" s="22"/>
      <c r="AK1258" s="22"/>
      <c r="AL1258" s="22"/>
      <c r="AM1258" s="22"/>
      <c r="AN1258" s="26"/>
      <c r="AO1258" s="26"/>
      <c r="AP1258" s="26"/>
      <c r="AQ1258" s="26"/>
      <c r="AR1258" s="1044"/>
      <c r="AS1258" s="1044"/>
    </row>
    <row r="1259" spans="3:45" hidden="1" outlineLevel="1">
      <c r="C1259" s="816" t="s">
        <v>2</v>
      </c>
      <c r="D1259" s="9">
        <v>3</v>
      </c>
      <c r="E1259" s="20" t="s">
        <v>276</v>
      </c>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c r="AB1259" s="12"/>
      <c r="AC1259" s="12"/>
      <c r="AD1259" s="12"/>
      <c r="AE1259" s="12"/>
      <c r="AF1259" s="12">
        <v>0</v>
      </c>
      <c r="AG1259" s="12">
        <v>0</v>
      </c>
      <c r="AH1259" s="12"/>
      <c r="AI1259" s="12"/>
      <c r="AJ1259" s="22"/>
      <c r="AK1259" s="22"/>
      <c r="AL1259" s="22"/>
      <c r="AM1259" s="22"/>
      <c r="AN1259" s="26"/>
      <c r="AO1259" s="26"/>
      <c r="AP1259" s="26"/>
      <c r="AQ1259" s="26"/>
      <c r="AR1259" s="1044"/>
      <c r="AS1259" s="1044"/>
    </row>
    <row r="1260" spans="3:45" hidden="1" outlineLevel="1">
      <c r="C1260" s="816" t="s">
        <v>2</v>
      </c>
      <c r="D1260" s="9">
        <v>3</v>
      </c>
      <c r="E1260" s="20" t="s">
        <v>277</v>
      </c>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c r="AB1260" s="12"/>
      <c r="AC1260" s="12"/>
      <c r="AD1260" s="12"/>
      <c r="AE1260" s="12"/>
      <c r="AF1260" s="12">
        <v>0</v>
      </c>
      <c r="AG1260" s="12">
        <v>0</v>
      </c>
      <c r="AH1260" s="12"/>
      <c r="AI1260" s="12"/>
      <c r="AJ1260" s="22"/>
      <c r="AK1260" s="22"/>
      <c r="AL1260" s="22"/>
      <c r="AM1260" s="22"/>
      <c r="AN1260" s="26"/>
      <c r="AO1260" s="26"/>
      <c r="AP1260" s="26"/>
      <c r="AQ1260" s="26"/>
      <c r="AR1260" s="1044"/>
      <c r="AS1260" s="1044"/>
    </row>
    <row r="1261" spans="3:45" hidden="1" outlineLevel="1">
      <c r="C1261" s="816" t="s">
        <v>2</v>
      </c>
      <c r="D1261" s="9">
        <v>3</v>
      </c>
      <c r="E1261" s="20" t="s">
        <v>278</v>
      </c>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c r="AB1261" s="12"/>
      <c r="AC1261" s="12"/>
      <c r="AD1261" s="12"/>
      <c r="AE1261" s="12"/>
      <c r="AF1261" s="12">
        <v>860302</v>
      </c>
      <c r="AG1261" s="12">
        <v>183942</v>
      </c>
      <c r="AH1261" s="12"/>
      <c r="AI1261" s="12"/>
      <c r="AJ1261" s="22"/>
      <c r="AK1261" s="22"/>
      <c r="AL1261" s="22"/>
      <c r="AM1261" s="22"/>
      <c r="AN1261" s="26"/>
      <c r="AO1261" s="26"/>
      <c r="AP1261" s="26"/>
      <c r="AQ1261" s="26"/>
      <c r="AR1261" s="1044"/>
      <c r="AS1261" s="1044"/>
    </row>
    <row r="1262" spans="3:45" hidden="1" outlineLevel="1">
      <c r="C1262" s="816" t="s">
        <v>2</v>
      </c>
      <c r="D1262" s="9">
        <v>3</v>
      </c>
      <c r="E1262" s="20" t="s">
        <v>279</v>
      </c>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c r="AB1262" s="12"/>
      <c r="AC1262" s="12"/>
      <c r="AD1262" s="12"/>
      <c r="AE1262" s="12"/>
      <c r="AF1262" s="12">
        <v>0</v>
      </c>
      <c r="AG1262" s="12">
        <v>0</v>
      </c>
      <c r="AH1262" s="12"/>
      <c r="AI1262" s="12"/>
      <c r="AJ1262" s="22"/>
      <c r="AK1262" s="22"/>
      <c r="AL1262" s="22"/>
      <c r="AM1262" s="22"/>
      <c r="AN1262" s="26"/>
      <c r="AO1262" s="26"/>
      <c r="AP1262" s="26"/>
      <c r="AQ1262" s="26"/>
      <c r="AR1262" s="1044"/>
      <c r="AS1262" s="1044"/>
    </row>
    <row r="1263" spans="3:45" hidden="1" outlineLevel="1">
      <c r="C1263" s="816" t="s">
        <v>2</v>
      </c>
      <c r="D1263" s="9">
        <v>3</v>
      </c>
      <c r="E1263" s="20" t="s">
        <v>28</v>
      </c>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c r="AB1263" s="12"/>
      <c r="AC1263" s="12"/>
      <c r="AD1263" s="12"/>
      <c r="AE1263" s="12"/>
      <c r="AF1263" s="12">
        <v>0</v>
      </c>
      <c r="AG1263" s="12">
        <v>0</v>
      </c>
      <c r="AH1263" s="12"/>
      <c r="AI1263" s="12"/>
      <c r="AJ1263" s="22"/>
      <c r="AK1263" s="22"/>
      <c r="AL1263" s="22"/>
      <c r="AM1263" s="22"/>
      <c r="AN1263" s="26"/>
      <c r="AO1263" s="26"/>
      <c r="AP1263" s="26"/>
      <c r="AQ1263" s="26"/>
      <c r="AR1263" s="1044"/>
      <c r="AS1263" s="1044"/>
    </row>
    <row r="1264" spans="3:45" hidden="1" outlineLevel="1">
      <c r="C1264" s="816" t="s">
        <v>2</v>
      </c>
      <c r="D1264" s="9">
        <v>3</v>
      </c>
      <c r="E1264" s="20" t="s">
        <v>1428</v>
      </c>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c r="AB1264" s="12"/>
      <c r="AC1264" s="12"/>
      <c r="AD1264" s="12"/>
      <c r="AE1264" s="12"/>
      <c r="AF1264" s="12">
        <v>0</v>
      </c>
      <c r="AG1264" s="12">
        <v>703819</v>
      </c>
      <c r="AH1264" s="12"/>
      <c r="AI1264" s="12"/>
      <c r="AJ1264" s="22"/>
      <c r="AK1264" s="22"/>
      <c r="AL1264" s="22"/>
      <c r="AM1264" s="22"/>
      <c r="AN1264" s="26"/>
      <c r="AO1264" s="26"/>
      <c r="AP1264" s="26"/>
      <c r="AQ1264" s="26"/>
      <c r="AR1264" s="1044"/>
      <c r="AS1264" s="1044"/>
    </row>
    <row r="1265" spans="3:45" hidden="1" outlineLevel="1">
      <c r="C1265" s="816" t="s">
        <v>2</v>
      </c>
      <c r="D1265" s="9">
        <v>3</v>
      </c>
      <c r="E1265" s="20" t="s">
        <v>754</v>
      </c>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c r="AB1265" s="12"/>
      <c r="AC1265" s="12"/>
      <c r="AD1265" s="12"/>
      <c r="AE1265" s="12"/>
      <c r="AF1265" s="12">
        <v>1343992</v>
      </c>
      <c r="AG1265" s="12">
        <v>12979094</v>
      </c>
      <c r="AH1265" s="12"/>
      <c r="AI1265" s="12"/>
      <c r="AJ1265" s="22"/>
      <c r="AK1265" s="22"/>
      <c r="AL1265" s="22"/>
      <c r="AM1265" s="22"/>
      <c r="AN1265" s="26"/>
      <c r="AO1265" s="26"/>
      <c r="AP1265" s="26"/>
      <c r="AQ1265" s="26"/>
      <c r="AR1265" s="1044"/>
      <c r="AS1265" s="1044"/>
    </row>
    <row r="1266" spans="3:45" hidden="1" outlineLevel="1">
      <c r="C1266" s="816" t="s">
        <v>2</v>
      </c>
      <c r="D1266" s="9">
        <v>3</v>
      </c>
      <c r="E1266" s="20" t="s">
        <v>749</v>
      </c>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c r="AB1266" s="12"/>
      <c r="AC1266" s="12"/>
      <c r="AD1266" s="12">
        <v>-1000000</v>
      </c>
      <c r="AE1266" s="12">
        <v>-1000000</v>
      </c>
      <c r="AF1266" s="12">
        <v>837307</v>
      </c>
      <c r="AG1266" s="12">
        <v>34802552</v>
      </c>
      <c r="AH1266" s="12"/>
      <c r="AI1266" s="12"/>
      <c r="AJ1266" s="22"/>
      <c r="AK1266" s="22"/>
      <c r="AL1266" s="22"/>
      <c r="AM1266" s="22"/>
      <c r="AN1266" s="26"/>
      <c r="AO1266" s="26"/>
      <c r="AP1266" s="26"/>
      <c r="AQ1266" s="26"/>
      <c r="AR1266" s="1044"/>
      <c r="AS1266" s="1044"/>
    </row>
    <row r="1267" spans="3:45" hidden="1" outlineLevel="1">
      <c r="C1267" s="816" t="s">
        <v>2</v>
      </c>
      <c r="D1267" s="9">
        <v>3</v>
      </c>
      <c r="E1267" s="20" t="s">
        <v>755</v>
      </c>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c r="AB1267" s="12"/>
      <c r="AC1267" s="12"/>
      <c r="AD1267" s="12">
        <v>-1000000</v>
      </c>
      <c r="AE1267" s="12">
        <v>-1000000</v>
      </c>
      <c r="AF1267" s="12">
        <v>373520</v>
      </c>
      <c r="AG1267" s="12">
        <v>9601643</v>
      </c>
      <c r="AH1267" s="12"/>
      <c r="AI1267" s="12"/>
      <c r="AJ1267" s="22"/>
      <c r="AK1267" s="22"/>
      <c r="AL1267" s="22"/>
      <c r="AM1267" s="22"/>
      <c r="AN1267" s="26"/>
      <c r="AO1267" s="26"/>
      <c r="AP1267" s="26"/>
      <c r="AQ1267" s="26"/>
      <c r="AR1267" s="1044"/>
      <c r="AS1267" s="1044"/>
    </row>
    <row r="1268" spans="3:45" hidden="1" outlineLevel="1">
      <c r="C1268" s="816" t="s">
        <v>2</v>
      </c>
      <c r="D1268" s="9">
        <v>3</v>
      </c>
      <c r="E1268" s="20" t="s">
        <v>756</v>
      </c>
      <c r="F1268" s="20"/>
      <c r="G1268" s="20"/>
      <c r="H1268" s="20"/>
      <c r="I1268" s="20"/>
      <c r="J1268" s="20"/>
      <c r="K1268" s="20"/>
      <c r="L1268" s="20"/>
      <c r="M1268" s="20"/>
      <c r="N1268" s="20"/>
      <c r="O1268" s="20"/>
      <c r="P1268" s="20"/>
      <c r="Q1268" s="20"/>
      <c r="R1268" s="20"/>
      <c r="S1268" s="20"/>
      <c r="T1268" s="20"/>
      <c r="U1268" s="20"/>
      <c r="V1268" s="20"/>
      <c r="W1268" s="20"/>
      <c r="X1268" s="20"/>
      <c r="Y1268" s="20"/>
      <c r="Z1268" s="20"/>
      <c r="AA1268" s="20"/>
      <c r="AB1268" s="12"/>
      <c r="AC1268" s="12"/>
      <c r="AD1268" s="12"/>
      <c r="AE1268" s="12"/>
      <c r="AF1268" s="12">
        <v>2064331</v>
      </c>
      <c r="AG1268" s="12">
        <v>11976764</v>
      </c>
      <c r="AH1268" s="12"/>
      <c r="AI1268" s="12"/>
      <c r="AJ1268" s="22"/>
      <c r="AK1268" s="22"/>
      <c r="AL1268" s="22"/>
      <c r="AM1268" s="22"/>
      <c r="AN1268" s="26"/>
      <c r="AO1268" s="26"/>
      <c r="AP1268" s="26"/>
      <c r="AQ1268" s="26"/>
      <c r="AR1268" s="1044"/>
      <c r="AS1268" s="1044"/>
    </row>
    <row r="1269" spans="3:45" hidden="1" outlineLevel="1">
      <c r="C1269" s="816" t="s">
        <v>2</v>
      </c>
      <c r="D1269" s="9">
        <v>3</v>
      </c>
      <c r="E1269" s="224" t="s">
        <v>1667</v>
      </c>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c r="AB1269" s="12"/>
      <c r="AC1269" s="12"/>
      <c r="AD1269" s="12"/>
      <c r="AE1269" s="12"/>
      <c r="AF1269" s="12"/>
      <c r="AG1269" s="12"/>
      <c r="AH1269" s="12"/>
      <c r="AI1269" s="12"/>
      <c r="AJ1269" s="22"/>
      <c r="AK1269" s="22"/>
      <c r="AL1269" s="22"/>
      <c r="AM1269" s="22"/>
      <c r="AN1269" s="26"/>
      <c r="AO1269" s="26"/>
      <c r="AP1269" s="26"/>
      <c r="AQ1269" s="26"/>
      <c r="AR1269" s="1044"/>
      <c r="AS1269" s="1044"/>
    </row>
    <row r="1270" spans="3:45" hidden="1" outlineLevel="1">
      <c r="C1270" s="816" t="s">
        <v>2</v>
      </c>
      <c r="D1270" s="9">
        <v>3</v>
      </c>
      <c r="E1270" s="20" t="s">
        <v>1356</v>
      </c>
      <c r="F1270" s="20"/>
      <c r="G1270" s="20"/>
      <c r="H1270" s="20"/>
      <c r="I1270" s="20"/>
      <c r="J1270" s="20"/>
      <c r="K1270" s="20"/>
      <c r="L1270" s="20"/>
      <c r="M1270" s="20"/>
      <c r="N1270" s="20"/>
      <c r="O1270" s="20"/>
      <c r="P1270" s="20"/>
      <c r="Q1270" s="20"/>
      <c r="R1270" s="20"/>
      <c r="S1270" s="20"/>
      <c r="T1270" s="20"/>
      <c r="U1270" s="20"/>
      <c r="V1270" s="20"/>
      <c r="W1270" s="20"/>
      <c r="X1270" s="20"/>
      <c r="Y1270" s="20"/>
      <c r="Z1270" s="20"/>
      <c r="AA1270" s="20"/>
      <c r="AB1270" s="12"/>
      <c r="AC1270" s="12"/>
      <c r="AD1270" s="12"/>
      <c r="AE1270" s="12"/>
      <c r="AF1270" s="12">
        <v>3774000</v>
      </c>
      <c r="AG1270" s="12">
        <v>7344515</v>
      </c>
      <c r="AH1270" s="12"/>
      <c r="AI1270" s="12"/>
      <c r="AJ1270" s="22"/>
      <c r="AK1270" s="22"/>
      <c r="AL1270" s="22"/>
      <c r="AM1270" s="22"/>
      <c r="AN1270" s="26"/>
      <c r="AO1270" s="26"/>
      <c r="AP1270" s="26"/>
      <c r="AQ1270" s="26"/>
      <c r="AR1270" s="1044"/>
      <c r="AS1270" s="1044"/>
    </row>
    <row r="1271" spans="3:45" hidden="1" outlineLevel="1">
      <c r="C1271" s="816" t="s">
        <v>2</v>
      </c>
      <c r="D1271" s="9">
        <v>3</v>
      </c>
      <c r="E1271" s="20" t="s">
        <v>1357</v>
      </c>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c r="AB1271" s="12"/>
      <c r="AC1271" s="12"/>
      <c r="AD1271" s="12"/>
      <c r="AE1271" s="12"/>
      <c r="AF1271" s="12">
        <v>644680</v>
      </c>
      <c r="AG1271" s="12">
        <v>3581390</v>
      </c>
      <c r="AH1271" s="12"/>
      <c r="AI1271" s="12"/>
      <c r="AJ1271" s="22"/>
      <c r="AK1271" s="22"/>
      <c r="AL1271" s="22"/>
      <c r="AM1271" s="22"/>
      <c r="AN1271" s="26"/>
      <c r="AO1271" s="26"/>
      <c r="AP1271" s="26"/>
      <c r="AQ1271" s="26"/>
      <c r="AR1271" s="1044"/>
      <c r="AS1271" s="1044"/>
    </row>
    <row r="1272" spans="3:45" hidden="1" outlineLevel="1">
      <c r="C1272" s="816" t="s">
        <v>2</v>
      </c>
      <c r="D1272" s="9">
        <v>3</v>
      </c>
      <c r="E1272" s="20" t="s">
        <v>1358</v>
      </c>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c r="AB1272" s="12"/>
      <c r="AC1272" s="12"/>
      <c r="AD1272" s="12"/>
      <c r="AE1272" s="12"/>
      <c r="AF1272" s="12">
        <v>2435693</v>
      </c>
      <c r="AG1272" s="12">
        <v>5918190</v>
      </c>
      <c r="AH1272" s="12"/>
      <c r="AI1272" s="12"/>
      <c r="AJ1272" s="22"/>
      <c r="AK1272" s="22"/>
      <c r="AL1272" s="22"/>
      <c r="AM1272" s="22"/>
      <c r="AN1272" s="26"/>
      <c r="AO1272" s="26"/>
      <c r="AP1272" s="26"/>
      <c r="AQ1272" s="26"/>
      <c r="AR1272" s="1044"/>
      <c r="AS1272" s="1044"/>
    </row>
    <row r="1273" spans="3:45" hidden="1" outlineLevel="1">
      <c r="C1273" s="816" t="s">
        <v>2</v>
      </c>
      <c r="D1273" s="9">
        <v>3</v>
      </c>
      <c r="E1273" s="20" t="s">
        <v>757</v>
      </c>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c r="AB1273" s="12"/>
      <c r="AC1273" s="12"/>
      <c r="AD1273" s="12"/>
      <c r="AE1273" s="12"/>
      <c r="AF1273" s="12">
        <v>932531</v>
      </c>
      <c r="AG1273" s="12">
        <v>12397011</v>
      </c>
      <c r="AH1273" s="12"/>
      <c r="AI1273" s="12"/>
      <c r="AJ1273" s="22"/>
      <c r="AK1273" s="22"/>
      <c r="AL1273" s="22"/>
      <c r="AM1273" s="22"/>
      <c r="AN1273" s="26"/>
      <c r="AO1273" s="26"/>
      <c r="AP1273" s="26"/>
      <c r="AQ1273" s="26"/>
      <c r="AR1273" s="1044"/>
      <c r="AS1273" s="1044"/>
    </row>
    <row r="1274" spans="3:45" hidden="1" outlineLevel="1">
      <c r="C1274" s="816" t="s">
        <v>2</v>
      </c>
      <c r="D1274" s="9">
        <v>3</v>
      </c>
      <c r="E1274" s="20" t="s">
        <v>1359</v>
      </c>
      <c r="F1274" s="20"/>
      <c r="G1274" s="20"/>
      <c r="H1274" s="20"/>
      <c r="I1274" s="20"/>
      <c r="J1274" s="20"/>
      <c r="K1274" s="20"/>
      <c r="L1274" s="20"/>
      <c r="M1274" s="20"/>
      <c r="N1274" s="20"/>
      <c r="O1274" s="20"/>
      <c r="P1274" s="20"/>
      <c r="Q1274" s="20"/>
      <c r="R1274" s="20"/>
      <c r="S1274" s="20"/>
      <c r="T1274" s="20"/>
      <c r="U1274" s="20"/>
      <c r="V1274" s="20"/>
      <c r="W1274" s="20"/>
      <c r="X1274" s="20"/>
      <c r="Y1274" s="20"/>
      <c r="Z1274" s="20"/>
      <c r="AA1274" s="20"/>
      <c r="AB1274" s="12"/>
      <c r="AC1274" s="12"/>
      <c r="AD1274" s="12">
        <v>-750000</v>
      </c>
      <c r="AE1274" s="12">
        <v>-750000</v>
      </c>
      <c r="AF1274" s="12">
        <v>837650</v>
      </c>
      <c r="AG1274" s="12">
        <v>4365466</v>
      </c>
      <c r="AH1274" s="12"/>
      <c r="AI1274" s="12"/>
      <c r="AJ1274" s="22"/>
      <c r="AK1274" s="22"/>
      <c r="AL1274" s="22"/>
      <c r="AM1274" s="22"/>
      <c r="AN1274" s="26"/>
      <c r="AO1274" s="26"/>
      <c r="AP1274" s="26"/>
      <c r="AQ1274" s="26"/>
      <c r="AR1274" s="1044"/>
      <c r="AS1274" s="1044"/>
    </row>
    <row r="1275" spans="3:45" hidden="1" outlineLevel="1">
      <c r="C1275" s="816" t="s">
        <v>2</v>
      </c>
      <c r="D1275" s="9">
        <v>3</v>
      </c>
      <c r="E1275" s="20" t="s">
        <v>1429</v>
      </c>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c r="AB1275" s="12"/>
      <c r="AC1275" s="12"/>
      <c r="AD1275" s="12"/>
      <c r="AE1275" s="12"/>
      <c r="AF1275" s="12">
        <v>266617</v>
      </c>
      <c r="AG1275" s="12">
        <v>250000</v>
      </c>
      <c r="AH1275" s="12"/>
      <c r="AI1275" s="12"/>
      <c r="AJ1275" s="22"/>
      <c r="AK1275" s="22"/>
      <c r="AL1275" s="22"/>
      <c r="AM1275" s="22"/>
      <c r="AN1275" s="26"/>
      <c r="AO1275" s="26"/>
      <c r="AP1275" s="26"/>
      <c r="AQ1275" s="26"/>
      <c r="AR1275" s="1044"/>
      <c r="AS1275" s="1044"/>
    </row>
    <row r="1276" spans="3:45" hidden="1" outlineLevel="1">
      <c r="C1276" s="816" t="s">
        <v>2</v>
      </c>
      <c r="D1276" s="9">
        <v>3</v>
      </c>
      <c r="E1276" s="20" t="s">
        <v>751</v>
      </c>
      <c r="F1276" s="20"/>
      <c r="G1276" s="20"/>
      <c r="H1276" s="20"/>
      <c r="I1276" s="20"/>
      <c r="J1276" s="20"/>
      <c r="K1276" s="20"/>
      <c r="L1276" s="20"/>
      <c r="M1276" s="20"/>
      <c r="N1276" s="20"/>
      <c r="O1276" s="20"/>
      <c r="P1276" s="20"/>
      <c r="Q1276" s="20"/>
      <c r="R1276" s="20"/>
      <c r="S1276" s="20"/>
      <c r="T1276" s="20"/>
      <c r="U1276" s="20"/>
      <c r="V1276" s="20"/>
      <c r="W1276" s="20"/>
      <c r="X1276" s="20"/>
      <c r="Y1276" s="20"/>
      <c r="Z1276" s="20"/>
      <c r="AA1276" s="20"/>
      <c r="AB1276" s="12"/>
      <c r="AC1276" s="12"/>
      <c r="AD1276" s="12">
        <v>-1500000</v>
      </c>
      <c r="AE1276" s="12">
        <v>-1500000</v>
      </c>
      <c r="AF1276" s="12">
        <v>13706000</v>
      </c>
      <c r="AG1276" s="12">
        <v>18065118</v>
      </c>
      <c r="AH1276" s="12"/>
      <c r="AI1276" s="12"/>
      <c r="AJ1276" s="22"/>
      <c r="AK1276" s="22"/>
      <c r="AL1276" s="22"/>
      <c r="AM1276" s="22"/>
      <c r="AN1276" s="26"/>
      <c r="AO1276" s="26"/>
      <c r="AP1276" s="26"/>
      <c r="AQ1276" s="26"/>
      <c r="AR1276" s="1044"/>
      <c r="AS1276" s="1044"/>
    </row>
    <row r="1277" spans="3:45" hidden="1" outlineLevel="1">
      <c r="C1277" s="816" t="s">
        <v>2</v>
      </c>
      <c r="D1277" s="9">
        <v>3</v>
      </c>
      <c r="E1277" s="20" t="s">
        <v>876</v>
      </c>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c r="AB1277" s="12"/>
      <c r="AC1277" s="12"/>
      <c r="AD1277" s="12">
        <v>-2050000</v>
      </c>
      <c r="AE1277" s="12">
        <v>-2050000</v>
      </c>
      <c r="AF1277" s="12">
        <v>300000</v>
      </c>
      <c r="AG1277" s="12">
        <v>1240706</v>
      </c>
      <c r="AH1277" s="12"/>
      <c r="AI1277" s="12"/>
      <c r="AJ1277" s="22"/>
      <c r="AK1277" s="22"/>
      <c r="AL1277" s="22"/>
      <c r="AM1277" s="22"/>
      <c r="AN1277" s="26"/>
      <c r="AO1277" s="26"/>
      <c r="AP1277" s="26"/>
      <c r="AQ1277" s="26"/>
      <c r="AR1277" s="1044"/>
      <c r="AS1277" s="1044"/>
    </row>
    <row r="1278" spans="3:45" hidden="1" outlineLevel="1">
      <c r="C1278" s="816" t="s">
        <v>2</v>
      </c>
      <c r="D1278" s="9">
        <v>3</v>
      </c>
      <c r="E1278" s="20" t="s">
        <v>750</v>
      </c>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c r="AB1278" s="12"/>
      <c r="AC1278" s="12"/>
      <c r="AD1278" s="12"/>
      <c r="AE1278" s="12"/>
      <c r="AF1278" s="12">
        <v>2362151</v>
      </c>
      <c r="AG1278" s="12">
        <v>3925261</v>
      </c>
      <c r="AH1278" s="12"/>
      <c r="AI1278" s="12"/>
      <c r="AJ1278" s="22"/>
      <c r="AK1278" s="22"/>
      <c r="AL1278" s="22"/>
      <c r="AM1278" s="22"/>
      <c r="AN1278" s="26"/>
      <c r="AO1278" s="26"/>
      <c r="AP1278" s="26"/>
      <c r="AQ1278" s="26"/>
      <c r="AR1278" s="1044"/>
      <c r="AS1278" s="1044"/>
    </row>
    <row r="1279" spans="3:45" hidden="1" outlineLevel="1">
      <c r="C1279" s="816" t="s">
        <v>2</v>
      </c>
      <c r="D1279" s="9">
        <v>3</v>
      </c>
      <c r="E1279" s="20" t="s">
        <v>1209</v>
      </c>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c r="AB1279" s="12"/>
      <c r="AC1279" s="12"/>
      <c r="AD1279" s="12"/>
      <c r="AE1279" s="12"/>
      <c r="AF1279" s="12">
        <f>1384476+1263558</f>
        <v>2648034</v>
      </c>
      <c r="AG1279" s="12">
        <v>2377562</v>
      </c>
      <c r="AH1279" s="12"/>
      <c r="AI1279" s="12"/>
      <c r="AJ1279" s="22"/>
      <c r="AK1279" s="22"/>
      <c r="AL1279" s="22"/>
      <c r="AM1279" s="22"/>
      <c r="AN1279" s="26"/>
      <c r="AO1279" s="26"/>
      <c r="AP1279" s="26"/>
      <c r="AQ1279" s="26"/>
      <c r="AR1279" s="1044"/>
      <c r="AS1279" s="1044"/>
    </row>
    <row r="1280" spans="3:45" hidden="1" outlineLevel="1">
      <c r="C1280" s="816" t="s">
        <v>2</v>
      </c>
      <c r="D1280" s="9">
        <v>3</v>
      </c>
      <c r="E1280" s="20" t="s">
        <v>1210</v>
      </c>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c r="AB1280" s="12"/>
      <c r="AC1280" s="12"/>
      <c r="AD1280" s="12"/>
      <c r="AE1280" s="12"/>
      <c r="AF1280" s="12">
        <v>0</v>
      </c>
      <c r="AG1280" s="12">
        <v>0</v>
      </c>
      <c r="AH1280" s="12"/>
      <c r="AI1280" s="12"/>
      <c r="AJ1280" s="22"/>
      <c r="AK1280" s="22"/>
      <c r="AL1280" s="22"/>
      <c r="AM1280" s="22"/>
      <c r="AN1280" s="26"/>
      <c r="AO1280" s="26"/>
      <c r="AP1280" s="26"/>
      <c r="AQ1280" s="26"/>
      <c r="AR1280" s="1044"/>
      <c r="AS1280" s="1044"/>
    </row>
    <row r="1281" spans="3:45" hidden="1" outlineLevel="1">
      <c r="C1281" s="816" t="s">
        <v>2</v>
      </c>
      <c r="D1281" s="9">
        <v>3</v>
      </c>
      <c r="E1281" s="20" t="s">
        <v>1211</v>
      </c>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c r="AB1281" s="12"/>
      <c r="AC1281" s="12"/>
      <c r="AD1281" s="12"/>
      <c r="AE1281" s="12"/>
      <c r="AF1281" s="12">
        <v>986000</v>
      </c>
      <c r="AG1281" s="12">
        <v>4151741</v>
      </c>
      <c r="AH1281" s="12"/>
      <c r="AI1281" s="12"/>
      <c r="AJ1281" s="22"/>
      <c r="AK1281" s="22"/>
      <c r="AL1281" s="22"/>
      <c r="AM1281" s="22"/>
      <c r="AN1281" s="26"/>
      <c r="AO1281" s="26"/>
      <c r="AP1281" s="26"/>
      <c r="AQ1281" s="26"/>
      <c r="AR1281" s="1044"/>
      <c r="AS1281" s="1044"/>
    </row>
    <row r="1282" spans="3:45" hidden="1" outlineLevel="1">
      <c r="C1282" s="816" t="s">
        <v>2</v>
      </c>
      <c r="D1282" s="9">
        <v>3</v>
      </c>
      <c r="E1282" s="20" t="s">
        <v>1212</v>
      </c>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c r="AB1282" s="12"/>
      <c r="AC1282" s="12"/>
      <c r="AD1282" s="12">
        <v>-31040</v>
      </c>
      <c r="AE1282" s="12">
        <v>-31040</v>
      </c>
      <c r="AF1282" s="12">
        <f>1166000+534874</f>
        <v>1700874</v>
      </c>
      <c r="AG1282" s="12">
        <v>3383777</v>
      </c>
      <c r="AH1282" s="12"/>
      <c r="AI1282" s="12"/>
      <c r="AJ1282" s="22"/>
      <c r="AK1282" s="22"/>
      <c r="AL1282" s="22"/>
      <c r="AM1282" s="22"/>
      <c r="AN1282" s="26"/>
      <c r="AO1282" s="26"/>
      <c r="AP1282" s="26"/>
      <c r="AQ1282" s="26"/>
      <c r="AR1282" s="1044"/>
      <c r="AS1282" s="1044"/>
    </row>
    <row r="1283" spans="3:45" hidden="1" outlineLevel="1">
      <c r="C1283" s="816" t="s">
        <v>2</v>
      </c>
      <c r="D1283" s="9">
        <v>3</v>
      </c>
      <c r="E1283" s="20" t="s">
        <v>1213</v>
      </c>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c r="AB1283" s="12"/>
      <c r="AC1283" s="12"/>
      <c r="AD1283" s="12"/>
      <c r="AE1283" s="12"/>
      <c r="AF1283" s="12">
        <v>0</v>
      </c>
      <c r="AG1283" s="12">
        <v>0</v>
      </c>
      <c r="AH1283" s="12"/>
      <c r="AI1283" s="12"/>
      <c r="AJ1283" s="22"/>
      <c r="AK1283" s="22"/>
      <c r="AL1283" s="22"/>
      <c r="AM1283" s="22"/>
      <c r="AN1283" s="26"/>
      <c r="AO1283" s="26"/>
      <c r="AP1283" s="26"/>
      <c r="AQ1283" s="26"/>
      <c r="AR1283" s="1044"/>
      <c r="AS1283" s="1044"/>
    </row>
    <row r="1284" spans="3:45" hidden="1" outlineLevel="1">
      <c r="C1284" s="816" t="s">
        <v>2</v>
      </c>
      <c r="D1284" s="9">
        <v>3</v>
      </c>
      <c r="E1284" s="20" t="s">
        <v>861</v>
      </c>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c r="AB1284" s="12"/>
      <c r="AC1284" s="12"/>
      <c r="AD1284" s="12"/>
      <c r="AE1284" s="12"/>
      <c r="AF1284" s="12">
        <v>1014280</v>
      </c>
      <c r="AG1284" s="12">
        <v>2096339</v>
      </c>
      <c r="AH1284" s="12"/>
      <c r="AI1284" s="12"/>
      <c r="AJ1284" s="22"/>
      <c r="AK1284" s="22"/>
      <c r="AL1284" s="22"/>
      <c r="AM1284" s="22"/>
      <c r="AN1284" s="26"/>
      <c r="AO1284" s="26"/>
      <c r="AP1284" s="26"/>
      <c r="AQ1284" s="26"/>
      <c r="AR1284" s="1044"/>
      <c r="AS1284" s="1044"/>
    </row>
    <row r="1285" spans="3:45" hidden="1" outlineLevel="1">
      <c r="C1285" s="816" t="s">
        <v>2</v>
      </c>
      <c r="D1285" s="9">
        <v>3</v>
      </c>
      <c r="E1285" s="20" t="s">
        <v>871</v>
      </c>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c r="AB1285" s="12"/>
      <c r="AC1285" s="12"/>
      <c r="AD1285" s="12"/>
      <c r="AE1285" s="12"/>
      <c r="AF1285" s="12">
        <v>511504</v>
      </c>
      <c r="AG1285" s="12">
        <v>2798970</v>
      </c>
      <c r="AH1285" s="12"/>
      <c r="AI1285" s="12"/>
      <c r="AJ1285" s="22"/>
      <c r="AK1285" s="22"/>
      <c r="AL1285" s="22"/>
      <c r="AM1285" s="22"/>
      <c r="AN1285" s="26"/>
      <c r="AO1285" s="26"/>
      <c r="AP1285" s="26"/>
      <c r="AQ1285" s="26"/>
      <c r="AR1285" s="1044"/>
      <c r="AS1285" s="1044"/>
    </row>
    <row r="1286" spans="3:45" hidden="1" outlineLevel="1">
      <c r="C1286" s="816" t="s">
        <v>2</v>
      </c>
      <c r="D1286" s="9">
        <v>3</v>
      </c>
      <c r="E1286" s="20" t="s">
        <v>1361</v>
      </c>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c r="AB1286" s="12"/>
      <c r="AC1286" s="12"/>
      <c r="AD1286" s="12"/>
      <c r="AE1286" s="12"/>
      <c r="AF1286" s="12">
        <v>1258464</v>
      </c>
      <c r="AG1286" s="12">
        <v>2861747</v>
      </c>
      <c r="AH1286" s="12"/>
      <c r="AI1286" s="12"/>
      <c r="AJ1286" s="22"/>
      <c r="AK1286" s="22"/>
      <c r="AL1286" s="22"/>
      <c r="AM1286" s="22"/>
      <c r="AN1286" s="26"/>
      <c r="AO1286" s="26"/>
      <c r="AP1286" s="26"/>
      <c r="AQ1286" s="26"/>
      <c r="AR1286" s="1044"/>
      <c r="AS1286" s="1044"/>
    </row>
    <row r="1287" spans="3:45" hidden="1" outlineLevel="1">
      <c r="C1287" s="816" t="s">
        <v>2</v>
      </c>
      <c r="D1287" s="9">
        <v>3</v>
      </c>
      <c r="E1287" s="20" t="s">
        <v>1425</v>
      </c>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c r="AB1287" s="12"/>
      <c r="AC1287" s="12"/>
      <c r="AD1287" s="12"/>
      <c r="AE1287" s="12"/>
      <c r="AF1287" s="12">
        <v>436614</v>
      </c>
      <c r="AG1287" s="12">
        <v>671472</v>
      </c>
      <c r="AH1287" s="12"/>
      <c r="AI1287" s="12"/>
      <c r="AJ1287" s="22"/>
      <c r="AK1287" s="22"/>
      <c r="AL1287" s="22"/>
      <c r="AM1287" s="22"/>
      <c r="AN1287" s="26"/>
      <c r="AO1287" s="26"/>
      <c r="AP1287" s="26"/>
      <c r="AQ1287" s="26"/>
      <c r="AR1287" s="1044"/>
      <c r="AS1287" s="1044"/>
    </row>
    <row r="1288" spans="3:45" hidden="1" outlineLevel="1">
      <c r="C1288" s="816" t="s">
        <v>2</v>
      </c>
      <c r="D1288" s="9">
        <v>3</v>
      </c>
      <c r="E1288" s="20" t="s">
        <v>1430</v>
      </c>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c r="AB1288" s="12"/>
      <c r="AC1288" s="12"/>
      <c r="AD1288" s="12"/>
      <c r="AE1288" s="12"/>
      <c r="AF1288" s="12">
        <v>98000</v>
      </c>
      <c r="AG1288" s="12">
        <v>257077</v>
      </c>
      <c r="AH1288" s="12"/>
      <c r="AI1288" s="12"/>
      <c r="AJ1288" s="22"/>
      <c r="AK1288" s="22"/>
      <c r="AL1288" s="22"/>
      <c r="AM1288" s="22"/>
      <c r="AN1288" s="26"/>
      <c r="AO1288" s="26"/>
      <c r="AP1288" s="26"/>
      <c r="AQ1288" s="26"/>
      <c r="AR1288" s="1044"/>
      <c r="AS1288" s="1044"/>
    </row>
    <row r="1289" spans="3:45" hidden="1" outlineLevel="1">
      <c r="C1289" s="816" t="s">
        <v>2</v>
      </c>
      <c r="D1289" s="9">
        <v>3</v>
      </c>
      <c r="E1289" s="20" t="s">
        <v>726</v>
      </c>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c r="AB1289" s="12"/>
      <c r="AC1289" s="12"/>
      <c r="AD1289" s="12">
        <v>-2500000</v>
      </c>
      <c r="AE1289" s="12">
        <v>-2500000</v>
      </c>
      <c r="AF1289" s="12">
        <v>5072869</v>
      </c>
      <c r="AG1289" s="12">
        <v>15995397</v>
      </c>
      <c r="AH1289" s="12"/>
      <c r="AI1289" s="12"/>
      <c r="AJ1289" s="22"/>
      <c r="AK1289" s="22"/>
      <c r="AL1289" s="22"/>
      <c r="AM1289" s="22"/>
      <c r="AN1289" s="26"/>
      <c r="AO1289" s="26"/>
      <c r="AP1289" s="26"/>
      <c r="AQ1289" s="26"/>
      <c r="AR1289" s="1044"/>
      <c r="AS1289" s="1044"/>
    </row>
    <row r="1290" spans="3:45" hidden="1" outlineLevel="1">
      <c r="C1290" s="816" t="s">
        <v>2</v>
      </c>
      <c r="D1290" s="9">
        <v>3</v>
      </c>
      <c r="E1290" s="20" t="s">
        <v>1363</v>
      </c>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c r="AB1290" s="12"/>
      <c r="AC1290" s="12"/>
      <c r="AD1290" s="12"/>
      <c r="AE1290" s="12"/>
      <c r="AF1290" s="12">
        <v>1104823</v>
      </c>
      <c r="AG1290" s="12">
        <v>2780479</v>
      </c>
      <c r="AH1290" s="12"/>
      <c r="AI1290" s="12"/>
      <c r="AJ1290" s="22"/>
      <c r="AK1290" s="22"/>
      <c r="AL1290" s="22"/>
      <c r="AM1290" s="22"/>
      <c r="AN1290" s="26"/>
      <c r="AO1290" s="26"/>
      <c r="AP1290" s="26"/>
      <c r="AQ1290" s="26"/>
      <c r="AR1290" s="1044"/>
      <c r="AS1290" s="1044"/>
    </row>
    <row r="1291" spans="3:45" hidden="1" outlineLevel="1">
      <c r="C1291" s="816" t="s">
        <v>2</v>
      </c>
      <c r="D1291" s="9">
        <v>3</v>
      </c>
      <c r="E1291" s="20" t="s">
        <v>1364</v>
      </c>
      <c r="F1291" s="20"/>
      <c r="G1291" s="20"/>
      <c r="H1291" s="20"/>
      <c r="I1291" s="20"/>
      <c r="J1291" s="20"/>
      <c r="K1291" s="20"/>
      <c r="L1291" s="20"/>
      <c r="M1291" s="20"/>
      <c r="N1291" s="20"/>
      <c r="O1291" s="20"/>
      <c r="P1291" s="20"/>
      <c r="Q1291" s="20"/>
      <c r="R1291" s="20"/>
      <c r="S1291" s="20"/>
      <c r="T1291" s="20"/>
      <c r="U1291" s="20"/>
      <c r="V1291" s="20"/>
      <c r="W1291" s="20"/>
      <c r="X1291" s="20"/>
      <c r="Y1291" s="20"/>
      <c r="Z1291" s="20"/>
      <c r="AA1291" s="20"/>
      <c r="AB1291" s="12"/>
      <c r="AC1291" s="12"/>
      <c r="AD1291" s="12"/>
      <c r="AE1291" s="12"/>
      <c r="AF1291" s="12">
        <v>1187252</v>
      </c>
      <c r="AG1291" s="12">
        <v>1849987</v>
      </c>
      <c r="AH1291" s="12"/>
      <c r="AI1291" s="12"/>
      <c r="AJ1291" s="22"/>
      <c r="AK1291" s="22"/>
      <c r="AL1291" s="22"/>
      <c r="AM1291" s="22"/>
      <c r="AN1291" s="26"/>
      <c r="AO1291" s="26"/>
      <c r="AP1291" s="26"/>
      <c r="AQ1291" s="26"/>
      <c r="AR1291" s="1044"/>
      <c r="AS1291" s="1044"/>
    </row>
    <row r="1292" spans="3:45" hidden="1" outlineLevel="1">
      <c r="C1292" s="816" t="s">
        <v>2</v>
      </c>
      <c r="D1292" s="9">
        <v>3</v>
      </c>
      <c r="E1292" s="20" t="s">
        <v>1365</v>
      </c>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c r="AB1292" s="12"/>
      <c r="AC1292" s="12"/>
      <c r="AD1292" s="12">
        <v>-550000</v>
      </c>
      <c r="AE1292" s="12">
        <v>-550000</v>
      </c>
      <c r="AF1292" s="12">
        <v>675423</v>
      </c>
      <c r="AG1292" s="12">
        <v>1099229</v>
      </c>
      <c r="AH1292" s="12"/>
      <c r="AI1292" s="12"/>
      <c r="AJ1292" s="22"/>
      <c r="AK1292" s="22"/>
      <c r="AL1292" s="22"/>
      <c r="AM1292" s="22"/>
      <c r="AN1292" s="26"/>
      <c r="AO1292" s="26"/>
      <c r="AP1292" s="26"/>
      <c r="AQ1292" s="26"/>
      <c r="AR1292" s="1044"/>
      <c r="AS1292" s="1044"/>
    </row>
    <row r="1293" spans="3:45" hidden="1" outlineLevel="1">
      <c r="C1293" s="816" t="s">
        <v>2</v>
      </c>
      <c r="D1293" s="9">
        <v>3</v>
      </c>
      <c r="E1293" s="20" t="s">
        <v>730</v>
      </c>
      <c r="F1293" s="20"/>
      <c r="G1293" s="20"/>
      <c r="H1293" s="20"/>
      <c r="I1293" s="20"/>
      <c r="J1293" s="20"/>
      <c r="K1293" s="20"/>
      <c r="L1293" s="20"/>
      <c r="M1293" s="20"/>
      <c r="N1293" s="20"/>
      <c r="O1293" s="20"/>
      <c r="P1293" s="20"/>
      <c r="Q1293" s="20"/>
      <c r="R1293" s="20"/>
      <c r="S1293" s="20"/>
      <c r="T1293" s="20"/>
      <c r="U1293" s="20"/>
      <c r="V1293" s="20"/>
      <c r="W1293" s="20"/>
      <c r="X1293" s="20"/>
      <c r="Y1293" s="20"/>
      <c r="Z1293" s="20"/>
      <c r="AA1293" s="20"/>
      <c r="AB1293" s="12"/>
      <c r="AC1293" s="12"/>
      <c r="AD1293" s="12"/>
      <c r="AE1293" s="12"/>
      <c r="AF1293" s="12">
        <v>486139</v>
      </c>
      <c r="AG1293" s="12">
        <v>1702745</v>
      </c>
      <c r="AH1293" s="12"/>
      <c r="AI1293" s="12"/>
      <c r="AJ1293" s="22"/>
      <c r="AK1293" s="22"/>
      <c r="AL1293" s="22"/>
      <c r="AM1293" s="22"/>
      <c r="AN1293" s="26"/>
      <c r="AO1293" s="26"/>
      <c r="AP1293" s="26"/>
      <c r="AQ1293" s="26"/>
      <c r="AR1293" s="1044"/>
      <c r="AS1293" s="1044"/>
    </row>
    <row r="1294" spans="3:45" hidden="1" outlineLevel="1">
      <c r="C1294" s="816" t="s">
        <v>2</v>
      </c>
      <c r="D1294" s="9">
        <v>3</v>
      </c>
      <c r="E1294" s="20" t="s">
        <v>1431</v>
      </c>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c r="AB1294" s="12"/>
      <c r="AC1294" s="12"/>
      <c r="AD1294" s="12"/>
      <c r="AE1294" s="12"/>
      <c r="AF1294" s="12">
        <v>676654</v>
      </c>
      <c r="AG1294" s="12">
        <v>713628</v>
      </c>
      <c r="AH1294" s="12"/>
      <c r="AI1294" s="12"/>
      <c r="AJ1294" s="22"/>
      <c r="AK1294" s="22"/>
      <c r="AL1294" s="22"/>
      <c r="AM1294" s="22"/>
      <c r="AN1294" s="26"/>
      <c r="AO1294" s="26"/>
      <c r="AP1294" s="26"/>
      <c r="AQ1294" s="26"/>
      <c r="AR1294" s="1044"/>
      <c r="AS1294" s="1044"/>
    </row>
    <row r="1295" spans="3:45" hidden="1" outlineLevel="1">
      <c r="C1295" s="816" t="s">
        <v>2</v>
      </c>
      <c r="D1295" s="9">
        <v>3</v>
      </c>
      <c r="E1295" s="20" t="s">
        <v>731</v>
      </c>
      <c r="F1295" s="20"/>
      <c r="G1295" s="20"/>
      <c r="H1295" s="20"/>
      <c r="I1295" s="20"/>
      <c r="J1295" s="20"/>
      <c r="K1295" s="20"/>
      <c r="L1295" s="20"/>
      <c r="M1295" s="20"/>
      <c r="N1295" s="20"/>
      <c r="O1295" s="20"/>
      <c r="P1295" s="20"/>
      <c r="Q1295" s="20"/>
      <c r="R1295" s="20"/>
      <c r="S1295" s="20"/>
      <c r="T1295" s="20"/>
      <c r="U1295" s="20"/>
      <c r="V1295" s="20"/>
      <c r="W1295" s="20"/>
      <c r="X1295" s="20"/>
      <c r="Y1295" s="20"/>
      <c r="Z1295" s="20"/>
      <c r="AA1295" s="20"/>
      <c r="AB1295" s="12"/>
      <c r="AC1295" s="12"/>
      <c r="AD1295" s="12"/>
      <c r="AE1295" s="12"/>
      <c r="AF1295" s="12">
        <v>4525118</v>
      </c>
      <c r="AG1295" s="12">
        <v>7759219</v>
      </c>
      <c r="AH1295" s="12"/>
      <c r="AI1295" s="12"/>
      <c r="AJ1295" s="22"/>
      <c r="AK1295" s="22"/>
      <c r="AL1295" s="22"/>
      <c r="AM1295" s="22"/>
      <c r="AN1295" s="26"/>
      <c r="AO1295" s="26"/>
      <c r="AP1295" s="26"/>
      <c r="AQ1295" s="26"/>
      <c r="AR1295" s="1044"/>
      <c r="AS1295" s="1044"/>
    </row>
    <row r="1296" spans="3:45" hidden="1" outlineLevel="1">
      <c r="C1296" s="816" t="s">
        <v>2</v>
      </c>
      <c r="D1296" s="9">
        <v>3</v>
      </c>
      <c r="E1296" s="224" t="s">
        <v>1689</v>
      </c>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c r="AB1296" s="12"/>
      <c r="AC1296" s="12"/>
      <c r="AD1296" s="12"/>
      <c r="AE1296" s="12"/>
      <c r="AF1296" s="12">
        <v>0</v>
      </c>
      <c r="AG1296" s="12">
        <v>0</v>
      </c>
      <c r="AH1296" s="12"/>
      <c r="AI1296" s="12"/>
      <c r="AJ1296" s="22"/>
      <c r="AK1296" s="22"/>
      <c r="AL1296" s="22"/>
      <c r="AM1296" s="22"/>
      <c r="AN1296" s="26"/>
      <c r="AO1296" s="26"/>
      <c r="AP1296" s="26"/>
      <c r="AQ1296" s="26"/>
      <c r="AR1296" s="1044"/>
      <c r="AS1296" s="1044"/>
    </row>
    <row r="1297" spans="3:45" hidden="1" outlineLevel="1">
      <c r="C1297" s="816" t="s">
        <v>2</v>
      </c>
      <c r="D1297" s="9">
        <v>3</v>
      </c>
      <c r="E1297" s="20" t="s">
        <v>1426</v>
      </c>
      <c r="F1297" s="20"/>
      <c r="G1297" s="20"/>
      <c r="H1297" s="20"/>
      <c r="I1297" s="20"/>
      <c r="J1297" s="20"/>
      <c r="K1297" s="20"/>
      <c r="L1297" s="20"/>
      <c r="M1297" s="20"/>
      <c r="N1297" s="20"/>
      <c r="O1297" s="20"/>
      <c r="P1297" s="20"/>
      <c r="Q1297" s="20"/>
      <c r="R1297" s="20"/>
      <c r="S1297" s="20"/>
      <c r="T1297" s="20"/>
      <c r="U1297" s="20"/>
      <c r="V1297" s="20"/>
      <c r="W1297" s="20"/>
      <c r="X1297" s="20"/>
      <c r="Y1297" s="20"/>
      <c r="Z1297" s="20"/>
      <c r="AA1297" s="20"/>
      <c r="AB1297" s="12"/>
      <c r="AC1297" s="12"/>
      <c r="AD1297" s="12"/>
      <c r="AE1297" s="12"/>
      <c r="AF1297" s="12">
        <v>0</v>
      </c>
      <c r="AG1297" s="12">
        <v>5043398</v>
      </c>
      <c r="AH1297" s="12"/>
      <c r="AI1297" s="12"/>
      <c r="AJ1297" s="22"/>
      <c r="AK1297" s="22"/>
      <c r="AL1297" s="22"/>
      <c r="AM1297" s="22"/>
      <c r="AN1297" s="26"/>
      <c r="AO1297" s="26"/>
      <c r="AP1297" s="26"/>
      <c r="AQ1297" s="26"/>
      <c r="AR1297" s="1044"/>
      <c r="AS1297" s="1044"/>
    </row>
    <row r="1298" spans="3:45" hidden="1" outlineLevel="1">
      <c r="C1298" s="816" t="s">
        <v>2</v>
      </c>
      <c r="D1298" s="9">
        <v>3</v>
      </c>
      <c r="E1298" s="20" t="s">
        <v>733</v>
      </c>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c r="AB1298" s="12"/>
      <c r="AC1298" s="12"/>
      <c r="AD1298" s="12"/>
      <c r="AE1298" s="12"/>
      <c r="AF1298" s="12">
        <v>5133871</v>
      </c>
      <c r="AG1298" s="12">
        <v>3876116</v>
      </c>
      <c r="AH1298" s="12"/>
      <c r="AI1298" s="12"/>
      <c r="AJ1298" s="22"/>
      <c r="AK1298" s="22"/>
      <c r="AL1298" s="22"/>
      <c r="AM1298" s="22"/>
      <c r="AN1298" s="26"/>
      <c r="AO1298" s="26"/>
      <c r="AP1298" s="26"/>
      <c r="AQ1298" s="26"/>
      <c r="AR1298" s="1044"/>
      <c r="AS1298" s="1044"/>
    </row>
    <row r="1299" spans="3:45" hidden="1" outlineLevel="1">
      <c r="C1299" s="816" t="s">
        <v>2</v>
      </c>
      <c r="D1299" s="9">
        <v>3</v>
      </c>
      <c r="E1299" s="20" t="s">
        <v>1432</v>
      </c>
      <c r="F1299" s="20"/>
      <c r="G1299" s="20"/>
      <c r="H1299" s="20"/>
      <c r="I1299" s="20"/>
      <c r="J1299" s="20"/>
      <c r="K1299" s="20"/>
      <c r="L1299" s="20"/>
      <c r="M1299" s="20"/>
      <c r="N1299" s="20"/>
      <c r="O1299" s="20"/>
      <c r="P1299" s="20"/>
      <c r="Q1299" s="20"/>
      <c r="R1299" s="20"/>
      <c r="S1299" s="20"/>
      <c r="T1299" s="20"/>
      <c r="U1299" s="20"/>
      <c r="V1299" s="20"/>
      <c r="W1299" s="20"/>
      <c r="X1299" s="20"/>
      <c r="Y1299" s="20"/>
      <c r="Z1299" s="20"/>
      <c r="AA1299" s="20"/>
      <c r="AB1299" s="12"/>
      <c r="AC1299" s="12"/>
      <c r="AD1299" s="12"/>
      <c r="AE1299" s="12"/>
      <c r="AF1299" s="12">
        <v>50000</v>
      </c>
      <c r="AG1299" s="12">
        <v>200000</v>
      </c>
      <c r="AH1299" s="12"/>
      <c r="AI1299" s="12"/>
      <c r="AJ1299" s="22"/>
      <c r="AK1299" s="22"/>
      <c r="AL1299" s="22"/>
      <c r="AM1299" s="22"/>
      <c r="AN1299" s="26"/>
      <c r="AO1299" s="26"/>
      <c r="AP1299" s="26"/>
      <c r="AQ1299" s="26"/>
      <c r="AR1299" s="1044"/>
      <c r="AS1299" s="1044"/>
    </row>
    <row r="1300" spans="3:45" hidden="1" outlineLevel="1">
      <c r="C1300" s="816" t="s">
        <v>2</v>
      </c>
      <c r="D1300" s="9">
        <v>3</v>
      </c>
      <c r="E1300" s="20" t="s">
        <v>735</v>
      </c>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c r="AB1300" s="12"/>
      <c r="AC1300" s="12"/>
      <c r="AD1300" s="12">
        <v>-2600000</v>
      </c>
      <c r="AE1300" s="12">
        <v>-2600000</v>
      </c>
      <c r="AF1300" s="12">
        <v>4399278</v>
      </c>
      <c r="AG1300" s="12">
        <v>11692679</v>
      </c>
      <c r="AH1300" s="12"/>
      <c r="AI1300" s="12"/>
      <c r="AJ1300" s="22"/>
      <c r="AK1300" s="22"/>
      <c r="AL1300" s="22"/>
      <c r="AM1300" s="22"/>
      <c r="AN1300" s="26"/>
      <c r="AO1300" s="26"/>
      <c r="AP1300" s="26"/>
      <c r="AQ1300" s="26"/>
      <c r="AR1300" s="1044"/>
      <c r="AS1300" s="1044"/>
    </row>
    <row r="1301" spans="3:45" hidden="1" outlineLevel="1">
      <c r="C1301" s="816" t="s">
        <v>2</v>
      </c>
      <c r="D1301" s="9">
        <v>3</v>
      </c>
      <c r="E1301" s="20" t="s">
        <v>855</v>
      </c>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c r="AB1301" s="12"/>
      <c r="AC1301" s="12"/>
      <c r="AD1301" s="12">
        <v>-500000</v>
      </c>
      <c r="AE1301" s="12">
        <v>-500000</v>
      </c>
      <c r="AF1301" s="12">
        <v>637858</v>
      </c>
      <c r="AG1301" s="12">
        <v>2328579</v>
      </c>
      <c r="AH1301" s="12"/>
      <c r="AI1301" s="12"/>
      <c r="AJ1301" s="22"/>
      <c r="AK1301" s="22"/>
      <c r="AL1301" s="22"/>
      <c r="AM1301" s="22"/>
      <c r="AN1301" s="26"/>
      <c r="AO1301" s="26"/>
      <c r="AP1301" s="26"/>
      <c r="AQ1301" s="26"/>
      <c r="AR1301" s="1044"/>
      <c r="AS1301" s="1044"/>
    </row>
    <row r="1302" spans="3:45" hidden="1" outlineLevel="1">
      <c r="C1302" s="816" t="s">
        <v>2</v>
      </c>
      <c r="D1302" s="9">
        <v>3</v>
      </c>
      <c r="E1302" s="20" t="s">
        <v>737</v>
      </c>
      <c r="F1302" s="20"/>
      <c r="G1302" s="20"/>
      <c r="H1302" s="20"/>
      <c r="I1302" s="20"/>
      <c r="J1302" s="20"/>
      <c r="K1302" s="20"/>
      <c r="L1302" s="20"/>
      <c r="M1302" s="20"/>
      <c r="N1302" s="20"/>
      <c r="O1302" s="20"/>
      <c r="P1302" s="20"/>
      <c r="Q1302" s="20"/>
      <c r="R1302" s="20"/>
      <c r="S1302" s="20"/>
      <c r="T1302" s="20"/>
      <c r="U1302" s="20"/>
      <c r="V1302" s="20"/>
      <c r="W1302" s="20"/>
      <c r="X1302" s="20"/>
      <c r="Y1302" s="20"/>
      <c r="Z1302" s="20"/>
      <c r="AA1302" s="20"/>
      <c r="AB1302" s="12"/>
      <c r="AC1302" s="12"/>
      <c r="AD1302" s="12"/>
      <c r="AE1302" s="12"/>
      <c r="AF1302" s="12">
        <v>2172334</v>
      </c>
      <c r="AG1302" s="12">
        <v>1924726</v>
      </c>
      <c r="AH1302" s="12"/>
      <c r="AI1302" s="12"/>
      <c r="AJ1302" s="22"/>
      <c r="AK1302" s="22"/>
      <c r="AL1302" s="22"/>
      <c r="AM1302" s="22"/>
      <c r="AN1302" s="26"/>
      <c r="AO1302" s="26"/>
      <c r="AP1302" s="26"/>
      <c r="AQ1302" s="26"/>
      <c r="AR1302" s="1044"/>
      <c r="AS1302" s="1044"/>
    </row>
    <row r="1303" spans="3:45" hidden="1" outlineLevel="1">
      <c r="C1303" s="816" t="s">
        <v>2</v>
      </c>
      <c r="D1303" s="9">
        <v>3</v>
      </c>
      <c r="E1303" s="20" t="s">
        <v>60</v>
      </c>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c r="AB1303" s="12"/>
      <c r="AC1303" s="12"/>
      <c r="AD1303" s="12"/>
      <c r="AE1303" s="12"/>
      <c r="AF1303" s="12">
        <v>56962</v>
      </c>
      <c r="AG1303" s="12">
        <v>85294</v>
      </c>
      <c r="AH1303" s="12"/>
      <c r="AI1303" s="12"/>
      <c r="AJ1303" s="22"/>
      <c r="AK1303" s="22"/>
      <c r="AL1303" s="22"/>
      <c r="AM1303" s="22"/>
      <c r="AN1303" s="26"/>
      <c r="AO1303" s="26"/>
      <c r="AP1303" s="26"/>
      <c r="AQ1303" s="26"/>
      <c r="AR1303" s="1044"/>
      <c r="AS1303" s="1044"/>
    </row>
    <row r="1304" spans="3:45" hidden="1" outlineLevel="1">
      <c r="C1304" s="816" t="s">
        <v>2</v>
      </c>
      <c r="D1304" s="9">
        <v>3</v>
      </c>
      <c r="E1304" s="20" t="s">
        <v>738</v>
      </c>
      <c r="F1304" s="20"/>
      <c r="G1304" s="20"/>
      <c r="H1304" s="20"/>
      <c r="I1304" s="20"/>
      <c r="J1304" s="20"/>
      <c r="K1304" s="20"/>
      <c r="L1304" s="20"/>
      <c r="M1304" s="20"/>
      <c r="N1304" s="20"/>
      <c r="O1304" s="20"/>
      <c r="P1304" s="20"/>
      <c r="Q1304" s="20"/>
      <c r="R1304" s="20"/>
      <c r="S1304" s="20"/>
      <c r="T1304" s="20"/>
      <c r="U1304" s="20"/>
      <c r="V1304" s="20"/>
      <c r="W1304" s="20"/>
      <c r="X1304" s="20"/>
      <c r="Y1304" s="20"/>
      <c r="Z1304" s="20"/>
      <c r="AA1304" s="20"/>
      <c r="AB1304" s="12"/>
      <c r="AC1304" s="12"/>
      <c r="AD1304" s="12"/>
      <c r="AE1304" s="12"/>
      <c r="AF1304" s="12">
        <v>41289</v>
      </c>
      <c r="AG1304" s="12">
        <v>5140684</v>
      </c>
      <c r="AH1304" s="12"/>
      <c r="AI1304" s="12"/>
      <c r="AJ1304" s="22"/>
      <c r="AK1304" s="22"/>
      <c r="AL1304" s="22"/>
      <c r="AM1304" s="22"/>
      <c r="AN1304" s="26"/>
      <c r="AO1304" s="26"/>
      <c r="AP1304" s="26"/>
      <c r="AQ1304" s="26"/>
      <c r="AR1304" s="1044"/>
      <c r="AS1304" s="1044"/>
    </row>
    <row r="1305" spans="3:45" hidden="1" outlineLevel="1">
      <c r="C1305" s="816" t="s">
        <v>2</v>
      </c>
      <c r="D1305" s="9">
        <v>3</v>
      </c>
      <c r="E1305" s="20" t="s">
        <v>1446</v>
      </c>
      <c r="F1305" s="20"/>
      <c r="G1305" s="20"/>
      <c r="H1305" s="20"/>
      <c r="I1305" s="20"/>
      <c r="J1305" s="20"/>
      <c r="K1305" s="20"/>
      <c r="L1305" s="20"/>
      <c r="M1305" s="20"/>
      <c r="N1305" s="20"/>
      <c r="O1305" s="20"/>
      <c r="P1305" s="20"/>
      <c r="Q1305" s="20"/>
      <c r="R1305" s="20"/>
      <c r="S1305" s="20"/>
      <c r="T1305" s="20"/>
      <c r="U1305" s="20"/>
      <c r="V1305" s="20"/>
      <c r="W1305" s="20"/>
      <c r="X1305" s="20"/>
      <c r="Y1305" s="20"/>
      <c r="Z1305" s="20"/>
      <c r="AA1305" s="20"/>
      <c r="AB1305" s="12"/>
      <c r="AC1305" s="12"/>
      <c r="AD1305" s="12"/>
      <c r="AE1305" s="12"/>
      <c r="AF1305" s="12">
        <v>453357</v>
      </c>
      <c r="AG1305" s="12">
        <v>732715</v>
      </c>
      <c r="AH1305" s="12"/>
      <c r="AI1305" s="12"/>
      <c r="AJ1305" s="22"/>
      <c r="AK1305" s="22"/>
      <c r="AL1305" s="22"/>
      <c r="AM1305" s="22"/>
      <c r="AN1305" s="26"/>
      <c r="AO1305" s="26"/>
      <c r="AP1305" s="26"/>
      <c r="AQ1305" s="26"/>
      <c r="AR1305" s="1044"/>
      <c r="AS1305" s="1044"/>
    </row>
    <row r="1306" spans="3:45" hidden="1" outlineLevel="1">
      <c r="C1306" s="816" t="s">
        <v>2</v>
      </c>
      <c r="D1306" s="9">
        <v>3</v>
      </c>
      <c r="E1306" s="20" t="s">
        <v>1447</v>
      </c>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c r="AB1306" s="12"/>
      <c r="AC1306" s="12"/>
      <c r="AD1306" s="12"/>
      <c r="AE1306" s="12"/>
      <c r="AF1306" s="12">
        <v>273505</v>
      </c>
      <c r="AG1306" s="12">
        <v>540586</v>
      </c>
      <c r="AH1306" s="12"/>
      <c r="AI1306" s="12"/>
      <c r="AJ1306" s="22"/>
      <c r="AK1306" s="22"/>
      <c r="AL1306" s="22"/>
      <c r="AM1306" s="22"/>
      <c r="AN1306" s="26"/>
      <c r="AO1306" s="26"/>
      <c r="AP1306" s="26"/>
      <c r="AQ1306" s="26"/>
      <c r="AR1306" s="1044"/>
      <c r="AS1306" s="1044"/>
    </row>
    <row r="1307" spans="3:45" hidden="1" outlineLevel="1">
      <c r="C1307" s="816" t="s">
        <v>2</v>
      </c>
      <c r="D1307" s="9">
        <v>3</v>
      </c>
      <c r="E1307" s="20" t="s">
        <v>1448</v>
      </c>
      <c r="F1307" s="20"/>
      <c r="G1307" s="20"/>
      <c r="H1307" s="20"/>
      <c r="I1307" s="20"/>
      <c r="J1307" s="20"/>
      <c r="K1307" s="20"/>
      <c r="L1307" s="20"/>
      <c r="M1307" s="20"/>
      <c r="N1307" s="20"/>
      <c r="O1307" s="20"/>
      <c r="P1307" s="20"/>
      <c r="Q1307" s="20"/>
      <c r="R1307" s="20"/>
      <c r="S1307" s="20"/>
      <c r="T1307" s="20"/>
      <c r="U1307" s="20"/>
      <c r="V1307" s="20"/>
      <c r="W1307" s="20"/>
      <c r="X1307" s="20"/>
      <c r="Y1307" s="20"/>
      <c r="Z1307" s="20"/>
      <c r="AA1307" s="20"/>
      <c r="AB1307" s="12"/>
      <c r="AC1307" s="12"/>
      <c r="AD1307" s="12"/>
      <c r="AE1307" s="12"/>
      <c r="AF1307" s="12">
        <v>222459</v>
      </c>
      <c r="AG1307" s="12">
        <v>863307</v>
      </c>
      <c r="AH1307" s="12"/>
      <c r="AI1307" s="12"/>
      <c r="AJ1307" s="22"/>
      <c r="AK1307" s="22"/>
      <c r="AL1307" s="22"/>
      <c r="AM1307" s="22"/>
      <c r="AN1307" s="26"/>
      <c r="AO1307" s="26"/>
      <c r="AP1307" s="26"/>
      <c r="AQ1307" s="26"/>
      <c r="AR1307" s="1044"/>
      <c r="AS1307" s="1044"/>
    </row>
    <row r="1308" spans="3:45" hidden="1" outlineLevel="1">
      <c r="C1308" s="816" t="s">
        <v>2</v>
      </c>
      <c r="D1308" s="9">
        <v>3</v>
      </c>
      <c r="E1308" s="20" t="s">
        <v>1367</v>
      </c>
      <c r="F1308" s="20"/>
      <c r="G1308" s="20"/>
      <c r="H1308" s="20"/>
      <c r="I1308" s="20"/>
      <c r="J1308" s="20"/>
      <c r="K1308" s="20"/>
      <c r="L1308" s="20"/>
      <c r="M1308" s="20"/>
      <c r="N1308" s="20"/>
      <c r="O1308" s="20"/>
      <c r="P1308" s="20"/>
      <c r="Q1308" s="20"/>
      <c r="R1308" s="20"/>
      <c r="S1308" s="20"/>
      <c r="T1308" s="20"/>
      <c r="U1308" s="20"/>
      <c r="V1308" s="20"/>
      <c r="W1308" s="20"/>
      <c r="X1308" s="20"/>
      <c r="Y1308" s="20"/>
      <c r="Z1308" s="20"/>
      <c r="AA1308" s="20"/>
      <c r="AB1308" s="12"/>
      <c r="AC1308" s="12"/>
      <c r="AD1308" s="12"/>
      <c r="AE1308" s="12"/>
      <c r="AF1308" s="12">
        <v>2651635</v>
      </c>
      <c r="AG1308" s="12">
        <v>3448892</v>
      </c>
      <c r="AH1308" s="12"/>
      <c r="AI1308" s="12"/>
      <c r="AJ1308" s="22"/>
      <c r="AK1308" s="22"/>
      <c r="AL1308" s="22"/>
      <c r="AM1308" s="22"/>
      <c r="AN1308" s="26"/>
      <c r="AO1308" s="26"/>
      <c r="AP1308" s="26"/>
      <c r="AQ1308" s="26"/>
      <c r="AR1308" s="1044"/>
      <c r="AS1308" s="1044"/>
    </row>
    <row r="1309" spans="3:45" hidden="1" outlineLevel="1">
      <c r="C1309" s="816" t="s">
        <v>2</v>
      </c>
      <c r="D1309" s="9">
        <v>3</v>
      </c>
      <c r="E1309" s="224" t="s">
        <v>1094</v>
      </c>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c r="AB1309" s="12"/>
      <c r="AC1309" s="12"/>
      <c r="AD1309" s="12">
        <v>-1500000</v>
      </c>
      <c r="AE1309" s="12">
        <v>-1500000</v>
      </c>
      <c r="AF1309" s="12">
        <v>4568785</v>
      </c>
      <c r="AG1309" s="12">
        <v>6857731</v>
      </c>
      <c r="AH1309" s="12"/>
      <c r="AI1309" s="12"/>
      <c r="AJ1309" s="22"/>
      <c r="AK1309" s="22"/>
      <c r="AL1309" s="22"/>
      <c r="AM1309" s="22"/>
      <c r="AN1309" s="26"/>
      <c r="AO1309" s="26"/>
      <c r="AP1309" s="26"/>
      <c r="AQ1309" s="26"/>
      <c r="AR1309" s="1044"/>
      <c r="AS1309" s="1044"/>
    </row>
    <row r="1310" spans="3:45" hidden="1" outlineLevel="1">
      <c r="C1310" s="816" t="s">
        <v>2</v>
      </c>
      <c r="D1310" s="9">
        <v>3</v>
      </c>
      <c r="E1310" s="20" t="s">
        <v>859</v>
      </c>
      <c r="F1310" s="20"/>
      <c r="G1310" s="20"/>
      <c r="H1310" s="20"/>
      <c r="I1310" s="20"/>
      <c r="J1310" s="20"/>
      <c r="K1310" s="20"/>
      <c r="L1310" s="20"/>
      <c r="M1310" s="20"/>
      <c r="N1310" s="20"/>
      <c r="O1310" s="20"/>
      <c r="P1310" s="20"/>
      <c r="Q1310" s="20"/>
      <c r="R1310" s="20"/>
      <c r="S1310" s="20"/>
      <c r="T1310" s="20"/>
      <c r="U1310" s="20"/>
      <c r="V1310" s="20"/>
      <c r="W1310" s="20"/>
      <c r="X1310" s="20"/>
      <c r="Y1310" s="20"/>
      <c r="Z1310" s="20"/>
      <c r="AA1310" s="20"/>
      <c r="AB1310" s="12"/>
      <c r="AC1310" s="12"/>
      <c r="AD1310" s="12"/>
      <c r="AE1310" s="12"/>
      <c r="AF1310" s="12">
        <v>767531</v>
      </c>
      <c r="AG1310" s="12">
        <v>1149935</v>
      </c>
      <c r="AH1310" s="12"/>
      <c r="AI1310" s="12"/>
      <c r="AJ1310" s="22"/>
      <c r="AK1310" s="22"/>
      <c r="AL1310" s="22"/>
      <c r="AM1310" s="22"/>
      <c r="AN1310" s="26"/>
      <c r="AO1310" s="26"/>
      <c r="AP1310" s="26"/>
      <c r="AQ1310" s="26"/>
      <c r="AR1310" s="1044"/>
      <c r="AS1310" s="1044"/>
    </row>
    <row r="1311" spans="3:45" hidden="1" outlineLevel="1">
      <c r="C1311" s="816" t="s">
        <v>2</v>
      </c>
      <c r="D1311" s="9">
        <v>3</v>
      </c>
      <c r="E1311" s="20" t="s">
        <v>1427</v>
      </c>
      <c r="F1311" s="20"/>
      <c r="G1311" s="20"/>
      <c r="H1311" s="20"/>
      <c r="I1311" s="20"/>
      <c r="J1311" s="20"/>
      <c r="K1311" s="20"/>
      <c r="L1311" s="20"/>
      <c r="M1311" s="20"/>
      <c r="N1311" s="20"/>
      <c r="O1311" s="20"/>
      <c r="P1311" s="20"/>
      <c r="Q1311" s="20"/>
      <c r="R1311" s="20"/>
      <c r="S1311" s="20"/>
      <c r="T1311" s="20"/>
      <c r="U1311" s="20"/>
      <c r="V1311" s="20"/>
      <c r="W1311" s="20"/>
      <c r="X1311" s="20"/>
      <c r="Y1311" s="20"/>
      <c r="Z1311" s="20"/>
      <c r="AA1311" s="20"/>
      <c r="AB1311" s="12"/>
      <c r="AC1311" s="12"/>
      <c r="AD1311" s="12"/>
      <c r="AE1311" s="12"/>
      <c r="AF1311" s="12">
        <v>0</v>
      </c>
      <c r="AG1311" s="12">
        <v>451287</v>
      </c>
      <c r="AH1311" s="12"/>
      <c r="AI1311" s="12"/>
      <c r="AJ1311" s="22"/>
      <c r="AK1311" s="22"/>
      <c r="AL1311" s="22"/>
      <c r="AM1311" s="22"/>
      <c r="AN1311" s="26"/>
      <c r="AO1311" s="26"/>
      <c r="AP1311" s="26"/>
      <c r="AQ1311" s="26"/>
      <c r="AR1311" s="1044"/>
      <c r="AS1311" s="1044"/>
    </row>
    <row r="1312" spans="3:45" hidden="1" outlineLevel="1">
      <c r="C1312" s="816" t="s">
        <v>2</v>
      </c>
      <c r="D1312" s="9">
        <v>3</v>
      </c>
      <c r="E1312" s="20" t="s">
        <v>1433</v>
      </c>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c r="AB1312" s="12"/>
      <c r="AC1312" s="12"/>
      <c r="AD1312" s="12">
        <v>-9000000</v>
      </c>
      <c r="AE1312" s="12">
        <v>-9000000</v>
      </c>
      <c r="AF1312" s="12">
        <v>0</v>
      </c>
      <c r="AG1312" s="12">
        <v>17126319</v>
      </c>
      <c r="AH1312" s="12"/>
      <c r="AI1312" s="12"/>
      <c r="AJ1312" s="22"/>
      <c r="AK1312" s="22"/>
      <c r="AL1312" s="22"/>
      <c r="AM1312" s="22"/>
      <c r="AN1312" s="26"/>
      <c r="AO1312" s="26"/>
      <c r="AP1312" s="26"/>
      <c r="AQ1312" s="26"/>
      <c r="AR1312" s="1044"/>
      <c r="AS1312" s="1044"/>
    </row>
    <row r="1313" spans="2:45" hidden="1" outlineLevel="1">
      <c r="C1313" s="816" t="s">
        <v>2</v>
      </c>
      <c r="D1313" s="9">
        <v>3</v>
      </c>
      <c r="E1313" s="20" t="s">
        <v>1434</v>
      </c>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c r="AB1313" s="12"/>
      <c r="AC1313" s="12"/>
      <c r="AD1313" s="12"/>
      <c r="AE1313" s="12"/>
      <c r="AF1313" s="12">
        <v>0</v>
      </c>
      <c r="AG1313" s="12">
        <v>33092666</v>
      </c>
      <c r="AH1313" s="12"/>
      <c r="AI1313" s="12"/>
      <c r="AJ1313" s="22"/>
      <c r="AK1313" s="22"/>
      <c r="AL1313" s="22"/>
      <c r="AM1313" s="22"/>
      <c r="AN1313" s="26"/>
      <c r="AO1313" s="26"/>
      <c r="AP1313" s="26"/>
      <c r="AQ1313" s="26"/>
      <c r="AR1313" s="1044"/>
      <c r="AS1313" s="1044"/>
    </row>
    <row r="1314" spans="2:45" hidden="1" outlineLevel="1">
      <c r="C1314" s="816" t="s">
        <v>2</v>
      </c>
      <c r="D1314" s="9">
        <v>3</v>
      </c>
      <c r="E1314" s="20" t="s">
        <v>1435</v>
      </c>
      <c r="F1314" s="20"/>
      <c r="G1314" s="20"/>
      <c r="H1314" s="20"/>
      <c r="I1314" s="20"/>
      <c r="J1314" s="20"/>
      <c r="K1314" s="20"/>
      <c r="L1314" s="20"/>
      <c r="M1314" s="20"/>
      <c r="N1314" s="20"/>
      <c r="O1314" s="20"/>
      <c r="P1314" s="20"/>
      <c r="Q1314" s="20"/>
      <c r="R1314" s="20"/>
      <c r="S1314" s="20"/>
      <c r="T1314" s="20"/>
      <c r="U1314" s="20"/>
      <c r="V1314" s="20"/>
      <c r="W1314" s="20"/>
      <c r="X1314" s="20"/>
      <c r="Y1314" s="20"/>
      <c r="Z1314" s="20"/>
      <c r="AA1314" s="20"/>
      <c r="AB1314" s="12"/>
      <c r="AC1314" s="12"/>
      <c r="AD1314" s="12">
        <v>-2500000</v>
      </c>
      <c r="AE1314" s="12">
        <v>-2500000</v>
      </c>
      <c r="AF1314" s="12">
        <v>2146880</v>
      </c>
      <c r="AG1314" s="12">
        <v>20408079</v>
      </c>
      <c r="AH1314" s="12"/>
      <c r="AI1314" s="12"/>
      <c r="AJ1314" s="22"/>
      <c r="AK1314" s="22"/>
      <c r="AL1314" s="22"/>
      <c r="AM1314" s="22"/>
      <c r="AN1314" s="26"/>
      <c r="AO1314" s="26"/>
      <c r="AP1314" s="26"/>
      <c r="AQ1314" s="26"/>
      <c r="AR1314" s="1044"/>
      <c r="AS1314" s="1044"/>
    </row>
    <row r="1315" spans="2:45" hidden="1" outlineLevel="1">
      <c r="C1315" s="816" t="s">
        <v>2</v>
      </c>
      <c r="D1315" s="9">
        <v>3</v>
      </c>
      <c r="E1315" s="20" t="s">
        <v>1436</v>
      </c>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c r="AB1315" s="12"/>
      <c r="AC1315" s="12"/>
      <c r="AD1315" s="12"/>
      <c r="AE1315" s="12"/>
      <c r="AF1315" s="12">
        <v>1816427</v>
      </c>
      <c r="AG1315" s="12">
        <v>20364412</v>
      </c>
      <c r="AH1315" s="12"/>
      <c r="AI1315" s="12"/>
      <c r="AJ1315" s="22"/>
      <c r="AK1315" s="22"/>
      <c r="AL1315" s="22"/>
      <c r="AM1315" s="22"/>
      <c r="AN1315" s="26"/>
      <c r="AO1315" s="26"/>
      <c r="AP1315" s="26"/>
      <c r="AQ1315" s="26"/>
      <c r="AR1315" s="1044"/>
      <c r="AS1315" s="1044"/>
    </row>
    <row r="1316" spans="2:45" hidden="1" outlineLevel="1">
      <c r="C1316" s="816" t="s">
        <v>2</v>
      </c>
      <c r="D1316" s="9">
        <v>3</v>
      </c>
      <c r="E1316" s="224" t="s">
        <v>1668</v>
      </c>
      <c r="F1316" s="20"/>
      <c r="G1316" s="20"/>
      <c r="H1316" s="20"/>
      <c r="I1316" s="20"/>
      <c r="J1316" s="20"/>
      <c r="K1316" s="20"/>
      <c r="L1316" s="20"/>
      <c r="M1316" s="20"/>
      <c r="N1316" s="20"/>
      <c r="O1316" s="20"/>
      <c r="P1316" s="20"/>
      <c r="Q1316" s="20"/>
      <c r="R1316" s="20"/>
      <c r="S1316" s="20"/>
      <c r="T1316" s="20"/>
      <c r="U1316" s="20"/>
      <c r="V1316" s="20"/>
      <c r="W1316" s="20"/>
      <c r="X1316" s="20"/>
      <c r="Y1316" s="20"/>
      <c r="Z1316" s="20"/>
      <c r="AA1316" s="20"/>
      <c r="AB1316" s="12"/>
      <c r="AC1316" s="12"/>
      <c r="AD1316" s="12"/>
      <c r="AE1316" s="12"/>
      <c r="AF1316" s="12"/>
      <c r="AG1316" s="12"/>
      <c r="AH1316" s="12"/>
      <c r="AI1316" s="12"/>
      <c r="AJ1316" s="22"/>
      <c r="AK1316" s="22"/>
      <c r="AL1316" s="22"/>
      <c r="AM1316" s="22"/>
      <c r="AN1316" s="26"/>
      <c r="AO1316" s="26"/>
      <c r="AP1316" s="26"/>
      <c r="AQ1316" s="26"/>
      <c r="AR1316" s="1044"/>
      <c r="AS1316" s="1044"/>
    </row>
    <row r="1317" spans="2:45" hidden="1" outlineLevel="1">
      <c r="C1317" s="816" t="s">
        <v>2</v>
      </c>
      <c r="D1317" s="9">
        <v>3</v>
      </c>
      <c r="E1317" s="20" t="s">
        <v>1437</v>
      </c>
      <c r="F1317" s="20"/>
      <c r="G1317" s="20"/>
      <c r="H1317" s="20"/>
      <c r="I1317" s="20"/>
      <c r="J1317" s="20"/>
      <c r="K1317" s="20"/>
      <c r="L1317" s="20"/>
      <c r="M1317" s="20"/>
      <c r="N1317" s="20"/>
      <c r="O1317" s="20"/>
      <c r="P1317" s="20"/>
      <c r="Q1317" s="20"/>
      <c r="R1317" s="20"/>
      <c r="S1317" s="20"/>
      <c r="T1317" s="20"/>
      <c r="U1317" s="20"/>
      <c r="V1317" s="20"/>
      <c r="W1317" s="20"/>
      <c r="X1317" s="20"/>
      <c r="Y1317" s="20"/>
      <c r="Z1317" s="20"/>
      <c r="AA1317" s="20"/>
      <c r="AB1317" s="12"/>
      <c r="AC1317" s="12"/>
      <c r="AD1317" s="12"/>
      <c r="AE1317" s="12"/>
      <c r="AF1317" s="12">
        <v>475026</v>
      </c>
      <c r="AG1317" s="12">
        <v>20446441</v>
      </c>
      <c r="AH1317" s="12"/>
      <c r="AI1317" s="12"/>
      <c r="AJ1317" s="22"/>
      <c r="AK1317" s="22"/>
      <c r="AL1317" s="22"/>
      <c r="AM1317" s="22"/>
      <c r="AN1317" s="26"/>
      <c r="AO1317" s="26"/>
      <c r="AP1317" s="26"/>
      <c r="AQ1317" s="26"/>
      <c r="AR1317" s="1044"/>
      <c r="AS1317" s="1044"/>
    </row>
    <row r="1318" spans="2:45" hidden="1" outlineLevel="1">
      <c r="C1318" s="816" t="s">
        <v>2</v>
      </c>
      <c r="D1318" s="9">
        <v>3</v>
      </c>
      <c r="E1318" s="20" t="s">
        <v>1438</v>
      </c>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c r="AB1318" s="12"/>
      <c r="AC1318" s="12"/>
      <c r="AD1318" s="12"/>
      <c r="AE1318" s="12"/>
      <c r="AF1318" s="12">
        <v>635600</v>
      </c>
      <c r="AG1318" s="12">
        <v>5349891</v>
      </c>
      <c r="AH1318" s="12"/>
      <c r="AI1318" s="12"/>
      <c r="AJ1318" s="22"/>
      <c r="AK1318" s="22"/>
      <c r="AL1318" s="22"/>
      <c r="AM1318" s="22"/>
      <c r="AN1318" s="26"/>
      <c r="AO1318" s="26"/>
      <c r="AP1318" s="26"/>
      <c r="AQ1318" s="26"/>
      <c r="AR1318" s="1044"/>
      <c r="AS1318" s="1044"/>
    </row>
    <row r="1319" spans="2:45" hidden="1" outlineLevel="1">
      <c r="C1319" s="816" t="s">
        <v>2</v>
      </c>
      <c r="D1319" s="9">
        <v>3</v>
      </c>
      <c r="E1319" s="20" t="s">
        <v>1439</v>
      </c>
      <c r="F1319" s="20"/>
      <c r="G1319" s="20"/>
      <c r="H1319" s="20"/>
      <c r="I1319" s="20"/>
      <c r="J1319" s="20"/>
      <c r="K1319" s="20"/>
      <c r="L1319" s="20"/>
      <c r="M1319" s="20"/>
      <c r="N1319" s="20"/>
      <c r="O1319" s="20"/>
      <c r="P1319" s="20"/>
      <c r="Q1319" s="20"/>
      <c r="R1319" s="20"/>
      <c r="S1319" s="20"/>
      <c r="T1319" s="20"/>
      <c r="U1319" s="20"/>
      <c r="V1319" s="20"/>
      <c r="W1319" s="20"/>
      <c r="X1319" s="20"/>
      <c r="Y1319" s="20"/>
      <c r="Z1319" s="20"/>
      <c r="AA1319" s="20"/>
      <c r="AB1319" s="12"/>
      <c r="AC1319" s="12"/>
      <c r="AD1319" s="12">
        <v>-9500000</v>
      </c>
      <c r="AE1319" s="12">
        <v>-13500000</v>
      </c>
      <c r="AF1319" s="12">
        <v>1762201</v>
      </c>
      <c r="AG1319" s="12">
        <v>10672046</v>
      </c>
      <c r="AH1319" s="12"/>
      <c r="AI1319" s="12"/>
      <c r="AJ1319" s="22"/>
      <c r="AK1319" s="22"/>
      <c r="AL1319" s="22"/>
      <c r="AM1319" s="22"/>
      <c r="AN1319" s="26"/>
      <c r="AO1319" s="26"/>
      <c r="AP1319" s="26"/>
      <c r="AQ1319" s="26"/>
      <c r="AR1319" s="1044"/>
      <c r="AS1319" s="1044"/>
    </row>
    <row r="1320" spans="2:45" hidden="1" outlineLevel="1">
      <c r="C1320" s="816" t="s">
        <v>2</v>
      </c>
      <c r="D1320" s="9">
        <v>3</v>
      </c>
      <c r="E1320" s="20" t="s">
        <v>1440</v>
      </c>
      <c r="F1320" s="20"/>
      <c r="G1320" s="20"/>
      <c r="H1320" s="20"/>
      <c r="I1320" s="20"/>
      <c r="J1320" s="20"/>
      <c r="K1320" s="20"/>
      <c r="L1320" s="20"/>
      <c r="M1320" s="20"/>
      <c r="N1320" s="20"/>
      <c r="O1320" s="20"/>
      <c r="P1320" s="20"/>
      <c r="Q1320" s="20"/>
      <c r="R1320" s="20"/>
      <c r="S1320" s="20"/>
      <c r="T1320" s="20"/>
      <c r="U1320" s="20"/>
      <c r="V1320" s="20"/>
      <c r="W1320" s="20"/>
      <c r="X1320" s="20"/>
      <c r="Y1320" s="20"/>
      <c r="Z1320" s="20"/>
      <c r="AA1320" s="20"/>
      <c r="AB1320" s="12"/>
      <c r="AC1320" s="12"/>
      <c r="AD1320" s="12"/>
      <c r="AE1320" s="12"/>
      <c r="AF1320" s="12">
        <v>3339790</v>
      </c>
      <c r="AG1320" s="12">
        <v>4957588</v>
      </c>
      <c r="AH1320" s="12"/>
      <c r="AI1320" s="12"/>
      <c r="AJ1320" s="22"/>
      <c r="AK1320" s="22"/>
      <c r="AL1320" s="22"/>
      <c r="AM1320" s="22"/>
      <c r="AN1320" s="26"/>
      <c r="AO1320" s="26"/>
      <c r="AP1320" s="26"/>
      <c r="AQ1320" s="26"/>
      <c r="AR1320" s="1044"/>
      <c r="AS1320" s="1044"/>
    </row>
    <row r="1321" spans="2:45" hidden="1" outlineLevel="1">
      <c r="C1321" s="816" t="s">
        <v>2</v>
      </c>
      <c r="D1321" s="9">
        <v>3</v>
      </c>
      <c r="E1321" s="20" t="s">
        <v>942</v>
      </c>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c r="AB1321" s="12"/>
      <c r="AC1321" s="12"/>
      <c r="AD1321" s="12">
        <v>-2908250</v>
      </c>
      <c r="AE1321" s="12">
        <v>-2908250</v>
      </c>
      <c r="AF1321" s="12">
        <v>4122324</v>
      </c>
      <c r="AG1321" s="12">
        <v>14283190</v>
      </c>
      <c r="AH1321" s="12"/>
      <c r="AI1321" s="12"/>
      <c r="AJ1321" s="22"/>
      <c r="AK1321" s="22"/>
      <c r="AL1321" s="22"/>
      <c r="AM1321" s="22"/>
      <c r="AN1321" s="26"/>
      <c r="AO1321" s="26"/>
      <c r="AP1321" s="26"/>
      <c r="AQ1321" s="26"/>
      <c r="AR1321" s="1044"/>
      <c r="AS1321" s="1044"/>
    </row>
    <row r="1322" spans="2:45" hidden="1" outlineLevel="1">
      <c r="C1322" s="816" t="s">
        <v>2</v>
      </c>
      <c r="D1322" s="9">
        <v>3</v>
      </c>
      <c r="E1322" s="224" t="s">
        <v>1556</v>
      </c>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c r="AB1322" s="12"/>
      <c r="AC1322" s="12"/>
      <c r="AD1322" s="12"/>
      <c r="AE1322" s="12"/>
      <c r="AF1322" s="12"/>
      <c r="AG1322" s="12"/>
      <c r="AH1322" s="12"/>
      <c r="AI1322" s="12"/>
      <c r="AJ1322" s="22"/>
      <c r="AK1322" s="22"/>
      <c r="AL1322" s="22"/>
      <c r="AM1322" s="22"/>
      <c r="AN1322" s="26"/>
      <c r="AO1322" s="26"/>
      <c r="AP1322" s="26"/>
      <c r="AQ1322" s="26"/>
      <c r="AR1322" s="1044"/>
      <c r="AS1322" s="1044"/>
    </row>
    <row r="1323" spans="2:45" hidden="1" outlineLevel="1">
      <c r="C1323" s="816" t="s">
        <v>2</v>
      </c>
      <c r="D1323" s="9">
        <v>3</v>
      </c>
      <c r="E1323" s="27" t="s">
        <v>77</v>
      </c>
      <c r="F1323" s="27"/>
      <c r="G1323" s="27"/>
      <c r="H1323" s="27"/>
      <c r="I1323" s="27"/>
      <c r="J1323" s="27"/>
      <c r="K1323" s="27"/>
      <c r="L1323" s="27"/>
      <c r="M1323" s="27"/>
      <c r="N1323" s="27"/>
      <c r="O1323" s="27"/>
      <c r="P1323" s="27"/>
      <c r="Q1323" s="27"/>
      <c r="R1323" s="27"/>
      <c r="S1323" s="27"/>
      <c r="T1323" s="27"/>
      <c r="U1323" s="27"/>
      <c r="V1323" s="27"/>
      <c r="W1323" s="27"/>
      <c r="X1323" s="27"/>
      <c r="Y1323" s="27"/>
      <c r="Z1323" s="27"/>
      <c r="AA1323" s="27"/>
      <c r="AB1323" s="34"/>
      <c r="AC1323" s="12"/>
      <c r="AD1323" s="34">
        <v>-300000</v>
      </c>
      <c r="AE1323" s="34">
        <v>-300000</v>
      </c>
      <c r="AF1323" s="34">
        <v>39341086</v>
      </c>
      <c r="AG1323" s="34">
        <v>76111610</v>
      </c>
      <c r="AH1323" s="12"/>
      <c r="AI1323" s="12"/>
      <c r="AJ1323" s="35"/>
      <c r="AK1323" s="35"/>
      <c r="AL1323" s="35"/>
      <c r="AM1323" s="35"/>
      <c r="AN1323" s="26"/>
      <c r="AO1323" s="26"/>
      <c r="AP1323" s="26"/>
      <c r="AQ1323" s="26"/>
      <c r="AR1323" s="1044"/>
      <c r="AS1323" s="1044"/>
    </row>
    <row r="1324" spans="2:45" hidden="1" outlineLevel="1">
      <c r="B1324" s="565">
        <v>3607</v>
      </c>
      <c r="C1324" s="816" t="s">
        <v>2</v>
      </c>
      <c r="D1324" s="9"/>
      <c r="E1324" s="50" t="s">
        <v>1407</v>
      </c>
      <c r="F1324" s="50"/>
      <c r="G1324" s="50"/>
      <c r="H1324" s="50"/>
      <c r="I1324" s="50"/>
      <c r="J1324" s="50"/>
      <c r="K1324" s="50"/>
      <c r="L1324" s="50"/>
      <c r="M1324" s="50"/>
      <c r="N1324" s="50"/>
      <c r="O1324" s="50"/>
      <c r="P1324" s="50"/>
      <c r="Q1324" s="50"/>
      <c r="R1324" s="50"/>
      <c r="S1324" s="50"/>
      <c r="T1324" s="50"/>
      <c r="U1324" s="50"/>
      <c r="V1324" s="50"/>
      <c r="W1324" s="50"/>
      <c r="X1324" s="50"/>
      <c r="Y1324" s="50"/>
      <c r="Z1324" s="50"/>
      <c r="AA1324" s="50"/>
      <c r="AB1324" s="12"/>
      <c r="AC1324" s="12"/>
      <c r="AD1324" s="12"/>
      <c r="AE1324" s="12"/>
      <c r="AF1324" s="12">
        <v>2146220</v>
      </c>
      <c r="AG1324" s="12">
        <v>6811203</v>
      </c>
      <c r="AH1324" s="12"/>
      <c r="AI1324" s="12"/>
      <c r="AJ1324" s="51"/>
      <c r="AK1324" s="51"/>
      <c r="AL1324" s="51"/>
      <c r="AM1324" s="51"/>
      <c r="AN1324" s="26"/>
      <c r="AO1324" s="26"/>
      <c r="AP1324" s="26"/>
      <c r="AQ1324" s="26"/>
      <c r="AR1324" s="1044"/>
      <c r="AS1324" s="1044"/>
    </row>
    <row r="1325" spans="2:45" hidden="1" outlineLevel="1">
      <c r="B1325" s="565">
        <v>3539</v>
      </c>
      <c r="C1325" s="816" t="s">
        <v>2</v>
      </c>
      <c r="D1325" s="9"/>
      <c r="E1325" s="50" t="s">
        <v>102</v>
      </c>
      <c r="F1325" s="50"/>
      <c r="G1325" s="50"/>
      <c r="H1325" s="50"/>
      <c r="I1325" s="50"/>
      <c r="J1325" s="50"/>
      <c r="K1325" s="50"/>
      <c r="L1325" s="50"/>
      <c r="M1325" s="50"/>
      <c r="N1325" s="50"/>
      <c r="O1325" s="50"/>
      <c r="P1325" s="50"/>
      <c r="Q1325" s="50"/>
      <c r="R1325" s="50"/>
      <c r="S1325" s="50"/>
      <c r="T1325" s="50"/>
      <c r="U1325" s="50"/>
      <c r="V1325" s="50"/>
      <c r="W1325" s="50"/>
      <c r="X1325" s="50"/>
      <c r="Y1325" s="50"/>
      <c r="Z1325" s="50"/>
      <c r="AA1325" s="50"/>
      <c r="AB1325" s="12"/>
      <c r="AC1325" s="12"/>
      <c r="AD1325" s="12"/>
      <c r="AE1325" s="12"/>
      <c r="AF1325" s="12">
        <v>419553</v>
      </c>
      <c r="AG1325" s="12">
        <v>630970</v>
      </c>
      <c r="AH1325" s="12"/>
      <c r="AI1325" s="12"/>
      <c r="AJ1325" s="51"/>
      <c r="AK1325" s="51"/>
      <c r="AL1325" s="51"/>
      <c r="AM1325" s="51"/>
      <c r="AN1325" s="26"/>
      <c r="AO1325" s="26"/>
      <c r="AP1325" s="26"/>
      <c r="AQ1325" s="26"/>
      <c r="AR1325" s="1044"/>
      <c r="AS1325" s="1044"/>
    </row>
    <row r="1326" spans="2:45" hidden="1" outlineLevel="1">
      <c r="B1326" s="565">
        <v>3540</v>
      </c>
      <c r="C1326" s="816" t="s">
        <v>2</v>
      </c>
      <c r="D1326" s="9"/>
      <c r="E1326" s="50" t="s">
        <v>103</v>
      </c>
      <c r="F1326" s="50"/>
      <c r="G1326" s="50"/>
      <c r="H1326" s="50"/>
      <c r="I1326" s="50"/>
      <c r="J1326" s="50"/>
      <c r="K1326" s="50"/>
      <c r="L1326" s="50"/>
      <c r="M1326" s="50"/>
      <c r="N1326" s="50"/>
      <c r="O1326" s="50"/>
      <c r="P1326" s="50"/>
      <c r="Q1326" s="50"/>
      <c r="R1326" s="50"/>
      <c r="S1326" s="50"/>
      <c r="T1326" s="50"/>
      <c r="U1326" s="50"/>
      <c r="V1326" s="50"/>
      <c r="W1326" s="50"/>
      <c r="X1326" s="50"/>
      <c r="Y1326" s="50"/>
      <c r="Z1326" s="50"/>
      <c r="AA1326" s="50"/>
      <c r="AB1326" s="12"/>
      <c r="AC1326" s="12"/>
      <c r="AD1326" s="12"/>
      <c r="AE1326" s="12"/>
      <c r="AF1326" s="12">
        <v>844000</v>
      </c>
      <c r="AG1326" s="12">
        <v>1286495</v>
      </c>
      <c r="AH1326" s="12"/>
      <c r="AI1326" s="12"/>
      <c r="AJ1326" s="51"/>
      <c r="AK1326" s="51"/>
      <c r="AL1326" s="51"/>
      <c r="AM1326" s="51"/>
      <c r="AN1326" s="26"/>
      <c r="AO1326" s="26"/>
      <c r="AP1326" s="26"/>
      <c r="AQ1326" s="26"/>
      <c r="AR1326" s="1044"/>
      <c r="AS1326" s="1044"/>
    </row>
    <row r="1327" spans="2:45" hidden="1" outlineLevel="1">
      <c r="B1327" s="565">
        <v>6661</v>
      </c>
      <c r="C1327" s="816" t="s">
        <v>2</v>
      </c>
      <c r="D1327" s="9"/>
      <c r="E1327" s="50" t="s">
        <v>104</v>
      </c>
      <c r="F1327" s="50"/>
      <c r="G1327" s="50"/>
      <c r="H1327" s="50"/>
      <c r="I1327" s="50"/>
      <c r="J1327" s="50"/>
      <c r="K1327" s="50"/>
      <c r="L1327" s="50"/>
      <c r="M1327" s="50"/>
      <c r="N1327" s="50"/>
      <c r="O1327" s="50"/>
      <c r="P1327" s="50"/>
      <c r="Q1327" s="50"/>
      <c r="R1327" s="50"/>
      <c r="S1327" s="50"/>
      <c r="T1327" s="50"/>
      <c r="U1327" s="50"/>
      <c r="V1327" s="50"/>
      <c r="W1327" s="50"/>
      <c r="X1327" s="50"/>
      <c r="Y1327" s="50"/>
      <c r="Z1327" s="50"/>
      <c r="AA1327" s="50"/>
      <c r="AB1327" s="12"/>
      <c r="AC1327" s="12"/>
      <c r="AD1327" s="12"/>
      <c r="AE1327" s="12"/>
      <c r="AF1327" s="12">
        <v>413899</v>
      </c>
      <c r="AG1327" s="12">
        <v>630541</v>
      </c>
      <c r="AH1327" s="12"/>
      <c r="AI1327" s="12"/>
      <c r="AJ1327" s="51"/>
      <c r="AK1327" s="51"/>
      <c r="AL1327" s="51"/>
      <c r="AM1327" s="51"/>
      <c r="AN1327" s="26"/>
      <c r="AO1327" s="26"/>
      <c r="AP1327" s="26"/>
      <c r="AQ1327" s="26"/>
      <c r="AR1327" s="1044"/>
      <c r="AS1327" s="1044"/>
    </row>
    <row r="1328" spans="2:45" hidden="1" outlineLevel="1">
      <c r="B1328" s="565">
        <v>12015</v>
      </c>
      <c r="C1328" s="816" t="s">
        <v>2</v>
      </c>
      <c r="D1328" s="9"/>
      <c r="E1328" s="50" t="s">
        <v>105</v>
      </c>
      <c r="F1328" s="50"/>
      <c r="G1328" s="50"/>
      <c r="H1328" s="50"/>
      <c r="I1328" s="50"/>
      <c r="J1328" s="50"/>
      <c r="K1328" s="50"/>
      <c r="L1328" s="50"/>
      <c r="M1328" s="50"/>
      <c r="N1328" s="50"/>
      <c r="O1328" s="50"/>
      <c r="P1328" s="50"/>
      <c r="Q1328" s="50"/>
      <c r="R1328" s="50"/>
      <c r="S1328" s="50"/>
      <c r="T1328" s="50"/>
      <c r="U1328" s="50"/>
      <c r="V1328" s="50"/>
      <c r="W1328" s="50"/>
      <c r="X1328" s="50"/>
      <c r="Y1328" s="50"/>
      <c r="Z1328" s="50"/>
      <c r="AA1328" s="50"/>
      <c r="AB1328" s="12"/>
      <c r="AC1328" s="12"/>
      <c r="AD1328" s="12"/>
      <c r="AE1328" s="12"/>
      <c r="AF1328" s="12">
        <v>2332279</v>
      </c>
      <c r="AG1328" s="12">
        <v>3507989</v>
      </c>
      <c r="AH1328" s="12"/>
      <c r="AI1328" s="12"/>
      <c r="AJ1328" s="51"/>
      <c r="AK1328" s="51"/>
      <c r="AL1328" s="51"/>
      <c r="AM1328" s="51"/>
      <c r="AN1328" s="26"/>
      <c r="AO1328" s="26"/>
      <c r="AP1328" s="26"/>
      <c r="AQ1328" s="26"/>
      <c r="AR1328" s="1044"/>
      <c r="AS1328" s="1044"/>
    </row>
    <row r="1329" spans="2:45" hidden="1" outlineLevel="1">
      <c r="B1329" s="565">
        <v>3549</v>
      </c>
      <c r="C1329" s="816" t="s">
        <v>2</v>
      </c>
      <c r="D1329" s="9"/>
      <c r="E1329" s="50" t="s">
        <v>106</v>
      </c>
      <c r="F1329" s="50"/>
      <c r="G1329" s="50"/>
      <c r="H1329" s="50"/>
      <c r="I1329" s="50"/>
      <c r="J1329" s="50"/>
      <c r="K1329" s="50"/>
      <c r="L1329" s="50"/>
      <c r="M1329" s="50"/>
      <c r="N1329" s="50"/>
      <c r="O1329" s="50"/>
      <c r="P1329" s="50"/>
      <c r="Q1329" s="50"/>
      <c r="R1329" s="50"/>
      <c r="S1329" s="50"/>
      <c r="T1329" s="50"/>
      <c r="U1329" s="50"/>
      <c r="V1329" s="50"/>
      <c r="W1329" s="50"/>
      <c r="X1329" s="50"/>
      <c r="Y1329" s="50"/>
      <c r="Z1329" s="50"/>
      <c r="AA1329" s="50"/>
      <c r="AB1329" s="12"/>
      <c r="AC1329" s="12"/>
      <c r="AD1329" s="12"/>
      <c r="AE1329" s="12"/>
      <c r="AF1329" s="12">
        <v>896504</v>
      </c>
      <c r="AG1329" s="12">
        <v>2047679</v>
      </c>
      <c r="AH1329" s="12"/>
      <c r="AI1329" s="12"/>
      <c r="AJ1329" s="51"/>
      <c r="AK1329" s="51"/>
      <c r="AL1329" s="51"/>
      <c r="AM1329" s="51"/>
      <c r="AN1329" s="26"/>
      <c r="AO1329" s="26"/>
      <c r="AP1329" s="26"/>
      <c r="AQ1329" s="26"/>
      <c r="AR1329" s="1044"/>
      <c r="AS1329" s="1044"/>
    </row>
    <row r="1330" spans="2:45" hidden="1" outlineLevel="1">
      <c r="B1330" s="565">
        <v>7857</v>
      </c>
      <c r="C1330" s="816" t="s">
        <v>2</v>
      </c>
      <c r="D1330" s="9"/>
      <c r="E1330" s="50" t="s">
        <v>107</v>
      </c>
      <c r="F1330" s="50"/>
      <c r="G1330" s="50"/>
      <c r="H1330" s="50"/>
      <c r="I1330" s="50"/>
      <c r="J1330" s="50"/>
      <c r="K1330" s="50"/>
      <c r="L1330" s="50"/>
      <c r="M1330" s="50"/>
      <c r="N1330" s="50"/>
      <c r="O1330" s="50"/>
      <c r="P1330" s="50"/>
      <c r="Q1330" s="50"/>
      <c r="R1330" s="50"/>
      <c r="S1330" s="50"/>
      <c r="T1330" s="50"/>
      <c r="U1330" s="50"/>
      <c r="V1330" s="50"/>
      <c r="W1330" s="50"/>
      <c r="X1330" s="50"/>
      <c r="Y1330" s="50"/>
      <c r="Z1330" s="50"/>
      <c r="AA1330" s="50"/>
      <c r="AB1330" s="12"/>
      <c r="AC1330" s="12"/>
      <c r="AD1330" s="12">
        <v>-90921</v>
      </c>
      <c r="AE1330" s="12">
        <v>-62166</v>
      </c>
      <c r="AF1330" s="12">
        <v>288366</v>
      </c>
      <c r="AG1330" s="12">
        <v>438799</v>
      </c>
      <c r="AH1330" s="12"/>
      <c r="AI1330" s="12"/>
      <c r="AJ1330" s="51"/>
      <c r="AK1330" s="51"/>
      <c r="AL1330" s="51"/>
      <c r="AM1330" s="51"/>
      <c r="AN1330" s="26"/>
      <c r="AO1330" s="26"/>
      <c r="AP1330" s="26"/>
      <c r="AQ1330" s="26"/>
      <c r="AR1330" s="1044"/>
      <c r="AS1330" s="1044"/>
    </row>
    <row r="1331" spans="2:45" hidden="1" outlineLevel="1">
      <c r="B1331" s="565">
        <v>4003</v>
      </c>
      <c r="C1331" s="816" t="s">
        <v>2</v>
      </c>
      <c r="D1331" s="9"/>
      <c r="E1331" s="50" t="s">
        <v>108</v>
      </c>
      <c r="F1331" s="50"/>
      <c r="G1331" s="50"/>
      <c r="H1331" s="50"/>
      <c r="I1331" s="50"/>
      <c r="J1331" s="50"/>
      <c r="K1331" s="50"/>
      <c r="L1331" s="50"/>
      <c r="M1331" s="50"/>
      <c r="N1331" s="50"/>
      <c r="O1331" s="50"/>
      <c r="P1331" s="50"/>
      <c r="Q1331" s="50"/>
      <c r="R1331" s="50"/>
      <c r="S1331" s="50"/>
      <c r="T1331" s="50"/>
      <c r="U1331" s="50"/>
      <c r="V1331" s="50"/>
      <c r="W1331" s="50"/>
      <c r="X1331" s="50"/>
      <c r="Y1331" s="50"/>
      <c r="Z1331" s="50"/>
      <c r="AA1331" s="50"/>
      <c r="AB1331" s="12"/>
      <c r="AC1331" s="12"/>
      <c r="AD1331" s="12"/>
      <c r="AE1331" s="12"/>
      <c r="AF1331" s="12">
        <v>1041718</v>
      </c>
      <c r="AG1331" s="12">
        <v>1588719</v>
      </c>
      <c r="AH1331" s="12"/>
      <c r="AI1331" s="12"/>
      <c r="AJ1331" s="51"/>
      <c r="AK1331" s="51"/>
      <c r="AL1331" s="51"/>
      <c r="AM1331" s="51"/>
      <c r="AN1331" s="26"/>
      <c r="AO1331" s="26"/>
      <c r="AP1331" s="26"/>
      <c r="AQ1331" s="26"/>
      <c r="AR1331" s="1044"/>
      <c r="AS1331" s="1044"/>
    </row>
    <row r="1332" spans="2:45" hidden="1" outlineLevel="1">
      <c r="B1332" s="565">
        <v>3553</v>
      </c>
      <c r="C1332" s="816" t="s">
        <v>2</v>
      </c>
      <c r="D1332" s="9"/>
      <c r="E1332" s="50" t="s">
        <v>1404</v>
      </c>
      <c r="F1332" s="50"/>
      <c r="G1332" s="50"/>
      <c r="H1332" s="50"/>
      <c r="I1332" s="50"/>
      <c r="J1332" s="50"/>
      <c r="K1332" s="50"/>
      <c r="L1332" s="50"/>
      <c r="M1332" s="50"/>
      <c r="N1332" s="50"/>
      <c r="O1332" s="50"/>
      <c r="P1332" s="50"/>
      <c r="Q1332" s="50"/>
      <c r="R1332" s="50"/>
      <c r="S1332" s="50"/>
      <c r="T1332" s="50"/>
      <c r="U1332" s="50"/>
      <c r="V1332" s="50"/>
      <c r="W1332" s="50"/>
      <c r="X1332" s="50"/>
      <c r="Y1332" s="50"/>
      <c r="Z1332" s="50"/>
      <c r="AA1332" s="50"/>
      <c r="AB1332" s="12"/>
      <c r="AC1332" s="12"/>
      <c r="AD1332" s="12"/>
      <c r="AE1332" s="12"/>
      <c r="AF1332" s="12">
        <v>177059</v>
      </c>
      <c r="AG1332" s="12">
        <v>522994</v>
      </c>
      <c r="AH1332" s="12"/>
      <c r="AI1332" s="12"/>
      <c r="AJ1332" s="51"/>
      <c r="AK1332" s="51"/>
      <c r="AL1332" s="51"/>
      <c r="AM1332" s="51"/>
      <c r="AN1332" s="26"/>
      <c r="AO1332" s="26"/>
      <c r="AP1332" s="26"/>
      <c r="AQ1332" s="26"/>
      <c r="AR1332" s="1044"/>
      <c r="AS1332" s="1044"/>
    </row>
    <row r="1333" spans="2:45" hidden="1" outlineLevel="1">
      <c r="B1333" s="565">
        <v>3554</v>
      </c>
      <c r="C1333" s="816" t="s">
        <v>2</v>
      </c>
      <c r="D1333" s="9"/>
      <c r="E1333" s="50" t="s">
        <v>110</v>
      </c>
      <c r="F1333" s="50"/>
      <c r="G1333" s="50"/>
      <c r="H1333" s="50"/>
      <c r="I1333" s="50"/>
      <c r="J1333" s="50"/>
      <c r="K1333" s="50"/>
      <c r="L1333" s="50"/>
      <c r="M1333" s="50"/>
      <c r="N1333" s="50"/>
      <c r="O1333" s="50"/>
      <c r="P1333" s="50"/>
      <c r="Q1333" s="50"/>
      <c r="R1333" s="50"/>
      <c r="S1333" s="50"/>
      <c r="T1333" s="50"/>
      <c r="U1333" s="50"/>
      <c r="V1333" s="50"/>
      <c r="W1333" s="50"/>
      <c r="X1333" s="50"/>
      <c r="Y1333" s="50"/>
      <c r="Z1333" s="50"/>
      <c r="AA1333" s="50"/>
      <c r="AB1333" s="12"/>
      <c r="AC1333" s="12"/>
      <c r="AD1333" s="12"/>
      <c r="AE1333" s="12"/>
      <c r="AF1333" s="12">
        <v>132713</v>
      </c>
      <c r="AG1333" s="12">
        <v>199528</v>
      </c>
      <c r="AH1333" s="12"/>
      <c r="AI1333" s="12"/>
      <c r="AJ1333" s="51"/>
      <c r="AK1333" s="51"/>
      <c r="AL1333" s="51"/>
      <c r="AM1333" s="51"/>
      <c r="AN1333" s="26"/>
      <c r="AO1333" s="26"/>
      <c r="AP1333" s="26"/>
      <c r="AQ1333" s="26"/>
      <c r="AR1333" s="1044"/>
      <c r="AS1333" s="1044"/>
    </row>
    <row r="1334" spans="2:45" hidden="1" outlineLevel="1">
      <c r="B1334" s="565">
        <v>3546</v>
      </c>
      <c r="C1334" s="816" t="s">
        <v>2</v>
      </c>
      <c r="D1334" s="9"/>
      <c r="E1334" s="50" t="s">
        <v>167</v>
      </c>
      <c r="F1334" s="50"/>
      <c r="G1334" s="50"/>
      <c r="H1334" s="50"/>
      <c r="I1334" s="50"/>
      <c r="J1334" s="50"/>
      <c r="K1334" s="50"/>
      <c r="L1334" s="50"/>
      <c r="M1334" s="50"/>
      <c r="N1334" s="50"/>
      <c r="O1334" s="50"/>
      <c r="P1334" s="50"/>
      <c r="Q1334" s="50"/>
      <c r="R1334" s="50"/>
      <c r="S1334" s="50"/>
      <c r="T1334" s="50"/>
      <c r="U1334" s="50"/>
      <c r="V1334" s="50"/>
      <c r="W1334" s="50"/>
      <c r="X1334" s="50"/>
      <c r="Y1334" s="50"/>
      <c r="Z1334" s="50"/>
      <c r="AA1334" s="50"/>
      <c r="AB1334" s="12"/>
      <c r="AC1334" s="12"/>
      <c r="AD1334" s="12"/>
      <c r="AE1334" s="12"/>
      <c r="AF1334" s="12">
        <v>358984</v>
      </c>
      <c r="AG1334" s="12">
        <v>487469</v>
      </c>
      <c r="AH1334" s="12"/>
      <c r="AI1334" s="12"/>
      <c r="AJ1334" s="51"/>
      <c r="AK1334" s="51"/>
      <c r="AL1334" s="51"/>
      <c r="AM1334" s="51"/>
      <c r="AN1334" s="26"/>
      <c r="AO1334" s="26"/>
      <c r="AP1334" s="26"/>
      <c r="AQ1334" s="26"/>
      <c r="AR1334" s="1044"/>
      <c r="AS1334" s="1044"/>
    </row>
    <row r="1335" spans="2:45" hidden="1" outlineLevel="1">
      <c r="B1335" s="565">
        <v>7096</v>
      </c>
      <c r="C1335" s="816" t="s">
        <v>2</v>
      </c>
      <c r="D1335" s="9"/>
      <c r="E1335" s="50" t="s">
        <v>1410</v>
      </c>
      <c r="F1335" s="50"/>
      <c r="G1335" s="50"/>
      <c r="H1335" s="50"/>
      <c r="I1335" s="50"/>
      <c r="J1335" s="50"/>
      <c r="K1335" s="50"/>
      <c r="L1335" s="50"/>
      <c r="M1335" s="50"/>
      <c r="N1335" s="50"/>
      <c r="O1335" s="50"/>
      <c r="P1335" s="50"/>
      <c r="Q1335" s="50"/>
      <c r="R1335" s="50"/>
      <c r="S1335" s="50"/>
      <c r="T1335" s="50"/>
      <c r="U1335" s="50"/>
      <c r="V1335" s="50"/>
      <c r="W1335" s="50"/>
      <c r="X1335" s="50"/>
      <c r="Y1335" s="50"/>
      <c r="Z1335" s="50"/>
      <c r="AA1335" s="50"/>
      <c r="AB1335" s="12"/>
      <c r="AC1335" s="12"/>
      <c r="AD1335" s="12"/>
      <c r="AE1335" s="12"/>
      <c r="AF1335" s="12">
        <v>312874</v>
      </c>
      <c r="AG1335" s="12">
        <v>476780</v>
      </c>
      <c r="AH1335" s="12"/>
      <c r="AI1335" s="12"/>
      <c r="AJ1335" s="51"/>
      <c r="AK1335" s="51"/>
      <c r="AL1335" s="51"/>
      <c r="AM1335" s="51"/>
      <c r="AN1335" s="26"/>
      <c r="AO1335" s="26"/>
      <c r="AP1335" s="26"/>
      <c r="AQ1335" s="26"/>
      <c r="AR1335" s="1044"/>
      <c r="AS1335" s="1044"/>
    </row>
    <row r="1336" spans="2:45" hidden="1" outlineLevel="1">
      <c r="B1336" s="565">
        <v>23614</v>
      </c>
      <c r="C1336" s="816" t="s">
        <v>2</v>
      </c>
      <c r="D1336" s="9"/>
      <c r="E1336" s="50" t="s">
        <v>885</v>
      </c>
      <c r="F1336" s="50"/>
      <c r="G1336" s="50"/>
      <c r="H1336" s="50"/>
      <c r="I1336" s="50"/>
      <c r="J1336" s="50"/>
      <c r="K1336" s="50"/>
      <c r="L1336" s="50"/>
      <c r="M1336" s="50"/>
      <c r="N1336" s="50"/>
      <c r="O1336" s="50"/>
      <c r="P1336" s="50"/>
      <c r="Q1336" s="50"/>
      <c r="R1336" s="50"/>
      <c r="S1336" s="50"/>
      <c r="T1336" s="50"/>
      <c r="U1336" s="50"/>
      <c r="V1336" s="50"/>
      <c r="W1336" s="50"/>
      <c r="X1336" s="50"/>
      <c r="Y1336" s="50"/>
      <c r="Z1336" s="50"/>
      <c r="AA1336" s="50"/>
      <c r="AB1336" s="12"/>
      <c r="AC1336" s="12"/>
      <c r="AD1336" s="12"/>
      <c r="AE1336" s="12"/>
      <c r="AF1336" s="12">
        <v>1565528</v>
      </c>
      <c r="AG1336" s="12">
        <v>2387580</v>
      </c>
      <c r="AH1336" s="12"/>
      <c r="AI1336" s="12"/>
      <c r="AJ1336" s="51"/>
      <c r="AK1336" s="51"/>
      <c r="AL1336" s="51"/>
      <c r="AM1336" s="51"/>
      <c r="AN1336" s="26"/>
      <c r="AO1336" s="26"/>
      <c r="AP1336" s="26"/>
      <c r="AQ1336" s="26"/>
      <c r="AR1336" s="1044"/>
      <c r="AS1336" s="1044"/>
    </row>
    <row r="1337" spans="2:45" hidden="1" outlineLevel="1">
      <c r="B1337" s="565">
        <v>9331</v>
      </c>
      <c r="C1337" s="816" t="s">
        <v>2</v>
      </c>
      <c r="D1337" s="9"/>
      <c r="E1337" s="50" t="s">
        <v>1411</v>
      </c>
      <c r="F1337" s="50"/>
      <c r="G1337" s="50"/>
      <c r="H1337" s="50"/>
      <c r="I1337" s="50"/>
      <c r="J1337" s="50"/>
      <c r="K1337" s="50"/>
      <c r="L1337" s="50"/>
      <c r="M1337" s="50"/>
      <c r="N1337" s="50"/>
      <c r="O1337" s="50"/>
      <c r="P1337" s="50"/>
      <c r="Q1337" s="50"/>
      <c r="R1337" s="50"/>
      <c r="S1337" s="50"/>
      <c r="T1337" s="50"/>
      <c r="U1337" s="50"/>
      <c r="V1337" s="50"/>
      <c r="W1337" s="50"/>
      <c r="X1337" s="50"/>
      <c r="Y1337" s="50"/>
      <c r="Z1337" s="50"/>
      <c r="AA1337" s="50"/>
      <c r="AB1337" s="12"/>
      <c r="AC1337" s="12"/>
      <c r="AD1337" s="12"/>
      <c r="AE1337" s="12"/>
      <c r="AF1337" s="12">
        <v>3498210</v>
      </c>
      <c r="AG1337" s="12">
        <v>8912016</v>
      </c>
      <c r="AH1337" s="12"/>
      <c r="AI1337" s="12"/>
      <c r="AJ1337" s="51"/>
      <c r="AK1337" s="51"/>
      <c r="AL1337" s="51"/>
      <c r="AM1337" s="51"/>
      <c r="AN1337" s="26"/>
      <c r="AO1337" s="26"/>
      <c r="AP1337" s="26"/>
      <c r="AQ1337" s="26"/>
      <c r="AR1337" s="1044"/>
      <c r="AS1337" s="1044"/>
    </row>
    <row r="1338" spans="2:45" hidden="1" outlineLevel="1">
      <c r="B1338" s="565">
        <v>3563</v>
      </c>
      <c r="C1338" s="816" t="s">
        <v>2</v>
      </c>
      <c r="D1338" s="9"/>
      <c r="E1338" s="50" t="s">
        <v>114</v>
      </c>
      <c r="F1338" s="50"/>
      <c r="G1338" s="50"/>
      <c r="H1338" s="50"/>
      <c r="I1338" s="50"/>
      <c r="J1338" s="50"/>
      <c r="K1338" s="50"/>
      <c r="L1338" s="50"/>
      <c r="M1338" s="50"/>
      <c r="N1338" s="50"/>
      <c r="O1338" s="50"/>
      <c r="P1338" s="50"/>
      <c r="Q1338" s="50"/>
      <c r="R1338" s="50"/>
      <c r="S1338" s="50"/>
      <c r="T1338" s="50"/>
      <c r="U1338" s="50"/>
      <c r="V1338" s="50"/>
      <c r="W1338" s="50"/>
      <c r="X1338" s="50"/>
      <c r="Y1338" s="50"/>
      <c r="Z1338" s="50"/>
      <c r="AA1338" s="50"/>
      <c r="AB1338" s="12"/>
      <c r="AC1338" s="12"/>
      <c r="AD1338" s="12"/>
      <c r="AE1338" s="12"/>
      <c r="AF1338" s="12">
        <v>925286</v>
      </c>
      <c r="AG1338" s="12">
        <v>1391753</v>
      </c>
      <c r="AH1338" s="12"/>
      <c r="AI1338" s="12"/>
      <c r="AJ1338" s="51"/>
      <c r="AK1338" s="51"/>
      <c r="AL1338" s="51"/>
      <c r="AM1338" s="51"/>
      <c r="AN1338" s="26"/>
      <c r="AO1338" s="26"/>
      <c r="AP1338" s="26"/>
      <c r="AQ1338" s="26"/>
      <c r="AR1338" s="1044"/>
      <c r="AS1338" s="1044"/>
    </row>
    <row r="1339" spans="2:45" hidden="1" outlineLevel="1">
      <c r="B1339" s="565">
        <v>10387</v>
      </c>
      <c r="C1339" s="816" t="s">
        <v>2</v>
      </c>
      <c r="D1339" s="9"/>
      <c r="E1339" s="50" t="s">
        <v>1412</v>
      </c>
      <c r="F1339" s="50"/>
      <c r="G1339" s="50"/>
      <c r="H1339" s="50"/>
      <c r="I1339" s="50"/>
      <c r="J1339" s="50"/>
      <c r="K1339" s="50"/>
      <c r="L1339" s="50"/>
      <c r="M1339" s="50"/>
      <c r="N1339" s="50"/>
      <c r="O1339" s="50"/>
      <c r="P1339" s="50"/>
      <c r="Q1339" s="50"/>
      <c r="R1339" s="50"/>
      <c r="S1339" s="50"/>
      <c r="T1339" s="50"/>
      <c r="U1339" s="50"/>
      <c r="V1339" s="50"/>
      <c r="W1339" s="50"/>
      <c r="X1339" s="50"/>
      <c r="Y1339" s="50"/>
      <c r="Z1339" s="50"/>
      <c r="AA1339" s="50"/>
      <c r="AB1339" s="12"/>
      <c r="AC1339" s="12"/>
      <c r="AD1339" s="12"/>
      <c r="AE1339" s="12"/>
      <c r="AF1339" s="12">
        <v>1654773</v>
      </c>
      <c r="AG1339" s="12">
        <v>2523687</v>
      </c>
      <c r="AH1339" s="12"/>
      <c r="AI1339" s="12"/>
      <c r="AJ1339" s="51"/>
      <c r="AK1339" s="51"/>
      <c r="AL1339" s="51"/>
      <c r="AM1339" s="51"/>
      <c r="AN1339" s="26"/>
      <c r="AO1339" s="26"/>
      <c r="AP1339" s="26"/>
      <c r="AQ1339" s="26"/>
      <c r="AR1339" s="1044"/>
      <c r="AS1339" s="1044"/>
    </row>
    <row r="1340" spans="2:45" hidden="1" outlineLevel="1">
      <c r="B1340" s="565">
        <v>3568</v>
      </c>
      <c r="C1340" s="816" t="s">
        <v>2</v>
      </c>
      <c r="D1340" s="9"/>
      <c r="E1340" s="50" t="s">
        <v>116</v>
      </c>
      <c r="F1340" s="50"/>
      <c r="G1340" s="50"/>
      <c r="H1340" s="50"/>
      <c r="I1340" s="50"/>
      <c r="J1340" s="50"/>
      <c r="K1340" s="50"/>
      <c r="L1340" s="50"/>
      <c r="M1340" s="50"/>
      <c r="N1340" s="50"/>
      <c r="O1340" s="50"/>
      <c r="P1340" s="50"/>
      <c r="Q1340" s="50"/>
      <c r="R1340" s="50"/>
      <c r="S1340" s="50"/>
      <c r="T1340" s="50"/>
      <c r="U1340" s="50"/>
      <c r="V1340" s="50"/>
      <c r="W1340" s="50"/>
      <c r="X1340" s="50"/>
      <c r="Y1340" s="50"/>
      <c r="Z1340" s="50"/>
      <c r="AA1340" s="50"/>
      <c r="AB1340" s="12"/>
      <c r="AC1340" s="12"/>
      <c r="AD1340" s="12"/>
      <c r="AE1340" s="12"/>
      <c r="AF1340" s="12">
        <v>141229</v>
      </c>
      <c r="AG1340" s="12">
        <v>212352</v>
      </c>
      <c r="AH1340" s="12"/>
      <c r="AI1340" s="12"/>
      <c r="AJ1340" s="51"/>
      <c r="AK1340" s="51"/>
      <c r="AL1340" s="51"/>
      <c r="AM1340" s="51"/>
      <c r="AN1340" s="26"/>
      <c r="AO1340" s="26"/>
      <c r="AP1340" s="26"/>
      <c r="AQ1340" s="26"/>
      <c r="AR1340" s="1044"/>
      <c r="AS1340" s="1044"/>
    </row>
    <row r="1341" spans="2:45" hidden="1" outlineLevel="1">
      <c r="B1341" s="565">
        <v>6662</v>
      </c>
      <c r="C1341" s="816" t="s">
        <v>2</v>
      </c>
      <c r="D1341" s="9"/>
      <c r="E1341" s="50" t="s">
        <v>117</v>
      </c>
      <c r="F1341" s="50"/>
      <c r="G1341" s="50"/>
      <c r="H1341" s="50"/>
      <c r="I1341" s="50"/>
      <c r="J1341" s="50"/>
      <c r="K1341" s="50"/>
      <c r="L1341" s="50"/>
      <c r="M1341" s="50"/>
      <c r="N1341" s="50"/>
      <c r="O1341" s="50"/>
      <c r="P1341" s="50"/>
      <c r="Q1341" s="50"/>
      <c r="R1341" s="50"/>
      <c r="S1341" s="50"/>
      <c r="T1341" s="50"/>
      <c r="U1341" s="50"/>
      <c r="V1341" s="50"/>
      <c r="W1341" s="50"/>
      <c r="X1341" s="50"/>
      <c r="Y1341" s="50"/>
      <c r="Z1341" s="50"/>
      <c r="AA1341" s="50"/>
      <c r="AB1341" s="12"/>
      <c r="AC1341" s="12"/>
      <c r="AD1341" s="12"/>
      <c r="AE1341" s="12"/>
      <c r="AF1341" s="12">
        <v>233642</v>
      </c>
      <c r="AG1341" s="12">
        <v>354701</v>
      </c>
      <c r="AH1341" s="12"/>
      <c r="AI1341" s="12"/>
      <c r="AJ1341" s="51"/>
      <c r="AK1341" s="51"/>
      <c r="AL1341" s="51"/>
      <c r="AM1341" s="51"/>
      <c r="AN1341" s="26"/>
      <c r="AO1341" s="26"/>
      <c r="AP1341" s="26"/>
      <c r="AQ1341" s="26"/>
      <c r="AR1341" s="1044"/>
      <c r="AS1341" s="1044"/>
    </row>
    <row r="1342" spans="2:45" hidden="1" outlineLevel="1">
      <c r="B1342" s="565">
        <v>3570</v>
      </c>
      <c r="C1342" s="816" t="s">
        <v>2</v>
      </c>
      <c r="D1342" s="9"/>
      <c r="E1342" s="50" t="s">
        <v>1406</v>
      </c>
      <c r="F1342" s="50"/>
      <c r="G1342" s="50"/>
      <c r="H1342" s="50"/>
      <c r="I1342" s="50"/>
      <c r="J1342" s="50"/>
      <c r="K1342" s="50"/>
      <c r="L1342" s="50"/>
      <c r="M1342" s="50"/>
      <c r="N1342" s="50"/>
      <c r="O1342" s="50"/>
      <c r="P1342" s="50"/>
      <c r="Q1342" s="50"/>
      <c r="R1342" s="50"/>
      <c r="S1342" s="50"/>
      <c r="T1342" s="50"/>
      <c r="U1342" s="50"/>
      <c r="V1342" s="50"/>
      <c r="W1342" s="50"/>
      <c r="X1342" s="50"/>
      <c r="Y1342" s="50"/>
      <c r="Z1342" s="50"/>
      <c r="AA1342" s="50"/>
      <c r="AB1342" s="12"/>
      <c r="AC1342" s="12"/>
      <c r="AD1342" s="12"/>
      <c r="AE1342" s="12"/>
      <c r="AF1342" s="12">
        <v>365910</v>
      </c>
      <c r="AG1342" s="12">
        <v>558045</v>
      </c>
      <c r="AH1342" s="12"/>
      <c r="AI1342" s="12"/>
      <c r="AJ1342" s="51"/>
      <c r="AK1342" s="51"/>
      <c r="AL1342" s="51"/>
      <c r="AM1342" s="51"/>
      <c r="AN1342" s="26"/>
      <c r="AO1342" s="26"/>
      <c r="AP1342" s="26"/>
      <c r="AQ1342" s="26"/>
      <c r="AR1342" s="1044"/>
      <c r="AS1342" s="1044"/>
    </row>
    <row r="1343" spans="2:45" hidden="1" outlineLevel="1">
      <c r="B1343" s="565">
        <v>3573</v>
      </c>
      <c r="C1343" s="816" t="s">
        <v>2</v>
      </c>
      <c r="D1343" s="9"/>
      <c r="E1343" s="50" t="s">
        <v>119</v>
      </c>
      <c r="F1343" s="50"/>
      <c r="G1343" s="50"/>
      <c r="H1343" s="50"/>
      <c r="I1343" s="50"/>
      <c r="J1343" s="50"/>
      <c r="K1343" s="50"/>
      <c r="L1343" s="50"/>
      <c r="M1343" s="50"/>
      <c r="N1343" s="50"/>
      <c r="O1343" s="50"/>
      <c r="P1343" s="50"/>
      <c r="Q1343" s="50"/>
      <c r="R1343" s="50"/>
      <c r="S1343" s="50"/>
      <c r="T1343" s="50"/>
      <c r="U1343" s="50"/>
      <c r="V1343" s="50"/>
      <c r="W1343" s="50"/>
      <c r="X1343" s="50"/>
      <c r="Y1343" s="50"/>
      <c r="Z1343" s="50"/>
      <c r="AA1343" s="50"/>
      <c r="AB1343" s="12"/>
      <c r="AC1343" s="12"/>
      <c r="AD1343" s="12"/>
      <c r="AE1343" s="12"/>
      <c r="AF1343" s="12">
        <v>108895</v>
      </c>
      <c r="AG1343" s="12">
        <v>793644</v>
      </c>
      <c r="AH1343" s="12"/>
      <c r="AI1343" s="12"/>
      <c r="AJ1343" s="51"/>
      <c r="AK1343" s="51"/>
      <c r="AL1343" s="51"/>
      <c r="AM1343" s="51"/>
      <c r="AN1343" s="26"/>
      <c r="AO1343" s="26"/>
      <c r="AP1343" s="26"/>
      <c r="AQ1343" s="26"/>
      <c r="AR1343" s="1044"/>
      <c r="AS1343" s="1044"/>
    </row>
    <row r="1344" spans="2:45" hidden="1" outlineLevel="1">
      <c r="B1344" s="565">
        <v>10633</v>
      </c>
      <c r="C1344" s="816" t="s">
        <v>2</v>
      </c>
      <c r="D1344" s="9"/>
      <c r="E1344" s="50" t="s">
        <v>120</v>
      </c>
      <c r="F1344" s="50"/>
      <c r="G1344" s="50"/>
      <c r="H1344" s="50"/>
      <c r="I1344" s="50"/>
      <c r="J1344" s="50"/>
      <c r="K1344" s="50"/>
      <c r="L1344" s="50"/>
      <c r="M1344" s="50"/>
      <c r="N1344" s="50"/>
      <c r="O1344" s="50"/>
      <c r="P1344" s="50"/>
      <c r="Q1344" s="50"/>
      <c r="R1344" s="50"/>
      <c r="S1344" s="50"/>
      <c r="T1344" s="50"/>
      <c r="U1344" s="50"/>
      <c r="V1344" s="50"/>
      <c r="W1344" s="50"/>
      <c r="X1344" s="50"/>
      <c r="Y1344" s="50"/>
      <c r="Z1344" s="50"/>
      <c r="AA1344" s="50"/>
      <c r="AB1344" s="12"/>
      <c r="AC1344" s="12"/>
      <c r="AD1344" s="12"/>
      <c r="AE1344" s="12"/>
      <c r="AF1344" s="12">
        <v>3458983</v>
      </c>
      <c r="AG1344" s="12">
        <v>5275284</v>
      </c>
      <c r="AH1344" s="12"/>
      <c r="AI1344" s="12"/>
      <c r="AJ1344" s="51"/>
      <c r="AK1344" s="51"/>
      <c r="AL1344" s="51"/>
      <c r="AM1344" s="51"/>
      <c r="AN1344" s="26"/>
      <c r="AO1344" s="26"/>
      <c r="AP1344" s="26"/>
      <c r="AQ1344" s="26"/>
      <c r="AR1344" s="1044"/>
      <c r="AS1344" s="1044"/>
    </row>
    <row r="1345" spans="2:45" hidden="1" outlineLevel="1">
      <c r="B1345" s="565">
        <v>103574</v>
      </c>
      <c r="C1345" s="816" t="s">
        <v>2</v>
      </c>
      <c r="D1345" s="9"/>
      <c r="E1345" s="50" t="s">
        <v>1415</v>
      </c>
      <c r="F1345" s="50"/>
      <c r="G1345" s="50"/>
      <c r="H1345" s="50"/>
      <c r="I1345" s="50"/>
      <c r="J1345" s="50"/>
      <c r="K1345" s="50"/>
      <c r="L1345" s="50"/>
      <c r="M1345" s="50"/>
      <c r="N1345" s="50"/>
      <c r="O1345" s="50"/>
      <c r="P1345" s="50"/>
      <c r="Q1345" s="50"/>
      <c r="R1345" s="50"/>
      <c r="S1345" s="50"/>
      <c r="T1345" s="50"/>
      <c r="U1345" s="50"/>
      <c r="V1345" s="50"/>
      <c r="W1345" s="50"/>
      <c r="X1345" s="50"/>
      <c r="Y1345" s="50"/>
      <c r="Z1345" s="50"/>
      <c r="AA1345" s="50"/>
      <c r="AB1345" s="12"/>
      <c r="AC1345" s="12"/>
      <c r="AD1345" s="12"/>
      <c r="AE1345" s="12"/>
      <c r="AF1345" s="12">
        <v>659772</v>
      </c>
      <c r="AG1345" s="12">
        <v>822395</v>
      </c>
      <c r="AH1345" s="12"/>
      <c r="AI1345" s="12"/>
      <c r="AJ1345" s="51"/>
      <c r="AK1345" s="51"/>
      <c r="AL1345" s="51"/>
      <c r="AM1345" s="51"/>
      <c r="AN1345" s="26"/>
      <c r="AO1345" s="26"/>
      <c r="AP1345" s="26"/>
      <c r="AQ1345" s="26"/>
      <c r="AR1345" s="1044"/>
      <c r="AS1345" s="1044"/>
    </row>
    <row r="1346" spans="2:45" hidden="1" outlineLevel="1">
      <c r="B1346" s="565">
        <v>3580</v>
      </c>
      <c r="C1346" s="816" t="s">
        <v>2</v>
      </c>
      <c r="D1346" s="9"/>
      <c r="E1346" s="50" t="s">
        <v>122</v>
      </c>
      <c r="F1346" s="50"/>
      <c r="G1346" s="50"/>
      <c r="H1346" s="50"/>
      <c r="I1346" s="50"/>
      <c r="J1346" s="50"/>
      <c r="K1346" s="50"/>
      <c r="L1346" s="50"/>
      <c r="M1346" s="50"/>
      <c r="N1346" s="50"/>
      <c r="O1346" s="50"/>
      <c r="P1346" s="50"/>
      <c r="Q1346" s="50"/>
      <c r="R1346" s="50"/>
      <c r="S1346" s="50"/>
      <c r="T1346" s="50"/>
      <c r="U1346" s="50"/>
      <c r="V1346" s="50"/>
      <c r="W1346" s="50"/>
      <c r="X1346" s="50"/>
      <c r="Y1346" s="50"/>
      <c r="Z1346" s="50"/>
      <c r="AA1346" s="50"/>
      <c r="AB1346" s="12"/>
      <c r="AC1346" s="12"/>
      <c r="AD1346" s="12"/>
      <c r="AE1346" s="12"/>
      <c r="AF1346" s="12">
        <v>623309</v>
      </c>
      <c r="AG1346" s="12">
        <v>937550</v>
      </c>
      <c r="AH1346" s="12"/>
      <c r="AI1346" s="12"/>
      <c r="AJ1346" s="51"/>
      <c r="AK1346" s="51"/>
      <c r="AL1346" s="51"/>
      <c r="AM1346" s="51"/>
      <c r="AN1346" s="26"/>
      <c r="AO1346" s="26"/>
      <c r="AP1346" s="26"/>
      <c r="AQ1346" s="26"/>
      <c r="AR1346" s="1044"/>
      <c r="AS1346" s="1044"/>
    </row>
    <row r="1347" spans="2:45" hidden="1" outlineLevel="1">
      <c r="B1347" s="565">
        <v>3582</v>
      </c>
      <c r="C1347" s="816" t="s">
        <v>2</v>
      </c>
      <c r="D1347" s="9"/>
      <c r="E1347" s="50" t="s">
        <v>123</v>
      </c>
      <c r="F1347" s="50"/>
      <c r="G1347" s="50"/>
      <c r="H1347" s="50"/>
      <c r="I1347" s="50"/>
      <c r="J1347" s="50"/>
      <c r="K1347" s="50"/>
      <c r="L1347" s="50"/>
      <c r="M1347" s="50"/>
      <c r="N1347" s="50"/>
      <c r="O1347" s="50"/>
      <c r="P1347" s="50"/>
      <c r="Q1347" s="50"/>
      <c r="R1347" s="50"/>
      <c r="S1347" s="50"/>
      <c r="T1347" s="50"/>
      <c r="U1347" s="50"/>
      <c r="V1347" s="50"/>
      <c r="W1347" s="50"/>
      <c r="X1347" s="50"/>
      <c r="Y1347" s="50"/>
      <c r="Z1347" s="50"/>
      <c r="AA1347" s="50"/>
      <c r="AB1347" s="12"/>
      <c r="AC1347" s="12"/>
      <c r="AD1347" s="12"/>
      <c r="AE1347" s="12"/>
      <c r="AF1347" s="12">
        <v>632693</v>
      </c>
      <c r="AG1347" s="12">
        <v>963810</v>
      </c>
      <c r="AH1347" s="12"/>
      <c r="AI1347" s="12"/>
      <c r="AJ1347" s="51"/>
      <c r="AK1347" s="51"/>
      <c r="AL1347" s="51"/>
      <c r="AM1347" s="51"/>
      <c r="AN1347" s="26"/>
      <c r="AO1347" s="26"/>
      <c r="AP1347" s="26"/>
      <c r="AQ1347" s="26"/>
      <c r="AR1347" s="1044"/>
      <c r="AS1347" s="1044"/>
    </row>
    <row r="1348" spans="2:45" hidden="1" outlineLevel="1">
      <c r="B1348" s="565">
        <v>3583</v>
      </c>
      <c r="C1348" s="816" t="s">
        <v>2</v>
      </c>
      <c r="D1348" s="9"/>
      <c r="E1348" s="50" t="s">
        <v>174</v>
      </c>
      <c r="F1348" s="50"/>
      <c r="G1348" s="50"/>
      <c r="H1348" s="50"/>
      <c r="I1348" s="50"/>
      <c r="J1348" s="50"/>
      <c r="K1348" s="50"/>
      <c r="L1348" s="50"/>
      <c r="M1348" s="50"/>
      <c r="N1348" s="50"/>
      <c r="O1348" s="50"/>
      <c r="P1348" s="50"/>
      <c r="Q1348" s="50"/>
      <c r="R1348" s="50"/>
      <c r="S1348" s="50"/>
      <c r="T1348" s="50"/>
      <c r="U1348" s="50"/>
      <c r="V1348" s="50"/>
      <c r="W1348" s="50"/>
      <c r="X1348" s="50"/>
      <c r="Y1348" s="50"/>
      <c r="Z1348" s="50"/>
      <c r="AA1348" s="50"/>
      <c r="AB1348" s="12"/>
      <c r="AC1348" s="12"/>
      <c r="AD1348" s="12"/>
      <c r="AE1348" s="12"/>
      <c r="AF1348" s="12">
        <v>510004</v>
      </c>
      <c r="AG1348" s="12">
        <v>767122</v>
      </c>
      <c r="AH1348" s="12"/>
      <c r="AI1348" s="12"/>
      <c r="AJ1348" s="51"/>
      <c r="AK1348" s="51"/>
      <c r="AL1348" s="51"/>
      <c r="AM1348" s="51"/>
      <c r="AN1348" s="26"/>
      <c r="AO1348" s="26"/>
      <c r="AP1348" s="26"/>
      <c r="AQ1348" s="26"/>
      <c r="AR1348" s="1044"/>
      <c r="AS1348" s="1044"/>
    </row>
    <row r="1349" spans="2:45" hidden="1" outlineLevel="1">
      <c r="B1349" s="565">
        <v>11145</v>
      </c>
      <c r="C1349" s="816" t="s">
        <v>2</v>
      </c>
      <c r="D1349" s="9"/>
      <c r="E1349" s="50" t="s">
        <v>892</v>
      </c>
      <c r="F1349" s="50"/>
      <c r="G1349" s="50"/>
      <c r="H1349" s="50"/>
      <c r="I1349" s="50"/>
      <c r="J1349" s="50"/>
      <c r="K1349" s="50"/>
      <c r="L1349" s="50"/>
      <c r="M1349" s="50"/>
      <c r="N1349" s="50"/>
      <c r="O1349" s="50"/>
      <c r="P1349" s="50"/>
      <c r="Q1349" s="50"/>
      <c r="R1349" s="50"/>
      <c r="S1349" s="50"/>
      <c r="T1349" s="50"/>
      <c r="U1349" s="50"/>
      <c r="V1349" s="50"/>
      <c r="W1349" s="50"/>
      <c r="X1349" s="50"/>
      <c r="Y1349" s="50"/>
      <c r="Z1349" s="50"/>
      <c r="AA1349" s="50"/>
      <c r="AB1349" s="12"/>
      <c r="AC1349" s="12"/>
      <c r="AD1349" s="12"/>
      <c r="AE1349" s="12"/>
      <c r="AF1349" s="12">
        <v>3030096</v>
      </c>
      <c r="AG1349" s="12">
        <v>4621188</v>
      </c>
      <c r="AH1349" s="12"/>
      <c r="AI1349" s="12"/>
      <c r="AJ1349" s="51"/>
      <c r="AK1349" s="51"/>
      <c r="AL1349" s="51"/>
      <c r="AM1349" s="51"/>
      <c r="AN1349" s="26"/>
      <c r="AO1349" s="26"/>
      <c r="AP1349" s="26"/>
      <c r="AQ1349" s="26"/>
      <c r="AR1349" s="1044"/>
      <c r="AS1349" s="1044"/>
    </row>
    <row r="1350" spans="2:45" hidden="1" outlineLevel="1">
      <c r="B1350" s="565">
        <v>3590</v>
      </c>
      <c r="C1350" s="816" t="s">
        <v>2</v>
      </c>
      <c r="D1350" s="9"/>
      <c r="E1350" s="50" t="s">
        <v>126</v>
      </c>
      <c r="F1350" s="50"/>
      <c r="G1350" s="50"/>
      <c r="H1350" s="50"/>
      <c r="I1350" s="50"/>
      <c r="J1350" s="50"/>
      <c r="K1350" s="50"/>
      <c r="L1350" s="50"/>
      <c r="M1350" s="50"/>
      <c r="N1350" s="50"/>
      <c r="O1350" s="50"/>
      <c r="P1350" s="50"/>
      <c r="Q1350" s="50"/>
      <c r="R1350" s="50"/>
      <c r="S1350" s="50"/>
      <c r="T1350" s="50"/>
      <c r="U1350" s="50"/>
      <c r="V1350" s="50"/>
      <c r="W1350" s="50"/>
      <c r="X1350" s="50"/>
      <c r="Y1350" s="50"/>
      <c r="Z1350" s="50"/>
      <c r="AA1350" s="50"/>
      <c r="AB1350" s="12"/>
      <c r="AC1350" s="12"/>
      <c r="AD1350" s="12"/>
      <c r="AE1350" s="12"/>
      <c r="AF1350" s="12">
        <v>698588</v>
      </c>
      <c r="AG1350" s="12">
        <v>1050779</v>
      </c>
      <c r="AH1350" s="12"/>
      <c r="AI1350" s="12"/>
      <c r="AJ1350" s="51"/>
      <c r="AK1350" s="51"/>
      <c r="AL1350" s="51"/>
      <c r="AM1350" s="51"/>
      <c r="AN1350" s="26"/>
      <c r="AO1350" s="26"/>
      <c r="AP1350" s="26"/>
      <c r="AQ1350" s="26"/>
      <c r="AR1350" s="1044"/>
      <c r="AS1350" s="1044"/>
    </row>
    <row r="1351" spans="2:45" hidden="1" outlineLevel="1">
      <c r="B1351" s="565">
        <v>9797</v>
      </c>
      <c r="C1351" s="816" t="s">
        <v>2</v>
      </c>
      <c r="D1351" s="9"/>
      <c r="E1351" s="50" t="s">
        <v>127</v>
      </c>
      <c r="F1351" s="50"/>
      <c r="G1351" s="50"/>
      <c r="H1351" s="50"/>
      <c r="I1351" s="50"/>
      <c r="J1351" s="50"/>
      <c r="K1351" s="50"/>
      <c r="L1351" s="50"/>
      <c r="M1351" s="50"/>
      <c r="N1351" s="50"/>
      <c r="O1351" s="50"/>
      <c r="P1351" s="50"/>
      <c r="Q1351" s="50"/>
      <c r="R1351" s="50"/>
      <c r="S1351" s="50"/>
      <c r="T1351" s="50"/>
      <c r="U1351" s="50"/>
      <c r="V1351" s="50"/>
      <c r="W1351" s="50"/>
      <c r="X1351" s="50"/>
      <c r="Y1351" s="50"/>
      <c r="Z1351" s="50"/>
      <c r="AA1351" s="50"/>
      <c r="AB1351" s="12"/>
      <c r="AC1351" s="12"/>
      <c r="AD1351" s="12">
        <v>-94404</v>
      </c>
      <c r="AE1351" s="12">
        <v>-76682</v>
      </c>
      <c r="AF1351" s="12">
        <v>326000</v>
      </c>
      <c r="AG1351" s="12">
        <v>952683</v>
      </c>
      <c r="AH1351" s="12"/>
      <c r="AI1351" s="12"/>
      <c r="AJ1351" s="51"/>
      <c r="AK1351" s="51"/>
      <c r="AL1351" s="51"/>
      <c r="AM1351" s="51"/>
      <c r="AN1351" s="26"/>
      <c r="AO1351" s="26"/>
      <c r="AP1351" s="26"/>
      <c r="AQ1351" s="26"/>
      <c r="AR1351" s="1044"/>
      <c r="AS1351" s="1044"/>
    </row>
    <row r="1352" spans="2:45" hidden="1" outlineLevel="1">
      <c r="B1352" s="565">
        <v>3593</v>
      </c>
      <c r="C1352" s="816" t="s">
        <v>2</v>
      </c>
      <c r="D1352" s="9"/>
      <c r="E1352" s="50" t="s">
        <v>128</v>
      </c>
      <c r="F1352" s="50"/>
      <c r="G1352" s="50"/>
      <c r="H1352" s="50"/>
      <c r="I1352" s="50"/>
      <c r="J1352" s="50"/>
      <c r="K1352" s="50"/>
      <c r="L1352" s="50"/>
      <c r="M1352" s="50"/>
      <c r="N1352" s="50"/>
      <c r="O1352" s="50"/>
      <c r="P1352" s="50"/>
      <c r="Q1352" s="50"/>
      <c r="R1352" s="50"/>
      <c r="S1352" s="50"/>
      <c r="T1352" s="50"/>
      <c r="U1352" s="50"/>
      <c r="V1352" s="50"/>
      <c r="W1352" s="50"/>
      <c r="X1352" s="50"/>
      <c r="Y1352" s="50"/>
      <c r="Z1352" s="50"/>
      <c r="AA1352" s="50"/>
      <c r="AB1352" s="12"/>
      <c r="AC1352" s="12"/>
      <c r="AD1352" s="12"/>
      <c r="AE1352" s="12"/>
      <c r="AF1352" s="12">
        <v>745443</v>
      </c>
      <c r="AG1352" s="12">
        <v>1136872</v>
      </c>
      <c r="AH1352" s="12"/>
      <c r="AI1352" s="12"/>
      <c r="AJ1352" s="51"/>
      <c r="AK1352" s="51"/>
      <c r="AL1352" s="51"/>
      <c r="AM1352" s="51"/>
      <c r="AN1352" s="26"/>
      <c r="AO1352" s="26"/>
      <c r="AP1352" s="26"/>
      <c r="AQ1352" s="26"/>
      <c r="AR1352" s="1044"/>
      <c r="AS1352" s="1044"/>
    </row>
    <row r="1353" spans="2:45" hidden="1" outlineLevel="1">
      <c r="B1353" s="565">
        <v>3558</v>
      </c>
      <c r="C1353" s="816" t="s">
        <v>2</v>
      </c>
      <c r="D1353" s="9"/>
      <c r="E1353" s="50" t="s">
        <v>1405</v>
      </c>
      <c r="F1353" s="50"/>
      <c r="G1353" s="50"/>
      <c r="H1353" s="50"/>
      <c r="I1353" s="50"/>
      <c r="J1353" s="50"/>
      <c r="K1353" s="50"/>
      <c r="L1353" s="50"/>
      <c r="M1353" s="50"/>
      <c r="N1353" s="50"/>
      <c r="O1353" s="50"/>
      <c r="P1353" s="50"/>
      <c r="Q1353" s="50"/>
      <c r="R1353" s="50"/>
      <c r="S1353" s="50"/>
      <c r="T1353" s="50"/>
      <c r="U1353" s="50"/>
      <c r="V1353" s="50"/>
      <c r="W1353" s="50"/>
      <c r="X1353" s="50"/>
      <c r="Y1353" s="50"/>
      <c r="Z1353" s="50"/>
      <c r="AA1353" s="50"/>
      <c r="AB1353" s="12"/>
      <c r="AC1353" s="12"/>
      <c r="AD1353" s="12"/>
      <c r="AE1353" s="12"/>
      <c r="AF1353" s="12">
        <v>347000</v>
      </c>
      <c r="AG1353" s="12">
        <v>958088</v>
      </c>
      <c r="AH1353" s="12"/>
      <c r="AI1353" s="12"/>
      <c r="AJ1353" s="51"/>
      <c r="AK1353" s="51"/>
      <c r="AL1353" s="51"/>
      <c r="AM1353" s="51"/>
      <c r="AN1353" s="26"/>
      <c r="AO1353" s="26"/>
      <c r="AP1353" s="26"/>
      <c r="AQ1353" s="26"/>
      <c r="AR1353" s="1044"/>
      <c r="AS1353" s="1044"/>
    </row>
    <row r="1354" spans="2:45" hidden="1" outlineLevel="1">
      <c r="B1354" s="565">
        <v>23154</v>
      </c>
      <c r="C1354" s="816" t="s">
        <v>2</v>
      </c>
      <c r="D1354" s="9"/>
      <c r="E1354" s="50" t="s">
        <v>1413</v>
      </c>
      <c r="F1354" s="50"/>
      <c r="G1354" s="50"/>
      <c r="H1354" s="50"/>
      <c r="I1354" s="50"/>
      <c r="J1354" s="50"/>
      <c r="K1354" s="50"/>
      <c r="L1354" s="50"/>
      <c r="M1354" s="50"/>
      <c r="N1354" s="50"/>
      <c r="O1354" s="50"/>
      <c r="P1354" s="50"/>
      <c r="Q1354" s="50"/>
      <c r="R1354" s="50"/>
      <c r="S1354" s="50"/>
      <c r="T1354" s="50"/>
      <c r="U1354" s="50"/>
      <c r="V1354" s="50"/>
      <c r="W1354" s="50"/>
      <c r="X1354" s="50"/>
      <c r="Y1354" s="50"/>
      <c r="Z1354" s="50"/>
      <c r="AA1354" s="50"/>
      <c r="AB1354" s="12"/>
      <c r="AC1354" s="12"/>
      <c r="AD1354" s="12"/>
      <c r="AE1354" s="12"/>
      <c r="AF1354" s="12">
        <v>208119</v>
      </c>
      <c r="AG1354" s="12">
        <v>317400</v>
      </c>
      <c r="AH1354" s="12"/>
      <c r="AI1354" s="12"/>
      <c r="AJ1354" s="51"/>
      <c r="AK1354" s="51"/>
      <c r="AL1354" s="51"/>
      <c r="AM1354" s="51"/>
      <c r="AN1354" s="26"/>
      <c r="AO1354" s="26"/>
      <c r="AP1354" s="26"/>
      <c r="AQ1354" s="26"/>
      <c r="AR1354" s="1044"/>
      <c r="AS1354" s="1044"/>
    </row>
    <row r="1355" spans="2:45" hidden="1" outlineLevel="1">
      <c r="B1355" s="565">
        <v>3596</v>
      </c>
      <c r="C1355" s="816" t="s">
        <v>2</v>
      </c>
      <c r="D1355" s="9"/>
      <c r="E1355" s="50" t="s">
        <v>131</v>
      </c>
      <c r="F1355" s="50"/>
      <c r="G1355" s="50"/>
      <c r="H1355" s="50"/>
      <c r="I1355" s="50"/>
      <c r="J1355" s="50"/>
      <c r="K1355" s="50"/>
      <c r="L1355" s="50"/>
      <c r="M1355" s="50"/>
      <c r="N1355" s="50"/>
      <c r="O1355" s="50"/>
      <c r="P1355" s="50"/>
      <c r="Q1355" s="50"/>
      <c r="R1355" s="50"/>
      <c r="S1355" s="50"/>
      <c r="T1355" s="50"/>
      <c r="U1355" s="50"/>
      <c r="V1355" s="50"/>
      <c r="W1355" s="50"/>
      <c r="X1355" s="50"/>
      <c r="Y1355" s="50"/>
      <c r="Z1355" s="50"/>
      <c r="AA1355" s="50"/>
      <c r="AB1355" s="12"/>
      <c r="AC1355" s="12"/>
      <c r="AD1355" s="12"/>
      <c r="AE1355" s="12"/>
      <c r="AF1355" s="12">
        <v>417341</v>
      </c>
      <c r="AG1355" s="12">
        <v>635532</v>
      </c>
      <c r="AH1355" s="12"/>
      <c r="AI1355" s="12"/>
      <c r="AJ1355" s="51"/>
      <c r="AK1355" s="51"/>
      <c r="AL1355" s="51"/>
      <c r="AM1355" s="51"/>
      <c r="AN1355" s="26"/>
      <c r="AO1355" s="26"/>
      <c r="AP1355" s="26"/>
      <c r="AQ1355" s="26"/>
      <c r="AR1355" s="1044"/>
      <c r="AS1355" s="1044"/>
    </row>
    <row r="1356" spans="2:45" hidden="1" outlineLevel="1">
      <c r="B1356" s="565">
        <v>3600</v>
      </c>
      <c r="C1356" s="816" t="s">
        <v>2</v>
      </c>
      <c r="D1356" s="9"/>
      <c r="E1356" s="50" t="s">
        <v>132</v>
      </c>
      <c r="F1356" s="50"/>
      <c r="G1356" s="50"/>
      <c r="H1356" s="50"/>
      <c r="I1356" s="50"/>
      <c r="J1356" s="50"/>
      <c r="K1356" s="50"/>
      <c r="L1356" s="50"/>
      <c r="M1356" s="50"/>
      <c r="N1356" s="50"/>
      <c r="O1356" s="50"/>
      <c r="P1356" s="50"/>
      <c r="Q1356" s="50"/>
      <c r="R1356" s="50"/>
      <c r="S1356" s="50"/>
      <c r="T1356" s="50"/>
      <c r="U1356" s="50"/>
      <c r="V1356" s="50"/>
      <c r="W1356" s="50"/>
      <c r="X1356" s="50"/>
      <c r="Y1356" s="50"/>
      <c r="Z1356" s="50"/>
      <c r="AA1356" s="50"/>
      <c r="AB1356" s="12"/>
      <c r="AC1356" s="12"/>
      <c r="AD1356" s="12"/>
      <c r="AE1356" s="12"/>
      <c r="AF1356" s="12">
        <v>77678</v>
      </c>
      <c r="AG1356" s="12">
        <v>397491</v>
      </c>
      <c r="AH1356" s="12"/>
      <c r="AI1356" s="12"/>
      <c r="AJ1356" s="51"/>
      <c r="AK1356" s="51"/>
      <c r="AL1356" s="51"/>
      <c r="AM1356" s="51"/>
      <c r="AN1356" s="26"/>
      <c r="AO1356" s="26"/>
      <c r="AP1356" s="26"/>
      <c r="AQ1356" s="26"/>
      <c r="AR1356" s="1044"/>
      <c r="AS1356" s="1044"/>
    </row>
    <row r="1357" spans="2:45" hidden="1" outlineLevel="1">
      <c r="B1357" s="565">
        <v>3601</v>
      </c>
      <c r="C1357" s="816" t="s">
        <v>2</v>
      </c>
      <c r="D1357" s="9"/>
      <c r="E1357" s="50" t="s">
        <v>133</v>
      </c>
      <c r="F1357" s="50"/>
      <c r="G1357" s="50"/>
      <c r="H1357" s="50"/>
      <c r="I1357" s="50"/>
      <c r="J1357" s="50"/>
      <c r="K1357" s="50"/>
      <c r="L1357" s="50"/>
      <c r="M1357" s="50"/>
      <c r="N1357" s="50"/>
      <c r="O1357" s="50"/>
      <c r="P1357" s="50"/>
      <c r="Q1357" s="50"/>
      <c r="R1357" s="50"/>
      <c r="S1357" s="50"/>
      <c r="T1357" s="50"/>
      <c r="U1357" s="50"/>
      <c r="V1357" s="50"/>
      <c r="W1357" s="50"/>
      <c r="X1357" s="50"/>
      <c r="Y1357" s="50"/>
      <c r="Z1357" s="50"/>
      <c r="AA1357" s="50"/>
      <c r="AB1357" s="12"/>
      <c r="AC1357" s="12"/>
      <c r="AD1357" s="12"/>
      <c r="AE1357" s="12"/>
      <c r="AF1357" s="12">
        <v>456436</v>
      </c>
      <c r="AG1357" s="12">
        <v>695431</v>
      </c>
      <c r="AH1357" s="12"/>
      <c r="AI1357" s="12"/>
      <c r="AJ1357" s="51"/>
      <c r="AK1357" s="51"/>
      <c r="AL1357" s="51"/>
      <c r="AM1357" s="51"/>
      <c r="AN1357" s="26"/>
      <c r="AO1357" s="26"/>
      <c r="AP1357" s="26"/>
      <c r="AQ1357" s="26"/>
      <c r="AR1357" s="1044"/>
      <c r="AS1357" s="1044"/>
    </row>
    <row r="1358" spans="2:45" hidden="1" outlineLevel="1">
      <c r="B1358" s="565">
        <v>3603</v>
      </c>
      <c r="C1358" s="816" t="s">
        <v>2</v>
      </c>
      <c r="D1358" s="9"/>
      <c r="E1358" s="50" t="s">
        <v>134</v>
      </c>
      <c r="F1358" s="50"/>
      <c r="G1358" s="50"/>
      <c r="H1358" s="50"/>
      <c r="I1358" s="50"/>
      <c r="J1358" s="50"/>
      <c r="K1358" s="50"/>
      <c r="L1358" s="50"/>
      <c r="M1358" s="50"/>
      <c r="N1358" s="50"/>
      <c r="O1358" s="50"/>
      <c r="P1358" s="50"/>
      <c r="Q1358" s="50"/>
      <c r="R1358" s="50"/>
      <c r="S1358" s="50"/>
      <c r="T1358" s="50"/>
      <c r="U1358" s="50"/>
      <c r="V1358" s="50"/>
      <c r="W1358" s="50"/>
      <c r="X1358" s="50"/>
      <c r="Y1358" s="50"/>
      <c r="Z1358" s="50"/>
      <c r="AA1358" s="50"/>
      <c r="AB1358" s="12"/>
      <c r="AC1358" s="12"/>
      <c r="AD1358" s="12"/>
      <c r="AE1358" s="12"/>
      <c r="AF1358" s="12">
        <v>103872</v>
      </c>
      <c r="AG1358" s="12">
        <v>156117</v>
      </c>
      <c r="AH1358" s="12"/>
      <c r="AI1358" s="12"/>
      <c r="AJ1358" s="51"/>
      <c r="AK1358" s="51"/>
      <c r="AL1358" s="51"/>
      <c r="AM1358" s="51"/>
      <c r="AN1358" s="26"/>
      <c r="AO1358" s="26"/>
      <c r="AP1358" s="26"/>
      <c r="AQ1358" s="26"/>
      <c r="AR1358" s="1044"/>
      <c r="AS1358" s="1044"/>
    </row>
    <row r="1359" spans="2:45" hidden="1" outlineLevel="1">
      <c r="B1359" s="565">
        <v>29137</v>
      </c>
      <c r="C1359" s="816" t="s">
        <v>2</v>
      </c>
      <c r="D1359" s="9"/>
      <c r="E1359" s="50" t="s">
        <v>1414</v>
      </c>
      <c r="F1359" s="50"/>
      <c r="G1359" s="50"/>
      <c r="H1359" s="50"/>
      <c r="I1359" s="50"/>
      <c r="J1359" s="50"/>
      <c r="K1359" s="50"/>
      <c r="L1359" s="50"/>
      <c r="M1359" s="50"/>
      <c r="N1359" s="50"/>
      <c r="O1359" s="50"/>
      <c r="P1359" s="50"/>
      <c r="Q1359" s="50"/>
      <c r="R1359" s="50"/>
      <c r="S1359" s="50"/>
      <c r="T1359" s="50"/>
      <c r="U1359" s="50"/>
      <c r="V1359" s="50"/>
      <c r="W1359" s="50"/>
      <c r="X1359" s="50"/>
      <c r="Y1359" s="50"/>
      <c r="Z1359" s="50"/>
      <c r="AA1359" s="50"/>
      <c r="AB1359" s="12"/>
      <c r="AC1359" s="12"/>
      <c r="AD1359" s="12"/>
      <c r="AE1359" s="12"/>
      <c r="AF1359" s="12">
        <v>1912182</v>
      </c>
      <c r="AG1359" s="12">
        <v>2916262</v>
      </c>
      <c r="AH1359" s="12"/>
      <c r="AI1359" s="12"/>
      <c r="AJ1359" s="51"/>
      <c r="AK1359" s="51"/>
      <c r="AL1359" s="51"/>
      <c r="AM1359" s="51"/>
      <c r="AN1359" s="26"/>
      <c r="AO1359" s="26"/>
      <c r="AP1359" s="26"/>
      <c r="AQ1359" s="26"/>
      <c r="AR1359" s="1044"/>
      <c r="AS1359" s="1044"/>
    </row>
    <row r="1360" spans="2:45" hidden="1" outlineLevel="1">
      <c r="B1360" s="565">
        <v>3611</v>
      </c>
      <c r="C1360" s="816" t="s">
        <v>2</v>
      </c>
      <c r="D1360" s="9"/>
      <c r="E1360" s="50" t="s">
        <v>136</v>
      </c>
      <c r="F1360" s="50"/>
      <c r="G1360" s="50"/>
      <c r="H1360" s="50"/>
      <c r="I1360" s="50"/>
      <c r="J1360" s="50"/>
      <c r="K1360" s="50"/>
      <c r="L1360" s="50"/>
      <c r="M1360" s="50"/>
      <c r="N1360" s="50"/>
      <c r="O1360" s="50"/>
      <c r="P1360" s="50"/>
      <c r="Q1360" s="50"/>
      <c r="R1360" s="50"/>
      <c r="S1360" s="50"/>
      <c r="T1360" s="50"/>
      <c r="U1360" s="50"/>
      <c r="V1360" s="50"/>
      <c r="W1360" s="50"/>
      <c r="X1360" s="50"/>
      <c r="Y1360" s="50"/>
      <c r="Z1360" s="50"/>
      <c r="AA1360" s="50"/>
      <c r="AB1360" s="12"/>
      <c r="AC1360" s="12"/>
      <c r="AD1360" s="12"/>
      <c r="AE1360" s="12"/>
      <c r="AF1360" s="12">
        <v>749286</v>
      </c>
      <c r="AG1360" s="12">
        <v>1127037</v>
      </c>
      <c r="AH1360" s="12"/>
      <c r="AI1360" s="12"/>
      <c r="AJ1360" s="51"/>
      <c r="AK1360" s="51"/>
      <c r="AL1360" s="51"/>
      <c r="AM1360" s="51"/>
      <c r="AN1360" s="26"/>
      <c r="AO1360" s="26"/>
      <c r="AP1360" s="26"/>
      <c r="AQ1360" s="26"/>
      <c r="AR1360" s="1044"/>
      <c r="AS1360" s="1044"/>
    </row>
    <row r="1361" spans="2:45" hidden="1" outlineLevel="1">
      <c r="B1361" s="565">
        <v>31034</v>
      </c>
      <c r="C1361" s="816" t="s">
        <v>2</v>
      </c>
      <c r="D1361" s="9"/>
      <c r="E1361" s="50" t="s">
        <v>137</v>
      </c>
      <c r="F1361" s="50"/>
      <c r="G1361" s="50"/>
      <c r="H1361" s="50"/>
      <c r="I1361" s="50"/>
      <c r="J1361" s="50"/>
      <c r="K1361" s="50"/>
      <c r="L1361" s="50"/>
      <c r="M1361" s="50"/>
      <c r="N1361" s="50"/>
      <c r="O1361" s="50"/>
      <c r="P1361" s="50"/>
      <c r="Q1361" s="50"/>
      <c r="R1361" s="50"/>
      <c r="S1361" s="50"/>
      <c r="T1361" s="50"/>
      <c r="U1361" s="50"/>
      <c r="V1361" s="50"/>
      <c r="W1361" s="50"/>
      <c r="X1361" s="50"/>
      <c r="Y1361" s="50"/>
      <c r="Z1361" s="50"/>
      <c r="AA1361" s="50"/>
      <c r="AB1361" s="12"/>
      <c r="AC1361" s="12"/>
      <c r="AD1361" s="12">
        <v>-114675</v>
      </c>
      <c r="AE1361" s="12">
        <v>-161152</v>
      </c>
      <c r="AF1361" s="12">
        <v>1503556</v>
      </c>
      <c r="AG1361" s="12">
        <v>2292651</v>
      </c>
      <c r="AH1361" s="12"/>
      <c r="AI1361" s="12"/>
      <c r="AJ1361" s="51"/>
      <c r="AK1361" s="51"/>
      <c r="AL1361" s="51"/>
      <c r="AM1361" s="51"/>
      <c r="AN1361" s="26"/>
      <c r="AO1361" s="26"/>
      <c r="AP1361" s="26"/>
      <c r="AQ1361" s="26"/>
      <c r="AR1361" s="1044"/>
      <c r="AS1361" s="1044"/>
    </row>
    <row r="1362" spans="2:45" hidden="1" outlineLevel="1">
      <c r="B1362" s="565">
        <v>3614</v>
      </c>
      <c r="C1362" s="816" t="s">
        <v>2</v>
      </c>
      <c r="D1362" s="9"/>
      <c r="E1362" s="50" t="s">
        <v>138</v>
      </c>
      <c r="F1362" s="50"/>
      <c r="G1362" s="50"/>
      <c r="H1362" s="50"/>
      <c r="I1362" s="50"/>
      <c r="J1362" s="50"/>
      <c r="K1362" s="50"/>
      <c r="L1362" s="50"/>
      <c r="M1362" s="50"/>
      <c r="N1362" s="50"/>
      <c r="O1362" s="50"/>
      <c r="P1362" s="50"/>
      <c r="Q1362" s="50"/>
      <c r="R1362" s="50"/>
      <c r="S1362" s="50"/>
      <c r="T1362" s="50"/>
      <c r="U1362" s="50"/>
      <c r="V1362" s="50"/>
      <c r="W1362" s="50"/>
      <c r="X1362" s="50"/>
      <c r="Y1362" s="50"/>
      <c r="Z1362" s="50"/>
      <c r="AA1362" s="50"/>
      <c r="AB1362" s="12"/>
      <c r="AC1362" s="12"/>
      <c r="AD1362" s="12"/>
      <c r="AE1362" s="12"/>
      <c r="AF1362" s="12">
        <v>382184</v>
      </c>
      <c r="AG1362" s="12">
        <v>574796</v>
      </c>
      <c r="AH1362" s="12"/>
      <c r="AI1362" s="12"/>
      <c r="AJ1362" s="51"/>
      <c r="AK1362" s="51"/>
      <c r="AL1362" s="51"/>
      <c r="AM1362" s="51"/>
      <c r="AN1362" s="26"/>
      <c r="AO1362" s="26"/>
      <c r="AP1362" s="26"/>
      <c r="AQ1362" s="26"/>
      <c r="AR1362" s="1044"/>
      <c r="AS1362" s="1044"/>
    </row>
    <row r="1363" spans="2:45" hidden="1" outlineLevel="1">
      <c r="B1363" s="565">
        <v>3626</v>
      </c>
      <c r="C1363" s="816" t="s">
        <v>2</v>
      </c>
      <c r="D1363" s="9"/>
      <c r="E1363" s="50" t="s">
        <v>1408</v>
      </c>
      <c r="F1363" s="50"/>
      <c r="G1363" s="50"/>
      <c r="H1363" s="50"/>
      <c r="I1363" s="50"/>
      <c r="J1363" s="50"/>
      <c r="K1363" s="50"/>
      <c r="L1363" s="50"/>
      <c r="M1363" s="50"/>
      <c r="N1363" s="50"/>
      <c r="O1363" s="50"/>
      <c r="P1363" s="50"/>
      <c r="Q1363" s="50"/>
      <c r="R1363" s="50"/>
      <c r="S1363" s="50"/>
      <c r="T1363" s="50"/>
      <c r="U1363" s="50"/>
      <c r="V1363" s="50"/>
      <c r="W1363" s="50"/>
      <c r="X1363" s="50"/>
      <c r="Y1363" s="50"/>
      <c r="Z1363" s="50"/>
      <c r="AA1363" s="50"/>
      <c r="AB1363" s="12"/>
      <c r="AC1363" s="12"/>
      <c r="AD1363" s="12"/>
      <c r="AE1363" s="12"/>
      <c r="AF1363" s="12">
        <v>1838709</v>
      </c>
      <c r="AG1363" s="12">
        <v>4739004</v>
      </c>
      <c r="AH1363" s="12"/>
      <c r="AI1363" s="12"/>
      <c r="AJ1363" s="51"/>
      <c r="AK1363" s="51"/>
      <c r="AL1363" s="51"/>
      <c r="AM1363" s="51"/>
      <c r="AN1363" s="26"/>
      <c r="AO1363" s="26"/>
      <c r="AP1363" s="26"/>
      <c r="AQ1363" s="26"/>
      <c r="AR1363" s="1044"/>
      <c r="AS1363" s="1044"/>
    </row>
    <row r="1364" spans="2:45" hidden="1" outlineLevel="1">
      <c r="B1364" s="565">
        <v>3627</v>
      </c>
      <c r="C1364" s="816" t="s">
        <v>2</v>
      </c>
      <c r="D1364" s="9"/>
      <c r="E1364" s="50" t="s">
        <v>1409</v>
      </c>
      <c r="F1364" s="50"/>
      <c r="G1364" s="50"/>
      <c r="H1364" s="50"/>
      <c r="I1364" s="50"/>
      <c r="J1364" s="50"/>
      <c r="K1364" s="50"/>
      <c r="L1364" s="50"/>
      <c r="M1364" s="50"/>
      <c r="N1364" s="50"/>
      <c r="O1364" s="50"/>
      <c r="P1364" s="50"/>
      <c r="Q1364" s="50"/>
      <c r="R1364" s="50"/>
      <c r="S1364" s="50"/>
      <c r="T1364" s="50"/>
      <c r="U1364" s="50"/>
      <c r="V1364" s="50"/>
      <c r="W1364" s="50"/>
      <c r="X1364" s="50"/>
      <c r="Y1364" s="50"/>
      <c r="Z1364" s="50"/>
      <c r="AA1364" s="50"/>
      <c r="AB1364" s="12"/>
      <c r="AC1364" s="12"/>
      <c r="AD1364" s="12"/>
      <c r="AE1364" s="12"/>
      <c r="AF1364" s="12">
        <v>406946</v>
      </c>
      <c r="AG1364" s="12">
        <v>620631</v>
      </c>
      <c r="AH1364" s="12"/>
      <c r="AI1364" s="12"/>
      <c r="AJ1364" s="51"/>
      <c r="AK1364" s="51"/>
      <c r="AL1364" s="51"/>
      <c r="AM1364" s="51"/>
      <c r="AN1364" s="26"/>
      <c r="AO1364" s="26"/>
      <c r="AP1364" s="26"/>
      <c r="AQ1364" s="26"/>
      <c r="AR1364" s="1044"/>
      <c r="AS1364" s="1044"/>
    </row>
    <row r="1365" spans="2:45" hidden="1" outlineLevel="1">
      <c r="B1365" s="565">
        <v>3628</v>
      </c>
      <c r="C1365" s="816" t="s">
        <v>2</v>
      </c>
      <c r="D1365" s="9"/>
      <c r="E1365" s="50" t="s">
        <v>141</v>
      </c>
      <c r="F1365" s="50"/>
      <c r="G1365" s="50"/>
      <c r="H1365" s="50"/>
      <c r="I1365" s="50"/>
      <c r="J1365" s="50"/>
      <c r="K1365" s="50"/>
      <c r="L1365" s="50"/>
      <c r="M1365" s="50"/>
      <c r="N1365" s="50"/>
      <c r="O1365" s="50"/>
      <c r="P1365" s="50"/>
      <c r="Q1365" s="50"/>
      <c r="R1365" s="50"/>
      <c r="S1365" s="50"/>
      <c r="T1365" s="50"/>
      <c r="U1365" s="50"/>
      <c r="V1365" s="50"/>
      <c r="W1365" s="50"/>
      <c r="X1365" s="50"/>
      <c r="Y1365" s="50"/>
      <c r="Z1365" s="50"/>
      <c r="AA1365" s="50"/>
      <c r="AB1365" s="12"/>
      <c r="AC1365" s="12"/>
      <c r="AD1365" s="12"/>
      <c r="AE1365" s="12"/>
      <c r="AF1365" s="12">
        <v>457431</v>
      </c>
      <c r="AG1365" s="12">
        <v>697627</v>
      </c>
      <c r="AH1365" s="12"/>
      <c r="AI1365" s="12"/>
      <c r="AJ1365" s="51"/>
      <c r="AK1365" s="51"/>
      <c r="AL1365" s="51"/>
      <c r="AM1365" s="51"/>
      <c r="AN1365" s="26"/>
      <c r="AO1365" s="26"/>
      <c r="AP1365" s="26"/>
      <c r="AQ1365" s="26"/>
      <c r="AR1365" s="1044"/>
      <c r="AS1365" s="1044"/>
    </row>
    <row r="1366" spans="2:45" hidden="1" outlineLevel="1">
      <c r="B1366" s="565">
        <v>3643</v>
      </c>
      <c r="C1366" s="816" t="s">
        <v>2</v>
      </c>
      <c r="D1366" s="9"/>
      <c r="E1366" s="50" t="s">
        <v>142</v>
      </c>
      <c r="F1366" s="50"/>
      <c r="G1366" s="50"/>
      <c r="H1366" s="50"/>
      <c r="I1366" s="50"/>
      <c r="J1366" s="50"/>
      <c r="K1366" s="50"/>
      <c r="L1366" s="50"/>
      <c r="M1366" s="50"/>
      <c r="N1366" s="50"/>
      <c r="O1366" s="50"/>
      <c r="P1366" s="50"/>
      <c r="Q1366" s="50"/>
      <c r="R1366" s="50"/>
      <c r="S1366" s="50"/>
      <c r="T1366" s="50"/>
      <c r="U1366" s="50"/>
      <c r="V1366" s="50"/>
      <c r="W1366" s="50"/>
      <c r="X1366" s="50"/>
      <c r="Y1366" s="50"/>
      <c r="Z1366" s="50"/>
      <c r="AA1366" s="50"/>
      <c r="AB1366" s="12"/>
      <c r="AC1366" s="12"/>
      <c r="AD1366" s="12"/>
      <c r="AE1366" s="12"/>
      <c r="AF1366" s="12">
        <v>0</v>
      </c>
      <c r="AG1366" s="12">
        <v>1737231</v>
      </c>
      <c r="AH1366" s="12"/>
      <c r="AI1366" s="12"/>
      <c r="AJ1366" s="51"/>
      <c r="AK1366" s="51"/>
      <c r="AL1366" s="51"/>
      <c r="AM1366" s="51"/>
      <c r="AN1366" s="26"/>
      <c r="AO1366" s="26"/>
      <c r="AP1366" s="26"/>
      <c r="AQ1366" s="26"/>
      <c r="AR1366" s="1044"/>
      <c r="AS1366" s="1044"/>
    </row>
    <row r="1367" spans="2:45" hidden="1" outlineLevel="1">
      <c r="B1367" s="565">
        <v>3572</v>
      </c>
      <c r="C1367" s="816" t="s">
        <v>2</v>
      </c>
      <c r="D1367" s="9"/>
      <c r="E1367" s="50" t="s">
        <v>143</v>
      </c>
      <c r="F1367" s="50"/>
      <c r="G1367" s="50"/>
      <c r="H1367" s="50"/>
      <c r="I1367" s="50"/>
      <c r="J1367" s="50"/>
      <c r="K1367" s="50"/>
      <c r="L1367" s="50"/>
      <c r="M1367" s="50"/>
      <c r="N1367" s="50"/>
      <c r="O1367" s="50"/>
      <c r="P1367" s="50"/>
      <c r="Q1367" s="50"/>
      <c r="R1367" s="50"/>
      <c r="S1367" s="50"/>
      <c r="T1367" s="50"/>
      <c r="U1367" s="50"/>
      <c r="V1367" s="50"/>
      <c r="W1367" s="50"/>
      <c r="X1367" s="50"/>
      <c r="Y1367" s="50"/>
      <c r="Z1367" s="50"/>
      <c r="AA1367" s="50"/>
      <c r="AB1367" s="12"/>
      <c r="AC1367" s="12"/>
      <c r="AD1367" s="12"/>
      <c r="AE1367" s="12"/>
      <c r="AF1367" s="12">
        <v>0</v>
      </c>
      <c r="AG1367" s="12">
        <v>1482408</v>
      </c>
      <c r="AH1367" s="12"/>
      <c r="AI1367" s="12"/>
      <c r="AJ1367" s="51"/>
      <c r="AK1367" s="51"/>
      <c r="AL1367" s="51"/>
      <c r="AM1367" s="51"/>
      <c r="AN1367" s="26"/>
      <c r="AO1367" s="26"/>
      <c r="AP1367" s="26"/>
      <c r="AQ1367" s="26"/>
      <c r="AR1367" s="1044"/>
      <c r="AS1367" s="1044"/>
    </row>
    <row r="1368" spans="2:45" hidden="1" outlineLevel="1">
      <c r="B1368" s="565">
        <v>3648</v>
      </c>
      <c r="C1368" s="816" t="s">
        <v>2</v>
      </c>
      <c r="D1368" s="9"/>
      <c r="E1368" s="50" t="s">
        <v>144</v>
      </c>
      <c r="F1368" s="50"/>
      <c r="G1368" s="50"/>
      <c r="H1368" s="50"/>
      <c r="I1368" s="50"/>
      <c r="J1368" s="50"/>
      <c r="K1368" s="50"/>
      <c r="L1368" s="50"/>
      <c r="M1368" s="50"/>
      <c r="N1368" s="50"/>
      <c r="O1368" s="50"/>
      <c r="P1368" s="50"/>
      <c r="Q1368" s="50"/>
      <c r="R1368" s="50"/>
      <c r="S1368" s="50"/>
      <c r="T1368" s="50"/>
      <c r="U1368" s="50"/>
      <c r="V1368" s="50"/>
      <c r="W1368" s="50"/>
      <c r="X1368" s="50"/>
      <c r="Y1368" s="50"/>
      <c r="Z1368" s="50"/>
      <c r="AA1368" s="50"/>
      <c r="AB1368" s="12"/>
      <c r="AC1368" s="12"/>
      <c r="AD1368" s="12"/>
      <c r="AE1368" s="12"/>
      <c r="AF1368" s="12">
        <v>285060</v>
      </c>
      <c r="AG1368" s="12">
        <v>1969699</v>
      </c>
      <c r="AH1368" s="12"/>
      <c r="AI1368" s="12"/>
      <c r="AJ1368" s="51"/>
      <c r="AK1368" s="51"/>
      <c r="AL1368" s="51"/>
      <c r="AM1368" s="51"/>
      <c r="AN1368" s="26"/>
      <c r="AO1368" s="26"/>
      <c r="AP1368" s="26"/>
      <c r="AQ1368" s="26"/>
      <c r="AR1368" s="1044"/>
      <c r="AS1368" s="1044"/>
    </row>
    <row r="1369" spans="2:45" hidden="1" outlineLevel="1">
      <c r="B1369" s="565">
        <v>10060</v>
      </c>
      <c r="C1369" s="816" t="s">
        <v>2</v>
      </c>
      <c r="D1369" s="9"/>
      <c r="E1369" s="50" t="s">
        <v>180</v>
      </c>
      <c r="F1369" s="50"/>
      <c r="G1369" s="50"/>
      <c r="H1369" s="50"/>
      <c r="I1369" s="50"/>
      <c r="J1369" s="50"/>
      <c r="K1369" s="50"/>
      <c r="L1369" s="50"/>
      <c r="M1369" s="50"/>
      <c r="N1369" s="50"/>
      <c r="O1369" s="50"/>
      <c r="P1369" s="50"/>
      <c r="Q1369" s="50"/>
      <c r="R1369" s="50"/>
      <c r="S1369" s="50"/>
      <c r="T1369" s="50"/>
      <c r="U1369" s="50"/>
      <c r="V1369" s="50"/>
      <c r="W1369" s="50"/>
      <c r="X1369" s="50"/>
      <c r="Y1369" s="50"/>
      <c r="Z1369" s="50"/>
      <c r="AA1369" s="50"/>
      <c r="AB1369" s="12"/>
      <c r="AC1369" s="12"/>
      <c r="AD1369" s="12"/>
      <c r="AE1369" s="12"/>
      <c r="AF1369" s="12">
        <v>290302</v>
      </c>
      <c r="AG1369" s="12">
        <v>442264</v>
      </c>
      <c r="AH1369" s="12"/>
      <c r="AI1369" s="12"/>
      <c r="AJ1369" s="51"/>
      <c r="AK1369" s="51"/>
      <c r="AL1369" s="51"/>
      <c r="AM1369" s="51"/>
      <c r="AN1369" s="26"/>
      <c r="AO1369" s="26"/>
      <c r="AP1369" s="26"/>
      <c r="AQ1369" s="26"/>
      <c r="AR1369" s="1044"/>
      <c r="AS1369" s="1044"/>
    </row>
    <row r="1370" spans="2:45" hidden="1" outlineLevel="1">
      <c r="B1370" s="565">
        <v>3662</v>
      </c>
      <c r="C1370" s="816" t="s">
        <v>2</v>
      </c>
      <c r="D1370" s="9"/>
      <c r="E1370" s="50" t="s">
        <v>146</v>
      </c>
      <c r="F1370" s="50"/>
      <c r="G1370" s="50"/>
      <c r="H1370" s="50"/>
      <c r="I1370" s="50"/>
      <c r="J1370" s="50"/>
      <c r="K1370" s="50"/>
      <c r="L1370" s="50"/>
      <c r="M1370" s="50"/>
      <c r="N1370" s="50"/>
      <c r="O1370" s="50"/>
      <c r="P1370" s="50"/>
      <c r="Q1370" s="50"/>
      <c r="R1370" s="50"/>
      <c r="S1370" s="50"/>
      <c r="T1370" s="50"/>
      <c r="U1370" s="50"/>
      <c r="V1370" s="50"/>
      <c r="W1370" s="50"/>
      <c r="X1370" s="50"/>
      <c r="Y1370" s="50"/>
      <c r="Z1370" s="50"/>
      <c r="AA1370" s="50"/>
      <c r="AB1370" s="12"/>
      <c r="AC1370" s="12"/>
      <c r="AD1370" s="12"/>
      <c r="AE1370" s="12"/>
      <c r="AF1370" s="12">
        <v>338106</v>
      </c>
      <c r="AG1370" s="12">
        <v>508508</v>
      </c>
      <c r="AH1370" s="12"/>
      <c r="AI1370" s="12"/>
      <c r="AJ1370" s="51"/>
      <c r="AK1370" s="51"/>
      <c r="AL1370" s="51"/>
      <c r="AM1370" s="51"/>
      <c r="AN1370" s="26"/>
      <c r="AO1370" s="26"/>
      <c r="AP1370" s="26"/>
      <c r="AQ1370" s="26"/>
      <c r="AR1370" s="1044"/>
      <c r="AS1370" s="1044"/>
    </row>
    <row r="1371" spans="2:45" hidden="1" outlineLevel="1">
      <c r="B1371" s="565">
        <v>3664</v>
      </c>
      <c r="C1371" s="816" t="s">
        <v>2</v>
      </c>
      <c r="D1371" s="9"/>
      <c r="E1371" s="50" t="s">
        <v>147</v>
      </c>
      <c r="F1371" s="50"/>
      <c r="G1371" s="50"/>
      <c r="H1371" s="50"/>
      <c r="I1371" s="50"/>
      <c r="J1371" s="50"/>
      <c r="K1371" s="50"/>
      <c r="L1371" s="50"/>
      <c r="M1371" s="50"/>
      <c r="N1371" s="50"/>
      <c r="O1371" s="50"/>
      <c r="P1371" s="50"/>
      <c r="Q1371" s="50"/>
      <c r="R1371" s="50"/>
      <c r="S1371" s="50"/>
      <c r="T1371" s="50"/>
      <c r="U1371" s="50"/>
      <c r="V1371" s="50"/>
      <c r="W1371" s="50"/>
      <c r="X1371" s="50"/>
      <c r="Y1371" s="50"/>
      <c r="Z1371" s="50"/>
      <c r="AA1371" s="50"/>
      <c r="AB1371" s="12"/>
      <c r="AC1371" s="12"/>
      <c r="AD1371" s="12"/>
      <c r="AE1371" s="12"/>
      <c r="AF1371" s="12">
        <v>405286</v>
      </c>
      <c r="AG1371" s="12">
        <v>617559</v>
      </c>
      <c r="AH1371" s="12"/>
      <c r="AI1371" s="12"/>
      <c r="AJ1371" s="51"/>
      <c r="AK1371" s="51"/>
      <c r="AL1371" s="51"/>
      <c r="AM1371" s="51"/>
      <c r="AN1371" s="26"/>
      <c r="AO1371" s="26"/>
      <c r="AP1371" s="26"/>
      <c r="AQ1371" s="26"/>
      <c r="AR1371" s="1044"/>
      <c r="AS1371" s="1044"/>
    </row>
    <row r="1372" spans="2:45" hidden="1" outlineLevel="1">
      <c r="B1372" s="565">
        <v>9549</v>
      </c>
      <c r="C1372" s="816" t="s">
        <v>2</v>
      </c>
      <c r="D1372" s="9"/>
      <c r="E1372" s="50" t="s">
        <v>148</v>
      </c>
      <c r="F1372" s="50"/>
      <c r="G1372" s="50"/>
      <c r="H1372" s="50"/>
      <c r="I1372" s="50"/>
      <c r="J1372" s="50"/>
      <c r="K1372" s="50"/>
      <c r="L1372" s="50"/>
      <c r="M1372" s="50"/>
      <c r="N1372" s="50"/>
      <c r="O1372" s="50"/>
      <c r="P1372" s="50"/>
      <c r="Q1372" s="50"/>
      <c r="R1372" s="50"/>
      <c r="S1372" s="50"/>
      <c r="T1372" s="50"/>
      <c r="U1372" s="50"/>
      <c r="V1372" s="50"/>
      <c r="W1372" s="50"/>
      <c r="X1372" s="50"/>
      <c r="Y1372" s="50"/>
      <c r="Z1372" s="50"/>
      <c r="AA1372" s="50"/>
      <c r="AB1372" s="12"/>
      <c r="AC1372" s="12"/>
      <c r="AD1372" s="12"/>
      <c r="AE1372" s="12"/>
      <c r="AF1372" s="12">
        <v>197317</v>
      </c>
      <c r="AG1372" s="12">
        <v>300881</v>
      </c>
      <c r="AH1372" s="12"/>
      <c r="AI1372" s="12"/>
      <c r="AJ1372" s="51"/>
      <c r="AK1372" s="51"/>
      <c r="AL1372" s="51"/>
      <c r="AM1372" s="51"/>
      <c r="AN1372" s="26"/>
      <c r="AO1372" s="26"/>
      <c r="AP1372" s="26"/>
      <c r="AQ1372" s="26"/>
      <c r="AR1372" s="1044"/>
      <c r="AS1372" s="1044"/>
    </row>
    <row r="1373" spans="2:45" hidden="1" outlineLevel="1">
      <c r="B1373" s="565">
        <v>3668</v>
      </c>
      <c r="C1373" s="816" t="s">
        <v>2</v>
      </c>
      <c r="D1373" s="9"/>
      <c r="E1373" s="50" t="s">
        <v>149</v>
      </c>
      <c r="F1373" s="50"/>
      <c r="G1373" s="50"/>
      <c r="H1373" s="50"/>
      <c r="I1373" s="50"/>
      <c r="J1373" s="50"/>
      <c r="K1373" s="50"/>
      <c r="L1373" s="50"/>
      <c r="M1373" s="50"/>
      <c r="N1373" s="50"/>
      <c r="O1373" s="50"/>
      <c r="P1373" s="50"/>
      <c r="Q1373" s="50"/>
      <c r="R1373" s="50"/>
      <c r="S1373" s="50"/>
      <c r="T1373" s="50"/>
      <c r="U1373" s="50"/>
      <c r="V1373" s="50"/>
      <c r="W1373" s="50"/>
      <c r="X1373" s="50"/>
      <c r="Y1373" s="50"/>
      <c r="Z1373" s="50"/>
      <c r="AA1373" s="50"/>
      <c r="AB1373" s="12"/>
      <c r="AC1373" s="12"/>
      <c r="AD1373" s="12"/>
      <c r="AE1373" s="12"/>
      <c r="AF1373" s="12">
        <v>421745</v>
      </c>
      <c r="AG1373" s="12">
        <v>634366</v>
      </c>
      <c r="AH1373" s="12"/>
      <c r="AI1373" s="12"/>
      <c r="AJ1373" s="51"/>
      <c r="AK1373" s="51"/>
      <c r="AL1373" s="51"/>
      <c r="AM1373" s="51"/>
      <c r="AN1373" s="26"/>
      <c r="AO1373" s="26"/>
      <c r="AP1373" s="26"/>
      <c r="AQ1373" s="26"/>
      <c r="AR1373" s="1044"/>
      <c r="AS1373" s="1044"/>
    </row>
    <row r="1374" spans="2:45" hidden="1" outlineLevel="1">
      <c r="C1374" s="816" t="s">
        <v>2</v>
      </c>
      <c r="D1374" s="9">
        <v>3</v>
      </c>
      <c r="E1374" s="20" t="s">
        <v>1441</v>
      </c>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c r="AB1374" s="12"/>
      <c r="AC1374" s="12"/>
      <c r="AD1374" s="12"/>
      <c r="AE1374" s="12"/>
      <c r="AF1374" s="12">
        <v>626815</v>
      </c>
      <c r="AG1374" s="12">
        <v>314674</v>
      </c>
      <c r="AH1374" s="12"/>
      <c r="AI1374" s="12"/>
      <c r="AJ1374" s="22"/>
      <c r="AK1374" s="22"/>
      <c r="AL1374" s="22"/>
      <c r="AM1374" s="22"/>
      <c r="AN1374" s="26"/>
      <c r="AO1374" s="26"/>
      <c r="AP1374" s="26"/>
      <c r="AQ1374" s="26"/>
      <c r="AR1374" s="1044"/>
      <c r="AS1374" s="1044"/>
    </row>
    <row r="1375" spans="2:45" hidden="1" outlineLevel="1">
      <c r="C1375" s="816" t="s">
        <v>2</v>
      </c>
      <c r="D1375" s="9">
        <v>3</v>
      </c>
      <c r="E1375" s="20" t="s">
        <v>1442</v>
      </c>
      <c r="F1375" s="20"/>
      <c r="G1375" s="20"/>
      <c r="H1375" s="20"/>
      <c r="I1375" s="20"/>
      <c r="J1375" s="20"/>
      <c r="K1375" s="20"/>
      <c r="L1375" s="20"/>
      <c r="M1375" s="20"/>
      <c r="N1375" s="20"/>
      <c r="O1375" s="20"/>
      <c r="P1375" s="20"/>
      <c r="Q1375" s="20"/>
      <c r="R1375" s="20"/>
      <c r="S1375" s="20"/>
      <c r="T1375" s="20"/>
      <c r="U1375" s="20"/>
      <c r="V1375" s="20"/>
      <c r="W1375" s="20"/>
      <c r="X1375" s="20"/>
      <c r="Y1375" s="20"/>
      <c r="Z1375" s="20"/>
      <c r="AA1375" s="20"/>
      <c r="AB1375" s="12"/>
      <c r="AC1375" s="12"/>
      <c r="AD1375" s="12"/>
      <c r="AE1375" s="12"/>
      <c r="AF1375" s="12">
        <v>759594</v>
      </c>
      <c r="AG1375" s="12">
        <v>1707490</v>
      </c>
      <c r="AH1375" s="12"/>
      <c r="AI1375" s="12"/>
      <c r="AJ1375" s="22"/>
      <c r="AK1375" s="22"/>
      <c r="AL1375" s="22"/>
      <c r="AM1375" s="22"/>
      <c r="AN1375" s="26"/>
      <c r="AO1375" s="26"/>
      <c r="AP1375" s="26"/>
      <c r="AQ1375" s="26"/>
      <c r="AR1375" s="1044"/>
      <c r="AS1375" s="1044"/>
    </row>
    <row r="1376" spans="2:45" hidden="1" outlineLevel="1">
      <c r="C1376" s="816" t="s">
        <v>2</v>
      </c>
      <c r="D1376" s="9">
        <v>3</v>
      </c>
      <c r="E1376" s="20" t="s">
        <v>1443</v>
      </c>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c r="AB1376" s="12"/>
      <c r="AC1376" s="12"/>
      <c r="AD1376" s="12"/>
      <c r="AE1376" s="12"/>
      <c r="AF1376" s="12">
        <v>660430</v>
      </c>
      <c r="AG1376" s="12">
        <v>1111674</v>
      </c>
      <c r="AH1376" s="12"/>
      <c r="AI1376" s="12"/>
      <c r="AJ1376" s="22"/>
      <c r="AK1376" s="22"/>
      <c r="AL1376" s="22"/>
      <c r="AM1376" s="22"/>
      <c r="AN1376" s="26"/>
      <c r="AO1376" s="26"/>
      <c r="AP1376" s="26"/>
      <c r="AQ1376" s="26"/>
      <c r="AR1376" s="1044"/>
      <c r="AS1376" s="1044"/>
    </row>
    <row r="1377" spans="2:45" hidden="1" outlineLevel="1">
      <c r="C1377" s="816" t="s">
        <v>2</v>
      </c>
      <c r="D1377" s="9">
        <v>3</v>
      </c>
      <c r="E1377" s="20" t="s">
        <v>1444</v>
      </c>
      <c r="F1377" s="20"/>
      <c r="G1377" s="20"/>
      <c r="H1377" s="20"/>
      <c r="I1377" s="20"/>
      <c r="J1377" s="20"/>
      <c r="K1377" s="20"/>
      <c r="L1377" s="20"/>
      <c r="M1377" s="20"/>
      <c r="N1377" s="20"/>
      <c r="O1377" s="20"/>
      <c r="P1377" s="20"/>
      <c r="Q1377" s="20"/>
      <c r="R1377" s="20"/>
      <c r="S1377" s="20"/>
      <c r="T1377" s="20"/>
      <c r="U1377" s="20"/>
      <c r="V1377" s="20"/>
      <c r="W1377" s="20"/>
      <c r="X1377" s="20"/>
      <c r="Y1377" s="20"/>
      <c r="Z1377" s="20"/>
      <c r="AA1377" s="20"/>
      <c r="AB1377" s="12"/>
      <c r="AC1377" s="12"/>
      <c r="AD1377" s="12"/>
      <c r="AE1377" s="12"/>
      <c r="AF1377" s="12">
        <v>402342</v>
      </c>
      <c r="AG1377" s="12">
        <v>433962</v>
      </c>
      <c r="AH1377" s="12"/>
      <c r="AI1377" s="12"/>
      <c r="AJ1377" s="22"/>
      <c r="AK1377" s="22"/>
      <c r="AL1377" s="22"/>
      <c r="AM1377" s="22"/>
      <c r="AN1377" s="26"/>
      <c r="AO1377" s="26"/>
      <c r="AP1377" s="26"/>
      <c r="AQ1377" s="26"/>
      <c r="AR1377" s="1044"/>
      <c r="AS1377" s="1044"/>
    </row>
    <row r="1378" spans="2:45" hidden="1" outlineLevel="1">
      <c r="C1378" s="816" t="s">
        <v>2</v>
      </c>
      <c r="D1378" s="9">
        <v>3</v>
      </c>
      <c r="E1378" s="20" t="s">
        <v>1445</v>
      </c>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c r="AB1378" s="12"/>
      <c r="AC1378" s="12"/>
      <c r="AD1378" s="12"/>
      <c r="AE1378" s="12"/>
      <c r="AF1378" s="12">
        <v>136444</v>
      </c>
      <c r="AG1378" s="12">
        <v>2416071</v>
      </c>
      <c r="AH1378" s="12"/>
      <c r="AI1378" s="12"/>
      <c r="AJ1378" s="22"/>
      <c r="AK1378" s="22"/>
      <c r="AL1378" s="22"/>
      <c r="AM1378" s="22"/>
      <c r="AN1378" s="26"/>
      <c r="AO1378" s="26"/>
      <c r="AP1378" s="26"/>
      <c r="AQ1378" s="26"/>
      <c r="AR1378" s="1044"/>
      <c r="AS1378" s="1044"/>
    </row>
    <row r="1379" spans="2:45" s="1044" customFormat="1" hidden="1" outlineLevel="1">
      <c r="B1379" s="1045"/>
      <c r="C1379" s="1053" t="s">
        <v>2</v>
      </c>
      <c r="D1379" s="1030">
        <v>3</v>
      </c>
      <c r="E1379" s="1047" t="s">
        <v>1852</v>
      </c>
      <c r="F1379" s="1047"/>
      <c r="G1379" s="1047"/>
      <c r="H1379" s="1047"/>
      <c r="I1379" s="1047"/>
      <c r="J1379" s="1047"/>
      <c r="K1379" s="1047"/>
      <c r="L1379" s="1047"/>
      <c r="M1379" s="1047"/>
      <c r="N1379" s="1047"/>
      <c r="O1379" s="1047"/>
      <c r="P1379" s="1047"/>
      <c r="Q1379" s="1047"/>
      <c r="R1379" s="1047"/>
      <c r="S1379" s="1047"/>
      <c r="T1379" s="1047"/>
      <c r="U1379" s="1047"/>
      <c r="V1379" s="1047"/>
      <c r="W1379" s="1047"/>
      <c r="X1379" s="1047"/>
      <c r="Y1379" s="1047"/>
      <c r="Z1379" s="1047"/>
      <c r="AA1379" s="1047"/>
      <c r="AB1379" s="1070"/>
      <c r="AC1379" s="1070"/>
      <c r="AD1379" s="1070"/>
      <c r="AE1379" s="1070"/>
      <c r="AF1379" s="1070"/>
      <c r="AG1379" s="1070"/>
      <c r="AH1379" s="1070"/>
      <c r="AI1379" s="1070"/>
      <c r="AJ1379" s="1059"/>
      <c r="AK1379" s="1059"/>
      <c r="AL1379" s="1059"/>
      <c r="AM1379" s="1059"/>
      <c r="AN1379" s="26"/>
      <c r="AO1379" s="26"/>
      <c r="AP1379" s="26"/>
      <c r="AQ1379" s="26"/>
    </row>
    <row r="1380" spans="2:45" s="1044" customFormat="1" hidden="1" outlineLevel="1">
      <c r="B1380" s="1045"/>
      <c r="C1380" s="1053" t="s">
        <v>2</v>
      </c>
      <c r="D1380" s="1030">
        <v>3</v>
      </c>
      <c r="E1380" s="1047" t="s">
        <v>1853</v>
      </c>
      <c r="F1380" s="1047"/>
      <c r="G1380" s="1047"/>
      <c r="H1380" s="1047"/>
      <c r="I1380" s="1047"/>
      <c r="J1380" s="1047"/>
      <c r="K1380" s="1047"/>
      <c r="L1380" s="1047"/>
      <c r="M1380" s="1047"/>
      <c r="N1380" s="1047"/>
      <c r="O1380" s="1047"/>
      <c r="P1380" s="1047"/>
      <c r="Q1380" s="1047"/>
      <c r="R1380" s="1047"/>
      <c r="S1380" s="1047"/>
      <c r="T1380" s="1047"/>
      <c r="U1380" s="1047"/>
      <c r="V1380" s="1047"/>
      <c r="W1380" s="1047"/>
      <c r="X1380" s="1047"/>
      <c r="Y1380" s="1047"/>
      <c r="Z1380" s="1047"/>
      <c r="AA1380" s="1047"/>
      <c r="AB1380" s="1070"/>
      <c r="AC1380" s="1070"/>
      <c r="AD1380" s="1070"/>
      <c r="AE1380" s="1070"/>
      <c r="AF1380" s="1070"/>
      <c r="AG1380" s="1070"/>
      <c r="AH1380" s="1070"/>
      <c r="AI1380" s="1070"/>
      <c r="AJ1380" s="1059"/>
      <c r="AK1380" s="1059"/>
      <c r="AL1380" s="1059"/>
      <c r="AM1380" s="1059"/>
      <c r="AN1380" s="26"/>
      <c r="AO1380" s="26"/>
      <c r="AP1380" s="26"/>
      <c r="AQ1380" s="26"/>
    </row>
    <row r="1381" spans="2:45" hidden="1" outlineLevel="1">
      <c r="C1381" s="816" t="s">
        <v>2</v>
      </c>
      <c r="D1381" s="9">
        <v>3</v>
      </c>
      <c r="E1381" s="20" t="s">
        <v>83</v>
      </c>
      <c r="F1381" s="20"/>
      <c r="G1381" s="20"/>
      <c r="H1381" s="20"/>
      <c r="I1381" s="20"/>
      <c r="J1381" s="20"/>
      <c r="K1381" s="20"/>
      <c r="L1381" s="20"/>
      <c r="M1381" s="20"/>
      <c r="N1381" s="20"/>
      <c r="O1381" s="20"/>
      <c r="P1381" s="20"/>
      <c r="Q1381" s="20"/>
      <c r="R1381" s="20"/>
      <c r="S1381" s="20"/>
      <c r="T1381" s="20"/>
      <c r="U1381" s="20"/>
      <c r="V1381" s="20"/>
      <c r="W1381" s="20"/>
      <c r="X1381" s="20"/>
      <c r="Y1381" s="20"/>
      <c r="Z1381" s="20"/>
      <c r="AA1381" s="20"/>
      <c r="AB1381" s="12"/>
      <c r="AC1381" s="12"/>
      <c r="AD1381" s="12">
        <v>-2425000</v>
      </c>
      <c r="AE1381" s="12">
        <v>-2425000</v>
      </c>
      <c r="AF1381" s="12">
        <v>2921137</v>
      </c>
      <c r="AG1381" s="12">
        <v>4531706</v>
      </c>
      <c r="AH1381" s="12"/>
      <c r="AI1381" s="12"/>
      <c r="AJ1381" s="22"/>
      <c r="AK1381" s="22"/>
      <c r="AL1381" s="22"/>
      <c r="AM1381" s="22"/>
      <c r="AN1381" s="26"/>
      <c r="AO1381" s="26"/>
      <c r="AP1381" s="26"/>
      <c r="AQ1381" s="26"/>
      <c r="AR1381" s="1044"/>
      <c r="AS1381" s="1044"/>
    </row>
    <row r="1382" spans="2:45" hidden="1" outlineLevel="1">
      <c r="C1382" s="816" t="s">
        <v>2</v>
      </c>
      <c r="D1382" s="9">
        <v>3</v>
      </c>
      <c r="E1382" s="20" t="s">
        <v>84</v>
      </c>
      <c r="F1382" s="20"/>
      <c r="G1382" s="20"/>
      <c r="H1382" s="20"/>
      <c r="I1382" s="20"/>
      <c r="J1382" s="20"/>
      <c r="K1382" s="20"/>
      <c r="L1382" s="20"/>
      <c r="M1382" s="20"/>
      <c r="N1382" s="20"/>
      <c r="O1382" s="20"/>
      <c r="P1382" s="20"/>
      <c r="Q1382" s="20"/>
      <c r="R1382" s="20"/>
      <c r="S1382" s="20"/>
      <c r="T1382" s="20"/>
      <c r="U1382" s="20"/>
      <c r="V1382" s="20"/>
      <c r="W1382" s="20"/>
      <c r="X1382" s="20"/>
      <c r="Y1382" s="20"/>
      <c r="Z1382" s="20"/>
      <c r="AA1382" s="20"/>
      <c r="AB1382" s="12"/>
      <c r="AC1382" s="12"/>
      <c r="AD1382" s="12"/>
      <c r="AE1382" s="12"/>
      <c r="AF1382" s="12">
        <v>1296254</v>
      </c>
      <c r="AG1382" s="12">
        <v>4932005</v>
      </c>
      <c r="AH1382" s="12"/>
      <c r="AI1382" s="12"/>
      <c r="AJ1382" s="22"/>
      <c r="AK1382" s="22"/>
      <c r="AL1382" s="22"/>
      <c r="AM1382" s="22"/>
      <c r="AN1382" s="26"/>
      <c r="AO1382" s="26"/>
      <c r="AP1382" s="26"/>
      <c r="AQ1382" s="26"/>
      <c r="AR1382" s="1044"/>
      <c r="AS1382" s="1044"/>
    </row>
    <row r="1383" spans="2:45" hidden="1" outlineLevel="1">
      <c r="C1383" s="816" t="s">
        <v>2</v>
      </c>
      <c r="D1383" s="9">
        <v>3</v>
      </c>
      <c r="E1383" s="20" t="s">
        <v>85</v>
      </c>
      <c r="F1383" s="20"/>
      <c r="G1383" s="20"/>
      <c r="H1383" s="20"/>
      <c r="I1383" s="20"/>
      <c r="J1383" s="20"/>
      <c r="K1383" s="20"/>
      <c r="L1383" s="20"/>
      <c r="M1383" s="20"/>
      <c r="N1383" s="20"/>
      <c r="O1383" s="20"/>
      <c r="P1383" s="20"/>
      <c r="Q1383" s="20"/>
      <c r="R1383" s="20"/>
      <c r="S1383" s="20"/>
      <c r="T1383" s="20"/>
      <c r="U1383" s="20"/>
      <c r="V1383" s="20"/>
      <c r="W1383" s="20"/>
      <c r="X1383" s="20"/>
      <c r="Y1383" s="20"/>
      <c r="Z1383" s="20"/>
      <c r="AA1383" s="20"/>
      <c r="AB1383" s="12"/>
      <c r="AC1383" s="12"/>
      <c r="AD1383" s="12"/>
      <c r="AE1383" s="12"/>
      <c r="AF1383" s="12">
        <v>753817</v>
      </c>
      <c r="AG1383" s="12">
        <v>1193228</v>
      </c>
      <c r="AH1383" s="12"/>
      <c r="AI1383" s="12"/>
      <c r="AJ1383" s="22"/>
      <c r="AK1383" s="22"/>
      <c r="AL1383" s="22"/>
      <c r="AM1383" s="22"/>
      <c r="AN1383" s="26"/>
      <c r="AO1383" s="26"/>
      <c r="AP1383" s="26"/>
      <c r="AQ1383" s="26"/>
      <c r="AR1383" s="1044"/>
      <c r="AS1383" s="1044"/>
    </row>
    <row r="1384" spans="2:45" hidden="1" outlineLevel="1">
      <c r="C1384" s="816" t="s">
        <v>2</v>
      </c>
      <c r="D1384" s="9">
        <v>3</v>
      </c>
      <c r="E1384" s="20" t="s">
        <v>86</v>
      </c>
      <c r="F1384" s="20"/>
      <c r="G1384" s="20"/>
      <c r="H1384" s="20"/>
      <c r="I1384" s="20"/>
      <c r="J1384" s="20"/>
      <c r="K1384" s="20"/>
      <c r="L1384" s="20"/>
      <c r="M1384" s="20"/>
      <c r="N1384" s="20"/>
      <c r="O1384" s="20"/>
      <c r="P1384" s="20"/>
      <c r="Q1384" s="20"/>
      <c r="R1384" s="20"/>
      <c r="S1384" s="20"/>
      <c r="T1384" s="20"/>
      <c r="U1384" s="20"/>
      <c r="V1384" s="20"/>
      <c r="W1384" s="20"/>
      <c r="X1384" s="20"/>
      <c r="Y1384" s="20"/>
      <c r="Z1384" s="20"/>
      <c r="AA1384" s="20"/>
      <c r="AB1384" s="12"/>
      <c r="AC1384" s="12"/>
      <c r="AD1384" s="12"/>
      <c r="AE1384" s="12"/>
      <c r="AF1384" s="12">
        <v>57500</v>
      </c>
      <c r="AG1384" s="12">
        <v>56250</v>
      </c>
      <c r="AH1384" s="12"/>
      <c r="AI1384" s="12"/>
      <c r="AJ1384" s="22"/>
      <c r="AK1384" s="22"/>
      <c r="AL1384" s="22"/>
      <c r="AM1384" s="22"/>
      <c r="AN1384" s="26"/>
      <c r="AO1384" s="26"/>
      <c r="AP1384" s="26"/>
      <c r="AQ1384" s="26"/>
      <c r="AR1384" s="1044"/>
      <c r="AS1384" s="1044"/>
    </row>
    <row r="1385" spans="2:45" hidden="1" outlineLevel="1">
      <c r="C1385" s="816" t="s">
        <v>2</v>
      </c>
      <c r="D1385" s="9">
        <v>3</v>
      </c>
      <c r="E1385" s="20" t="s">
        <v>87</v>
      </c>
      <c r="F1385" s="20"/>
      <c r="G1385" s="20"/>
      <c r="H1385" s="20"/>
      <c r="I1385" s="20"/>
      <c r="J1385" s="20"/>
      <c r="K1385" s="20"/>
      <c r="L1385" s="20"/>
      <c r="M1385" s="20"/>
      <c r="N1385" s="20"/>
      <c r="O1385" s="20"/>
      <c r="P1385" s="20"/>
      <c r="Q1385" s="20"/>
      <c r="R1385" s="20"/>
      <c r="S1385" s="20"/>
      <c r="T1385" s="20"/>
      <c r="U1385" s="20"/>
      <c r="V1385" s="20"/>
      <c r="W1385" s="20"/>
      <c r="X1385" s="20"/>
      <c r="Y1385" s="20"/>
      <c r="Z1385" s="20"/>
      <c r="AA1385" s="20"/>
      <c r="AB1385" s="12"/>
      <c r="AC1385" s="12"/>
      <c r="AD1385" s="12"/>
      <c r="AE1385" s="12"/>
      <c r="AF1385" s="12">
        <v>298482</v>
      </c>
      <c r="AG1385" s="12">
        <v>596416</v>
      </c>
      <c r="AH1385" s="12"/>
      <c r="AI1385" s="12"/>
      <c r="AJ1385" s="22"/>
      <c r="AK1385" s="22"/>
      <c r="AL1385" s="22"/>
      <c r="AM1385" s="22"/>
      <c r="AN1385" s="26"/>
      <c r="AO1385" s="26"/>
      <c r="AP1385" s="26"/>
      <c r="AQ1385" s="26"/>
      <c r="AR1385" s="1044"/>
      <c r="AS1385" s="1044"/>
    </row>
    <row r="1386" spans="2:45" hidden="1" outlineLevel="1">
      <c r="C1386" s="816" t="s">
        <v>2</v>
      </c>
      <c r="D1386" s="9">
        <v>3</v>
      </c>
      <c r="E1386" s="20" t="s">
        <v>88</v>
      </c>
      <c r="F1386" s="20"/>
      <c r="G1386" s="20"/>
      <c r="H1386" s="20"/>
      <c r="I1386" s="20"/>
      <c r="J1386" s="20"/>
      <c r="K1386" s="20"/>
      <c r="L1386" s="20"/>
      <c r="M1386" s="20"/>
      <c r="N1386" s="20"/>
      <c r="O1386" s="20"/>
      <c r="P1386" s="20"/>
      <c r="Q1386" s="20"/>
      <c r="R1386" s="20"/>
      <c r="S1386" s="20"/>
      <c r="T1386" s="20"/>
      <c r="U1386" s="20"/>
      <c r="V1386" s="20"/>
      <c r="W1386" s="20"/>
      <c r="X1386" s="20"/>
      <c r="Y1386" s="20"/>
      <c r="Z1386" s="20"/>
      <c r="AA1386" s="20"/>
      <c r="AB1386" s="12"/>
      <c r="AC1386" s="12"/>
      <c r="AD1386" s="12"/>
      <c r="AE1386" s="12"/>
      <c r="AF1386" s="12">
        <v>773907</v>
      </c>
      <c r="AG1386" s="12">
        <v>1407378</v>
      </c>
      <c r="AH1386" s="12"/>
      <c r="AI1386" s="12"/>
      <c r="AJ1386" s="22"/>
      <c r="AK1386" s="22"/>
      <c r="AL1386" s="22"/>
      <c r="AM1386" s="22"/>
      <c r="AN1386" s="26"/>
      <c r="AO1386" s="26"/>
      <c r="AP1386" s="26"/>
      <c r="AQ1386" s="26"/>
      <c r="AR1386" s="1044"/>
      <c r="AS1386" s="1044"/>
    </row>
    <row r="1387" spans="2:45" hidden="1" outlineLevel="1">
      <c r="C1387" s="816" t="s">
        <v>2</v>
      </c>
      <c r="D1387" s="9">
        <v>3</v>
      </c>
      <c r="E1387" s="20" t="s">
        <v>89</v>
      </c>
      <c r="F1387" s="20"/>
      <c r="G1387" s="20"/>
      <c r="H1387" s="20"/>
      <c r="I1387" s="20"/>
      <c r="J1387" s="20"/>
      <c r="K1387" s="20"/>
      <c r="L1387" s="20"/>
      <c r="M1387" s="20"/>
      <c r="N1387" s="20"/>
      <c r="O1387" s="20"/>
      <c r="P1387" s="20"/>
      <c r="Q1387" s="20"/>
      <c r="R1387" s="20"/>
      <c r="S1387" s="20"/>
      <c r="T1387" s="20"/>
      <c r="U1387" s="20"/>
      <c r="V1387" s="20"/>
      <c r="W1387" s="20"/>
      <c r="X1387" s="20"/>
      <c r="Y1387" s="20"/>
      <c r="Z1387" s="20"/>
      <c r="AA1387" s="20"/>
      <c r="AB1387" s="12"/>
      <c r="AC1387" s="12"/>
      <c r="AD1387" s="12">
        <v>-1000000</v>
      </c>
      <c r="AE1387" s="12">
        <v>-1000000</v>
      </c>
      <c r="AF1387" s="12">
        <v>204500</v>
      </c>
      <c r="AG1387" s="12">
        <v>617294</v>
      </c>
      <c r="AH1387" s="12"/>
      <c r="AI1387" s="12"/>
      <c r="AJ1387" s="22"/>
      <c r="AK1387" s="22"/>
      <c r="AL1387" s="22"/>
      <c r="AM1387" s="22"/>
      <c r="AN1387" s="26"/>
      <c r="AO1387" s="26"/>
      <c r="AP1387" s="26"/>
      <c r="AQ1387" s="26"/>
      <c r="AR1387" s="1044"/>
      <c r="AS1387" s="1044"/>
    </row>
    <row r="1388" spans="2:45" hidden="1" outlineLevel="1">
      <c r="C1388" s="816" t="s">
        <v>2</v>
      </c>
      <c r="D1388" s="9">
        <v>3</v>
      </c>
      <c r="E1388" s="52" t="s">
        <v>221</v>
      </c>
      <c r="F1388" s="52"/>
      <c r="G1388" s="52"/>
      <c r="H1388" s="52"/>
      <c r="I1388" s="52"/>
      <c r="J1388" s="52"/>
      <c r="K1388" s="52"/>
      <c r="L1388" s="52"/>
      <c r="M1388" s="52"/>
      <c r="N1388" s="52"/>
      <c r="O1388" s="52"/>
      <c r="P1388" s="52"/>
      <c r="Q1388" s="52"/>
      <c r="R1388" s="52"/>
      <c r="S1388" s="52"/>
      <c r="T1388" s="52"/>
      <c r="U1388" s="52"/>
      <c r="V1388" s="52"/>
      <c r="W1388" s="52"/>
      <c r="X1388" s="52"/>
      <c r="Y1388" s="52"/>
      <c r="Z1388" s="52"/>
      <c r="AA1388" s="52"/>
      <c r="AB1388" s="12"/>
      <c r="AC1388" s="12"/>
      <c r="AD1388" s="12"/>
      <c r="AE1388" s="12"/>
      <c r="AF1388" s="12">
        <v>0</v>
      </c>
      <c r="AG1388" s="12">
        <v>6099709</v>
      </c>
      <c r="AH1388" s="12"/>
      <c r="AI1388" s="12"/>
      <c r="AJ1388" s="53"/>
      <c r="AK1388" s="53"/>
      <c r="AL1388" s="53"/>
      <c r="AM1388" s="53"/>
      <c r="AN1388" s="26"/>
      <c r="AO1388" s="26"/>
      <c r="AP1388" s="26"/>
      <c r="AQ1388" s="26"/>
      <c r="AR1388" s="1044"/>
      <c r="AS1388" s="1044"/>
    </row>
    <row r="1389" spans="2:45" hidden="1" outlineLevel="1">
      <c r="C1389" s="816" t="s">
        <v>2</v>
      </c>
      <c r="D1389" s="9"/>
      <c r="E1389" s="381" t="s">
        <v>1224</v>
      </c>
      <c r="F1389" s="52"/>
      <c r="G1389" s="52"/>
      <c r="H1389" s="52"/>
      <c r="I1389" s="52"/>
      <c r="J1389" s="52"/>
      <c r="K1389" s="52"/>
      <c r="L1389" s="52"/>
      <c r="M1389" s="52"/>
      <c r="N1389" s="52"/>
      <c r="O1389" s="52"/>
      <c r="P1389" s="52"/>
      <c r="Q1389" s="52"/>
      <c r="R1389" s="52"/>
      <c r="S1389" s="52"/>
      <c r="T1389" s="52"/>
      <c r="U1389" s="52"/>
      <c r="V1389" s="52"/>
      <c r="W1389" s="52"/>
      <c r="X1389" s="52"/>
      <c r="Y1389" s="52"/>
      <c r="Z1389" s="52"/>
      <c r="AA1389" s="52"/>
      <c r="AB1389" s="34"/>
      <c r="AC1389" s="34"/>
      <c r="AD1389" s="34">
        <v>-41614290</v>
      </c>
      <c r="AE1389" s="34">
        <v>-45614290</v>
      </c>
      <c r="AF1389" s="34">
        <f>SUM(AF1236:AF1323)+SUM(AF1374:AF1388)</f>
        <v>456543011</v>
      </c>
      <c r="AG1389" s="34">
        <f>SUM(AG1236:AG1323)+SUM(AG1374:AG1388)</f>
        <v>1312010555</v>
      </c>
      <c r="AH1389" s="34">
        <f t="shared" ref="AH1389:AK1389" si="310">SUM(AH1236:AH1323)+SUM(AH1374:AH1388)</f>
        <v>0</v>
      </c>
      <c r="AI1389" s="34">
        <f t="shared" si="310"/>
        <v>0</v>
      </c>
      <c r="AJ1389" s="34">
        <f t="shared" si="310"/>
        <v>0</v>
      </c>
      <c r="AK1389" s="34">
        <f t="shared" si="310"/>
        <v>0</v>
      </c>
      <c r="AL1389" s="34"/>
      <c r="AM1389" s="34"/>
      <c r="AN1389" s="26"/>
      <c r="AO1389" s="26"/>
      <c r="AP1389" s="26"/>
      <c r="AQ1389" s="26"/>
      <c r="AR1389" s="1044"/>
      <c r="AS1389" s="1044"/>
    </row>
    <row r="1390" spans="2:45" hidden="1" outlineLevel="1">
      <c r="C1390" s="816"/>
      <c r="D1390" s="9">
        <v>3</v>
      </c>
      <c r="E1390" s="381" t="s">
        <v>1225</v>
      </c>
      <c r="F1390" s="52"/>
      <c r="G1390" s="52"/>
      <c r="H1390" s="52"/>
      <c r="I1390" s="52"/>
      <c r="J1390" s="52"/>
      <c r="K1390" s="52"/>
      <c r="L1390" s="52"/>
      <c r="M1390" s="52"/>
      <c r="N1390" s="52"/>
      <c r="O1390" s="52"/>
      <c r="P1390" s="52"/>
      <c r="Q1390" s="52"/>
      <c r="R1390" s="52"/>
      <c r="S1390" s="52"/>
      <c r="T1390" s="52"/>
      <c r="U1390" s="52"/>
      <c r="V1390" s="52"/>
      <c r="W1390" s="52"/>
      <c r="X1390" s="52"/>
      <c r="Y1390" s="52"/>
      <c r="Z1390" s="52"/>
      <c r="AA1390" s="52"/>
      <c r="AB1390" s="34"/>
      <c r="AC1390" s="34"/>
      <c r="AD1390" s="34">
        <f>SUMIF($D$1393:$D$1546,$D1390,AD$1393:AD$1546)</f>
        <v>-41614290</v>
      </c>
      <c r="AE1390" s="34">
        <f>SUMIF($D$1393:$D$1546,$D1390,AE$1393:AE$1546)</f>
        <v>-45614290</v>
      </c>
      <c r="AF1390" s="34">
        <f t="shared" ref="AF1390:AK1390" si="311">SUMIF($D$1236:$D$1389,$D1390,AF$1236:AF$1389)</f>
        <v>190849415</v>
      </c>
      <c r="AG1390" s="34">
        <f t="shared" si="311"/>
        <v>662155495</v>
      </c>
      <c r="AH1390" s="34">
        <f t="shared" si="311"/>
        <v>0</v>
      </c>
      <c r="AI1390" s="34">
        <f t="shared" si="311"/>
        <v>0</v>
      </c>
      <c r="AJ1390" s="34">
        <f t="shared" si="311"/>
        <v>0</v>
      </c>
      <c r="AK1390" s="34">
        <f t="shared" si="311"/>
        <v>0</v>
      </c>
      <c r="AL1390" s="34"/>
      <c r="AM1390" s="34"/>
      <c r="AN1390" s="26"/>
      <c r="AO1390" s="26"/>
      <c r="AP1390" s="26"/>
      <c r="AQ1390" s="26"/>
      <c r="AR1390" s="1044"/>
      <c r="AS1390" s="1044"/>
    </row>
    <row r="1391" spans="2:45" hidden="1" outlineLevel="1">
      <c r="C1391" s="816"/>
      <c r="D1391" s="9"/>
      <c r="E1391" s="381"/>
      <c r="F1391" s="52"/>
      <c r="G1391" s="52"/>
      <c r="H1391" s="52"/>
      <c r="I1391" s="52"/>
      <c r="J1391" s="52"/>
      <c r="K1391" s="52"/>
      <c r="L1391" s="52"/>
      <c r="M1391" s="52"/>
      <c r="N1391" s="52"/>
      <c r="O1391" s="52"/>
      <c r="P1391" s="52"/>
      <c r="Q1391" s="52"/>
      <c r="R1391" s="52"/>
      <c r="S1391" s="52"/>
      <c r="T1391" s="52"/>
      <c r="U1391" s="52"/>
      <c r="V1391" s="52"/>
      <c r="W1391" s="52"/>
      <c r="X1391" s="52"/>
      <c r="Y1391" s="52"/>
      <c r="Z1391" s="52"/>
      <c r="AA1391" s="52"/>
      <c r="AB1391" s="34"/>
      <c r="AC1391" s="34"/>
      <c r="AD1391" s="34"/>
      <c r="AE1391" s="34"/>
      <c r="AF1391" s="34"/>
      <c r="AG1391" s="34"/>
      <c r="AH1391" s="34"/>
      <c r="AI1391" s="34"/>
      <c r="AJ1391" s="53"/>
      <c r="AK1391" s="53"/>
      <c r="AL1391" s="53"/>
      <c r="AM1391" s="53"/>
      <c r="AN1391" s="26"/>
      <c r="AO1391" s="26"/>
      <c r="AP1391" s="26"/>
      <c r="AQ1391" s="26"/>
      <c r="AR1391" s="1044"/>
      <c r="AS1391" s="1044"/>
    </row>
    <row r="1392" spans="2:45" collapsed="1">
      <c r="C1392" s="816" t="s">
        <v>1451</v>
      </c>
      <c r="D1392" s="5"/>
      <c r="E1392" s="6"/>
      <c r="F1392" s="6"/>
      <c r="G1392" s="6"/>
      <c r="H1392" s="6"/>
      <c r="I1392" s="6"/>
      <c r="J1392" s="6"/>
      <c r="K1392" s="6"/>
      <c r="L1392" s="6"/>
      <c r="M1392" s="6"/>
      <c r="N1392" s="6"/>
      <c r="O1392" s="6"/>
      <c r="P1392" s="6"/>
      <c r="Q1392" s="6"/>
      <c r="R1392" s="6"/>
      <c r="S1392" s="6"/>
      <c r="T1392" s="6"/>
      <c r="U1392" s="6"/>
      <c r="V1392" s="6"/>
      <c r="W1392" s="6"/>
      <c r="X1392" s="6"/>
      <c r="Y1392" s="6"/>
      <c r="Z1392" s="6"/>
      <c r="AA1392" s="6"/>
      <c r="AB1392" s="7"/>
      <c r="AC1392" s="7"/>
      <c r="AD1392" s="7"/>
      <c r="AE1392" s="7"/>
      <c r="AF1392" s="7"/>
      <c r="AG1392" s="7"/>
      <c r="AH1392" s="7"/>
      <c r="AI1392" s="7"/>
      <c r="AJ1392" s="26"/>
      <c r="AK1392" s="26"/>
      <c r="AL1392" s="26"/>
      <c r="AM1392" s="26"/>
      <c r="AN1392" s="26"/>
      <c r="AO1392" s="26"/>
      <c r="AP1392" s="26"/>
      <c r="AQ1392" s="26"/>
      <c r="AR1392" s="1044"/>
      <c r="AS1392" s="1044"/>
    </row>
    <row r="1393" spans="3:45" hidden="1" outlineLevel="1">
      <c r="C1393" s="816" t="s">
        <v>16</v>
      </c>
      <c r="D1393" s="9">
        <v>1</v>
      </c>
      <c r="E1393" s="387" t="s">
        <v>3</v>
      </c>
      <c r="F1393" s="387"/>
      <c r="G1393" s="387"/>
      <c r="H1393" s="387"/>
      <c r="I1393" s="387"/>
      <c r="J1393" s="387"/>
      <c r="K1393" s="387"/>
      <c r="L1393" s="387"/>
      <c r="M1393" s="387"/>
      <c r="N1393" s="387"/>
      <c r="O1393" s="387"/>
      <c r="P1393" s="387"/>
      <c r="Q1393" s="387"/>
      <c r="R1393" s="387"/>
      <c r="S1393" s="387"/>
      <c r="T1393" s="387"/>
      <c r="U1393" s="387"/>
      <c r="V1393" s="387"/>
      <c r="W1393" s="387"/>
      <c r="X1393" s="387"/>
      <c r="Y1393" s="387"/>
      <c r="Z1393" s="387"/>
      <c r="AA1393" s="387"/>
      <c r="AB1393" s="388"/>
      <c r="AC1393" s="388"/>
      <c r="AD1393" s="388"/>
      <c r="AE1393" s="388"/>
      <c r="AF1393" s="388">
        <v>75032928</v>
      </c>
      <c r="AG1393" s="388">
        <v>113577041</v>
      </c>
      <c r="AH1393" s="385"/>
      <c r="AI1393" s="12"/>
      <c r="AJ1393" s="18"/>
      <c r="AK1393" s="18"/>
      <c r="AL1393" s="18"/>
      <c r="AM1393" s="18"/>
      <c r="AP1393" s="1044"/>
      <c r="AR1393" s="1044"/>
      <c r="AS1393" s="1044"/>
    </row>
    <row r="1394" spans="3:45" hidden="1" outlineLevel="1">
      <c r="C1394" s="816" t="s">
        <v>16</v>
      </c>
      <c r="D1394" s="9">
        <v>2</v>
      </c>
      <c r="E1394" s="387" t="s">
        <v>4</v>
      </c>
      <c r="F1394" s="387"/>
      <c r="G1394" s="387"/>
      <c r="H1394" s="387"/>
      <c r="I1394" s="387"/>
      <c r="J1394" s="387"/>
      <c r="K1394" s="387"/>
      <c r="L1394" s="387"/>
      <c r="M1394" s="387"/>
      <c r="N1394" s="387"/>
      <c r="O1394" s="387"/>
      <c r="P1394" s="387"/>
      <c r="Q1394" s="387"/>
      <c r="R1394" s="387"/>
      <c r="S1394" s="387"/>
      <c r="T1394" s="387"/>
      <c r="U1394" s="387"/>
      <c r="V1394" s="387"/>
      <c r="W1394" s="387"/>
      <c r="X1394" s="387"/>
      <c r="Y1394" s="387"/>
      <c r="Z1394" s="387"/>
      <c r="AA1394" s="387"/>
      <c r="AB1394" s="388"/>
      <c r="AC1394" s="388"/>
      <c r="AD1394" s="388"/>
      <c r="AE1394" s="388"/>
      <c r="AF1394" s="388">
        <v>55174562</v>
      </c>
      <c r="AG1394" s="388">
        <v>238303049</v>
      </c>
      <c r="AH1394" s="385"/>
      <c r="AI1394" s="12"/>
      <c r="AJ1394" s="18"/>
      <c r="AK1394" s="18"/>
      <c r="AL1394" s="18"/>
      <c r="AM1394" s="18"/>
      <c r="AP1394" s="1044"/>
      <c r="AR1394" s="1044"/>
      <c r="AS1394" s="1044"/>
    </row>
    <row r="1395" spans="3:45" hidden="1" outlineLevel="1">
      <c r="C1395" s="816" t="s">
        <v>16</v>
      </c>
      <c r="D1395" s="9">
        <v>4</v>
      </c>
      <c r="E1395" s="389" t="s">
        <v>6</v>
      </c>
      <c r="F1395" s="389"/>
      <c r="G1395" s="389"/>
      <c r="H1395" s="389"/>
      <c r="I1395" s="389"/>
      <c r="J1395" s="389"/>
      <c r="K1395" s="389"/>
      <c r="L1395" s="389"/>
      <c r="M1395" s="389"/>
      <c r="N1395" s="389"/>
      <c r="O1395" s="389"/>
      <c r="P1395" s="389"/>
      <c r="Q1395" s="389"/>
      <c r="R1395" s="389"/>
      <c r="S1395" s="389"/>
      <c r="T1395" s="389"/>
      <c r="U1395" s="389"/>
      <c r="V1395" s="389"/>
      <c r="W1395" s="389"/>
      <c r="X1395" s="389"/>
      <c r="Y1395" s="389"/>
      <c r="Z1395" s="389"/>
      <c r="AA1395" s="389"/>
      <c r="AB1395" s="388"/>
      <c r="AC1395" s="388"/>
      <c r="AD1395" s="388"/>
      <c r="AE1395" s="388"/>
      <c r="AF1395" s="388">
        <v>1543547</v>
      </c>
      <c r="AG1395" s="388">
        <v>5176459</v>
      </c>
      <c r="AH1395" s="385"/>
      <c r="AI1395" s="12"/>
      <c r="AJ1395" s="49"/>
      <c r="AK1395" s="49"/>
      <c r="AL1395" s="49"/>
      <c r="AM1395" s="49"/>
      <c r="AP1395" s="1044"/>
      <c r="AR1395" s="1044"/>
      <c r="AS1395" s="1044"/>
    </row>
    <row r="1396" spans="3:45" hidden="1" outlineLevel="1">
      <c r="C1396" s="816" t="s">
        <v>16</v>
      </c>
      <c r="D1396" s="9">
        <v>5</v>
      </c>
      <c r="E1396" s="389" t="s">
        <v>7</v>
      </c>
      <c r="F1396" s="389"/>
      <c r="G1396" s="389"/>
      <c r="H1396" s="389"/>
      <c r="I1396" s="389"/>
      <c r="J1396" s="389"/>
      <c r="K1396" s="389"/>
      <c r="L1396" s="389"/>
      <c r="M1396" s="389"/>
      <c r="N1396" s="389"/>
      <c r="O1396" s="389"/>
      <c r="P1396" s="389"/>
      <c r="Q1396" s="389"/>
      <c r="R1396" s="389"/>
      <c r="S1396" s="389"/>
      <c r="T1396" s="389"/>
      <c r="U1396" s="389"/>
      <c r="V1396" s="389"/>
      <c r="W1396" s="389"/>
      <c r="X1396" s="389"/>
      <c r="Y1396" s="389"/>
      <c r="Z1396" s="389"/>
      <c r="AA1396" s="389"/>
      <c r="AB1396" s="388"/>
      <c r="AC1396" s="388"/>
      <c r="AD1396" s="388"/>
      <c r="AE1396" s="388"/>
      <c r="AF1396" s="388">
        <v>59125792</v>
      </c>
      <c r="AG1396" s="388">
        <v>39899036</v>
      </c>
      <c r="AH1396" s="385"/>
      <c r="AI1396" s="12"/>
      <c r="AJ1396" s="49"/>
      <c r="AK1396" s="49"/>
      <c r="AL1396" s="49"/>
      <c r="AM1396" s="49"/>
      <c r="AP1396" s="1044"/>
      <c r="AR1396" s="1044"/>
      <c r="AS1396" s="1044"/>
    </row>
    <row r="1397" spans="3:45" hidden="1" outlineLevel="1">
      <c r="C1397" s="816" t="s">
        <v>16</v>
      </c>
      <c r="D1397" s="9">
        <v>6</v>
      </c>
      <c r="E1397" s="389" t="s">
        <v>8</v>
      </c>
      <c r="F1397" s="389"/>
      <c r="G1397" s="389"/>
      <c r="H1397" s="389"/>
      <c r="I1397" s="389"/>
      <c r="J1397" s="389"/>
      <c r="K1397" s="389"/>
      <c r="L1397" s="389"/>
      <c r="M1397" s="389"/>
      <c r="N1397" s="389"/>
      <c r="O1397" s="389"/>
      <c r="P1397" s="389"/>
      <c r="Q1397" s="389"/>
      <c r="R1397" s="389"/>
      <c r="S1397" s="389"/>
      <c r="T1397" s="389"/>
      <c r="U1397" s="389"/>
      <c r="V1397" s="389"/>
      <c r="W1397" s="389"/>
      <c r="X1397" s="389"/>
      <c r="Y1397" s="389"/>
      <c r="Z1397" s="389"/>
      <c r="AA1397" s="389"/>
      <c r="AB1397" s="388"/>
      <c r="AC1397" s="388"/>
      <c r="AD1397" s="388"/>
      <c r="AE1397" s="388"/>
      <c r="AF1397" s="388">
        <v>53879716</v>
      </c>
      <c r="AG1397" s="388">
        <v>120211379</v>
      </c>
      <c r="AH1397" s="385"/>
      <c r="AI1397" s="12"/>
      <c r="AJ1397" s="49"/>
      <c r="AK1397" s="49"/>
      <c r="AL1397" s="49"/>
      <c r="AM1397" s="49"/>
      <c r="AP1397" s="1044"/>
      <c r="AR1397" s="1044"/>
      <c r="AS1397" s="1044"/>
    </row>
    <row r="1398" spans="3:45" hidden="1" outlineLevel="1">
      <c r="C1398" s="816" t="s">
        <v>16</v>
      </c>
      <c r="D1398" s="9">
        <v>7</v>
      </c>
      <c r="E1398" s="389" t="s">
        <v>9</v>
      </c>
      <c r="F1398" s="389"/>
      <c r="G1398" s="389"/>
      <c r="H1398" s="389"/>
      <c r="I1398" s="389"/>
      <c r="J1398" s="389"/>
      <c r="K1398" s="389"/>
      <c r="L1398" s="389"/>
      <c r="M1398" s="389"/>
      <c r="N1398" s="389"/>
      <c r="O1398" s="389"/>
      <c r="P1398" s="389"/>
      <c r="Q1398" s="389"/>
      <c r="R1398" s="389"/>
      <c r="S1398" s="389"/>
      <c r="T1398" s="389"/>
      <c r="U1398" s="389"/>
      <c r="V1398" s="389"/>
      <c r="W1398" s="389"/>
      <c r="X1398" s="389"/>
      <c r="Y1398" s="389"/>
      <c r="Z1398" s="389"/>
      <c r="AA1398" s="389"/>
      <c r="AB1398" s="388"/>
      <c r="AC1398" s="388"/>
      <c r="AD1398" s="388"/>
      <c r="AE1398" s="388"/>
      <c r="AF1398" s="388">
        <v>2844193</v>
      </c>
      <c r="AG1398" s="388">
        <v>27885110</v>
      </c>
      <c r="AH1398" s="385"/>
      <c r="AI1398" s="12"/>
      <c r="AJ1398" s="49"/>
      <c r="AK1398" s="49"/>
      <c r="AL1398" s="49"/>
      <c r="AM1398" s="49"/>
      <c r="AP1398" s="1044"/>
      <c r="AR1398" s="1044"/>
      <c r="AS1398" s="1044"/>
    </row>
    <row r="1399" spans="3:45" hidden="1" outlineLevel="1">
      <c r="C1399" s="816" t="s">
        <v>16</v>
      </c>
      <c r="D1399" s="9">
        <v>8</v>
      </c>
      <c r="E1399" s="389" t="s">
        <v>10</v>
      </c>
      <c r="F1399" s="389"/>
      <c r="G1399" s="389"/>
      <c r="H1399" s="389"/>
      <c r="I1399" s="389"/>
      <c r="J1399" s="389"/>
      <c r="K1399" s="389"/>
      <c r="L1399" s="389"/>
      <c r="M1399" s="389"/>
      <c r="N1399" s="389"/>
      <c r="O1399" s="389"/>
      <c r="P1399" s="389"/>
      <c r="Q1399" s="389"/>
      <c r="R1399" s="389"/>
      <c r="S1399" s="389"/>
      <c r="T1399" s="389"/>
      <c r="U1399" s="389"/>
      <c r="V1399" s="389"/>
      <c r="W1399" s="389"/>
      <c r="X1399" s="389"/>
      <c r="Y1399" s="389"/>
      <c r="Z1399" s="389"/>
      <c r="AA1399" s="389"/>
      <c r="AB1399" s="388"/>
      <c r="AC1399" s="388"/>
      <c r="AD1399" s="388"/>
      <c r="AE1399" s="388"/>
      <c r="AF1399" s="388">
        <v>12636914</v>
      </c>
      <c r="AG1399" s="388">
        <v>93114255</v>
      </c>
      <c r="AH1399" s="385"/>
      <c r="AI1399" s="12"/>
      <c r="AJ1399" s="49"/>
      <c r="AK1399" s="49"/>
      <c r="AL1399" s="49"/>
      <c r="AM1399" s="49"/>
      <c r="AP1399" s="1044"/>
      <c r="AR1399" s="1044"/>
      <c r="AS1399" s="1044"/>
    </row>
    <row r="1400" spans="3:45" hidden="1" outlineLevel="1">
      <c r="C1400" s="816" t="s">
        <v>16</v>
      </c>
      <c r="D1400" s="9">
        <v>9</v>
      </c>
      <c r="E1400" s="389" t="s">
        <v>11</v>
      </c>
      <c r="F1400" s="389"/>
      <c r="G1400" s="389"/>
      <c r="H1400" s="389"/>
      <c r="I1400" s="389"/>
      <c r="J1400" s="389"/>
      <c r="K1400" s="389"/>
      <c r="L1400" s="389"/>
      <c r="M1400" s="389"/>
      <c r="N1400" s="389"/>
      <c r="O1400" s="389"/>
      <c r="P1400" s="389"/>
      <c r="Q1400" s="389"/>
      <c r="R1400" s="389"/>
      <c r="S1400" s="389"/>
      <c r="T1400" s="389"/>
      <c r="U1400" s="389"/>
      <c r="V1400" s="389"/>
      <c r="W1400" s="389"/>
      <c r="X1400" s="389"/>
      <c r="Y1400" s="389"/>
      <c r="Z1400" s="389"/>
      <c r="AA1400" s="389"/>
      <c r="AB1400" s="388"/>
      <c r="AC1400" s="388"/>
      <c r="AD1400" s="388"/>
      <c r="AE1400" s="388"/>
      <c r="AF1400" s="388">
        <v>0</v>
      </c>
      <c r="AG1400" s="388">
        <v>0</v>
      </c>
      <c r="AH1400" s="385"/>
      <c r="AI1400" s="12"/>
      <c r="AJ1400" s="49"/>
      <c r="AK1400" s="49"/>
      <c r="AL1400" s="49"/>
      <c r="AM1400" s="49"/>
      <c r="AP1400" s="1044"/>
      <c r="AR1400" s="1044"/>
      <c r="AS1400" s="1044"/>
    </row>
    <row r="1401" spans="3:45" hidden="1" outlineLevel="1">
      <c r="C1401" s="816" t="s">
        <v>16</v>
      </c>
      <c r="D1401" s="9">
        <v>10</v>
      </c>
      <c r="E1401" s="387" t="s">
        <v>12</v>
      </c>
      <c r="F1401" s="387"/>
      <c r="G1401" s="387"/>
      <c r="H1401" s="387"/>
      <c r="I1401" s="387"/>
      <c r="J1401" s="387"/>
      <c r="K1401" s="387"/>
      <c r="L1401" s="387"/>
      <c r="M1401" s="387"/>
      <c r="N1401" s="387"/>
      <c r="O1401" s="387"/>
      <c r="P1401" s="387"/>
      <c r="Q1401" s="387"/>
      <c r="R1401" s="387"/>
      <c r="S1401" s="387"/>
      <c r="T1401" s="387"/>
      <c r="U1401" s="387"/>
      <c r="V1401" s="387"/>
      <c r="W1401" s="387"/>
      <c r="X1401" s="387"/>
      <c r="Y1401" s="387"/>
      <c r="Z1401" s="387"/>
      <c r="AA1401" s="387"/>
      <c r="AB1401" s="388"/>
      <c r="AC1401" s="388"/>
      <c r="AD1401" s="388"/>
      <c r="AE1401" s="388"/>
      <c r="AF1401" s="388">
        <v>5455944</v>
      </c>
      <c r="AG1401" s="388">
        <v>11688731</v>
      </c>
      <c r="AH1401" s="385"/>
      <c r="AI1401" s="12"/>
      <c r="AJ1401" s="18"/>
      <c r="AK1401" s="18"/>
      <c r="AL1401" s="18"/>
      <c r="AM1401" s="18"/>
      <c r="AP1401" s="1044"/>
      <c r="AR1401" s="1044"/>
      <c r="AS1401" s="1044"/>
    </row>
    <row r="1402" spans="3:45" hidden="1" outlineLevel="1">
      <c r="C1402" s="816" t="s">
        <v>16</v>
      </c>
      <c r="D1402" s="9">
        <v>3</v>
      </c>
      <c r="E1402" s="20" t="s">
        <v>19</v>
      </c>
      <c r="F1402" s="20"/>
      <c r="G1402" s="20"/>
      <c r="H1402" s="20"/>
      <c r="I1402" s="20"/>
      <c r="J1402" s="20"/>
      <c r="K1402" s="20"/>
      <c r="L1402" s="20"/>
      <c r="M1402" s="20"/>
      <c r="N1402" s="20"/>
      <c r="O1402" s="20"/>
      <c r="P1402" s="20"/>
      <c r="Q1402" s="20"/>
      <c r="R1402" s="20"/>
      <c r="S1402" s="20"/>
      <c r="T1402" s="20"/>
      <c r="U1402" s="20"/>
      <c r="V1402" s="20"/>
      <c r="W1402" s="20"/>
      <c r="X1402" s="20"/>
      <c r="Y1402" s="20"/>
      <c r="Z1402" s="20"/>
      <c r="AA1402" s="20"/>
      <c r="AB1402" s="12"/>
      <c r="AC1402" s="12"/>
      <c r="AD1402" s="12"/>
      <c r="AE1402" s="12"/>
      <c r="AF1402" s="12">
        <v>42207890</v>
      </c>
      <c r="AG1402" s="12">
        <v>151035340</v>
      </c>
      <c r="AH1402" s="12"/>
      <c r="AI1402" s="12"/>
      <c r="AJ1402" s="22"/>
      <c r="AK1402" s="22"/>
      <c r="AL1402" s="22"/>
      <c r="AM1402" s="22"/>
      <c r="AP1402" s="1044"/>
      <c r="AR1402" s="1044"/>
      <c r="AS1402" s="1044"/>
    </row>
    <row r="1403" spans="3:45" hidden="1" outlineLevel="1">
      <c r="C1403" s="816" t="s">
        <v>16</v>
      </c>
      <c r="D1403" s="9">
        <v>3</v>
      </c>
      <c r="E1403" s="20" t="s">
        <v>20</v>
      </c>
      <c r="F1403" s="20"/>
      <c r="G1403" s="20"/>
      <c r="H1403" s="20"/>
      <c r="I1403" s="20"/>
      <c r="J1403" s="20"/>
      <c r="K1403" s="20"/>
      <c r="L1403" s="20"/>
      <c r="M1403" s="20"/>
      <c r="N1403" s="20"/>
      <c r="O1403" s="20"/>
      <c r="P1403" s="20"/>
      <c r="Q1403" s="20"/>
      <c r="R1403" s="20"/>
      <c r="S1403" s="20"/>
      <c r="T1403" s="20"/>
      <c r="U1403" s="20"/>
      <c r="V1403" s="20"/>
      <c r="W1403" s="20"/>
      <c r="X1403" s="20"/>
      <c r="Y1403" s="20"/>
      <c r="Z1403" s="20"/>
      <c r="AA1403" s="20"/>
      <c r="AB1403" s="12"/>
      <c r="AC1403" s="12"/>
      <c r="AD1403" s="12"/>
      <c r="AE1403" s="12"/>
      <c r="AF1403" s="12">
        <v>0</v>
      </c>
      <c r="AG1403" s="12">
        <v>0</v>
      </c>
      <c r="AH1403" s="12"/>
      <c r="AI1403" s="12"/>
      <c r="AJ1403" s="22"/>
      <c r="AK1403" s="22"/>
      <c r="AL1403" s="22"/>
      <c r="AM1403" s="22"/>
      <c r="AP1403" s="1044"/>
      <c r="AR1403" s="1044"/>
      <c r="AS1403" s="1044"/>
    </row>
    <row r="1404" spans="3:45" hidden="1" outlineLevel="1">
      <c r="C1404" s="816" t="s">
        <v>16</v>
      </c>
      <c r="D1404" s="9">
        <v>3</v>
      </c>
      <c r="E1404" s="20" t="s">
        <v>21</v>
      </c>
      <c r="F1404" s="20"/>
      <c r="G1404" s="20"/>
      <c r="H1404" s="20"/>
      <c r="I1404" s="20"/>
      <c r="J1404" s="20"/>
      <c r="K1404" s="20"/>
      <c r="L1404" s="20"/>
      <c r="M1404" s="20"/>
      <c r="N1404" s="20"/>
      <c r="O1404" s="20"/>
      <c r="P1404" s="20"/>
      <c r="Q1404" s="20"/>
      <c r="R1404" s="20"/>
      <c r="S1404" s="20"/>
      <c r="T1404" s="20"/>
      <c r="U1404" s="20"/>
      <c r="V1404" s="20"/>
      <c r="W1404" s="20"/>
      <c r="X1404" s="20"/>
      <c r="Y1404" s="20"/>
      <c r="Z1404" s="20"/>
      <c r="AA1404" s="20"/>
      <c r="AB1404" s="12"/>
      <c r="AC1404" s="12"/>
      <c r="AD1404" s="12"/>
      <c r="AE1404" s="12"/>
      <c r="AF1404" s="12">
        <v>459085</v>
      </c>
      <c r="AG1404" s="12">
        <v>1397421</v>
      </c>
      <c r="AH1404" s="12"/>
      <c r="AI1404" s="12"/>
      <c r="AJ1404" s="22"/>
      <c r="AK1404" s="22"/>
      <c r="AL1404" s="22"/>
      <c r="AM1404" s="22"/>
      <c r="AP1404" s="1044"/>
      <c r="AR1404" s="1044"/>
      <c r="AS1404" s="1044"/>
    </row>
    <row r="1405" spans="3:45" hidden="1" outlineLevel="1">
      <c r="C1405" s="816" t="s">
        <v>16</v>
      </c>
      <c r="D1405" s="9">
        <v>3</v>
      </c>
      <c r="E1405" s="20" t="s">
        <v>22</v>
      </c>
      <c r="F1405" s="20"/>
      <c r="G1405" s="20"/>
      <c r="H1405" s="20"/>
      <c r="I1405" s="20"/>
      <c r="J1405" s="20"/>
      <c r="K1405" s="20"/>
      <c r="L1405" s="20"/>
      <c r="M1405" s="20"/>
      <c r="N1405" s="20"/>
      <c r="O1405" s="20"/>
      <c r="P1405" s="20"/>
      <c r="Q1405" s="20"/>
      <c r="R1405" s="20"/>
      <c r="S1405" s="20"/>
      <c r="T1405" s="20"/>
      <c r="U1405" s="20"/>
      <c r="V1405" s="20"/>
      <c r="W1405" s="20"/>
      <c r="X1405" s="20"/>
      <c r="Y1405" s="20"/>
      <c r="Z1405" s="20"/>
      <c r="AA1405" s="20"/>
      <c r="AB1405" s="12"/>
      <c r="AC1405" s="12"/>
      <c r="AD1405" s="12"/>
      <c r="AE1405" s="12"/>
      <c r="AF1405" s="12">
        <v>1362079</v>
      </c>
      <c r="AG1405" s="12">
        <v>781956</v>
      </c>
      <c r="AH1405" s="12"/>
      <c r="AI1405" s="12"/>
      <c r="AJ1405" s="22"/>
      <c r="AK1405" s="22"/>
      <c r="AL1405" s="22"/>
      <c r="AM1405" s="22"/>
      <c r="AP1405" s="1044"/>
      <c r="AR1405" s="1044"/>
      <c r="AS1405" s="1044"/>
    </row>
    <row r="1406" spans="3:45" hidden="1" outlineLevel="1">
      <c r="C1406" s="816" t="s">
        <v>16</v>
      </c>
      <c r="D1406" s="9">
        <v>3</v>
      </c>
      <c r="E1406" s="20" t="s">
        <v>23</v>
      </c>
      <c r="F1406" s="20"/>
      <c r="G1406" s="20"/>
      <c r="H1406" s="20"/>
      <c r="I1406" s="20"/>
      <c r="J1406" s="20"/>
      <c r="K1406" s="20"/>
      <c r="L1406" s="20"/>
      <c r="M1406" s="20"/>
      <c r="N1406" s="20"/>
      <c r="O1406" s="20"/>
      <c r="P1406" s="20"/>
      <c r="Q1406" s="20"/>
      <c r="R1406" s="20"/>
      <c r="S1406" s="20"/>
      <c r="T1406" s="20"/>
      <c r="U1406" s="20"/>
      <c r="V1406" s="20"/>
      <c r="W1406" s="20"/>
      <c r="X1406" s="20"/>
      <c r="Y1406" s="20"/>
      <c r="Z1406" s="20"/>
      <c r="AA1406" s="20"/>
      <c r="AB1406" s="12"/>
      <c r="AC1406" s="12"/>
      <c r="AD1406" s="12"/>
      <c r="AE1406" s="12"/>
      <c r="AF1406" s="12">
        <v>0</v>
      </c>
      <c r="AG1406" s="12">
        <v>0</v>
      </c>
      <c r="AH1406" s="12"/>
      <c r="AI1406" s="12"/>
      <c r="AJ1406" s="22"/>
      <c r="AK1406" s="22"/>
      <c r="AL1406" s="22"/>
      <c r="AM1406" s="22"/>
      <c r="AP1406" s="1044"/>
      <c r="AR1406" s="1044"/>
      <c r="AS1406" s="1044"/>
    </row>
    <row r="1407" spans="3:45" hidden="1" outlineLevel="1">
      <c r="C1407" s="816" t="s">
        <v>16</v>
      </c>
      <c r="D1407" s="9">
        <v>3</v>
      </c>
      <c r="E1407" s="20" t="s">
        <v>24</v>
      </c>
      <c r="F1407" s="20"/>
      <c r="G1407" s="20"/>
      <c r="H1407" s="20"/>
      <c r="I1407" s="20"/>
      <c r="J1407" s="20"/>
      <c r="K1407" s="20"/>
      <c r="L1407" s="20"/>
      <c r="M1407" s="20"/>
      <c r="N1407" s="20"/>
      <c r="O1407" s="20"/>
      <c r="P1407" s="20"/>
      <c r="Q1407" s="20"/>
      <c r="R1407" s="20"/>
      <c r="S1407" s="20"/>
      <c r="T1407" s="20"/>
      <c r="U1407" s="20"/>
      <c r="V1407" s="20"/>
      <c r="W1407" s="20"/>
      <c r="X1407" s="20"/>
      <c r="Y1407" s="20"/>
      <c r="Z1407" s="20"/>
      <c r="AA1407" s="20"/>
      <c r="AB1407" s="12"/>
      <c r="AC1407" s="12"/>
      <c r="AD1407" s="12"/>
      <c r="AE1407" s="12"/>
      <c r="AF1407" s="12">
        <v>1099434</v>
      </c>
      <c r="AG1407" s="12">
        <v>3700000</v>
      </c>
      <c r="AH1407" s="12"/>
      <c r="AI1407" s="12"/>
      <c r="AJ1407" s="22"/>
      <c r="AK1407" s="22"/>
      <c r="AL1407" s="22"/>
      <c r="AM1407" s="22"/>
      <c r="AP1407" s="1044"/>
      <c r="AR1407" s="1044"/>
      <c r="AS1407" s="1044"/>
    </row>
    <row r="1408" spans="3:45" hidden="1" outlineLevel="1">
      <c r="C1408" s="816" t="s">
        <v>16</v>
      </c>
      <c r="D1408" s="9">
        <v>3</v>
      </c>
      <c r="E1408" s="20" t="s">
        <v>25</v>
      </c>
      <c r="F1408" s="20"/>
      <c r="G1408" s="20"/>
      <c r="H1408" s="20"/>
      <c r="I1408" s="20"/>
      <c r="J1408" s="20"/>
      <c r="K1408" s="20"/>
      <c r="L1408" s="20"/>
      <c r="M1408" s="20"/>
      <c r="N1408" s="20"/>
      <c r="O1408" s="20"/>
      <c r="P1408" s="20"/>
      <c r="Q1408" s="20"/>
      <c r="R1408" s="20"/>
      <c r="S1408" s="20"/>
      <c r="T1408" s="20"/>
      <c r="U1408" s="20"/>
      <c r="V1408" s="20"/>
      <c r="W1408" s="20"/>
      <c r="X1408" s="20"/>
      <c r="Y1408" s="20"/>
      <c r="Z1408" s="20"/>
      <c r="AA1408" s="20"/>
      <c r="AB1408" s="12"/>
      <c r="AC1408" s="12"/>
      <c r="AD1408" s="12"/>
      <c r="AE1408" s="12"/>
      <c r="AF1408" s="12">
        <v>0</v>
      </c>
      <c r="AG1408" s="12">
        <v>0</v>
      </c>
      <c r="AH1408" s="12"/>
      <c r="AI1408" s="12"/>
      <c r="AJ1408" s="22"/>
      <c r="AK1408" s="22"/>
      <c r="AL1408" s="22"/>
      <c r="AM1408" s="22"/>
      <c r="AP1408" s="1044"/>
      <c r="AR1408" s="1044"/>
      <c r="AS1408" s="1044"/>
    </row>
    <row r="1409" spans="3:45" hidden="1" outlineLevel="1">
      <c r="C1409" s="816" t="s">
        <v>16</v>
      </c>
      <c r="D1409" s="9">
        <v>3</v>
      </c>
      <c r="E1409" s="20" t="s">
        <v>26</v>
      </c>
      <c r="F1409" s="20"/>
      <c r="G1409" s="20"/>
      <c r="H1409" s="20"/>
      <c r="I1409" s="20"/>
      <c r="J1409" s="20"/>
      <c r="K1409" s="20"/>
      <c r="L1409" s="20"/>
      <c r="M1409" s="20"/>
      <c r="N1409" s="20"/>
      <c r="O1409" s="20"/>
      <c r="P1409" s="20"/>
      <c r="Q1409" s="20"/>
      <c r="R1409" s="20"/>
      <c r="S1409" s="20"/>
      <c r="T1409" s="20"/>
      <c r="U1409" s="20"/>
      <c r="V1409" s="20"/>
      <c r="W1409" s="20"/>
      <c r="X1409" s="20"/>
      <c r="Y1409" s="20"/>
      <c r="Z1409" s="20"/>
      <c r="AA1409" s="20"/>
      <c r="AB1409" s="12"/>
      <c r="AC1409" s="12"/>
      <c r="AD1409" s="12"/>
      <c r="AE1409" s="12"/>
      <c r="AF1409" s="12">
        <v>0</v>
      </c>
      <c r="AG1409" s="12">
        <v>0</v>
      </c>
      <c r="AH1409" s="12"/>
      <c r="AI1409" s="12"/>
      <c r="AJ1409" s="22"/>
      <c r="AK1409" s="22"/>
      <c r="AL1409" s="22"/>
      <c r="AM1409" s="22"/>
      <c r="AP1409" s="1044"/>
      <c r="AR1409" s="1044"/>
      <c r="AS1409" s="1044"/>
    </row>
    <row r="1410" spans="3:45" hidden="1" outlineLevel="1">
      <c r="C1410" s="816" t="s">
        <v>16</v>
      </c>
      <c r="D1410" s="9">
        <v>3</v>
      </c>
      <c r="E1410" s="20" t="s">
        <v>270</v>
      </c>
      <c r="F1410" s="20"/>
      <c r="G1410" s="20"/>
      <c r="H1410" s="20"/>
      <c r="I1410" s="20"/>
      <c r="J1410" s="20"/>
      <c r="K1410" s="20"/>
      <c r="L1410" s="20"/>
      <c r="M1410" s="20"/>
      <c r="N1410" s="20"/>
      <c r="O1410" s="20"/>
      <c r="P1410" s="20"/>
      <c r="Q1410" s="20"/>
      <c r="R1410" s="20"/>
      <c r="S1410" s="20"/>
      <c r="T1410" s="20"/>
      <c r="U1410" s="20"/>
      <c r="V1410" s="20"/>
      <c r="W1410" s="20"/>
      <c r="X1410" s="20"/>
      <c r="Y1410" s="20"/>
      <c r="Z1410" s="20"/>
      <c r="AA1410" s="20"/>
      <c r="AB1410" s="12"/>
      <c r="AC1410" s="12"/>
      <c r="AD1410" s="12"/>
      <c r="AE1410" s="12"/>
      <c r="AF1410" s="12">
        <v>2100525</v>
      </c>
      <c r="AG1410" s="12">
        <v>500534</v>
      </c>
      <c r="AH1410" s="12"/>
      <c r="AI1410" s="12"/>
      <c r="AJ1410" s="22"/>
      <c r="AK1410" s="22"/>
      <c r="AL1410" s="22"/>
      <c r="AM1410" s="22"/>
      <c r="AP1410" s="1044"/>
      <c r="AR1410" s="1044"/>
      <c r="AS1410" s="1044"/>
    </row>
    <row r="1411" spans="3:45" hidden="1" outlineLevel="1">
      <c r="C1411" s="816" t="s">
        <v>16</v>
      </c>
      <c r="D1411" s="9">
        <v>3</v>
      </c>
      <c r="E1411" s="20" t="s">
        <v>271</v>
      </c>
      <c r="F1411" s="20"/>
      <c r="G1411" s="20"/>
      <c r="H1411" s="20"/>
      <c r="I1411" s="20"/>
      <c r="J1411" s="20"/>
      <c r="K1411" s="20"/>
      <c r="L1411" s="20"/>
      <c r="M1411" s="20"/>
      <c r="N1411" s="20"/>
      <c r="O1411" s="20"/>
      <c r="P1411" s="20"/>
      <c r="Q1411" s="20"/>
      <c r="R1411" s="20"/>
      <c r="S1411" s="20"/>
      <c r="T1411" s="20"/>
      <c r="U1411" s="20"/>
      <c r="V1411" s="20"/>
      <c r="W1411" s="20"/>
      <c r="X1411" s="20"/>
      <c r="Y1411" s="20"/>
      <c r="Z1411" s="20"/>
      <c r="AA1411" s="20"/>
      <c r="AB1411" s="12"/>
      <c r="AC1411" s="12"/>
      <c r="AD1411" s="12"/>
      <c r="AE1411" s="12"/>
      <c r="AF1411" s="12">
        <v>275000</v>
      </c>
      <c r="AG1411" s="12">
        <v>8019170</v>
      </c>
      <c r="AH1411" s="12"/>
      <c r="AI1411" s="12"/>
      <c r="AJ1411" s="22"/>
      <c r="AK1411" s="22"/>
      <c r="AL1411" s="22"/>
      <c r="AM1411" s="22"/>
      <c r="AP1411" s="1044"/>
      <c r="AR1411" s="1044"/>
      <c r="AS1411" s="1044"/>
    </row>
    <row r="1412" spans="3:45" hidden="1" outlineLevel="1">
      <c r="C1412" s="816" t="s">
        <v>16</v>
      </c>
      <c r="D1412" s="9">
        <v>3</v>
      </c>
      <c r="E1412" s="20" t="s">
        <v>272</v>
      </c>
      <c r="F1412" s="20"/>
      <c r="G1412" s="20"/>
      <c r="H1412" s="20"/>
      <c r="I1412" s="20"/>
      <c r="J1412" s="20"/>
      <c r="K1412" s="20"/>
      <c r="L1412" s="20"/>
      <c r="M1412" s="20"/>
      <c r="N1412" s="20"/>
      <c r="O1412" s="20"/>
      <c r="P1412" s="20"/>
      <c r="Q1412" s="20"/>
      <c r="R1412" s="20"/>
      <c r="S1412" s="20"/>
      <c r="T1412" s="20"/>
      <c r="U1412" s="20"/>
      <c r="V1412" s="20"/>
      <c r="W1412" s="20"/>
      <c r="X1412" s="20"/>
      <c r="Y1412" s="20"/>
      <c r="Z1412" s="20"/>
      <c r="AA1412" s="20"/>
      <c r="AB1412" s="12"/>
      <c r="AC1412" s="12"/>
      <c r="AD1412" s="12"/>
      <c r="AE1412" s="12"/>
      <c r="AF1412" s="12">
        <v>836157</v>
      </c>
      <c r="AG1412" s="12">
        <v>423000</v>
      </c>
      <c r="AH1412" s="12"/>
      <c r="AI1412" s="12"/>
      <c r="AJ1412" s="22"/>
      <c r="AK1412" s="22"/>
      <c r="AL1412" s="22"/>
      <c r="AM1412" s="22"/>
      <c r="AP1412" s="1044"/>
      <c r="AR1412" s="1044"/>
      <c r="AS1412" s="1044"/>
    </row>
    <row r="1413" spans="3:45" hidden="1" outlineLevel="1">
      <c r="C1413" s="816" t="s">
        <v>16</v>
      </c>
      <c r="D1413" s="9">
        <v>3</v>
      </c>
      <c r="E1413" s="20" t="s">
        <v>273</v>
      </c>
      <c r="F1413" s="20"/>
      <c r="G1413" s="20"/>
      <c r="H1413" s="20"/>
      <c r="I1413" s="20"/>
      <c r="J1413" s="20"/>
      <c r="K1413" s="20"/>
      <c r="L1413" s="20"/>
      <c r="M1413" s="20"/>
      <c r="N1413" s="20"/>
      <c r="O1413" s="20"/>
      <c r="P1413" s="20"/>
      <c r="Q1413" s="20"/>
      <c r="R1413" s="20"/>
      <c r="S1413" s="20"/>
      <c r="T1413" s="20"/>
      <c r="U1413" s="20"/>
      <c r="V1413" s="20"/>
      <c r="W1413" s="20"/>
      <c r="X1413" s="20"/>
      <c r="Y1413" s="20"/>
      <c r="Z1413" s="20"/>
      <c r="AA1413" s="20"/>
      <c r="AB1413" s="12"/>
      <c r="AC1413" s="12"/>
      <c r="AD1413" s="12"/>
      <c r="AE1413" s="12"/>
      <c r="AF1413" s="12">
        <v>2827738</v>
      </c>
      <c r="AG1413" s="12">
        <v>2331706</v>
      </c>
      <c r="AH1413" s="12"/>
      <c r="AI1413" s="12"/>
      <c r="AJ1413" s="22"/>
      <c r="AK1413" s="22"/>
      <c r="AL1413" s="22"/>
      <c r="AM1413" s="22"/>
      <c r="AP1413" s="1044"/>
      <c r="AR1413" s="1044"/>
      <c r="AS1413" s="1044"/>
    </row>
    <row r="1414" spans="3:45" hidden="1" outlineLevel="1">
      <c r="C1414" s="816" t="s">
        <v>16</v>
      </c>
      <c r="D1414" s="9">
        <v>3</v>
      </c>
      <c r="E1414" s="20" t="s">
        <v>274</v>
      </c>
      <c r="F1414" s="20"/>
      <c r="G1414" s="20"/>
      <c r="H1414" s="20"/>
      <c r="I1414" s="20"/>
      <c r="J1414" s="20"/>
      <c r="K1414" s="20"/>
      <c r="L1414" s="20"/>
      <c r="M1414" s="20"/>
      <c r="N1414" s="20"/>
      <c r="O1414" s="20"/>
      <c r="P1414" s="20"/>
      <c r="Q1414" s="20"/>
      <c r="R1414" s="20"/>
      <c r="S1414" s="20"/>
      <c r="T1414" s="20"/>
      <c r="U1414" s="20"/>
      <c r="V1414" s="20"/>
      <c r="W1414" s="20"/>
      <c r="X1414" s="20"/>
      <c r="Y1414" s="20"/>
      <c r="Z1414" s="20"/>
      <c r="AA1414" s="20"/>
      <c r="AB1414" s="12"/>
      <c r="AC1414" s="12"/>
      <c r="AD1414" s="12"/>
      <c r="AE1414" s="12"/>
      <c r="AF1414" s="12"/>
      <c r="AG1414" s="12"/>
      <c r="AH1414" s="12"/>
      <c r="AI1414" s="12"/>
      <c r="AJ1414" s="22"/>
      <c r="AK1414" s="22"/>
      <c r="AL1414" s="22"/>
      <c r="AM1414" s="22"/>
      <c r="AP1414" s="1044"/>
      <c r="AR1414" s="1044"/>
      <c r="AS1414" s="1044"/>
    </row>
    <row r="1415" spans="3:45" hidden="1" outlineLevel="1">
      <c r="C1415" s="816" t="s">
        <v>16</v>
      </c>
      <c r="D1415" s="9">
        <v>3</v>
      </c>
      <c r="E1415" s="20" t="s">
        <v>275</v>
      </c>
      <c r="F1415" s="20"/>
      <c r="G1415" s="20"/>
      <c r="H1415" s="20"/>
      <c r="I1415" s="20"/>
      <c r="J1415" s="20"/>
      <c r="K1415" s="20"/>
      <c r="L1415" s="20"/>
      <c r="M1415" s="20"/>
      <c r="N1415" s="20"/>
      <c r="O1415" s="20"/>
      <c r="P1415" s="20"/>
      <c r="Q1415" s="20"/>
      <c r="R1415" s="20"/>
      <c r="S1415" s="20"/>
      <c r="T1415" s="20"/>
      <c r="U1415" s="20"/>
      <c r="V1415" s="20"/>
      <c r="W1415" s="20"/>
      <c r="X1415" s="20"/>
      <c r="Y1415" s="20"/>
      <c r="Z1415" s="20"/>
      <c r="AA1415" s="20"/>
      <c r="AB1415" s="12"/>
      <c r="AC1415" s="12"/>
      <c r="AD1415" s="12"/>
      <c r="AE1415" s="12"/>
      <c r="AF1415" s="12">
        <v>1296990</v>
      </c>
      <c r="AG1415" s="12">
        <v>125000</v>
      </c>
      <c r="AH1415" s="12"/>
      <c r="AI1415" s="12"/>
      <c r="AJ1415" s="22"/>
      <c r="AK1415" s="22"/>
      <c r="AL1415" s="22"/>
      <c r="AM1415" s="22"/>
      <c r="AP1415" s="1044"/>
      <c r="AR1415" s="1044"/>
      <c r="AS1415" s="1044"/>
    </row>
    <row r="1416" spans="3:45" hidden="1" outlineLevel="1">
      <c r="C1416" s="816" t="s">
        <v>16</v>
      </c>
      <c r="D1416" s="9">
        <v>3</v>
      </c>
      <c r="E1416" s="20" t="s">
        <v>276</v>
      </c>
      <c r="F1416" s="20"/>
      <c r="G1416" s="20"/>
      <c r="H1416" s="20"/>
      <c r="I1416" s="20"/>
      <c r="J1416" s="20"/>
      <c r="K1416" s="20"/>
      <c r="L1416" s="20"/>
      <c r="M1416" s="20"/>
      <c r="N1416" s="20"/>
      <c r="O1416" s="20"/>
      <c r="P1416" s="20"/>
      <c r="Q1416" s="20"/>
      <c r="R1416" s="20"/>
      <c r="S1416" s="20"/>
      <c r="T1416" s="20"/>
      <c r="U1416" s="20"/>
      <c r="V1416" s="20"/>
      <c r="W1416" s="20"/>
      <c r="X1416" s="20"/>
      <c r="Y1416" s="20"/>
      <c r="Z1416" s="20"/>
      <c r="AA1416" s="20"/>
      <c r="AB1416" s="12"/>
      <c r="AC1416" s="12"/>
      <c r="AD1416" s="12"/>
      <c r="AE1416" s="12"/>
      <c r="AF1416" s="12">
        <v>0</v>
      </c>
      <c r="AG1416" s="12">
        <v>0</v>
      </c>
      <c r="AH1416" s="12"/>
      <c r="AI1416" s="12"/>
      <c r="AJ1416" s="22"/>
      <c r="AK1416" s="22"/>
      <c r="AL1416" s="22"/>
      <c r="AM1416" s="22"/>
      <c r="AP1416" s="1044"/>
      <c r="AR1416" s="1044"/>
      <c r="AS1416" s="1044"/>
    </row>
    <row r="1417" spans="3:45" hidden="1" outlineLevel="1">
      <c r="C1417" s="816" t="s">
        <v>16</v>
      </c>
      <c r="D1417" s="9">
        <v>3</v>
      </c>
      <c r="E1417" s="20" t="s">
        <v>277</v>
      </c>
      <c r="F1417" s="20"/>
      <c r="G1417" s="20"/>
      <c r="H1417" s="20"/>
      <c r="I1417" s="20"/>
      <c r="J1417" s="20"/>
      <c r="K1417" s="20"/>
      <c r="L1417" s="20"/>
      <c r="M1417" s="20"/>
      <c r="N1417" s="20"/>
      <c r="O1417" s="20"/>
      <c r="P1417" s="20"/>
      <c r="Q1417" s="20"/>
      <c r="R1417" s="20"/>
      <c r="S1417" s="20"/>
      <c r="T1417" s="20"/>
      <c r="U1417" s="20"/>
      <c r="V1417" s="20"/>
      <c r="W1417" s="20"/>
      <c r="X1417" s="20"/>
      <c r="Y1417" s="20"/>
      <c r="Z1417" s="20"/>
      <c r="AA1417" s="20"/>
      <c r="AB1417" s="12"/>
      <c r="AC1417" s="12"/>
      <c r="AD1417" s="12"/>
      <c r="AE1417" s="12"/>
      <c r="AF1417" s="12">
        <v>0</v>
      </c>
      <c r="AG1417" s="12">
        <v>0</v>
      </c>
      <c r="AH1417" s="12"/>
      <c r="AI1417" s="12"/>
      <c r="AJ1417" s="22"/>
      <c r="AK1417" s="22"/>
      <c r="AL1417" s="22"/>
      <c r="AM1417" s="22"/>
      <c r="AP1417" s="1044"/>
      <c r="AR1417" s="1044"/>
      <c r="AS1417" s="1044"/>
    </row>
    <row r="1418" spans="3:45" hidden="1" outlineLevel="1">
      <c r="C1418" s="816" t="s">
        <v>16</v>
      </c>
      <c r="D1418" s="9">
        <v>3</v>
      </c>
      <c r="E1418" s="20" t="s">
        <v>278</v>
      </c>
      <c r="F1418" s="20"/>
      <c r="G1418" s="20"/>
      <c r="H1418" s="20"/>
      <c r="I1418" s="20"/>
      <c r="J1418" s="20"/>
      <c r="K1418" s="20"/>
      <c r="L1418" s="20"/>
      <c r="M1418" s="20"/>
      <c r="N1418" s="20"/>
      <c r="O1418" s="20"/>
      <c r="P1418" s="20"/>
      <c r="Q1418" s="20"/>
      <c r="R1418" s="20"/>
      <c r="S1418" s="20"/>
      <c r="T1418" s="20"/>
      <c r="U1418" s="20"/>
      <c r="V1418" s="20"/>
      <c r="W1418" s="20"/>
      <c r="X1418" s="20"/>
      <c r="Y1418" s="20"/>
      <c r="Z1418" s="20"/>
      <c r="AA1418" s="20"/>
      <c r="AB1418" s="12"/>
      <c r="AC1418" s="12"/>
      <c r="AD1418" s="12"/>
      <c r="AE1418" s="12"/>
      <c r="AF1418" s="12">
        <v>860302</v>
      </c>
      <c r="AG1418" s="12">
        <v>183942</v>
      </c>
      <c r="AH1418" s="12"/>
      <c r="AI1418" s="12"/>
      <c r="AJ1418" s="22"/>
      <c r="AK1418" s="22"/>
      <c r="AL1418" s="22"/>
      <c r="AM1418" s="22"/>
      <c r="AP1418" s="1044"/>
      <c r="AR1418" s="1044"/>
      <c r="AS1418" s="1044"/>
    </row>
    <row r="1419" spans="3:45" hidden="1" outlineLevel="1">
      <c r="C1419" s="816" t="s">
        <v>16</v>
      </c>
      <c r="D1419" s="9">
        <v>3</v>
      </c>
      <c r="E1419" s="20" t="s">
        <v>279</v>
      </c>
      <c r="F1419" s="20"/>
      <c r="G1419" s="20"/>
      <c r="H1419" s="20"/>
      <c r="I1419" s="20"/>
      <c r="J1419" s="20"/>
      <c r="K1419" s="20"/>
      <c r="L1419" s="20"/>
      <c r="M1419" s="20"/>
      <c r="N1419" s="20"/>
      <c r="O1419" s="20"/>
      <c r="P1419" s="20"/>
      <c r="Q1419" s="20"/>
      <c r="R1419" s="20"/>
      <c r="S1419" s="20"/>
      <c r="T1419" s="20"/>
      <c r="U1419" s="20"/>
      <c r="V1419" s="20"/>
      <c r="W1419" s="20"/>
      <c r="X1419" s="20"/>
      <c r="Y1419" s="20"/>
      <c r="Z1419" s="20"/>
      <c r="AA1419" s="20"/>
      <c r="AB1419" s="12"/>
      <c r="AC1419" s="12"/>
      <c r="AD1419" s="12"/>
      <c r="AE1419" s="12"/>
      <c r="AF1419" s="12">
        <v>0</v>
      </c>
      <c r="AG1419" s="12">
        <v>0</v>
      </c>
      <c r="AH1419" s="12"/>
      <c r="AI1419" s="12"/>
      <c r="AJ1419" s="22"/>
      <c r="AK1419" s="22"/>
      <c r="AL1419" s="22"/>
      <c r="AM1419" s="22"/>
      <c r="AP1419" s="1044"/>
      <c r="AR1419" s="1044"/>
      <c r="AS1419" s="1044"/>
    </row>
    <row r="1420" spans="3:45" hidden="1" outlineLevel="1">
      <c r="C1420" s="816" t="s">
        <v>16</v>
      </c>
      <c r="D1420" s="9">
        <v>3</v>
      </c>
      <c r="E1420" s="20" t="s">
        <v>28</v>
      </c>
      <c r="F1420" s="20"/>
      <c r="G1420" s="20"/>
      <c r="H1420" s="20"/>
      <c r="I1420" s="20"/>
      <c r="J1420" s="20"/>
      <c r="K1420" s="20"/>
      <c r="L1420" s="20"/>
      <c r="M1420" s="20"/>
      <c r="N1420" s="20"/>
      <c r="O1420" s="20"/>
      <c r="P1420" s="20"/>
      <c r="Q1420" s="20"/>
      <c r="R1420" s="20"/>
      <c r="S1420" s="20"/>
      <c r="T1420" s="20"/>
      <c r="U1420" s="20"/>
      <c r="V1420" s="20"/>
      <c r="W1420" s="20"/>
      <c r="X1420" s="20"/>
      <c r="Y1420" s="20"/>
      <c r="Z1420" s="20"/>
      <c r="AA1420" s="20"/>
      <c r="AB1420" s="12"/>
      <c r="AC1420" s="12"/>
      <c r="AD1420" s="12"/>
      <c r="AE1420" s="12"/>
      <c r="AF1420" s="12">
        <v>0</v>
      </c>
      <c r="AG1420" s="12">
        <v>0</v>
      </c>
      <c r="AH1420" s="12"/>
      <c r="AI1420" s="12"/>
      <c r="AJ1420" s="22"/>
      <c r="AK1420" s="22"/>
      <c r="AL1420" s="22"/>
      <c r="AM1420" s="22"/>
      <c r="AP1420" s="1044"/>
      <c r="AR1420" s="1044"/>
      <c r="AS1420" s="1044"/>
    </row>
    <row r="1421" spans="3:45" hidden="1" outlineLevel="1">
      <c r="C1421" s="816" t="s">
        <v>16</v>
      </c>
      <c r="D1421" s="9">
        <v>3</v>
      </c>
      <c r="E1421" s="20" t="s">
        <v>1428</v>
      </c>
      <c r="F1421" s="20"/>
      <c r="G1421" s="20"/>
      <c r="H1421" s="20"/>
      <c r="I1421" s="20"/>
      <c r="J1421" s="20"/>
      <c r="K1421" s="20"/>
      <c r="L1421" s="20"/>
      <c r="M1421" s="20"/>
      <c r="N1421" s="20"/>
      <c r="O1421" s="20"/>
      <c r="P1421" s="20"/>
      <c r="Q1421" s="20"/>
      <c r="R1421" s="20"/>
      <c r="S1421" s="20"/>
      <c r="T1421" s="20"/>
      <c r="U1421" s="20"/>
      <c r="V1421" s="20"/>
      <c r="W1421" s="20"/>
      <c r="X1421" s="20"/>
      <c r="Y1421" s="20"/>
      <c r="Z1421" s="20"/>
      <c r="AA1421" s="20"/>
      <c r="AB1421" s="12"/>
      <c r="AC1421" s="12"/>
      <c r="AD1421" s="12"/>
      <c r="AE1421" s="12"/>
      <c r="AF1421" s="12">
        <v>0</v>
      </c>
      <c r="AG1421" s="12">
        <v>250000</v>
      </c>
      <c r="AH1421" s="12"/>
      <c r="AI1421" s="12"/>
      <c r="AJ1421" s="22"/>
      <c r="AK1421" s="22"/>
      <c r="AL1421" s="22"/>
      <c r="AM1421" s="22"/>
      <c r="AP1421" s="1044"/>
      <c r="AR1421" s="1044"/>
      <c r="AS1421" s="1044"/>
    </row>
    <row r="1422" spans="3:45" hidden="1" outlineLevel="1">
      <c r="C1422" s="816" t="s">
        <v>16</v>
      </c>
      <c r="D1422" s="9">
        <v>3</v>
      </c>
      <c r="E1422" s="20" t="s">
        <v>754</v>
      </c>
      <c r="F1422" s="20"/>
      <c r="G1422" s="20"/>
      <c r="H1422" s="20"/>
      <c r="I1422" s="20"/>
      <c r="J1422" s="20"/>
      <c r="K1422" s="20"/>
      <c r="L1422" s="20"/>
      <c r="M1422" s="20"/>
      <c r="N1422" s="20"/>
      <c r="O1422" s="20"/>
      <c r="P1422" s="20"/>
      <c r="Q1422" s="20"/>
      <c r="R1422" s="20"/>
      <c r="S1422" s="20"/>
      <c r="T1422" s="20"/>
      <c r="U1422" s="20"/>
      <c r="V1422" s="20"/>
      <c r="W1422" s="20"/>
      <c r="X1422" s="20"/>
      <c r="Y1422" s="20"/>
      <c r="Z1422" s="20"/>
      <c r="AA1422" s="20"/>
      <c r="AB1422" s="12"/>
      <c r="AC1422" s="12"/>
      <c r="AD1422" s="12"/>
      <c r="AE1422" s="12"/>
      <c r="AF1422" s="12">
        <v>1343992</v>
      </c>
      <c r="AG1422" s="12">
        <v>12979094</v>
      </c>
      <c r="AH1422" s="12"/>
      <c r="AI1422" s="12"/>
      <c r="AJ1422" s="22"/>
      <c r="AK1422" s="22"/>
      <c r="AL1422" s="22"/>
      <c r="AM1422" s="22"/>
      <c r="AP1422" s="1044"/>
      <c r="AR1422" s="1044"/>
      <c r="AS1422" s="1044"/>
    </row>
    <row r="1423" spans="3:45" hidden="1" outlineLevel="1">
      <c r="C1423" s="816" t="s">
        <v>16</v>
      </c>
      <c r="D1423" s="9">
        <v>3</v>
      </c>
      <c r="E1423" s="20" t="s">
        <v>749</v>
      </c>
      <c r="F1423" s="20"/>
      <c r="G1423" s="20"/>
      <c r="H1423" s="20"/>
      <c r="I1423" s="20"/>
      <c r="J1423" s="20"/>
      <c r="K1423" s="20"/>
      <c r="L1423" s="20"/>
      <c r="M1423" s="20"/>
      <c r="N1423" s="20"/>
      <c r="O1423" s="20"/>
      <c r="P1423" s="20"/>
      <c r="Q1423" s="20"/>
      <c r="R1423" s="20"/>
      <c r="S1423" s="20"/>
      <c r="T1423" s="20"/>
      <c r="U1423" s="20"/>
      <c r="V1423" s="20"/>
      <c r="W1423" s="20"/>
      <c r="X1423" s="20"/>
      <c r="Y1423" s="20"/>
      <c r="Z1423" s="20"/>
      <c r="AA1423" s="20"/>
      <c r="AB1423" s="12"/>
      <c r="AC1423" s="12"/>
      <c r="AD1423" s="12">
        <v>-1000000</v>
      </c>
      <c r="AE1423" s="12">
        <v>-1000000</v>
      </c>
      <c r="AF1423" s="12">
        <v>837307</v>
      </c>
      <c r="AG1423" s="12">
        <v>34802552</v>
      </c>
      <c r="AH1423" s="12"/>
      <c r="AI1423" s="12"/>
      <c r="AJ1423" s="22"/>
      <c r="AK1423" s="22"/>
      <c r="AL1423" s="22"/>
      <c r="AM1423" s="22"/>
      <c r="AP1423" s="1044"/>
      <c r="AR1423" s="1044"/>
      <c r="AS1423" s="1044"/>
    </row>
    <row r="1424" spans="3:45" hidden="1" outlineLevel="1">
      <c r="C1424" s="816" t="s">
        <v>16</v>
      </c>
      <c r="D1424" s="9">
        <v>3</v>
      </c>
      <c r="E1424" s="20" t="s">
        <v>755</v>
      </c>
      <c r="F1424" s="20"/>
      <c r="G1424" s="20"/>
      <c r="H1424" s="20"/>
      <c r="I1424" s="20"/>
      <c r="J1424" s="20"/>
      <c r="K1424" s="20"/>
      <c r="L1424" s="20"/>
      <c r="M1424" s="20"/>
      <c r="N1424" s="20"/>
      <c r="O1424" s="20"/>
      <c r="P1424" s="20"/>
      <c r="Q1424" s="20"/>
      <c r="R1424" s="20"/>
      <c r="S1424" s="20"/>
      <c r="T1424" s="20"/>
      <c r="U1424" s="20"/>
      <c r="V1424" s="20"/>
      <c r="W1424" s="20"/>
      <c r="X1424" s="20"/>
      <c r="Y1424" s="20"/>
      <c r="Z1424" s="20"/>
      <c r="AA1424" s="20"/>
      <c r="AB1424" s="12"/>
      <c r="AC1424" s="12"/>
      <c r="AD1424" s="12">
        <v>-1000000</v>
      </c>
      <c r="AE1424" s="12">
        <v>-1000000</v>
      </c>
      <c r="AF1424" s="12">
        <v>373520</v>
      </c>
      <c r="AG1424" s="12">
        <v>9601643</v>
      </c>
      <c r="AH1424" s="12"/>
      <c r="AI1424" s="12"/>
      <c r="AJ1424" s="22"/>
      <c r="AK1424" s="22"/>
      <c r="AL1424" s="22"/>
      <c r="AM1424" s="22"/>
      <c r="AP1424" s="1044"/>
      <c r="AR1424" s="1044"/>
      <c r="AS1424" s="1044"/>
    </row>
    <row r="1425" spans="3:45" hidden="1" outlineLevel="1">
      <c r="C1425" s="816" t="s">
        <v>16</v>
      </c>
      <c r="D1425" s="9">
        <v>3</v>
      </c>
      <c r="E1425" s="20" t="s">
        <v>756</v>
      </c>
      <c r="F1425" s="20"/>
      <c r="G1425" s="20"/>
      <c r="H1425" s="20"/>
      <c r="I1425" s="20"/>
      <c r="J1425" s="20"/>
      <c r="K1425" s="20"/>
      <c r="L1425" s="20"/>
      <c r="M1425" s="20"/>
      <c r="N1425" s="20"/>
      <c r="O1425" s="20"/>
      <c r="P1425" s="20"/>
      <c r="Q1425" s="20"/>
      <c r="R1425" s="20"/>
      <c r="S1425" s="20"/>
      <c r="T1425" s="20"/>
      <c r="U1425" s="20"/>
      <c r="V1425" s="20"/>
      <c r="W1425" s="20"/>
      <c r="X1425" s="20"/>
      <c r="Y1425" s="20"/>
      <c r="Z1425" s="20"/>
      <c r="AA1425" s="20"/>
      <c r="AB1425" s="12"/>
      <c r="AC1425" s="12"/>
      <c r="AD1425" s="12"/>
      <c r="AE1425" s="12"/>
      <c r="AF1425" s="12">
        <v>2064331</v>
      </c>
      <c r="AG1425" s="12">
        <v>11976764</v>
      </c>
      <c r="AH1425" s="12"/>
      <c r="AI1425" s="12"/>
      <c r="AJ1425" s="22"/>
      <c r="AK1425" s="22"/>
      <c r="AL1425" s="22"/>
      <c r="AM1425" s="22"/>
      <c r="AP1425" s="1044"/>
      <c r="AR1425" s="1044"/>
      <c r="AS1425" s="1044"/>
    </row>
    <row r="1426" spans="3:45" hidden="1" outlineLevel="1">
      <c r="C1426" s="816" t="s">
        <v>16</v>
      </c>
      <c r="D1426" s="9">
        <v>3</v>
      </c>
      <c r="E1426" s="224" t="s">
        <v>1667</v>
      </c>
      <c r="F1426" s="20"/>
      <c r="G1426" s="20"/>
      <c r="H1426" s="20"/>
      <c r="I1426" s="20"/>
      <c r="J1426" s="20"/>
      <c r="K1426" s="20"/>
      <c r="L1426" s="20"/>
      <c r="M1426" s="20"/>
      <c r="N1426" s="20"/>
      <c r="O1426" s="20"/>
      <c r="P1426" s="20"/>
      <c r="Q1426" s="20"/>
      <c r="R1426" s="20"/>
      <c r="S1426" s="20"/>
      <c r="T1426" s="20"/>
      <c r="U1426" s="20"/>
      <c r="V1426" s="20"/>
      <c r="W1426" s="20"/>
      <c r="X1426" s="20"/>
      <c r="Y1426" s="20"/>
      <c r="Z1426" s="20"/>
      <c r="AA1426" s="20"/>
      <c r="AB1426" s="12"/>
      <c r="AC1426" s="12"/>
      <c r="AD1426" s="12"/>
      <c r="AE1426" s="12"/>
      <c r="AF1426" s="12"/>
      <c r="AG1426" s="12"/>
      <c r="AH1426" s="12"/>
      <c r="AI1426" s="12"/>
      <c r="AJ1426" s="22"/>
      <c r="AK1426" s="22"/>
      <c r="AL1426" s="22"/>
      <c r="AM1426" s="22"/>
      <c r="AP1426" s="1044"/>
      <c r="AR1426" s="1044"/>
      <c r="AS1426" s="1044"/>
    </row>
    <row r="1427" spans="3:45" hidden="1" outlineLevel="1">
      <c r="C1427" s="816" t="s">
        <v>16</v>
      </c>
      <c r="D1427" s="9">
        <v>3</v>
      </c>
      <c r="E1427" s="20" t="s">
        <v>1356</v>
      </c>
      <c r="F1427" s="20"/>
      <c r="G1427" s="20"/>
      <c r="H1427" s="20"/>
      <c r="I1427" s="20"/>
      <c r="J1427" s="20"/>
      <c r="K1427" s="20"/>
      <c r="L1427" s="20"/>
      <c r="M1427" s="20"/>
      <c r="N1427" s="20"/>
      <c r="O1427" s="20"/>
      <c r="P1427" s="20"/>
      <c r="Q1427" s="20"/>
      <c r="R1427" s="20"/>
      <c r="S1427" s="20"/>
      <c r="T1427" s="20"/>
      <c r="U1427" s="20"/>
      <c r="V1427" s="20"/>
      <c r="W1427" s="20"/>
      <c r="X1427" s="20"/>
      <c r="Y1427" s="20"/>
      <c r="Z1427" s="20"/>
      <c r="AA1427" s="20"/>
      <c r="AB1427" s="12"/>
      <c r="AC1427" s="12"/>
      <c r="AD1427" s="12"/>
      <c r="AE1427" s="12"/>
      <c r="AF1427" s="12">
        <v>3774000</v>
      </c>
      <c r="AG1427" s="12">
        <v>7344515</v>
      </c>
      <c r="AH1427" s="12"/>
      <c r="AI1427" s="12"/>
      <c r="AJ1427" s="22"/>
      <c r="AK1427" s="22"/>
      <c r="AL1427" s="22"/>
      <c r="AM1427" s="22"/>
      <c r="AP1427" s="1044"/>
      <c r="AR1427" s="1044"/>
      <c r="AS1427" s="1044"/>
    </row>
    <row r="1428" spans="3:45" hidden="1" outlineLevel="1">
      <c r="C1428" s="816" t="s">
        <v>16</v>
      </c>
      <c r="D1428" s="9">
        <v>3</v>
      </c>
      <c r="E1428" s="20" t="s">
        <v>1357</v>
      </c>
      <c r="F1428" s="20"/>
      <c r="G1428" s="20"/>
      <c r="H1428" s="20"/>
      <c r="I1428" s="20"/>
      <c r="J1428" s="20"/>
      <c r="K1428" s="20"/>
      <c r="L1428" s="20"/>
      <c r="M1428" s="20"/>
      <c r="N1428" s="20"/>
      <c r="O1428" s="20"/>
      <c r="P1428" s="20"/>
      <c r="Q1428" s="20"/>
      <c r="R1428" s="20"/>
      <c r="S1428" s="20"/>
      <c r="T1428" s="20"/>
      <c r="U1428" s="20"/>
      <c r="V1428" s="20"/>
      <c r="W1428" s="20"/>
      <c r="X1428" s="20"/>
      <c r="Y1428" s="20"/>
      <c r="Z1428" s="20"/>
      <c r="AA1428" s="20"/>
      <c r="AB1428" s="12"/>
      <c r="AC1428" s="12"/>
      <c r="AD1428" s="12"/>
      <c r="AE1428" s="12"/>
      <c r="AF1428" s="12">
        <v>644680</v>
      </c>
      <c r="AG1428" s="12">
        <v>3581390</v>
      </c>
      <c r="AH1428" s="12"/>
      <c r="AI1428" s="12"/>
      <c r="AJ1428" s="22"/>
      <c r="AK1428" s="22"/>
      <c r="AL1428" s="22"/>
      <c r="AM1428" s="22"/>
      <c r="AP1428" s="1044"/>
      <c r="AR1428" s="1044"/>
      <c r="AS1428" s="1044"/>
    </row>
    <row r="1429" spans="3:45" hidden="1" outlineLevel="1">
      <c r="C1429" s="816" t="s">
        <v>16</v>
      </c>
      <c r="D1429" s="9">
        <v>3</v>
      </c>
      <c r="E1429" s="20" t="s">
        <v>1358</v>
      </c>
      <c r="F1429" s="20"/>
      <c r="G1429" s="20"/>
      <c r="H1429" s="20"/>
      <c r="I1429" s="20"/>
      <c r="J1429" s="20"/>
      <c r="K1429" s="20"/>
      <c r="L1429" s="20"/>
      <c r="M1429" s="20"/>
      <c r="N1429" s="20"/>
      <c r="O1429" s="20"/>
      <c r="P1429" s="20"/>
      <c r="Q1429" s="20"/>
      <c r="R1429" s="20"/>
      <c r="S1429" s="20"/>
      <c r="T1429" s="20"/>
      <c r="U1429" s="20"/>
      <c r="V1429" s="20"/>
      <c r="W1429" s="20"/>
      <c r="X1429" s="20"/>
      <c r="Y1429" s="20"/>
      <c r="Z1429" s="20"/>
      <c r="AA1429" s="20"/>
      <c r="AB1429" s="12"/>
      <c r="AC1429" s="12"/>
      <c r="AD1429" s="12"/>
      <c r="AE1429" s="12"/>
      <c r="AF1429" s="12">
        <v>2435693</v>
      </c>
      <c r="AG1429" s="12">
        <v>5918190</v>
      </c>
      <c r="AH1429" s="12"/>
      <c r="AI1429" s="12"/>
      <c r="AJ1429" s="22"/>
      <c r="AK1429" s="22"/>
      <c r="AL1429" s="22"/>
      <c r="AM1429" s="22"/>
      <c r="AP1429" s="1044"/>
      <c r="AR1429" s="1044"/>
      <c r="AS1429" s="1044"/>
    </row>
    <row r="1430" spans="3:45" hidden="1" outlineLevel="1">
      <c r="C1430" s="816" t="s">
        <v>16</v>
      </c>
      <c r="D1430" s="9">
        <v>3</v>
      </c>
      <c r="E1430" s="20" t="s">
        <v>757</v>
      </c>
      <c r="F1430" s="20"/>
      <c r="G1430" s="20"/>
      <c r="H1430" s="20"/>
      <c r="I1430" s="20"/>
      <c r="J1430" s="20"/>
      <c r="K1430" s="20"/>
      <c r="L1430" s="20"/>
      <c r="M1430" s="20"/>
      <c r="N1430" s="20"/>
      <c r="O1430" s="20"/>
      <c r="P1430" s="20"/>
      <c r="Q1430" s="20"/>
      <c r="R1430" s="20"/>
      <c r="S1430" s="20"/>
      <c r="T1430" s="20"/>
      <c r="U1430" s="20"/>
      <c r="V1430" s="20"/>
      <c r="W1430" s="20"/>
      <c r="X1430" s="20"/>
      <c r="Y1430" s="20"/>
      <c r="Z1430" s="20"/>
      <c r="AA1430" s="20"/>
      <c r="AB1430" s="12"/>
      <c r="AC1430" s="12"/>
      <c r="AD1430" s="12"/>
      <c r="AE1430" s="12"/>
      <c r="AF1430" s="12">
        <v>932531</v>
      </c>
      <c r="AG1430" s="12">
        <v>12397011</v>
      </c>
      <c r="AH1430" s="12"/>
      <c r="AI1430" s="12"/>
      <c r="AJ1430" s="22"/>
      <c r="AK1430" s="22"/>
      <c r="AL1430" s="22"/>
      <c r="AM1430" s="22"/>
      <c r="AP1430" s="1044"/>
      <c r="AR1430" s="1044"/>
      <c r="AS1430" s="1044"/>
    </row>
    <row r="1431" spans="3:45" hidden="1" outlineLevel="1">
      <c r="C1431" s="816" t="s">
        <v>16</v>
      </c>
      <c r="D1431" s="9">
        <v>3</v>
      </c>
      <c r="E1431" s="20" t="s">
        <v>1359</v>
      </c>
      <c r="F1431" s="20"/>
      <c r="G1431" s="20"/>
      <c r="H1431" s="20"/>
      <c r="I1431" s="20"/>
      <c r="J1431" s="20"/>
      <c r="K1431" s="20"/>
      <c r="L1431" s="20"/>
      <c r="M1431" s="20"/>
      <c r="N1431" s="20"/>
      <c r="O1431" s="20"/>
      <c r="P1431" s="20"/>
      <c r="Q1431" s="20"/>
      <c r="R1431" s="20"/>
      <c r="S1431" s="20"/>
      <c r="T1431" s="20"/>
      <c r="U1431" s="20"/>
      <c r="V1431" s="20"/>
      <c r="W1431" s="20"/>
      <c r="X1431" s="20"/>
      <c r="Y1431" s="20"/>
      <c r="Z1431" s="20"/>
      <c r="AA1431" s="20"/>
      <c r="AB1431" s="12"/>
      <c r="AC1431" s="12"/>
      <c r="AD1431" s="12">
        <v>-750000</v>
      </c>
      <c r="AE1431" s="12">
        <v>-750000</v>
      </c>
      <c r="AF1431" s="12">
        <v>837650</v>
      </c>
      <c r="AG1431" s="12">
        <v>4365466</v>
      </c>
      <c r="AH1431" s="12"/>
      <c r="AI1431" s="12"/>
      <c r="AJ1431" s="22"/>
      <c r="AK1431" s="22"/>
      <c r="AL1431" s="22"/>
      <c r="AM1431" s="22"/>
      <c r="AP1431" s="1044"/>
      <c r="AR1431" s="1044"/>
      <c r="AS1431" s="1044"/>
    </row>
    <row r="1432" spans="3:45" hidden="1" outlineLevel="1">
      <c r="C1432" s="816" t="s">
        <v>16</v>
      </c>
      <c r="D1432" s="9">
        <v>3</v>
      </c>
      <c r="E1432" s="20" t="s">
        <v>1429</v>
      </c>
      <c r="F1432" s="20"/>
      <c r="G1432" s="20"/>
      <c r="H1432" s="20"/>
      <c r="I1432" s="20"/>
      <c r="J1432" s="20"/>
      <c r="K1432" s="20"/>
      <c r="L1432" s="20"/>
      <c r="M1432" s="20"/>
      <c r="N1432" s="20"/>
      <c r="O1432" s="20"/>
      <c r="P1432" s="20"/>
      <c r="Q1432" s="20"/>
      <c r="R1432" s="20"/>
      <c r="S1432" s="20"/>
      <c r="T1432" s="20"/>
      <c r="U1432" s="20"/>
      <c r="V1432" s="20"/>
      <c r="W1432" s="20"/>
      <c r="X1432" s="20"/>
      <c r="Y1432" s="20"/>
      <c r="Z1432" s="20"/>
      <c r="AA1432" s="20"/>
      <c r="AB1432" s="12"/>
      <c r="AC1432" s="12"/>
      <c r="AD1432" s="12"/>
      <c r="AE1432" s="12"/>
      <c r="AF1432" s="12">
        <v>266617</v>
      </c>
      <c r="AG1432" s="12">
        <v>250000</v>
      </c>
      <c r="AH1432" s="12"/>
      <c r="AI1432" s="12"/>
      <c r="AJ1432" s="22"/>
      <c r="AK1432" s="22"/>
      <c r="AL1432" s="22"/>
      <c r="AM1432" s="22"/>
      <c r="AP1432" s="1044"/>
      <c r="AR1432" s="1044"/>
      <c r="AS1432" s="1044"/>
    </row>
    <row r="1433" spans="3:45" hidden="1" outlineLevel="1">
      <c r="C1433" s="816" t="s">
        <v>16</v>
      </c>
      <c r="D1433" s="9">
        <v>3</v>
      </c>
      <c r="E1433" s="20" t="s">
        <v>751</v>
      </c>
      <c r="F1433" s="20"/>
      <c r="G1433" s="20"/>
      <c r="H1433" s="20"/>
      <c r="I1433" s="20"/>
      <c r="J1433" s="20"/>
      <c r="K1433" s="20"/>
      <c r="L1433" s="20"/>
      <c r="M1433" s="20"/>
      <c r="N1433" s="20"/>
      <c r="O1433" s="20"/>
      <c r="P1433" s="20"/>
      <c r="Q1433" s="20"/>
      <c r="R1433" s="20"/>
      <c r="S1433" s="20"/>
      <c r="T1433" s="20"/>
      <c r="U1433" s="20"/>
      <c r="V1433" s="20"/>
      <c r="W1433" s="20"/>
      <c r="X1433" s="20"/>
      <c r="Y1433" s="20"/>
      <c r="Z1433" s="20"/>
      <c r="AA1433" s="20"/>
      <c r="AB1433" s="12"/>
      <c r="AC1433" s="12"/>
      <c r="AD1433" s="12">
        <v>-1500000</v>
      </c>
      <c r="AE1433" s="12">
        <v>-1500000</v>
      </c>
      <c r="AF1433" s="12">
        <v>13706000</v>
      </c>
      <c r="AG1433" s="12">
        <v>18065118</v>
      </c>
      <c r="AH1433" s="12"/>
      <c r="AI1433" s="12"/>
      <c r="AJ1433" s="22"/>
      <c r="AK1433" s="22"/>
      <c r="AL1433" s="22"/>
      <c r="AM1433" s="22"/>
      <c r="AP1433" s="1044"/>
      <c r="AR1433" s="1044"/>
      <c r="AS1433" s="1044"/>
    </row>
    <row r="1434" spans="3:45" hidden="1" outlineLevel="1">
      <c r="C1434" s="816" t="s">
        <v>16</v>
      </c>
      <c r="D1434" s="9">
        <v>3</v>
      </c>
      <c r="E1434" s="20" t="s">
        <v>876</v>
      </c>
      <c r="F1434" s="20"/>
      <c r="G1434" s="20"/>
      <c r="H1434" s="20"/>
      <c r="I1434" s="20"/>
      <c r="J1434" s="20"/>
      <c r="K1434" s="20"/>
      <c r="L1434" s="20"/>
      <c r="M1434" s="20"/>
      <c r="N1434" s="20"/>
      <c r="O1434" s="20"/>
      <c r="P1434" s="20"/>
      <c r="Q1434" s="20"/>
      <c r="R1434" s="20"/>
      <c r="S1434" s="20"/>
      <c r="T1434" s="20"/>
      <c r="U1434" s="20"/>
      <c r="V1434" s="20"/>
      <c r="W1434" s="20"/>
      <c r="X1434" s="20"/>
      <c r="Y1434" s="20"/>
      <c r="Z1434" s="20"/>
      <c r="AA1434" s="20"/>
      <c r="AB1434" s="12"/>
      <c r="AC1434" s="12"/>
      <c r="AD1434" s="12">
        <v>-2050000</v>
      </c>
      <c r="AE1434" s="12">
        <v>-2050000</v>
      </c>
      <c r="AF1434" s="12">
        <v>300000</v>
      </c>
      <c r="AG1434" s="12">
        <v>1240706</v>
      </c>
      <c r="AH1434" s="12"/>
      <c r="AI1434" s="12"/>
      <c r="AJ1434" s="22"/>
      <c r="AK1434" s="22"/>
      <c r="AL1434" s="22"/>
      <c r="AM1434" s="22"/>
      <c r="AP1434" s="1044"/>
      <c r="AR1434" s="1044"/>
      <c r="AS1434" s="1044"/>
    </row>
    <row r="1435" spans="3:45" hidden="1" outlineLevel="1">
      <c r="C1435" s="816" t="s">
        <v>16</v>
      </c>
      <c r="D1435" s="9">
        <v>3</v>
      </c>
      <c r="E1435" s="20" t="s">
        <v>750</v>
      </c>
      <c r="F1435" s="20"/>
      <c r="G1435" s="20"/>
      <c r="H1435" s="20"/>
      <c r="I1435" s="20"/>
      <c r="J1435" s="20"/>
      <c r="K1435" s="20"/>
      <c r="L1435" s="20"/>
      <c r="M1435" s="20"/>
      <c r="N1435" s="20"/>
      <c r="O1435" s="20"/>
      <c r="P1435" s="20"/>
      <c r="Q1435" s="20"/>
      <c r="R1435" s="20"/>
      <c r="S1435" s="20"/>
      <c r="T1435" s="20"/>
      <c r="U1435" s="20"/>
      <c r="V1435" s="20"/>
      <c r="W1435" s="20"/>
      <c r="X1435" s="20"/>
      <c r="Y1435" s="20"/>
      <c r="Z1435" s="20"/>
      <c r="AA1435" s="20"/>
      <c r="AB1435" s="12"/>
      <c r="AC1435" s="12"/>
      <c r="AD1435" s="12"/>
      <c r="AE1435" s="12"/>
      <c r="AF1435" s="12">
        <v>2362151</v>
      </c>
      <c r="AG1435" s="12">
        <v>3632323</v>
      </c>
      <c r="AH1435" s="12"/>
      <c r="AI1435" s="12"/>
      <c r="AJ1435" s="22"/>
      <c r="AK1435" s="22"/>
      <c r="AL1435" s="22"/>
      <c r="AM1435" s="22"/>
      <c r="AP1435" s="1044"/>
      <c r="AR1435" s="1044"/>
      <c r="AS1435" s="1044"/>
    </row>
    <row r="1436" spans="3:45" hidden="1" outlineLevel="1">
      <c r="C1436" s="816" t="s">
        <v>16</v>
      </c>
      <c r="D1436" s="9">
        <v>3</v>
      </c>
      <c r="E1436" s="20" t="s">
        <v>1209</v>
      </c>
      <c r="F1436" s="20"/>
      <c r="G1436" s="20"/>
      <c r="H1436" s="20"/>
      <c r="I1436" s="20"/>
      <c r="J1436" s="20"/>
      <c r="K1436" s="20"/>
      <c r="L1436" s="20"/>
      <c r="M1436" s="20"/>
      <c r="N1436" s="20"/>
      <c r="O1436" s="20"/>
      <c r="P1436" s="20"/>
      <c r="Q1436" s="20"/>
      <c r="R1436" s="20"/>
      <c r="S1436" s="20"/>
      <c r="T1436" s="20"/>
      <c r="U1436" s="20"/>
      <c r="V1436" s="20"/>
      <c r="W1436" s="20"/>
      <c r="X1436" s="20"/>
      <c r="Y1436" s="20"/>
      <c r="Z1436" s="20"/>
      <c r="AA1436" s="20"/>
      <c r="AB1436" s="12"/>
      <c r="AC1436" s="12"/>
      <c r="AD1436" s="12"/>
      <c r="AE1436" s="12"/>
      <c r="AF1436" s="12">
        <f>1384476+1263558</f>
        <v>2648034</v>
      </c>
      <c r="AG1436" s="12">
        <v>2377562</v>
      </c>
      <c r="AH1436" s="12"/>
      <c r="AI1436" s="12"/>
      <c r="AJ1436" s="22"/>
      <c r="AK1436" s="22"/>
      <c r="AL1436" s="22"/>
      <c r="AM1436" s="22"/>
      <c r="AP1436" s="1044"/>
      <c r="AR1436" s="1044"/>
      <c r="AS1436" s="1044"/>
    </row>
    <row r="1437" spans="3:45" hidden="1" outlineLevel="1">
      <c r="C1437" s="816" t="s">
        <v>16</v>
      </c>
      <c r="D1437" s="9">
        <v>3</v>
      </c>
      <c r="E1437" s="20" t="s">
        <v>1210</v>
      </c>
      <c r="F1437" s="20"/>
      <c r="G1437" s="20"/>
      <c r="H1437" s="20"/>
      <c r="I1437" s="20"/>
      <c r="J1437" s="20"/>
      <c r="K1437" s="20"/>
      <c r="L1437" s="20"/>
      <c r="M1437" s="20"/>
      <c r="N1437" s="20"/>
      <c r="O1437" s="20"/>
      <c r="P1437" s="20"/>
      <c r="Q1437" s="20"/>
      <c r="R1437" s="20"/>
      <c r="S1437" s="20"/>
      <c r="T1437" s="20"/>
      <c r="U1437" s="20"/>
      <c r="V1437" s="20"/>
      <c r="W1437" s="20"/>
      <c r="X1437" s="20"/>
      <c r="Y1437" s="20"/>
      <c r="Z1437" s="20"/>
      <c r="AA1437" s="20"/>
      <c r="AB1437" s="12"/>
      <c r="AC1437" s="12"/>
      <c r="AD1437" s="12"/>
      <c r="AE1437" s="12"/>
      <c r="AF1437" s="12">
        <v>0</v>
      </c>
      <c r="AG1437" s="12">
        <v>0</v>
      </c>
      <c r="AH1437" s="12"/>
      <c r="AI1437" s="12"/>
      <c r="AJ1437" s="22"/>
      <c r="AK1437" s="22"/>
      <c r="AL1437" s="22"/>
      <c r="AM1437" s="22"/>
      <c r="AP1437" s="1044"/>
      <c r="AR1437" s="1044"/>
      <c r="AS1437" s="1044"/>
    </row>
    <row r="1438" spans="3:45" hidden="1" outlineLevel="1">
      <c r="C1438" s="816" t="s">
        <v>16</v>
      </c>
      <c r="D1438" s="9">
        <v>3</v>
      </c>
      <c r="E1438" s="20" t="s">
        <v>1211</v>
      </c>
      <c r="F1438" s="20"/>
      <c r="G1438" s="20"/>
      <c r="H1438" s="20"/>
      <c r="I1438" s="20"/>
      <c r="J1438" s="20"/>
      <c r="K1438" s="20"/>
      <c r="L1438" s="20"/>
      <c r="M1438" s="20"/>
      <c r="N1438" s="20"/>
      <c r="O1438" s="20"/>
      <c r="P1438" s="20"/>
      <c r="Q1438" s="20"/>
      <c r="R1438" s="20"/>
      <c r="S1438" s="20"/>
      <c r="T1438" s="20"/>
      <c r="U1438" s="20"/>
      <c r="V1438" s="20"/>
      <c r="W1438" s="20"/>
      <c r="X1438" s="20"/>
      <c r="Y1438" s="20"/>
      <c r="Z1438" s="20"/>
      <c r="AA1438" s="20"/>
      <c r="AB1438" s="12"/>
      <c r="AC1438" s="12"/>
      <c r="AD1438" s="12"/>
      <c r="AE1438" s="12"/>
      <c r="AF1438" s="12">
        <v>986000</v>
      </c>
      <c r="AG1438" s="12">
        <v>4151741</v>
      </c>
      <c r="AH1438" s="12"/>
      <c r="AI1438" s="12"/>
      <c r="AJ1438" s="22"/>
      <c r="AK1438" s="22"/>
      <c r="AL1438" s="22"/>
      <c r="AM1438" s="22"/>
      <c r="AP1438" s="1044"/>
      <c r="AR1438" s="1044"/>
      <c r="AS1438" s="1044"/>
    </row>
    <row r="1439" spans="3:45" hidden="1" outlineLevel="1">
      <c r="C1439" s="816" t="s">
        <v>16</v>
      </c>
      <c r="D1439" s="9">
        <v>3</v>
      </c>
      <c r="E1439" s="20" t="s">
        <v>1212</v>
      </c>
      <c r="F1439" s="20"/>
      <c r="G1439" s="20"/>
      <c r="H1439" s="20"/>
      <c r="I1439" s="20"/>
      <c r="J1439" s="20"/>
      <c r="K1439" s="20"/>
      <c r="L1439" s="20"/>
      <c r="M1439" s="20"/>
      <c r="N1439" s="20"/>
      <c r="O1439" s="20"/>
      <c r="P1439" s="20"/>
      <c r="Q1439" s="20"/>
      <c r="R1439" s="20"/>
      <c r="S1439" s="20"/>
      <c r="T1439" s="20"/>
      <c r="U1439" s="20"/>
      <c r="V1439" s="20"/>
      <c r="W1439" s="20"/>
      <c r="X1439" s="20"/>
      <c r="Y1439" s="20"/>
      <c r="Z1439" s="20"/>
      <c r="AA1439" s="20"/>
      <c r="AB1439" s="12"/>
      <c r="AC1439" s="12"/>
      <c r="AD1439" s="12">
        <v>-31040</v>
      </c>
      <c r="AE1439" s="12">
        <v>-31040</v>
      </c>
      <c r="AF1439" s="12">
        <f>1166000+534874</f>
        <v>1700874</v>
      </c>
      <c r="AG1439" s="12">
        <v>3383777</v>
      </c>
      <c r="AH1439" s="12"/>
      <c r="AI1439" s="12"/>
      <c r="AJ1439" s="22"/>
      <c r="AK1439" s="22"/>
      <c r="AL1439" s="22"/>
      <c r="AM1439" s="22"/>
      <c r="AP1439" s="1044"/>
      <c r="AR1439" s="1044"/>
      <c r="AS1439" s="1044"/>
    </row>
    <row r="1440" spans="3:45" hidden="1" outlineLevel="1">
      <c r="C1440" s="816" t="s">
        <v>16</v>
      </c>
      <c r="D1440" s="9">
        <v>3</v>
      </c>
      <c r="E1440" s="20" t="s">
        <v>1213</v>
      </c>
      <c r="F1440" s="20"/>
      <c r="G1440" s="20"/>
      <c r="H1440" s="20"/>
      <c r="I1440" s="20"/>
      <c r="J1440" s="20"/>
      <c r="K1440" s="20"/>
      <c r="L1440" s="20"/>
      <c r="M1440" s="20"/>
      <c r="N1440" s="20"/>
      <c r="O1440" s="20"/>
      <c r="P1440" s="20"/>
      <c r="Q1440" s="20"/>
      <c r="R1440" s="20"/>
      <c r="S1440" s="20"/>
      <c r="T1440" s="20"/>
      <c r="U1440" s="20"/>
      <c r="V1440" s="20"/>
      <c r="W1440" s="20"/>
      <c r="X1440" s="20"/>
      <c r="Y1440" s="20"/>
      <c r="Z1440" s="20"/>
      <c r="AA1440" s="20"/>
      <c r="AB1440" s="12"/>
      <c r="AC1440" s="12"/>
      <c r="AD1440" s="12"/>
      <c r="AE1440" s="12"/>
      <c r="AF1440" s="12">
        <v>0</v>
      </c>
      <c r="AG1440" s="12">
        <v>0</v>
      </c>
      <c r="AH1440" s="12"/>
      <c r="AI1440" s="12"/>
      <c r="AJ1440" s="22"/>
      <c r="AK1440" s="22"/>
      <c r="AL1440" s="22"/>
      <c r="AM1440" s="22"/>
      <c r="AP1440" s="1044"/>
      <c r="AR1440" s="1044"/>
      <c r="AS1440" s="1044"/>
    </row>
    <row r="1441" spans="3:45" hidden="1" outlineLevel="1">
      <c r="C1441" s="816" t="s">
        <v>16</v>
      </c>
      <c r="D1441" s="9">
        <v>3</v>
      </c>
      <c r="E1441" s="20" t="s">
        <v>861</v>
      </c>
      <c r="F1441" s="20"/>
      <c r="G1441" s="20"/>
      <c r="H1441" s="20"/>
      <c r="I1441" s="20"/>
      <c r="J1441" s="20"/>
      <c r="K1441" s="20"/>
      <c r="L1441" s="20"/>
      <c r="M1441" s="20"/>
      <c r="N1441" s="20"/>
      <c r="O1441" s="20"/>
      <c r="P1441" s="20"/>
      <c r="Q1441" s="20"/>
      <c r="R1441" s="20"/>
      <c r="S1441" s="20"/>
      <c r="T1441" s="20"/>
      <c r="U1441" s="20"/>
      <c r="V1441" s="20"/>
      <c r="W1441" s="20"/>
      <c r="X1441" s="20"/>
      <c r="Y1441" s="20"/>
      <c r="Z1441" s="20"/>
      <c r="AA1441" s="20"/>
      <c r="AB1441" s="12"/>
      <c r="AC1441" s="12"/>
      <c r="AD1441" s="12"/>
      <c r="AE1441" s="12"/>
      <c r="AF1441" s="12">
        <v>1014280</v>
      </c>
      <c r="AG1441" s="12">
        <v>2096339</v>
      </c>
      <c r="AH1441" s="12"/>
      <c r="AI1441" s="12"/>
      <c r="AJ1441" s="22"/>
      <c r="AK1441" s="22"/>
      <c r="AL1441" s="22"/>
      <c r="AM1441" s="22"/>
      <c r="AP1441" s="1044"/>
      <c r="AR1441" s="1044"/>
      <c r="AS1441" s="1044"/>
    </row>
    <row r="1442" spans="3:45" hidden="1" outlineLevel="1">
      <c r="C1442" s="816" t="s">
        <v>16</v>
      </c>
      <c r="D1442" s="9">
        <v>3</v>
      </c>
      <c r="E1442" s="20" t="s">
        <v>871</v>
      </c>
      <c r="F1442" s="20"/>
      <c r="G1442" s="20"/>
      <c r="H1442" s="20"/>
      <c r="I1442" s="20"/>
      <c r="J1442" s="20"/>
      <c r="K1442" s="20"/>
      <c r="L1442" s="20"/>
      <c r="M1442" s="20"/>
      <c r="N1442" s="20"/>
      <c r="O1442" s="20"/>
      <c r="P1442" s="20"/>
      <c r="Q1442" s="20"/>
      <c r="R1442" s="20"/>
      <c r="S1442" s="20"/>
      <c r="T1442" s="20"/>
      <c r="U1442" s="20"/>
      <c r="V1442" s="20"/>
      <c r="W1442" s="20"/>
      <c r="X1442" s="20"/>
      <c r="Y1442" s="20"/>
      <c r="Z1442" s="20"/>
      <c r="AA1442" s="20"/>
      <c r="AB1442" s="12"/>
      <c r="AC1442" s="12"/>
      <c r="AD1442" s="12"/>
      <c r="AE1442" s="12"/>
      <c r="AF1442" s="12">
        <v>511504</v>
      </c>
      <c r="AG1442" s="12">
        <v>2798970</v>
      </c>
      <c r="AH1442" s="12"/>
      <c r="AI1442" s="12"/>
      <c r="AJ1442" s="22"/>
      <c r="AK1442" s="22"/>
      <c r="AL1442" s="22"/>
      <c r="AM1442" s="22"/>
      <c r="AP1442" s="1044"/>
      <c r="AR1442" s="1044"/>
      <c r="AS1442" s="1044"/>
    </row>
    <row r="1443" spans="3:45" hidden="1" outlineLevel="1">
      <c r="C1443" s="816" t="s">
        <v>16</v>
      </c>
      <c r="D1443" s="9">
        <v>3</v>
      </c>
      <c r="E1443" s="20" t="s">
        <v>1361</v>
      </c>
      <c r="F1443" s="20"/>
      <c r="G1443" s="20"/>
      <c r="H1443" s="20"/>
      <c r="I1443" s="20"/>
      <c r="J1443" s="20"/>
      <c r="K1443" s="20"/>
      <c r="L1443" s="20"/>
      <c r="M1443" s="20"/>
      <c r="N1443" s="20"/>
      <c r="O1443" s="20"/>
      <c r="P1443" s="20"/>
      <c r="Q1443" s="20"/>
      <c r="R1443" s="20"/>
      <c r="S1443" s="20"/>
      <c r="T1443" s="20"/>
      <c r="U1443" s="20"/>
      <c r="V1443" s="20"/>
      <c r="W1443" s="20"/>
      <c r="X1443" s="20"/>
      <c r="Y1443" s="20"/>
      <c r="Z1443" s="20"/>
      <c r="AA1443" s="20"/>
      <c r="AB1443" s="12"/>
      <c r="AC1443" s="12"/>
      <c r="AD1443" s="12"/>
      <c r="AE1443" s="12"/>
      <c r="AF1443" s="12">
        <v>1258464</v>
      </c>
      <c r="AG1443" s="12">
        <v>2861747</v>
      </c>
      <c r="AH1443" s="12"/>
      <c r="AI1443" s="12"/>
      <c r="AJ1443" s="22"/>
      <c r="AK1443" s="22"/>
      <c r="AL1443" s="22"/>
      <c r="AM1443" s="22"/>
      <c r="AP1443" s="1044"/>
      <c r="AR1443" s="1044"/>
      <c r="AS1443" s="1044"/>
    </row>
    <row r="1444" spans="3:45" hidden="1" outlineLevel="1">
      <c r="C1444" s="816" t="s">
        <v>16</v>
      </c>
      <c r="D1444" s="9">
        <v>3</v>
      </c>
      <c r="E1444" s="20" t="s">
        <v>1425</v>
      </c>
      <c r="F1444" s="20"/>
      <c r="G1444" s="20"/>
      <c r="H1444" s="20"/>
      <c r="I1444" s="20"/>
      <c r="J1444" s="20"/>
      <c r="K1444" s="20"/>
      <c r="L1444" s="20"/>
      <c r="M1444" s="20"/>
      <c r="N1444" s="20"/>
      <c r="O1444" s="20"/>
      <c r="P1444" s="20"/>
      <c r="Q1444" s="20"/>
      <c r="R1444" s="20"/>
      <c r="S1444" s="20"/>
      <c r="T1444" s="20"/>
      <c r="U1444" s="20"/>
      <c r="V1444" s="20"/>
      <c r="W1444" s="20"/>
      <c r="X1444" s="20"/>
      <c r="Y1444" s="20"/>
      <c r="Z1444" s="20"/>
      <c r="AA1444" s="20"/>
      <c r="AB1444" s="12"/>
      <c r="AC1444" s="12"/>
      <c r="AD1444" s="12"/>
      <c r="AE1444" s="12"/>
      <c r="AF1444" s="12">
        <v>436614</v>
      </c>
      <c r="AG1444" s="12">
        <v>671472</v>
      </c>
      <c r="AH1444" s="12"/>
      <c r="AI1444" s="12"/>
      <c r="AJ1444" s="22"/>
      <c r="AK1444" s="22"/>
      <c r="AL1444" s="22"/>
      <c r="AM1444" s="22"/>
      <c r="AP1444" s="1044"/>
      <c r="AR1444" s="1044"/>
      <c r="AS1444" s="1044"/>
    </row>
    <row r="1445" spans="3:45" hidden="1" outlineLevel="1">
      <c r="C1445" s="816" t="s">
        <v>16</v>
      </c>
      <c r="D1445" s="9">
        <v>3</v>
      </c>
      <c r="E1445" s="20" t="s">
        <v>1430</v>
      </c>
      <c r="F1445" s="20"/>
      <c r="G1445" s="20"/>
      <c r="H1445" s="20"/>
      <c r="I1445" s="20"/>
      <c r="J1445" s="20"/>
      <c r="K1445" s="20"/>
      <c r="L1445" s="20"/>
      <c r="M1445" s="20"/>
      <c r="N1445" s="20"/>
      <c r="O1445" s="20"/>
      <c r="P1445" s="20"/>
      <c r="Q1445" s="20"/>
      <c r="R1445" s="20"/>
      <c r="S1445" s="20"/>
      <c r="T1445" s="20"/>
      <c r="U1445" s="20"/>
      <c r="V1445" s="20"/>
      <c r="W1445" s="20"/>
      <c r="X1445" s="20"/>
      <c r="Y1445" s="20"/>
      <c r="Z1445" s="20"/>
      <c r="AA1445" s="20"/>
      <c r="AB1445" s="12"/>
      <c r="AC1445" s="12"/>
      <c r="AD1445" s="12"/>
      <c r="AE1445" s="12"/>
      <c r="AF1445" s="12">
        <v>98000</v>
      </c>
      <c r="AG1445" s="12">
        <v>257077</v>
      </c>
      <c r="AH1445" s="12"/>
      <c r="AI1445" s="12"/>
      <c r="AJ1445" s="22"/>
      <c r="AK1445" s="22"/>
      <c r="AL1445" s="22"/>
      <c r="AM1445" s="22"/>
      <c r="AP1445" s="1044"/>
      <c r="AR1445" s="1044"/>
      <c r="AS1445" s="1044"/>
    </row>
    <row r="1446" spans="3:45" hidden="1" outlineLevel="1">
      <c r="C1446" s="816" t="s">
        <v>16</v>
      </c>
      <c r="D1446" s="9">
        <v>3</v>
      </c>
      <c r="E1446" s="20" t="s">
        <v>726</v>
      </c>
      <c r="F1446" s="20"/>
      <c r="G1446" s="20"/>
      <c r="H1446" s="20"/>
      <c r="I1446" s="20"/>
      <c r="J1446" s="20"/>
      <c r="K1446" s="20"/>
      <c r="L1446" s="20"/>
      <c r="M1446" s="20"/>
      <c r="N1446" s="20"/>
      <c r="O1446" s="20"/>
      <c r="P1446" s="20"/>
      <c r="Q1446" s="20"/>
      <c r="R1446" s="20"/>
      <c r="S1446" s="20"/>
      <c r="T1446" s="20"/>
      <c r="U1446" s="20"/>
      <c r="V1446" s="20"/>
      <c r="W1446" s="20"/>
      <c r="X1446" s="20"/>
      <c r="Y1446" s="20"/>
      <c r="Z1446" s="20"/>
      <c r="AA1446" s="20"/>
      <c r="AB1446" s="12"/>
      <c r="AC1446" s="12"/>
      <c r="AD1446" s="12">
        <v>-2500000</v>
      </c>
      <c r="AE1446" s="12">
        <v>-2500000</v>
      </c>
      <c r="AF1446" s="12">
        <v>5072869</v>
      </c>
      <c r="AG1446" s="12">
        <v>15995397</v>
      </c>
      <c r="AH1446" s="12"/>
      <c r="AI1446" s="12"/>
      <c r="AJ1446" s="22"/>
      <c r="AK1446" s="22"/>
      <c r="AL1446" s="22"/>
      <c r="AM1446" s="22"/>
      <c r="AP1446" s="1044"/>
      <c r="AR1446" s="1044"/>
      <c r="AS1446" s="1044"/>
    </row>
    <row r="1447" spans="3:45" hidden="1" outlineLevel="1">
      <c r="C1447" s="816" t="s">
        <v>16</v>
      </c>
      <c r="D1447" s="9">
        <v>3</v>
      </c>
      <c r="E1447" s="20" t="s">
        <v>1363</v>
      </c>
      <c r="F1447" s="20"/>
      <c r="G1447" s="20"/>
      <c r="H1447" s="20"/>
      <c r="I1447" s="20"/>
      <c r="J1447" s="20"/>
      <c r="K1447" s="20"/>
      <c r="L1447" s="20"/>
      <c r="M1447" s="20"/>
      <c r="N1447" s="20"/>
      <c r="O1447" s="20"/>
      <c r="P1447" s="20"/>
      <c r="Q1447" s="20"/>
      <c r="R1447" s="20"/>
      <c r="S1447" s="20"/>
      <c r="T1447" s="20"/>
      <c r="U1447" s="20"/>
      <c r="V1447" s="20"/>
      <c r="W1447" s="20"/>
      <c r="X1447" s="20"/>
      <c r="Y1447" s="20"/>
      <c r="Z1447" s="20"/>
      <c r="AA1447" s="20"/>
      <c r="AB1447" s="12"/>
      <c r="AC1447" s="12"/>
      <c r="AD1447" s="12"/>
      <c r="AE1447" s="12"/>
      <c r="AF1447" s="12">
        <v>1104823</v>
      </c>
      <c r="AG1447" s="12">
        <v>2780479</v>
      </c>
      <c r="AH1447" s="12"/>
      <c r="AI1447" s="12"/>
      <c r="AJ1447" s="22"/>
      <c r="AK1447" s="22"/>
      <c r="AL1447" s="22"/>
      <c r="AM1447" s="22"/>
      <c r="AP1447" s="1044"/>
      <c r="AR1447" s="1044"/>
      <c r="AS1447" s="1044"/>
    </row>
    <row r="1448" spans="3:45" hidden="1" outlineLevel="1">
      <c r="C1448" s="816" t="s">
        <v>16</v>
      </c>
      <c r="D1448" s="9">
        <v>3</v>
      </c>
      <c r="E1448" s="20" t="s">
        <v>1364</v>
      </c>
      <c r="F1448" s="20"/>
      <c r="G1448" s="20"/>
      <c r="H1448" s="20"/>
      <c r="I1448" s="20"/>
      <c r="J1448" s="20"/>
      <c r="K1448" s="20"/>
      <c r="L1448" s="20"/>
      <c r="M1448" s="20"/>
      <c r="N1448" s="20"/>
      <c r="O1448" s="20"/>
      <c r="P1448" s="20"/>
      <c r="Q1448" s="20"/>
      <c r="R1448" s="20"/>
      <c r="S1448" s="20"/>
      <c r="T1448" s="20"/>
      <c r="U1448" s="20"/>
      <c r="V1448" s="20"/>
      <c r="W1448" s="20"/>
      <c r="X1448" s="20"/>
      <c r="Y1448" s="20"/>
      <c r="Z1448" s="20"/>
      <c r="AA1448" s="20"/>
      <c r="AB1448" s="12"/>
      <c r="AC1448" s="12"/>
      <c r="AD1448" s="12"/>
      <c r="AE1448" s="12"/>
      <c r="AF1448" s="12">
        <v>1187252</v>
      </c>
      <c r="AG1448" s="12">
        <v>1849987</v>
      </c>
      <c r="AH1448" s="12"/>
      <c r="AI1448" s="12"/>
      <c r="AJ1448" s="22"/>
      <c r="AK1448" s="22"/>
      <c r="AL1448" s="22"/>
      <c r="AM1448" s="22"/>
      <c r="AP1448" s="1044"/>
      <c r="AR1448" s="1044"/>
      <c r="AS1448" s="1044"/>
    </row>
    <row r="1449" spans="3:45" hidden="1" outlineLevel="1">
      <c r="C1449" s="816" t="s">
        <v>16</v>
      </c>
      <c r="D1449" s="9">
        <v>3</v>
      </c>
      <c r="E1449" s="20" t="s">
        <v>1365</v>
      </c>
      <c r="F1449" s="20"/>
      <c r="G1449" s="20"/>
      <c r="H1449" s="20"/>
      <c r="I1449" s="20"/>
      <c r="J1449" s="20"/>
      <c r="K1449" s="20"/>
      <c r="L1449" s="20"/>
      <c r="M1449" s="20"/>
      <c r="N1449" s="20"/>
      <c r="O1449" s="20"/>
      <c r="P1449" s="20"/>
      <c r="Q1449" s="20"/>
      <c r="R1449" s="20"/>
      <c r="S1449" s="20"/>
      <c r="T1449" s="20"/>
      <c r="U1449" s="20"/>
      <c r="V1449" s="20"/>
      <c r="W1449" s="20"/>
      <c r="X1449" s="20"/>
      <c r="Y1449" s="20"/>
      <c r="Z1449" s="20"/>
      <c r="AA1449" s="20"/>
      <c r="AB1449" s="12"/>
      <c r="AC1449" s="12"/>
      <c r="AD1449" s="12">
        <v>-550000</v>
      </c>
      <c r="AE1449" s="12">
        <v>-550000</v>
      </c>
      <c r="AF1449" s="12">
        <v>675423</v>
      </c>
      <c r="AG1449" s="12">
        <v>1099229</v>
      </c>
      <c r="AH1449" s="12"/>
      <c r="AI1449" s="12"/>
      <c r="AJ1449" s="22"/>
      <c r="AK1449" s="22"/>
      <c r="AL1449" s="22"/>
      <c r="AM1449" s="22"/>
      <c r="AP1449" s="1044"/>
      <c r="AR1449" s="1044"/>
      <c r="AS1449" s="1044"/>
    </row>
    <row r="1450" spans="3:45" hidden="1" outlineLevel="1">
      <c r="C1450" s="816" t="s">
        <v>16</v>
      </c>
      <c r="D1450" s="9">
        <v>3</v>
      </c>
      <c r="E1450" s="20" t="s">
        <v>730</v>
      </c>
      <c r="F1450" s="20"/>
      <c r="G1450" s="20"/>
      <c r="H1450" s="20"/>
      <c r="I1450" s="20"/>
      <c r="J1450" s="20"/>
      <c r="K1450" s="20"/>
      <c r="L1450" s="20"/>
      <c r="M1450" s="20"/>
      <c r="N1450" s="20"/>
      <c r="O1450" s="20"/>
      <c r="P1450" s="20"/>
      <c r="Q1450" s="20"/>
      <c r="R1450" s="20"/>
      <c r="S1450" s="20"/>
      <c r="T1450" s="20"/>
      <c r="U1450" s="20"/>
      <c r="V1450" s="20"/>
      <c r="W1450" s="20"/>
      <c r="X1450" s="20"/>
      <c r="Y1450" s="20"/>
      <c r="Z1450" s="20"/>
      <c r="AA1450" s="20"/>
      <c r="AB1450" s="12"/>
      <c r="AC1450" s="12"/>
      <c r="AD1450" s="12"/>
      <c r="AE1450" s="12"/>
      <c r="AF1450" s="12">
        <v>486139</v>
      </c>
      <c r="AG1450" s="12">
        <v>1702745</v>
      </c>
      <c r="AH1450" s="12"/>
      <c r="AI1450" s="12"/>
      <c r="AJ1450" s="22"/>
      <c r="AK1450" s="22"/>
      <c r="AL1450" s="22"/>
      <c r="AM1450" s="22"/>
      <c r="AP1450" s="1044"/>
      <c r="AR1450" s="1044"/>
      <c r="AS1450" s="1044"/>
    </row>
    <row r="1451" spans="3:45" hidden="1" outlineLevel="1">
      <c r="C1451" s="816" t="s">
        <v>16</v>
      </c>
      <c r="D1451" s="9">
        <v>3</v>
      </c>
      <c r="E1451" s="20" t="s">
        <v>1431</v>
      </c>
      <c r="F1451" s="20"/>
      <c r="G1451" s="20"/>
      <c r="H1451" s="20"/>
      <c r="I1451" s="20"/>
      <c r="J1451" s="20"/>
      <c r="K1451" s="20"/>
      <c r="L1451" s="20"/>
      <c r="M1451" s="20"/>
      <c r="N1451" s="20"/>
      <c r="O1451" s="20"/>
      <c r="P1451" s="20"/>
      <c r="Q1451" s="20"/>
      <c r="R1451" s="20"/>
      <c r="S1451" s="20"/>
      <c r="T1451" s="20"/>
      <c r="U1451" s="20"/>
      <c r="V1451" s="20"/>
      <c r="W1451" s="20"/>
      <c r="X1451" s="20"/>
      <c r="Y1451" s="20"/>
      <c r="Z1451" s="20"/>
      <c r="AA1451" s="20"/>
      <c r="AB1451" s="12"/>
      <c r="AC1451" s="12"/>
      <c r="AD1451" s="12"/>
      <c r="AE1451" s="12"/>
      <c r="AF1451" s="12">
        <v>676654</v>
      </c>
      <c r="AG1451" s="12">
        <v>713628</v>
      </c>
      <c r="AH1451" s="12"/>
      <c r="AI1451" s="12"/>
      <c r="AJ1451" s="22"/>
      <c r="AK1451" s="22"/>
      <c r="AL1451" s="22"/>
      <c r="AM1451" s="22"/>
      <c r="AP1451" s="1044"/>
      <c r="AR1451" s="1044"/>
      <c r="AS1451" s="1044"/>
    </row>
    <row r="1452" spans="3:45" hidden="1" outlineLevel="1">
      <c r="C1452" s="816" t="s">
        <v>16</v>
      </c>
      <c r="D1452" s="9">
        <v>3</v>
      </c>
      <c r="E1452" s="20" t="s">
        <v>731</v>
      </c>
      <c r="F1452" s="20"/>
      <c r="G1452" s="20"/>
      <c r="H1452" s="20"/>
      <c r="I1452" s="20"/>
      <c r="J1452" s="20"/>
      <c r="K1452" s="20"/>
      <c r="L1452" s="20"/>
      <c r="M1452" s="20"/>
      <c r="N1452" s="20"/>
      <c r="O1452" s="20"/>
      <c r="P1452" s="20"/>
      <c r="Q1452" s="20"/>
      <c r="R1452" s="20"/>
      <c r="S1452" s="20"/>
      <c r="T1452" s="20"/>
      <c r="U1452" s="20"/>
      <c r="V1452" s="20"/>
      <c r="W1452" s="20"/>
      <c r="X1452" s="20"/>
      <c r="Y1452" s="20"/>
      <c r="Z1452" s="20"/>
      <c r="AA1452" s="20"/>
      <c r="AB1452" s="12"/>
      <c r="AC1452" s="12"/>
      <c r="AD1452" s="12"/>
      <c r="AE1452" s="12"/>
      <c r="AF1452" s="12">
        <v>4525118</v>
      </c>
      <c r="AG1452" s="12">
        <v>7759219</v>
      </c>
      <c r="AH1452" s="12"/>
      <c r="AI1452" s="12"/>
      <c r="AJ1452" s="22"/>
      <c r="AK1452" s="22"/>
      <c r="AL1452" s="22"/>
      <c r="AM1452" s="22"/>
      <c r="AP1452" s="1044"/>
      <c r="AR1452" s="1044"/>
      <c r="AS1452" s="1044"/>
    </row>
    <row r="1453" spans="3:45" hidden="1" outlineLevel="1">
      <c r="C1453" s="816" t="s">
        <v>16</v>
      </c>
      <c r="D1453" s="9">
        <v>3</v>
      </c>
      <c r="E1453" s="20" t="s">
        <v>53</v>
      </c>
      <c r="F1453" s="20"/>
      <c r="G1453" s="20"/>
      <c r="H1453" s="20"/>
      <c r="I1453" s="20"/>
      <c r="J1453" s="20"/>
      <c r="K1453" s="20"/>
      <c r="L1453" s="20"/>
      <c r="M1453" s="20"/>
      <c r="N1453" s="20"/>
      <c r="O1453" s="20"/>
      <c r="P1453" s="20"/>
      <c r="Q1453" s="20"/>
      <c r="R1453" s="20"/>
      <c r="S1453" s="20"/>
      <c r="T1453" s="20"/>
      <c r="U1453" s="20"/>
      <c r="V1453" s="20"/>
      <c r="W1453" s="20"/>
      <c r="X1453" s="20"/>
      <c r="Y1453" s="20"/>
      <c r="Z1453" s="20"/>
      <c r="AA1453" s="20"/>
      <c r="AB1453" s="12"/>
      <c r="AC1453" s="12"/>
      <c r="AD1453" s="12"/>
      <c r="AE1453" s="12"/>
      <c r="AF1453" s="12">
        <v>0</v>
      </c>
      <c r="AG1453" s="12">
        <v>0</v>
      </c>
      <c r="AH1453" s="12"/>
      <c r="AI1453" s="12"/>
      <c r="AJ1453" s="22"/>
      <c r="AK1453" s="22"/>
      <c r="AL1453" s="22"/>
      <c r="AM1453" s="22"/>
      <c r="AP1453" s="1044"/>
      <c r="AR1453" s="1044"/>
      <c r="AS1453" s="1044"/>
    </row>
    <row r="1454" spans="3:45" hidden="1" outlineLevel="1">
      <c r="C1454" s="816" t="s">
        <v>16</v>
      </c>
      <c r="D1454" s="9">
        <v>3</v>
      </c>
      <c r="E1454" s="20" t="s">
        <v>1426</v>
      </c>
      <c r="F1454" s="20"/>
      <c r="G1454" s="20"/>
      <c r="H1454" s="20"/>
      <c r="I1454" s="20"/>
      <c r="J1454" s="20"/>
      <c r="K1454" s="20"/>
      <c r="L1454" s="20"/>
      <c r="M1454" s="20"/>
      <c r="N1454" s="20"/>
      <c r="O1454" s="20"/>
      <c r="P1454" s="20"/>
      <c r="Q1454" s="20"/>
      <c r="R1454" s="20"/>
      <c r="S1454" s="20"/>
      <c r="T1454" s="20"/>
      <c r="U1454" s="20"/>
      <c r="V1454" s="20"/>
      <c r="W1454" s="20"/>
      <c r="X1454" s="20"/>
      <c r="Y1454" s="20"/>
      <c r="Z1454" s="20"/>
      <c r="AA1454" s="20"/>
      <c r="AB1454" s="12"/>
      <c r="AC1454" s="12"/>
      <c r="AD1454" s="12"/>
      <c r="AE1454" s="12"/>
      <c r="AF1454" s="12">
        <v>0</v>
      </c>
      <c r="AG1454" s="12">
        <v>5043398</v>
      </c>
      <c r="AH1454" s="12"/>
      <c r="AI1454" s="12"/>
      <c r="AJ1454" s="22"/>
      <c r="AK1454" s="22"/>
      <c r="AL1454" s="22"/>
      <c r="AM1454" s="22"/>
      <c r="AP1454" s="1044"/>
      <c r="AR1454" s="1044"/>
      <c r="AS1454" s="1044"/>
    </row>
    <row r="1455" spans="3:45" hidden="1" outlineLevel="1">
      <c r="C1455" s="816" t="s">
        <v>16</v>
      </c>
      <c r="D1455" s="9">
        <v>3</v>
      </c>
      <c r="E1455" s="20" t="s">
        <v>733</v>
      </c>
      <c r="F1455" s="20"/>
      <c r="G1455" s="20"/>
      <c r="H1455" s="20"/>
      <c r="I1455" s="20"/>
      <c r="J1455" s="20"/>
      <c r="K1455" s="20"/>
      <c r="L1455" s="20"/>
      <c r="M1455" s="20"/>
      <c r="N1455" s="20"/>
      <c r="O1455" s="20"/>
      <c r="P1455" s="20"/>
      <c r="Q1455" s="20"/>
      <c r="R1455" s="20"/>
      <c r="S1455" s="20"/>
      <c r="T1455" s="20"/>
      <c r="U1455" s="20"/>
      <c r="V1455" s="20"/>
      <c r="W1455" s="20"/>
      <c r="X1455" s="20"/>
      <c r="Y1455" s="20"/>
      <c r="Z1455" s="20"/>
      <c r="AA1455" s="20"/>
      <c r="AB1455" s="12"/>
      <c r="AC1455" s="12"/>
      <c r="AD1455" s="12"/>
      <c r="AE1455" s="12"/>
      <c r="AF1455" s="12">
        <v>5133871</v>
      </c>
      <c r="AG1455" s="12">
        <v>3876116</v>
      </c>
      <c r="AH1455" s="12"/>
      <c r="AI1455" s="12"/>
      <c r="AJ1455" s="22"/>
      <c r="AK1455" s="22"/>
      <c r="AL1455" s="22"/>
      <c r="AM1455" s="22"/>
      <c r="AP1455" s="1044"/>
      <c r="AR1455" s="1044"/>
      <c r="AS1455" s="1044"/>
    </row>
    <row r="1456" spans="3:45" hidden="1" outlineLevel="1">
      <c r="C1456" s="816" t="s">
        <v>16</v>
      </c>
      <c r="D1456" s="9">
        <v>3</v>
      </c>
      <c r="E1456" s="20" t="s">
        <v>1432</v>
      </c>
      <c r="F1456" s="20"/>
      <c r="G1456" s="20"/>
      <c r="H1456" s="20"/>
      <c r="I1456" s="20"/>
      <c r="J1456" s="20"/>
      <c r="K1456" s="20"/>
      <c r="L1456" s="20"/>
      <c r="M1456" s="20"/>
      <c r="N1456" s="20"/>
      <c r="O1456" s="20"/>
      <c r="P1456" s="20"/>
      <c r="Q1456" s="20"/>
      <c r="R1456" s="20"/>
      <c r="S1456" s="20"/>
      <c r="T1456" s="20"/>
      <c r="U1456" s="20"/>
      <c r="V1456" s="20"/>
      <c r="W1456" s="20"/>
      <c r="X1456" s="20"/>
      <c r="Y1456" s="20"/>
      <c r="Z1456" s="20"/>
      <c r="AA1456" s="20"/>
      <c r="AB1456" s="12"/>
      <c r="AC1456" s="12"/>
      <c r="AD1456" s="12"/>
      <c r="AE1456" s="12"/>
      <c r="AF1456" s="12">
        <v>50000</v>
      </c>
      <c r="AG1456" s="12">
        <v>200000</v>
      </c>
      <c r="AH1456" s="12"/>
      <c r="AI1456" s="12"/>
      <c r="AJ1456" s="22"/>
      <c r="AK1456" s="22"/>
      <c r="AL1456" s="22"/>
      <c r="AM1456" s="22"/>
      <c r="AP1456" s="1044"/>
      <c r="AR1456" s="1044"/>
      <c r="AS1456" s="1044"/>
    </row>
    <row r="1457" spans="3:45" hidden="1" outlineLevel="1">
      <c r="C1457" s="816" t="s">
        <v>16</v>
      </c>
      <c r="D1457" s="9">
        <v>3</v>
      </c>
      <c r="E1457" s="20" t="s">
        <v>735</v>
      </c>
      <c r="F1457" s="20"/>
      <c r="G1457" s="20"/>
      <c r="H1457" s="20"/>
      <c r="I1457" s="20"/>
      <c r="J1457" s="20"/>
      <c r="K1457" s="20"/>
      <c r="L1457" s="20"/>
      <c r="M1457" s="20"/>
      <c r="N1457" s="20"/>
      <c r="O1457" s="20"/>
      <c r="P1457" s="20"/>
      <c r="Q1457" s="20"/>
      <c r="R1457" s="20"/>
      <c r="S1457" s="20"/>
      <c r="T1457" s="20"/>
      <c r="U1457" s="20"/>
      <c r="V1457" s="20"/>
      <c r="W1457" s="20"/>
      <c r="X1457" s="20"/>
      <c r="Y1457" s="20"/>
      <c r="Z1457" s="20"/>
      <c r="AA1457" s="20"/>
      <c r="AB1457" s="12"/>
      <c r="AC1457" s="12"/>
      <c r="AD1457" s="12">
        <v>-2600000</v>
      </c>
      <c r="AE1457" s="12">
        <v>-2600000</v>
      </c>
      <c r="AF1457" s="12">
        <v>4399278</v>
      </c>
      <c r="AG1457" s="12">
        <v>11692679</v>
      </c>
      <c r="AH1457" s="12"/>
      <c r="AI1457" s="12"/>
      <c r="AJ1457" s="22"/>
      <c r="AK1457" s="22"/>
      <c r="AL1457" s="22"/>
      <c r="AM1457" s="22"/>
      <c r="AP1457" s="1044"/>
      <c r="AR1457" s="1044"/>
      <c r="AS1457" s="1044"/>
    </row>
    <row r="1458" spans="3:45" hidden="1" outlineLevel="1">
      <c r="C1458" s="816" t="s">
        <v>16</v>
      </c>
      <c r="D1458" s="9">
        <v>3</v>
      </c>
      <c r="E1458" s="20" t="s">
        <v>855</v>
      </c>
      <c r="F1458" s="20"/>
      <c r="G1458" s="20"/>
      <c r="H1458" s="20"/>
      <c r="I1458" s="20"/>
      <c r="J1458" s="20"/>
      <c r="K1458" s="20"/>
      <c r="L1458" s="20"/>
      <c r="M1458" s="20"/>
      <c r="N1458" s="20"/>
      <c r="O1458" s="20"/>
      <c r="P1458" s="20"/>
      <c r="Q1458" s="20"/>
      <c r="R1458" s="20"/>
      <c r="S1458" s="20"/>
      <c r="T1458" s="20"/>
      <c r="U1458" s="20"/>
      <c r="V1458" s="20"/>
      <c r="W1458" s="20"/>
      <c r="X1458" s="20"/>
      <c r="Y1458" s="20"/>
      <c r="Z1458" s="20"/>
      <c r="AA1458" s="20"/>
      <c r="AB1458" s="12"/>
      <c r="AC1458" s="12"/>
      <c r="AD1458" s="12">
        <v>-500000</v>
      </c>
      <c r="AE1458" s="12">
        <v>-500000</v>
      </c>
      <c r="AF1458" s="12">
        <v>637858</v>
      </c>
      <c r="AG1458" s="12">
        <v>2328579</v>
      </c>
      <c r="AH1458" s="12"/>
      <c r="AI1458" s="12"/>
      <c r="AJ1458" s="22"/>
      <c r="AK1458" s="22"/>
      <c r="AL1458" s="22"/>
      <c r="AM1458" s="22"/>
      <c r="AP1458" s="1044"/>
      <c r="AR1458" s="1044"/>
      <c r="AS1458" s="1044"/>
    </row>
    <row r="1459" spans="3:45" hidden="1" outlineLevel="1">
      <c r="C1459" s="816" t="s">
        <v>16</v>
      </c>
      <c r="D1459" s="9">
        <v>3</v>
      </c>
      <c r="E1459" s="20" t="s">
        <v>737</v>
      </c>
      <c r="F1459" s="20"/>
      <c r="G1459" s="20"/>
      <c r="H1459" s="20"/>
      <c r="I1459" s="20"/>
      <c r="J1459" s="20"/>
      <c r="K1459" s="20"/>
      <c r="L1459" s="20"/>
      <c r="M1459" s="20"/>
      <c r="N1459" s="20"/>
      <c r="O1459" s="20"/>
      <c r="P1459" s="20"/>
      <c r="Q1459" s="20"/>
      <c r="R1459" s="20"/>
      <c r="S1459" s="20"/>
      <c r="T1459" s="20"/>
      <c r="U1459" s="20"/>
      <c r="V1459" s="20"/>
      <c r="W1459" s="20"/>
      <c r="X1459" s="20"/>
      <c r="Y1459" s="20"/>
      <c r="Z1459" s="20"/>
      <c r="AA1459" s="20"/>
      <c r="AB1459" s="12"/>
      <c r="AC1459" s="12"/>
      <c r="AD1459" s="12"/>
      <c r="AE1459" s="12"/>
      <c r="AF1459" s="12">
        <v>2172334</v>
      </c>
      <c r="AG1459" s="12">
        <v>1924726</v>
      </c>
      <c r="AH1459" s="12"/>
      <c r="AI1459" s="12"/>
      <c r="AJ1459" s="22"/>
      <c r="AK1459" s="22"/>
      <c r="AL1459" s="22"/>
      <c r="AM1459" s="22"/>
      <c r="AP1459" s="1044"/>
      <c r="AR1459" s="1044"/>
      <c r="AS1459" s="1044"/>
    </row>
    <row r="1460" spans="3:45" hidden="1" outlineLevel="1">
      <c r="C1460" s="816" t="s">
        <v>16</v>
      </c>
      <c r="D1460" s="9">
        <v>3</v>
      </c>
      <c r="E1460" s="20" t="s">
        <v>60</v>
      </c>
      <c r="F1460" s="20"/>
      <c r="G1460" s="20"/>
      <c r="H1460" s="20"/>
      <c r="I1460" s="20"/>
      <c r="J1460" s="20"/>
      <c r="K1460" s="20"/>
      <c r="L1460" s="20"/>
      <c r="M1460" s="20"/>
      <c r="N1460" s="20"/>
      <c r="O1460" s="20"/>
      <c r="P1460" s="20"/>
      <c r="Q1460" s="20"/>
      <c r="R1460" s="20"/>
      <c r="S1460" s="20"/>
      <c r="T1460" s="20"/>
      <c r="U1460" s="20"/>
      <c r="V1460" s="20"/>
      <c r="W1460" s="20"/>
      <c r="X1460" s="20"/>
      <c r="Y1460" s="20"/>
      <c r="Z1460" s="20"/>
      <c r="AA1460" s="20"/>
      <c r="AB1460" s="12"/>
      <c r="AC1460" s="12"/>
      <c r="AD1460" s="12"/>
      <c r="AE1460" s="12"/>
      <c r="AF1460" s="12">
        <v>56962</v>
      </c>
      <c r="AG1460" s="12">
        <v>85294</v>
      </c>
      <c r="AH1460" s="12"/>
      <c r="AI1460" s="12"/>
      <c r="AJ1460" s="22"/>
      <c r="AK1460" s="22"/>
      <c r="AL1460" s="22"/>
      <c r="AM1460" s="22"/>
      <c r="AP1460" s="1044"/>
      <c r="AR1460" s="1044"/>
      <c r="AS1460" s="1044"/>
    </row>
    <row r="1461" spans="3:45" hidden="1" outlineLevel="1">
      <c r="C1461" s="816" t="s">
        <v>16</v>
      </c>
      <c r="D1461" s="9">
        <v>3</v>
      </c>
      <c r="E1461" s="20" t="s">
        <v>738</v>
      </c>
      <c r="F1461" s="20"/>
      <c r="G1461" s="20"/>
      <c r="H1461" s="20"/>
      <c r="I1461" s="20"/>
      <c r="J1461" s="20"/>
      <c r="K1461" s="20"/>
      <c r="L1461" s="20"/>
      <c r="M1461" s="20"/>
      <c r="N1461" s="20"/>
      <c r="O1461" s="20"/>
      <c r="P1461" s="20"/>
      <c r="Q1461" s="20"/>
      <c r="R1461" s="20"/>
      <c r="S1461" s="20"/>
      <c r="T1461" s="20"/>
      <c r="U1461" s="20"/>
      <c r="V1461" s="20"/>
      <c r="W1461" s="20"/>
      <c r="X1461" s="20"/>
      <c r="Y1461" s="20"/>
      <c r="Z1461" s="20"/>
      <c r="AA1461" s="20"/>
      <c r="AB1461" s="12"/>
      <c r="AC1461" s="12"/>
      <c r="AD1461" s="12"/>
      <c r="AE1461" s="12"/>
      <c r="AF1461" s="12">
        <v>41290</v>
      </c>
      <c r="AG1461" s="12">
        <v>5140684</v>
      </c>
      <c r="AH1461" s="12"/>
      <c r="AI1461" s="12"/>
      <c r="AJ1461" s="22"/>
      <c r="AK1461" s="22"/>
      <c r="AL1461" s="22"/>
      <c r="AM1461" s="22"/>
      <c r="AP1461" s="1044"/>
      <c r="AR1461" s="1044"/>
      <c r="AS1461" s="1044"/>
    </row>
    <row r="1462" spans="3:45" hidden="1" outlineLevel="1">
      <c r="C1462" s="816" t="s">
        <v>16</v>
      </c>
      <c r="D1462" s="9">
        <v>3</v>
      </c>
      <c r="E1462" s="20" t="s">
        <v>1446</v>
      </c>
      <c r="F1462" s="20"/>
      <c r="G1462" s="20"/>
      <c r="H1462" s="20"/>
      <c r="I1462" s="20"/>
      <c r="J1462" s="20"/>
      <c r="K1462" s="20"/>
      <c r="L1462" s="20"/>
      <c r="M1462" s="20"/>
      <c r="N1462" s="20"/>
      <c r="O1462" s="20"/>
      <c r="P1462" s="20"/>
      <c r="Q1462" s="20"/>
      <c r="R1462" s="20"/>
      <c r="S1462" s="20"/>
      <c r="T1462" s="20"/>
      <c r="U1462" s="20"/>
      <c r="V1462" s="20"/>
      <c r="W1462" s="20"/>
      <c r="X1462" s="20"/>
      <c r="Y1462" s="20"/>
      <c r="Z1462" s="20"/>
      <c r="AA1462" s="20"/>
      <c r="AB1462" s="12"/>
      <c r="AC1462" s="12"/>
      <c r="AD1462" s="12"/>
      <c r="AE1462" s="12"/>
      <c r="AF1462" s="12">
        <v>453357</v>
      </c>
      <c r="AG1462" s="12">
        <v>732715</v>
      </c>
      <c r="AH1462" s="12"/>
      <c r="AI1462" s="12"/>
      <c r="AJ1462" s="22"/>
      <c r="AK1462" s="22"/>
      <c r="AL1462" s="22"/>
      <c r="AM1462" s="22"/>
      <c r="AP1462" s="1044"/>
      <c r="AR1462" s="1044"/>
      <c r="AS1462" s="1044"/>
    </row>
    <row r="1463" spans="3:45" hidden="1" outlineLevel="1">
      <c r="C1463" s="816" t="s">
        <v>16</v>
      </c>
      <c r="D1463" s="9">
        <v>3</v>
      </c>
      <c r="E1463" s="20" t="s">
        <v>1447</v>
      </c>
      <c r="F1463" s="20"/>
      <c r="G1463" s="20"/>
      <c r="H1463" s="20"/>
      <c r="I1463" s="20"/>
      <c r="J1463" s="20"/>
      <c r="K1463" s="20"/>
      <c r="L1463" s="20"/>
      <c r="M1463" s="20"/>
      <c r="N1463" s="20"/>
      <c r="O1463" s="20"/>
      <c r="P1463" s="20"/>
      <c r="Q1463" s="20"/>
      <c r="R1463" s="20"/>
      <c r="S1463" s="20"/>
      <c r="T1463" s="20"/>
      <c r="U1463" s="20"/>
      <c r="V1463" s="20"/>
      <c r="W1463" s="20"/>
      <c r="X1463" s="20"/>
      <c r="Y1463" s="20"/>
      <c r="Z1463" s="20"/>
      <c r="AA1463" s="20"/>
      <c r="AB1463" s="12"/>
      <c r="AC1463" s="12"/>
      <c r="AD1463" s="12"/>
      <c r="AE1463" s="12"/>
      <c r="AF1463" s="12">
        <v>273505</v>
      </c>
      <c r="AG1463" s="12">
        <v>540586</v>
      </c>
      <c r="AH1463" s="12"/>
      <c r="AI1463" s="12"/>
      <c r="AJ1463" s="22"/>
      <c r="AK1463" s="22"/>
      <c r="AL1463" s="22"/>
      <c r="AM1463" s="22"/>
      <c r="AP1463" s="1044"/>
      <c r="AR1463" s="1044"/>
      <c r="AS1463" s="1044"/>
    </row>
    <row r="1464" spans="3:45" hidden="1" outlineLevel="1">
      <c r="C1464" s="816" t="s">
        <v>16</v>
      </c>
      <c r="D1464" s="9">
        <v>3</v>
      </c>
      <c r="E1464" s="20" t="s">
        <v>1448</v>
      </c>
      <c r="F1464" s="20"/>
      <c r="G1464" s="20"/>
      <c r="H1464" s="20"/>
      <c r="I1464" s="20"/>
      <c r="J1464" s="20"/>
      <c r="K1464" s="20"/>
      <c r="L1464" s="20"/>
      <c r="M1464" s="20"/>
      <c r="N1464" s="20"/>
      <c r="O1464" s="20"/>
      <c r="P1464" s="20"/>
      <c r="Q1464" s="20"/>
      <c r="R1464" s="20"/>
      <c r="S1464" s="20"/>
      <c r="T1464" s="20"/>
      <c r="U1464" s="20"/>
      <c r="V1464" s="20"/>
      <c r="W1464" s="20"/>
      <c r="X1464" s="20"/>
      <c r="Y1464" s="20"/>
      <c r="Z1464" s="20"/>
      <c r="AA1464" s="20"/>
      <c r="AB1464" s="12"/>
      <c r="AC1464" s="12"/>
      <c r="AD1464" s="12"/>
      <c r="AE1464" s="12"/>
      <c r="AF1464" s="12">
        <v>222459</v>
      </c>
      <c r="AG1464" s="12">
        <v>863307</v>
      </c>
      <c r="AH1464" s="12"/>
      <c r="AI1464" s="12"/>
      <c r="AJ1464" s="22"/>
      <c r="AK1464" s="22"/>
      <c r="AL1464" s="22"/>
      <c r="AM1464" s="22"/>
      <c r="AP1464" s="1044"/>
      <c r="AR1464" s="1044"/>
      <c r="AS1464" s="1044"/>
    </row>
    <row r="1465" spans="3:45" hidden="1" outlineLevel="1">
      <c r="C1465" s="816" t="s">
        <v>16</v>
      </c>
      <c r="D1465" s="9">
        <v>3</v>
      </c>
      <c r="E1465" s="20" t="s">
        <v>1367</v>
      </c>
      <c r="F1465" s="20"/>
      <c r="G1465" s="20"/>
      <c r="H1465" s="20"/>
      <c r="I1465" s="20"/>
      <c r="J1465" s="20"/>
      <c r="K1465" s="20"/>
      <c r="L1465" s="20"/>
      <c r="M1465" s="20"/>
      <c r="N1465" s="20"/>
      <c r="O1465" s="20"/>
      <c r="P1465" s="20"/>
      <c r="Q1465" s="20"/>
      <c r="R1465" s="20"/>
      <c r="S1465" s="20"/>
      <c r="T1465" s="20"/>
      <c r="U1465" s="20"/>
      <c r="V1465" s="20"/>
      <c r="W1465" s="20"/>
      <c r="X1465" s="20"/>
      <c r="Y1465" s="20"/>
      <c r="Z1465" s="20"/>
      <c r="AA1465" s="20"/>
      <c r="AB1465" s="12"/>
      <c r="AC1465" s="12"/>
      <c r="AD1465" s="12"/>
      <c r="AE1465" s="12"/>
      <c r="AF1465" s="12">
        <v>2435435</v>
      </c>
      <c r="AG1465" s="12">
        <v>3448892</v>
      </c>
      <c r="AH1465" s="12"/>
      <c r="AI1465" s="12"/>
      <c r="AJ1465" s="22"/>
      <c r="AK1465" s="22"/>
      <c r="AL1465" s="22"/>
      <c r="AM1465" s="22"/>
      <c r="AP1465" s="1044"/>
      <c r="AR1465" s="1044"/>
      <c r="AS1465" s="1044"/>
    </row>
    <row r="1466" spans="3:45" hidden="1" outlineLevel="1">
      <c r="C1466" s="816" t="s">
        <v>16</v>
      </c>
      <c r="D1466" s="9">
        <v>3</v>
      </c>
      <c r="E1466" s="20" t="s">
        <v>1094</v>
      </c>
      <c r="F1466" s="20"/>
      <c r="G1466" s="20"/>
      <c r="H1466" s="20"/>
      <c r="I1466" s="20"/>
      <c r="J1466" s="20"/>
      <c r="K1466" s="20"/>
      <c r="L1466" s="20"/>
      <c r="M1466" s="20"/>
      <c r="N1466" s="20"/>
      <c r="O1466" s="20"/>
      <c r="P1466" s="20"/>
      <c r="Q1466" s="20"/>
      <c r="R1466" s="20"/>
      <c r="S1466" s="20"/>
      <c r="T1466" s="20"/>
      <c r="U1466" s="20"/>
      <c r="V1466" s="20"/>
      <c r="W1466" s="20"/>
      <c r="X1466" s="20"/>
      <c r="Y1466" s="20"/>
      <c r="Z1466" s="20"/>
      <c r="AA1466" s="20"/>
      <c r="AB1466" s="12"/>
      <c r="AC1466" s="12"/>
      <c r="AD1466" s="12">
        <v>-1500000</v>
      </c>
      <c r="AE1466" s="12">
        <v>-1500000</v>
      </c>
      <c r="AF1466" s="12">
        <v>4568785</v>
      </c>
      <c r="AG1466" s="12">
        <v>6857731</v>
      </c>
      <c r="AH1466" s="12"/>
      <c r="AI1466" s="12"/>
      <c r="AJ1466" s="22"/>
      <c r="AK1466" s="22"/>
      <c r="AL1466" s="22"/>
      <c r="AM1466" s="22"/>
      <c r="AP1466" s="1044"/>
      <c r="AR1466" s="1044"/>
      <c r="AS1466" s="1044"/>
    </row>
    <row r="1467" spans="3:45" hidden="1" outlineLevel="1">
      <c r="C1467" s="816" t="s">
        <v>16</v>
      </c>
      <c r="D1467" s="9">
        <v>3</v>
      </c>
      <c r="E1467" s="20" t="s">
        <v>859</v>
      </c>
      <c r="F1467" s="20"/>
      <c r="G1467" s="20"/>
      <c r="H1467" s="20"/>
      <c r="I1467" s="20"/>
      <c r="J1467" s="20"/>
      <c r="K1467" s="20"/>
      <c r="L1467" s="20"/>
      <c r="M1467" s="20"/>
      <c r="N1467" s="20"/>
      <c r="O1467" s="20"/>
      <c r="P1467" s="20"/>
      <c r="Q1467" s="20"/>
      <c r="R1467" s="20"/>
      <c r="S1467" s="20"/>
      <c r="T1467" s="20"/>
      <c r="U1467" s="20"/>
      <c r="V1467" s="20"/>
      <c r="W1467" s="20"/>
      <c r="X1467" s="20"/>
      <c r="Y1467" s="20"/>
      <c r="Z1467" s="20"/>
      <c r="AA1467" s="20"/>
      <c r="AB1467" s="12"/>
      <c r="AC1467" s="12"/>
      <c r="AD1467" s="12"/>
      <c r="AE1467" s="12"/>
      <c r="AF1467" s="12">
        <v>767531</v>
      </c>
      <c r="AG1467" s="12">
        <v>1149935</v>
      </c>
      <c r="AH1467" s="12"/>
      <c r="AI1467" s="12"/>
      <c r="AJ1467" s="22"/>
      <c r="AK1467" s="22"/>
      <c r="AL1467" s="22"/>
      <c r="AM1467" s="22"/>
      <c r="AP1467" s="1044"/>
      <c r="AR1467" s="1044"/>
      <c r="AS1467" s="1044"/>
    </row>
    <row r="1468" spans="3:45" hidden="1" outlineLevel="1">
      <c r="C1468" s="816" t="s">
        <v>16</v>
      </c>
      <c r="D1468" s="9">
        <v>3</v>
      </c>
      <c r="E1468" s="20" t="s">
        <v>1427</v>
      </c>
      <c r="F1468" s="20"/>
      <c r="G1468" s="20"/>
      <c r="H1468" s="20"/>
      <c r="I1468" s="20"/>
      <c r="J1468" s="20"/>
      <c r="K1468" s="20"/>
      <c r="L1468" s="20"/>
      <c r="M1468" s="20"/>
      <c r="N1468" s="20"/>
      <c r="O1468" s="20"/>
      <c r="P1468" s="20"/>
      <c r="Q1468" s="20"/>
      <c r="R1468" s="20"/>
      <c r="S1468" s="20"/>
      <c r="T1468" s="20"/>
      <c r="U1468" s="20"/>
      <c r="V1468" s="20"/>
      <c r="W1468" s="20"/>
      <c r="X1468" s="20"/>
      <c r="Y1468" s="20"/>
      <c r="Z1468" s="20"/>
      <c r="AA1468" s="20"/>
      <c r="AB1468" s="12"/>
      <c r="AC1468" s="12"/>
      <c r="AD1468" s="12"/>
      <c r="AE1468" s="12"/>
      <c r="AF1468" s="12">
        <v>0</v>
      </c>
      <c r="AG1468" s="12">
        <v>451287</v>
      </c>
      <c r="AH1468" s="12"/>
      <c r="AI1468" s="12"/>
      <c r="AJ1468" s="22"/>
      <c r="AK1468" s="22"/>
      <c r="AL1468" s="22"/>
      <c r="AM1468" s="22"/>
      <c r="AP1468" s="1044"/>
      <c r="AR1468" s="1044"/>
      <c r="AS1468" s="1044"/>
    </row>
    <row r="1469" spans="3:45" hidden="1" outlineLevel="1">
      <c r="C1469" s="816" t="s">
        <v>16</v>
      </c>
      <c r="D1469" s="9">
        <v>3</v>
      </c>
      <c r="E1469" s="20" t="s">
        <v>1433</v>
      </c>
      <c r="F1469" s="20"/>
      <c r="G1469" s="20"/>
      <c r="H1469" s="20"/>
      <c r="I1469" s="20"/>
      <c r="J1469" s="20"/>
      <c r="K1469" s="20"/>
      <c r="L1469" s="20"/>
      <c r="M1469" s="20"/>
      <c r="N1469" s="20"/>
      <c r="O1469" s="20"/>
      <c r="P1469" s="20"/>
      <c r="Q1469" s="20"/>
      <c r="R1469" s="20"/>
      <c r="S1469" s="20"/>
      <c r="T1469" s="20"/>
      <c r="U1469" s="20"/>
      <c r="V1469" s="20"/>
      <c r="W1469" s="20"/>
      <c r="X1469" s="20"/>
      <c r="Y1469" s="20"/>
      <c r="Z1469" s="20"/>
      <c r="AA1469" s="20"/>
      <c r="AB1469" s="12"/>
      <c r="AC1469" s="12"/>
      <c r="AD1469" s="12">
        <v>-9000000</v>
      </c>
      <c r="AE1469" s="12">
        <v>-9000000</v>
      </c>
      <c r="AF1469" s="12">
        <v>0</v>
      </c>
      <c r="AG1469" s="12">
        <v>17126319</v>
      </c>
      <c r="AH1469" s="12"/>
      <c r="AI1469" s="12"/>
      <c r="AJ1469" s="22"/>
      <c r="AK1469" s="22"/>
      <c r="AL1469" s="22"/>
      <c r="AM1469" s="22"/>
      <c r="AP1469" s="1044"/>
      <c r="AR1469" s="1044"/>
      <c r="AS1469" s="1044"/>
    </row>
    <row r="1470" spans="3:45" hidden="1" outlineLevel="1">
      <c r="C1470" s="816" t="s">
        <v>16</v>
      </c>
      <c r="D1470" s="9">
        <v>3</v>
      </c>
      <c r="E1470" s="20" t="s">
        <v>1434</v>
      </c>
      <c r="F1470" s="20"/>
      <c r="G1470" s="20"/>
      <c r="H1470" s="20"/>
      <c r="I1470" s="20"/>
      <c r="J1470" s="20"/>
      <c r="K1470" s="20"/>
      <c r="L1470" s="20"/>
      <c r="M1470" s="20"/>
      <c r="N1470" s="20"/>
      <c r="O1470" s="20"/>
      <c r="P1470" s="20"/>
      <c r="Q1470" s="20"/>
      <c r="R1470" s="20"/>
      <c r="S1470" s="20"/>
      <c r="T1470" s="20"/>
      <c r="U1470" s="20"/>
      <c r="V1470" s="20"/>
      <c r="W1470" s="20"/>
      <c r="X1470" s="20"/>
      <c r="Y1470" s="20"/>
      <c r="Z1470" s="20"/>
      <c r="AA1470" s="20"/>
      <c r="AB1470" s="12"/>
      <c r="AC1470" s="12"/>
      <c r="AD1470" s="12"/>
      <c r="AE1470" s="12"/>
      <c r="AF1470" s="12">
        <v>0</v>
      </c>
      <c r="AG1470" s="12">
        <v>33083291</v>
      </c>
      <c r="AH1470" s="12"/>
      <c r="AI1470" s="12"/>
      <c r="AJ1470" s="22"/>
      <c r="AK1470" s="22"/>
      <c r="AL1470" s="22"/>
      <c r="AM1470" s="22"/>
      <c r="AP1470" s="1044"/>
      <c r="AR1470" s="1044"/>
      <c r="AS1470" s="1044"/>
    </row>
    <row r="1471" spans="3:45" hidden="1" outlineLevel="1">
      <c r="C1471" s="816" t="s">
        <v>16</v>
      </c>
      <c r="D1471" s="9">
        <v>3</v>
      </c>
      <c r="E1471" s="20" t="s">
        <v>1435</v>
      </c>
      <c r="F1471" s="20"/>
      <c r="G1471" s="20"/>
      <c r="H1471" s="20"/>
      <c r="I1471" s="20"/>
      <c r="J1471" s="20"/>
      <c r="K1471" s="20"/>
      <c r="L1471" s="20"/>
      <c r="M1471" s="20"/>
      <c r="N1471" s="20"/>
      <c r="O1471" s="20"/>
      <c r="P1471" s="20"/>
      <c r="Q1471" s="20"/>
      <c r="R1471" s="20"/>
      <c r="S1471" s="20"/>
      <c r="T1471" s="20"/>
      <c r="U1471" s="20"/>
      <c r="V1471" s="20"/>
      <c r="W1471" s="20"/>
      <c r="X1471" s="20"/>
      <c r="Y1471" s="20"/>
      <c r="Z1471" s="20"/>
      <c r="AA1471" s="20"/>
      <c r="AB1471" s="12"/>
      <c r="AC1471" s="12"/>
      <c r="AD1471" s="12">
        <v>-2500000</v>
      </c>
      <c r="AE1471" s="12">
        <v>-2500000</v>
      </c>
      <c r="AF1471" s="12">
        <v>2146880</v>
      </c>
      <c r="AG1471" s="12">
        <v>20408079</v>
      </c>
      <c r="AH1471" s="12"/>
      <c r="AI1471" s="12"/>
      <c r="AJ1471" s="22"/>
      <c r="AK1471" s="22"/>
      <c r="AL1471" s="22"/>
      <c r="AM1471" s="22"/>
      <c r="AP1471" s="1044"/>
      <c r="AR1471" s="1044"/>
      <c r="AS1471" s="1044"/>
    </row>
    <row r="1472" spans="3:45" hidden="1" outlineLevel="1">
      <c r="C1472" s="816" t="s">
        <v>16</v>
      </c>
      <c r="D1472" s="9">
        <v>3</v>
      </c>
      <c r="E1472" s="20" t="s">
        <v>1436</v>
      </c>
      <c r="F1472" s="20"/>
      <c r="G1472" s="20"/>
      <c r="H1472" s="20"/>
      <c r="I1472" s="20"/>
      <c r="J1472" s="20"/>
      <c r="K1472" s="20"/>
      <c r="L1472" s="20"/>
      <c r="M1472" s="20"/>
      <c r="N1472" s="20"/>
      <c r="O1472" s="20"/>
      <c r="P1472" s="20"/>
      <c r="Q1472" s="20"/>
      <c r="R1472" s="20"/>
      <c r="S1472" s="20"/>
      <c r="T1472" s="20"/>
      <c r="U1472" s="20"/>
      <c r="V1472" s="20"/>
      <c r="W1472" s="20"/>
      <c r="X1472" s="20"/>
      <c r="Y1472" s="20"/>
      <c r="Z1472" s="20"/>
      <c r="AA1472" s="20"/>
      <c r="AB1472" s="12"/>
      <c r="AC1472" s="12"/>
      <c r="AD1472" s="12"/>
      <c r="AE1472" s="12"/>
      <c r="AF1472" s="12">
        <v>1816427</v>
      </c>
      <c r="AG1472" s="12">
        <v>20364412</v>
      </c>
      <c r="AH1472" s="12"/>
      <c r="AI1472" s="12"/>
      <c r="AJ1472" s="22"/>
      <c r="AK1472" s="22"/>
      <c r="AL1472" s="22"/>
      <c r="AM1472" s="22"/>
      <c r="AP1472" s="1044"/>
      <c r="AR1472" s="1044"/>
      <c r="AS1472" s="1044"/>
    </row>
    <row r="1473" spans="2:45" hidden="1" outlineLevel="1">
      <c r="C1473" s="816" t="s">
        <v>16</v>
      </c>
      <c r="D1473" s="9">
        <v>3</v>
      </c>
      <c r="E1473" s="224" t="s">
        <v>1668</v>
      </c>
      <c r="F1473" s="20"/>
      <c r="G1473" s="20"/>
      <c r="H1473" s="20"/>
      <c r="I1473" s="20"/>
      <c r="J1473" s="20"/>
      <c r="K1473" s="20"/>
      <c r="L1473" s="20"/>
      <c r="M1473" s="20"/>
      <c r="N1473" s="20"/>
      <c r="O1473" s="20"/>
      <c r="P1473" s="20"/>
      <c r="Q1473" s="20"/>
      <c r="R1473" s="20"/>
      <c r="S1473" s="20"/>
      <c r="T1473" s="20"/>
      <c r="U1473" s="20"/>
      <c r="V1473" s="20"/>
      <c r="W1473" s="20"/>
      <c r="X1473" s="20"/>
      <c r="Y1473" s="20"/>
      <c r="Z1473" s="20"/>
      <c r="AA1473" s="20"/>
      <c r="AB1473" s="12"/>
      <c r="AC1473" s="12"/>
      <c r="AD1473" s="12"/>
      <c r="AE1473" s="12"/>
      <c r="AF1473" s="12"/>
      <c r="AG1473" s="12"/>
      <c r="AH1473" s="12"/>
      <c r="AI1473" s="12"/>
      <c r="AJ1473" s="22"/>
      <c r="AK1473" s="22"/>
      <c r="AL1473" s="22"/>
      <c r="AM1473" s="22"/>
      <c r="AP1473" s="1044"/>
      <c r="AR1473" s="1044"/>
      <c r="AS1473" s="1044"/>
    </row>
    <row r="1474" spans="2:45" hidden="1" outlineLevel="1">
      <c r="C1474" s="816" t="s">
        <v>16</v>
      </c>
      <c r="D1474" s="9">
        <v>3</v>
      </c>
      <c r="E1474" s="20" t="s">
        <v>1437</v>
      </c>
      <c r="F1474" s="20"/>
      <c r="G1474" s="20"/>
      <c r="H1474" s="20"/>
      <c r="I1474" s="20"/>
      <c r="J1474" s="20"/>
      <c r="K1474" s="20"/>
      <c r="L1474" s="20"/>
      <c r="M1474" s="20"/>
      <c r="N1474" s="20"/>
      <c r="O1474" s="20"/>
      <c r="P1474" s="20"/>
      <c r="Q1474" s="20"/>
      <c r="R1474" s="20"/>
      <c r="S1474" s="20"/>
      <c r="T1474" s="20"/>
      <c r="U1474" s="20"/>
      <c r="V1474" s="20"/>
      <c r="W1474" s="20"/>
      <c r="X1474" s="20"/>
      <c r="Y1474" s="20"/>
      <c r="Z1474" s="20"/>
      <c r="AA1474" s="20"/>
      <c r="AB1474" s="12"/>
      <c r="AC1474" s="12"/>
      <c r="AD1474" s="12"/>
      <c r="AE1474" s="12"/>
      <c r="AF1474" s="12">
        <v>475026</v>
      </c>
      <c r="AG1474" s="12">
        <v>20446441</v>
      </c>
      <c r="AH1474" s="12"/>
      <c r="AI1474" s="12"/>
      <c r="AJ1474" s="22"/>
      <c r="AK1474" s="22"/>
      <c r="AL1474" s="22"/>
      <c r="AM1474" s="22"/>
      <c r="AP1474" s="1044"/>
      <c r="AR1474" s="1044"/>
      <c r="AS1474" s="1044"/>
    </row>
    <row r="1475" spans="2:45" hidden="1" outlineLevel="1">
      <c r="C1475" s="816" t="s">
        <v>16</v>
      </c>
      <c r="D1475" s="9">
        <v>3</v>
      </c>
      <c r="E1475" s="20" t="s">
        <v>1438</v>
      </c>
      <c r="F1475" s="20"/>
      <c r="G1475" s="20"/>
      <c r="H1475" s="20"/>
      <c r="I1475" s="20"/>
      <c r="J1475" s="20"/>
      <c r="K1475" s="20"/>
      <c r="L1475" s="20"/>
      <c r="M1475" s="20"/>
      <c r="N1475" s="20"/>
      <c r="O1475" s="20"/>
      <c r="P1475" s="20"/>
      <c r="Q1475" s="20"/>
      <c r="R1475" s="20"/>
      <c r="S1475" s="20"/>
      <c r="T1475" s="20"/>
      <c r="U1475" s="20"/>
      <c r="V1475" s="20"/>
      <c r="W1475" s="20"/>
      <c r="X1475" s="20"/>
      <c r="Y1475" s="20"/>
      <c r="Z1475" s="20"/>
      <c r="AA1475" s="20"/>
      <c r="AB1475" s="12"/>
      <c r="AC1475" s="12"/>
      <c r="AD1475" s="12"/>
      <c r="AE1475" s="12"/>
      <c r="AF1475" s="12">
        <v>635600</v>
      </c>
      <c r="AG1475" s="12">
        <v>5349891</v>
      </c>
      <c r="AH1475" s="12"/>
      <c r="AI1475" s="12"/>
      <c r="AJ1475" s="22"/>
      <c r="AK1475" s="22"/>
      <c r="AL1475" s="22"/>
      <c r="AM1475" s="22"/>
      <c r="AP1475" s="1044"/>
      <c r="AR1475" s="1044"/>
      <c r="AS1475" s="1044"/>
    </row>
    <row r="1476" spans="2:45" hidden="1" outlineLevel="1">
      <c r="C1476" s="816" t="s">
        <v>16</v>
      </c>
      <c r="D1476" s="9">
        <v>3</v>
      </c>
      <c r="E1476" s="20" t="s">
        <v>1439</v>
      </c>
      <c r="F1476" s="20"/>
      <c r="G1476" s="20"/>
      <c r="H1476" s="20"/>
      <c r="I1476" s="20"/>
      <c r="J1476" s="20"/>
      <c r="K1476" s="20"/>
      <c r="L1476" s="20"/>
      <c r="M1476" s="20"/>
      <c r="N1476" s="20"/>
      <c r="O1476" s="20"/>
      <c r="P1476" s="20"/>
      <c r="Q1476" s="20"/>
      <c r="R1476" s="20"/>
      <c r="S1476" s="20"/>
      <c r="T1476" s="20"/>
      <c r="U1476" s="20"/>
      <c r="V1476" s="20"/>
      <c r="W1476" s="20"/>
      <c r="X1476" s="20"/>
      <c r="Y1476" s="20"/>
      <c r="Z1476" s="20"/>
      <c r="AA1476" s="20"/>
      <c r="AB1476" s="12"/>
      <c r="AC1476" s="12"/>
      <c r="AD1476" s="12">
        <v>-9500000</v>
      </c>
      <c r="AE1476" s="12">
        <v>-13500000</v>
      </c>
      <c r="AF1476" s="12">
        <v>1762201</v>
      </c>
      <c r="AG1476" s="12">
        <v>10672046</v>
      </c>
      <c r="AH1476" s="12"/>
      <c r="AI1476" s="12"/>
      <c r="AJ1476" s="22"/>
      <c r="AK1476" s="22"/>
      <c r="AL1476" s="22"/>
      <c r="AM1476" s="22"/>
      <c r="AP1476" s="1044"/>
      <c r="AR1476" s="1044"/>
      <c r="AS1476" s="1044"/>
    </row>
    <row r="1477" spans="2:45" hidden="1" outlineLevel="1">
      <c r="C1477" s="816" t="s">
        <v>16</v>
      </c>
      <c r="D1477" s="9">
        <v>3</v>
      </c>
      <c r="E1477" s="20" t="s">
        <v>1440</v>
      </c>
      <c r="F1477" s="20"/>
      <c r="G1477" s="20"/>
      <c r="H1477" s="20"/>
      <c r="I1477" s="20"/>
      <c r="J1477" s="20"/>
      <c r="K1477" s="20"/>
      <c r="L1477" s="20"/>
      <c r="M1477" s="20"/>
      <c r="N1477" s="20"/>
      <c r="O1477" s="20"/>
      <c r="P1477" s="20"/>
      <c r="Q1477" s="20"/>
      <c r="R1477" s="20"/>
      <c r="S1477" s="20"/>
      <c r="T1477" s="20"/>
      <c r="U1477" s="20"/>
      <c r="V1477" s="20"/>
      <c r="W1477" s="20"/>
      <c r="X1477" s="20"/>
      <c r="Y1477" s="20"/>
      <c r="Z1477" s="20"/>
      <c r="AA1477" s="20"/>
      <c r="AB1477" s="12"/>
      <c r="AC1477" s="12"/>
      <c r="AD1477" s="12"/>
      <c r="AE1477" s="12"/>
      <c r="AF1477" s="12">
        <v>3339790</v>
      </c>
      <c r="AG1477" s="12">
        <v>4957588</v>
      </c>
      <c r="AH1477" s="12"/>
      <c r="AI1477" s="12"/>
      <c r="AJ1477" s="22"/>
      <c r="AK1477" s="22"/>
      <c r="AL1477" s="22"/>
      <c r="AM1477" s="22"/>
      <c r="AP1477" s="1044"/>
      <c r="AR1477" s="1044"/>
      <c r="AS1477" s="1044"/>
    </row>
    <row r="1478" spans="2:45" hidden="1" outlineLevel="1">
      <c r="C1478" s="816" t="s">
        <v>16</v>
      </c>
      <c r="D1478" s="9">
        <v>3</v>
      </c>
      <c r="E1478" s="20" t="s">
        <v>942</v>
      </c>
      <c r="F1478" s="20"/>
      <c r="G1478" s="20"/>
      <c r="H1478" s="20"/>
      <c r="I1478" s="20"/>
      <c r="J1478" s="20"/>
      <c r="K1478" s="20"/>
      <c r="L1478" s="20"/>
      <c r="M1478" s="20"/>
      <c r="N1478" s="20"/>
      <c r="O1478" s="20"/>
      <c r="P1478" s="20"/>
      <c r="Q1478" s="20"/>
      <c r="R1478" s="20"/>
      <c r="S1478" s="20"/>
      <c r="T1478" s="20"/>
      <c r="U1478" s="20"/>
      <c r="V1478" s="20"/>
      <c r="W1478" s="20"/>
      <c r="X1478" s="20"/>
      <c r="Y1478" s="20"/>
      <c r="Z1478" s="20"/>
      <c r="AA1478" s="20"/>
      <c r="AB1478" s="12"/>
      <c r="AC1478" s="12"/>
      <c r="AD1478" s="12">
        <v>-2908250</v>
      </c>
      <c r="AE1478" s="12">
        <v>-2908250</v>
      </c>
      <c r="AF1478" s="12">
        <v>4122324</v>
      </c>
      <c r="AG1478" s="12">
        <v>14283190</v>
      </c>
      <c r="AH1478" s="12"/>
      <c r="AI1478" s="12"/>
      <c r="AJ1478" s="22"/>
      <c r="AK1478" s="22"/>
      <c r="AL1478" s="22"/>
      <c r="AM1478" s="22"/>
      <c r="AP1478" s="1044"/>
      <c r="AR1478" s="1044"/>
      <c r="AS1478" s="1044"/>
    </row>
    <row r="1479" spans="2:45" hidden="1" outlineLevel="1">
      <c r="C1479" s="816" t="s">
        <v>16</v>
      </c>
      <c r="D1479" s="9">
        <v>3</v>
      </c>
      <c r="E1479" s="224" t="s">
        <v>1556</v>
      </c>
      <c r="F1479" s="20"/>
      <c r="G1479" s="20"/>
      <c r="H1479" s="20"/>
      <c r="I1479" s="20"/>
      <c r="J1479" s="20"/>
      <c r="K1479" s="20"/>
      <c r="L1479" s="20"/>
      <c r="M1479" s="20"/>
      <c r="N1479" s="20"/>
      <c r="O1479" s="20"/>
      <c r="P1479" s="20"/>
      <c r="Q1479" s="20"/>
      <c r="R1479" s="20"/>
      <c r="S1479" s="20"/>
      <c r="T1479" s="20"/>
      <c r="U1479" s="20"/>
      <c r="V1479" s="20"/>
      <c r="W1479" s="20"/>
      <c r="X1479" s="20"/>
      <c r="Y1479" s="20"/>
      <c r="Z1479" s="20"/>
      <c r="AA1479" s="20"/>
      <c r="AB1479" s="12"/>
      <c r="AC1479" s="12"/>
      <c r="AD1479" s="12"/>
      <c r="AE1479" s="12"/>
      <c r="AF1479" s="12"/>
      <c r="AG1479" s="12"/>
      <c r="AH1479" s="12"/>
      <c r="AI1479" s="12"/>
      <c r="AJ1479" s="22"/>
      <c r="AK1479" s="22"/>
      <c r="AL1479" s="22"/>
      <c r="AM1479" s="22"/>
      <c r="AP1479" s="1044"/>
      <c r="AR1479" s="1044"/>
      <c r="AS1479" s="1044"/>
    </row>
    <row r="1480" spans="2:45" hidden="1" outlineLevel="1">
      <c r="C1480" s="816" t="s">
        <v>16</v>
      </c>
      <c r="D1480" s="9">
        <v>3</v>
      </c>
      <c r="E1480" s="27" t="s">
        <v>77</v>
      </c>
      <c r="F1480" s="20"/>
      <c r="G1480" s="20"/>
      <c r="H1480" s="20"/>
      <c r="I1480" s="20"/>
      <c r="J1480" s="20"/>
      <c r="K1480" s="20"/>
      <c r="L1480" s="20"/>
      <c r="M1480" s="20"/>
      <c r="N1480" s="20"/>
      <c r="O1480" s="20"/>
      <c r="P1480" s="20"/>
      <c r="Q1480" s="20"/>
      <c r="R1480" s="20"/>
      <c r="S1480" s="20"/>
      <c r="T1480" s="20"/>
      <c r="U1480" s="20"/>
      <c r="V1480" s="20"/>
      <c r="W1480" s="20"/>
      <c r="X1480" s="20"/>
      <c r="Y1480" s="20"/>
      <c r="Z1480" s="20"/>
      <c r="AA1480" s="20"/>
      <c r="AB1480" s="34"/>
      <c r="AC1480" s="34"/>
      <c r="AD1480" s="34">
        <v>-300000</v>
      </c>
      <c r="AE1480" s="34">
        <v>-300000</v>
      </c>
      <c r="AF1480" s="34">
        <v>39341086</v>
      </c>
      <c r="AG1480" s="34">
        <v>76111610</v>
      </c>
      <c r="AH1480" s="34"/>
      <c r="AI1480" s="12"/>
      <c r="AJ1480" s="22"/>
      <c r="AK1480" s="22"/>
      <c r="AL1480" s="22"/>
      <c r="AM1480" s="22"/>
      <c r="AP1480" s="1044"/>
      <c r="AR1480" s="1044"/>
      <c r="AS1480" s="1044"/>
    </row>
    <row r="1481" spans="2:45" hidden="1" outlineLevel="1">
      <c r="B1481" s="565">
        <v>3607</v>
      </c>
      <c r="C1481" s="816" t="s">
        <v>16</v>
      </c>
      <c r="D1481" s="9"/>
      <c r="E1481" s="50" t="s">
        <v>1407</v>
      </c>
      <c r="F1481" s="50"/>
      <c r="G1481" s="50"/>
      <c r="H1481" s="50"/>
      <c r="I1481" s="50"/>
      <c r="J1481" s="50"/>
      <c r="K1481" s="50"/>
      <c r="L1481" s="50"/>
      <c r="M1481" s="50"/>
      <c r="N1481" s="50"/>
      <c r="O1481" s="50"/>
      <c r="P1481" s="50"/>
      <c r="Q1481" s="50"/>
      <c r="R1481" s="50"/>
      <c r="S1481" s="50"/>
      <c r="T1481" s="50"/>
      <c r="U1481" s="50"/>
      <c r="V1481" s="50"/>
      <c r="W1481" s="50"/>
      <c r="X1481" s="50"/>
      <c r="Y1481" s="50"/>
      <c r="Z1481" s="50"/>
      <c r="AA1481" s="50"/>
      <c r="AB1481" s="12"/>
      <c r="AC1481" s="12"/>
      <c r="AD1481" s="12"/>
      <c r="AE1481" s="12"/>
      <c r="AF1481" s="12">
        <v>2146220</v>
      </c>
      <c r="AG1481" s="12">
        <v>6811203</v>
      </c>
      <c r="AH1481" s="12"/>
      <c r="AI1481" s="12"/>
      <c r="AJ1481" s="51"/>
      <c r="AK1481" s="51"/>
      <c r="AL1481" s="51"/>
      <c r="AM1481" s="51"/>
      <c r="AP1481" s="1044"/>
      <c r="AR1481" s="1044"/>
      <c r="AS1481" s="1044"/>
    </row>
    <row r="1482" spans="2:45" hidden="1" outlineLevel="1">
      <c r="B1482" s="565">
        <v>3539</v>
      </c>
      <c r="C1482" s="816" t="s">
        <v>16</v>
      </c>
      <c r="D1482" s="9"/>
      <c r="E1482" s="50" t="s">
        <v>102</v>
      </c>
      <c r="F1482" s="50"/>
      <c r="G1482" s="50"/>
      <c r="H1482" s="50"/>
      <c r="I1482" s="50"/>
      <c r="J1482" s="50"/>
      <c r="K1482" s="50"/>
      <c r="L1482" s="50"/>
      <c r="M1482" s="50"/>
      <c r="N1482" s="50"/>
      <c r="O1482" s="50"/>
      <c r="P1482" s="50"/>
      <c r="Q1482" s="50"/>
      <c r="R1482" s="50"/>
      <c r="S1482" s="50"/>
      <c r="T1482" s="50"/>
      <c r="U1482" s="50"/>
      <c r="V1482" s="50"/>
      <c r="W1482" s="50"/>
      <c r="X1482" s="50"/>
      <c r="Y1482" s="50"/>
      <c r="Z1482" s="50"/>
      <c r="AA1482" s="50"/>
      <c r="AB1482" s="12"/>
      <c r="AC1482" s="12"/>
      <c r="AD1482" s="12"/>
      <c r="AE1482" s="12"/>
      <c r="AF1482" s="12">
        <v>419553</v>
      </c>
      <c r="AG1482" s="12">
        <v>630970</v>
      </c>
      <c r="AH1482" s="12"/>
      <c r="AI1482" s="12"/>
      <c r="AJ1482" s="51"/>
      <c r="AK1482" s="51"/>
      <c r="AL1482" s="51"/>
      <c r="AM1482" s="51"/>
      <c r="AP1482" s="1044"/>
      <c r="AR1482" s="1044"/>
      <c r="AS1482" s="1044"/>
    </row>
    <row r="1483" spans="2:45" hidden="1" outlineLevel="1">
      <c r="B1483" s="565">
        <v>3540</v>
      </c>
      <c r="C1483" s="816" t="s">
        <v>16</v>
      </c>
      <c r="D1483" s="9"/>
      <c r="E1483" s="50" t="s">
        <v>103</v>
      </c>
      <c r="F1483" s="50"/>
      <c r="G1483" s="50"/>
      <c r="H1483" s="50"/>
      <c r="I1483" s="50"/>
      <c r="J1483" s="50"/>
      <c r="K1483" s="50"/>
      <c r="L1483" s="50"/>
      <c r="M1483" s="50"/>
      <c r="N1483" s="50"/>
      <c r="O1483" s="50"/>
      <c r="P1483" s="50"/>
      <c r="Q1483" s="50"/>
      <c r="R1483" s="50"/>
      <c r="S1483" s="50"/>
      <c r="T1483" s="50"/>
      <c r="U1483" s="50"/>
      <c r="V1483" s="50"/>
      <c r="W1483" s="50"/>
      <c r="X1483" s="50"/>
      <c r="Y1483" s="50"/>
      <c r="Z1483" s="50"/>
      <c r="AA1483" s="50"/>
      <c r="AB1483" s="12"/>
      <c r="AC1483" s="12"/>
      <c r="AD1483" s="12"/>
      <c r="AE1483" s="12"/>
      <c r="AF1483" s="12">
        <v>844000</v>
      </c>
      <c r="AG1483" s="12">
        <v>1286495</v>
      </c>
      <c r="AH1483" s="12"/>
      <c r="AI1483" s="12"/>
      <c r="AJ1483" s="51"/>
      <c r="AK1483" s="51"/>
      <c r="AL1483" s="51"/>
      <c r="AM1483" s="51"/>
      <c r="AP1483" s="1044"/>
      <c r="AR1483" s="1044"/>
      <c r="AS1483" s="1044"/>
    </row>
    <row r="1484" spans="2:45" hidden="1" outlineLevel="1">
      <c r="B1484" s="565">
        <v>6661</v>
      </c>
      <c r="C1484" s="816" t="s">
        <v>16</v>
      </c>
      <c r="D1484" s="9"/>
      <c r="E1484" s="50" t="s">
        <v>104</v>
      </c>
      <c r="F1484" s="50"/>
      <c r="G1484" s="50"/>
      <c r="H1484" s="50"/>
      <c r="I1484" s="50"/>
      <c r="J1484" s="50"/>
      <c r="K1484" s="50"/>
      <c r="L1484" s="50"/>
      <c r="M1484" s="50"/>
      <c r="N1484" s="50"/>
      <c r="O1484" s="50"/>
      <c r="P1484" s="50"/>
      <c r="Q1484" s="50"/>
      <c r="R1484" s="50"/>
      <c r="S1484" s="50"/>
      <c r="T1484" s="50"/>
      <c r="U1484" s="50"/>
      <c r="V1484" s="50"/>
      <c r="W1484" s="50"/>
      <c r="X1484" s="50"/>
      <c r="Y1484" s="50"/>
      <c r="Z1484" s="50"/>
      <c r="AA1484" s="50"/>
      <c r="AB1484" s="12"/>
      <c r="AC1484" s="12"/>
      <c r="AD1484" s="12"/>
      <c r="AE1484" s="12"/>
      <c r="AF1484" s="12">
        <v>413899</v>
      </c>
      <c r="AG1484" s="12">
        <v>630541</v>
      </c>
      <c r="AH1484" s="12"/>
      <c r="AI1484" s="12"/>
      <c r="AJ1484" s="51"/>
      <c r="AK1484" s="51"/>
      <c r="AL1484" s="51"/>
      <c r="AM1484" s="51"/>
      <c r="AP1484" s="1044"/>
      <c r="AR1484" s="1044"/>
      <c r="AS1484" s="1044"/>
    </row>
    <row r="1485" spans="2:45" hidden="1" outlineLevel="1">
      <c r="B1485" s="565">
        <v>12015</v>
      </c>
      <c r="C1485" s="816" t="s">
        <v>16</v>
      </c>
      <c r="D1485" s="9"/>
      <c r="E1485" s="50" t="s">
        <v>105</v>
      </c>
      <c r="F1485" s="50"/>
      <c r="G1485" s="50"/>
      <c r="H1485" s="50"/>
      <c r="I1485" s="50"/>
      <c r="J1485" s="50"/>
      <c r="K1485" s="50"/>
      <c r="L1485" s="50"/>
      <c r="M1485" s="50"/>
      <c r="N1485" s="50"/>
      <c r="O1485" s="50"/>
      <c r="P1485" s="50"/>
      <c r="Q1485" s="50"/>
      <c r="R1485" s="50"/>
      <c r="S1485" s="50"/>
      <c r="T1485" s="50"/>
      <c r="U1485" s="50"/>
      <c r="V1485" s="50"/>
      <c r="W1485" s="50"/>
      <c r="X1485" s="50"/>
      <c r="Y1485" s="50"/>
      <c r="Z1485" s="50"/>
      <c r="AA1485" s="50"/>
      <c r="AB1485" s="12"/>
      <c r="AC1485" s="12"/>
      <c r="AD1485" s="12"/>
      <c r="AE1485" s="12"/>
      <c r="AF1485" s="12">
        <v>2332279</v>
      </c>
      <c r="AG1485" s="12">
        <v>3507989</v>
      </c>
      <c r="AH1485" s="12"/>
      <c r="AI1485" s="12"/>
      <c r="AJ1485" s="51"/>
      <c r="AK1485" s="51"/>
      <c r="AL1485" s="51"/>
      <c r="AM1485" s="51"/>
      <c r="AP1485" s="1044"/>
      <c r="AR1485" s="1044"/>
      <c r="AS1485" s="1044"/>
    </row>
    <row r="1486" spans="2:45" hidden="1" outlineLevel="1">
      <c r="B1486" s="565">
        <v>3549</v>
      </c>
      <c r="C1486" s="816" t="s">
        <v>16</v>
      </c>
      <c r="D1486" s="9"/>
      <c r="E1486" s="50" t="s">
        <v>106</v>
      </c>
      <c r="F1486" s="50"/>
      <c r="G1486" s="50"/>
      <c r="H1486" s="50"/>
      <c r="I1486" s="50"/>
      <c r="J1486" s="50"/>
      <c r="K1486" s="50"/>
      <c r="L1486" s="50"/>
      <c r="M1486" s="50"/>
      <c r="N1486" s="50"/>
      <c r="O1486" s="50"/>
      <c r="P1486" s="50"/>
      <c r="Q1486" s="50"/>
      <c r="R1486" s="50"/>
      <c r="S1486" s="50"/>
      <c r="T1486" s="50"/>
      <c r="U1486" s="50"/>
      <c r="V1486" s="50"/>
      <c r="W1486" s="50"/>
      <c r="X1486" s="50"/>
      <c r="Y1486" s="50"/>
      <c r="Z1486" s="50"/>
      <c r="AA1486" s="50"/>
      <c r="AB1486" s="12"/>
      <c r="AC1486" s="12"/>
      <c r="AD1486" s="12"/>
      <c r="AE1486" s="12"/>
      <c r="AF1486" s="12">
        <v>896504</v>
      </c>
      <c r="AG1486" s="12">
        <v>2047679</v>
      </c>
      <c r="AH1486" s="12"/>
      <c r="AI1486" s="12"/>
      <c r="AJ1486" s="51"/>
      <c r="AK1486" s="51"/>
      <c r="AL1486" s="51"/>
      <c r="AM1486" s="51"/>
      <c r="AP1486" s="1044"/>
      <c r="AR1486" s="1044"/>
      <c r="AS1486" s="1044"/>
    </row>
    <row r="1487" spans="2:45" hidden="1" outlineLevel="1">
      <c r="B1487" s="565">
        <v>7857</v>
      </c>
      <c r="C1487" s="816" t="s">
        <v>16</v>
      </c>
      <c r="D1487" s="9"/>
      <c r="E1487" s="50" t="s">
        <v>107</v>
      </c>
      <c r="F1487" s="50"/>
      <c r="G1487" s="50"/>
      <c r="H1487" s="50"/>
      <c r="I1487" s="50"/>
      <c r="J1487" s="50"/>
      <c r="K1487" s="50"/>
      <c r="L1487" s="50"/>
      <c r="M1487" s="50"/>
      <c r="N1487" s="50"/>
      <c r="O1487" s="50"/>
      <c r="P1487" s="50"/>
      <c r="Q1487" s="50"/>
      <c r="R1487" s="50"/>
      <c r="S1487" s="50"/>
      <c r="T1487" s="50"/>
      <c r="U1487" s="50"/>
      <c r="V1487" s="50"/>
      <c r="W1487" s="50"/>
      <c r="X1487" s="50"/>
      <c r="Y1487" s="50"/>
      <c r="Z1487" s="50"/>
      <c r="AA1487" s="50"/>
      <c r="AB1487" s="12"/>
      <c r="AC1487" s="12"/>
      <c r="AD1487" s="12">
        <v>-90921</v>
      </c>
      <c r="AE1487" s="12">
        <v>-62166</v>
      </c>
      <c r="AF1487" s="12">
        <v>288366</v>
      </c>
      <c r="AG1487" s="12">
        <v>438799</v>
      </c>
      <c r="AH1487" s="12"/>
      <c r="AI1487" s="12"/>
      <c r="AJ1487" s="51"/>
      <c r="AK1487" s="51"/>
      <c r="AL1487" s="51"/>
      <c r="AM1487" s="51"/>
      <c r="AP1487" s="1044"/>
      <c r="AR1487" s="1044"/>
      <c r="AS1487" s="1044"/>
    </row>
    <row r="1488" spans="2:45" hidden="1" outlineLevel="1">
      <c r="B1488" s="565">
        <v>4003</v>
      </c>
      <c r="C1488" s="816" t="s">
        <v>16</v>
      </c>
      <c r="D1488" s="9"/>
      <c r="E1488" s="50" t="s">
        <v>108</v>
      </c>
      <c r="F1488" s="50"/>
      <c r="G1488" s="50"/>
      <c r="H1488" s="50"/>
      <c r="I1488" s="50"/>
      <c r="J1488" s="50"/>
      <c r="K1488" s="50"/>
      <c r="L1488" s="50"/>
      <c r="M1488" s="50"/>
      <c r="N1488" s="50"/>
      <c r="O1488" s="50"/>
      <c r="P1488" s="50"/>
      <c r="Q1488" s="50"/>
      <c r="R1488" s="50"/>
      <c r="S1488" s="50"/>
      <c r="T1488" s="50"/>
      <c r="U1488" s="50"/>
      <c r="V1488" s="50"/>
      <c r="W1488" s="50"/>
      <c r="X1488" s="50"/>
      <c r="Y1488" s="50"/>
      <c r="Z1488" s="50"/>
      <c r="AA1488" s="50"/>
      <c r="AB1488" s="12"/>
      <c r="AC1488" s="12"/>
      <c r="AD1488" s="12"/>
      <c r="AE1488" s="12"/>
      <c r="AF1488" s="12">
        <v>1041718</v>
      </c>
      <c r="AG1488" s="12">
        <v>1588719</v>
      </c>
      <c r="AH1488" s="12"/>
      <c r="AI1488" s="12"/>
      <c r="AJ1488" s="51"/>
      <c r="AK1488" s="51"/>
      <c r="AL1488" s="51"/>
      <c r="AM1488" s="51"/>
      <c r="AP1488" s="1044"/>
      <c r="AR1488" s="1044"/>
      <c r="AS1488" s="1044"/>
    </row>
    <row r="1489" spans="2:45" hidden="1" outlineLevel="1">
      <c r="B1489" s="565">
        <v>3553</v>
      </c>
      <c r="C1489" s="816" t="s">
        <v>16</v>
      </c>
      <c r="D1489" s="9"/>
      <c r="E1489" s="50" t="s">
        <v>1404</v>
      </c>
      <c r="F1489" s="50"/>
      <c r="G1489" s="50"/>
      <c r="H1489" s="50"/>
      <c r="I1489" s="50"/>
      <c r="J1489" s="50"/>
      <c r="K1489" s="50"/>
      <c r="L1489" s="50"/>
      <c r="M1489" s="50"/>
      <c r="N1489" s="50"/>
      <c r="O1489" s="50"/>
      <c r="P1489" s="50"/>
      <c r="Q1489" s="50"/>
      <c r="R1489" s="50"/>
      <c r="S1489" s="50"/>
      <c r="T1489" s="50"/>
      <c r="U1489" s="50"/>
      <c r="V1489" s="50"/>
      <c r="W1489" s="50"/>
      <c r="X1489" s="50"/>
      <c r="Y1489" s="50"/>
      <c r="Z1489" s="50"/>
      <c r="AA1489" s="50"/>
      <c r="AB1489" s="12"/>
      <c r="AC1489" s="12"/>
      <c r="AD1489" s="12"/>
      <c r="AE1489" s="12"/>
      <c r="AF1489" s="12">
        <v>177059</v>
      </c>
      <c r="AG1489" s="12">
        <v>522994</v>
      </c>
      <c r="AH1489" s="12"/>
      <c r="AI1489" s="12"/>
      <c r="AJ1489" s="51"/>
      <c r="AK1489" s="51"/>
      <c r="AL1489" s="51"/>
      <c r="AM1489" s="51"/>
      <c r="AP1489" s="1044"/>
      <c r="AR1489" s="1044"/>
      <c r="AS1489" s="1044"/>
    </row>
    <row r="1490" spans="2:45" hidden="1" outlineLevel="1">
      <c r="B1490" s="565">
        <v>3554</v>
      </c>
      <c r="C1490" s="816" t="s">
        <v>16</v>
      </c>
      <c r="D1490" s="9"/>
      <c r="E1490" s="50" t="s">
        <v>110</v>
      </c>
      <c r="F1490" s="50"/>
      <c r="G1490" s="50"/>
      <c r="H1490" s="50"/>
      <c r="I1490" s="50"/>
      <c r="J1490" s="50"/>
      <c r="K1490" s="50"/>
      <c r="L1490" s="50"/>
      <c r="M1490" s="50"/>
      <c r="N1490" s="50"/>
      <c r="O1490" s="50"/>
      <c r="P1490" s="50"/>
      <c r="Q1490" s="50"/>
      <c r="R1490" s="50"/>
      <c r="S1490" s="50"/>
      <c r="T1490" s="50"/>
      <c r="U1490" s="50"/>
      <c r="V1490" s="50"/>
      <c r="W1490" s="50"/>
      <c r="X1490" s="50"/>
      <c r="Y1490" s="50"/>
      <c r="Z1490" s="50"/>
      <c r="AA1490" s="50"/>
      <c r="AB1490" s="12"/>
      <c r="AC1490" s="12"/>
      <c r="AD1490" s="12"/>
      <c r="AE1490" s="12"/>
      <c r="AF1490" s="12">
        <v>132713</v>
      </c>
      <c r="AG1490" s="12">
        <v>199528</v>
      </c>
      <c r="AH1490" s="12"/>
      <c r="AI1490" s="12"/>
      <c r="AJ1490" s="51"/>
      <c r="AK1490" s="51"/>
      <c r="AL1490" s="51"/>
      <c r="AM1490" s="51"/>
      <c r="AP1490" s="1044"/>
      <c r="AR1490" s="1044"/>
      <c r="AS1490" s="1044"/>
    </row>
    <row r="1491" spans="2:45" hidden="1" outlineLevel="1">
      <c r="B1491" s="565">
        <v>3546</v>
      </c>
      <c r="C1491" s="816" t="s">
        <v>16</v>
      </c>
      <c r="D1491" s="9"/>
      <c r="E1491" s="50" t="s">
        <v>167</v>
      </c>
      <c r="F1491" s="50"/>
      <c r="G1491" s="50"/>
      <c r="H1491" s="50"/>
      <c r="I1491" s="50"/>
      <c r="J1491" s="50"/>
      <c r="K1491" s="50"/>
      <c r="L1491" s="50"/>
      <c r="M1491" s="50"/>
      <c r="N1491" s="50"/>
      <c r="O1491" s="50"/>
      <c r="P1491" s="50"/>
      <c r="Q1491" s="50"/>
      <c r="R1491" s="50"/>
      <c r="S1491" s="50"/>
      <c r="T1491" s="50"/>
      <c r="U1491" s="50"/>
      <c r="V1491" s="50"/>
      <c r="W1491" s="50"/>
      <c r="X1491" s="50"/>
      <c r="Y1491" s="50"/>
      <c r="Z1491" s="50"/>
      <c r="AA1491" s="50"/>
      <c r="AB1491" s="12"/>
      <c r="AC1491" s="12"/>
      <c r="AD1491" s="12"/>
      <c r="AE1491" s="12"/>
      <c r="AF1491" s="12">
        <v>358984</v>
      </c>
      <c r="AG1491" s="12">
        <v>487469</v>
      </c>
      <c r="AH1491" s="12"/>
      <c r="AI1491" s="12"/>
      <c r="AJ1491" s="51"/>
      <c r="AK1491" s="51"/>
      <c r="AL1491" s="51"/>
      <c r="AM1491" s="51"/>
      <c r="AP1491" s="1044"/>
      <c r="AR1491" s="1044"/>
      <c r="AS1491" s="1044"/>
    </row>
    <row r="1492" spans="2:45" hidden="1" outlineLevel="1">
      <c r="B1492" s="565">
        <v>7096</v>
      </c>
      <c r="C1492" s="816" t="s">
        <v>16</v>
      </c>
      <c r="D1492" s="9"/>
      <c r="E1492" s="50" t="s">
        <v>1410</v>
      </c>
      <c r="F1492" s="50"/>
      <c r="G1492" s="50"/>
      <c r="H1492" s="50"/>
      <c r="I1492" s="50"/>
      <c r="J1492" s="50"/>
      <c r="K1492" s="50"/>
      <c r="L1492" s="50"/>
      <c r="M1492" s="50"/>
      <c r="N1492" s="50"/>
      <c r="O1492" s="50"/>
      <c r="P1492" s="50"/>
      <c r="Q1492" s="50"/>
      <c r="R1492" s="50"/>
      <c r="S1492" s="50"/>
      <c r="T1492" s="50"/>
      <c r="U1492" s="50"/>
      <c r="V1492" s="50"/>
      <c r="W1492" s="50"/>
      <c r="X1492" s="50"/>
      <c r="Y1492" s="50"/>
      <c r="Z1492" s="50"/>
      <c r="AA1492" s="50"/>
      <c r="AB1492" s="12"/>
      <c r="AC1492" s="12"/>
      <c r="AD1492" s="12"/>
      <c r="AE1492" s="12"/>
      <c r="AF1492" s="12">
        <v>312874</v>
      </c>
      <c r="AG1492" s="12">
        <v>476780</v>
      </c>
      <c r="AH1492" s="12"/>
      <c r="AI1492" s="12"/>
      <c r="AJ1492" s="51"/>
      <c r="AK1492" s="51"/>
      <c r="AL1492" s="51"/>
      <c r="AM1492" s="51"/>
      <c r="AP1492" s="1044"/>
      <c r="AR1492" s="1044"/>
      <c r="AS1492" s="1044"/>
    </row>
    <row r="1493" spans="2:45" hidden="1" outlineLevel="1">
      <c r="B1493" s="565">
        <v>23614</v>
      </c>
      <c r="C1493" s="816" t="s">
        <v>16</v>
      </c>
      <c r="D1493" s="9"/>
      <c r="E1493" s="50" t="s">
        <v>885</v>
      </c>
      <c r="F1493" s="50"/>
      <c r="G1493" s="50"/>
      <c r="H1493" s="50"/>
      <c r="I1493" s="50"/>
      <c r="J1493" s="50"/>
      <c r="K1493" s="50"/>
      <c r="L1493" s="50"/>
      <c r="M1493" s="50"/>
      <c r="N1493" s="50"/>
      <c r="O1493" s="50"/>
      <c r="P1493" s="50"/>
      <c r="Q1493" s="50"/>
      <c r="R1493" s="50"/>
      <c r="S1493" s="50"/>
      <c r="T1493" s="50"/>
      <c r="U1493" s="50"/>
      <c r="V1493" s="50"/>
      <c r="W1493" s="50"/>
      <c r="X1493" s="50"/>
      <c r="Y1493" s="50"/>
      <c r="Z1493" s="50"/>
      <c r="AA1493" s="50"/>
      <c r="AB1493" s="12"/>
      <c r="AC1493" s="12"/>
      <c r="AD1493" s="12"/>
      <c r="AE1493" s="12"/>
      <c r="AF1493" s="12">
        <v>1565528</v>
      </c>
      <c r="AG1493" s="12">
        <v>2387580</v>
      </c>
      <c r="AH1493" s="12"/>
      <c r="AI1493" s="12"/>
      <c r="AJ1493" s="51"/>
      <c r="AK1493" s="51"/>
      <c r="AL1493" s="51"/>
      <c r="AM1493" s="51"/>
      <c r="AP1493" s="1044"/>
      <c r="AR1493" s="1044"/>
      <c r="AS1493" s="1044"/>
    </row>
    <row r="1494" spans="2:45" hidden="1" outlineLevel="1">
      <c r="B1494" s="565">
        <v>9331</v>
      </c>
      <c r="C1494" s="816" t="s">
        <v>16</v>
      </c>
      <c r="D1494" s="9"/>
      <c r="E1494" s="50" t="s">
        <v>1411</v>
      </c>
      <c r="F1494" s="50"/>
      <c r="G1494" s="50"/>
      <c r="H1494" s="50"/>
      <c r="I1494" s="50"/>
      <c r="J1494" s="50"/>
      <c r="K1494" s="50"/>
      <c r="L1494" s="50"/>
      <c r="M1494" s="50"/>
      <c r="N1494" s="50"/>
      <c r="O1494" s="50"/>
      <c r="P1494" s="50"/>
      <c r="Q1494" s="50"/>
      <c r="R1494" s="50"/>
      <c r="S1494" s="50"/>
      <c r="T1494" s="50"/>
      <c r="U1494" s="50"/>
      <c r="V1494" s="50"/>
      <c r="W1494" s="50"/>
      <c r="X1494" s="50"/>
      <c r="Y1494" s="50"/>
      <c r="Z1494" s="50"/>
      <c r="AA1494" s="50"/>
      <c r="AB1494" s="12"/>
      <c r="AC1494" s="12"/>
      <c r="AD1494" s="12"/>
      <c r="AE1494" s="12"/>
      <c r="AF1494" s="12">
        <v>3498210</v>
      </c>
      <c r="AG1494" s="12">
        <v>8912016</v>
      </c>
      <c r="AH1494" s="12"/>
      <c r="AI1494" s="12"/>
      <c r="AJ1494" s="51"/>
      <c r="AK1494" s="51"/>
      <c r="AL1494" s="51"/>
      <c r="AM1494" s="51"/>
      <c r="AP1494" s="1044"/>
      <c r="AR1494" s="1044"/>
      <c r="AS1494" s="1044"/>
    </row>
    <row r="1495" spans="2:45" hidden="1" outlineLevel="1">
      <c r="B1495" s="565">
        <v>3563</v>
      </c>
      <c r="C1495" s="816" t="s">
        <v>16</v>
      </c>
      <c r="D1495" s="9"/>
      <c r="E1495" s="50" t="s">
        <v>114</v>
      </c>
      <c r="F1495" s="50"/>
      <c r="G1495" s="50"/>
      <c r="H1495" s="50"/>
      <c r="I1495" s="50"/>
      <c r="J1495" s="50"/>
      <c r="K1495" s="50"/>
      <c r="L1495" s="50"/>
      <c r="M1495" s="50"/>
      <c r="N1495" s="50"/>
      <c r="O1495" s="50"/>
      <c r="P1495" s="50"/>
      <c r="Q1495" s="50"/>
      <c r="R1495" s="50"/>
      <c r="S1495" s="50"/>
      <c r="T1495" s="50"/>
      <c r="U1495" s="50"/>
      <c r="V1495" s="50"/>
      <c r="W1495" s="50"/>
      <c r="X1495" s="50"/>
      <c r="Y1495" s="50"/>
      <c r="Z1495" s="50"/>
      <c r="AA1495" s="50"/>
      <c r="AB1495" s="12"/>
      <c r="AC1495" s="12"/>
      <c r="AD1495" s="12"/>
      <c r="AE1495" s="12"/>
      <c r="AF1495" s="12">
        <v>925286</v>
      </c>
      <c r="AG1495" s="12">
        <v>1391753</v>
      </c>
      <c r="AH1495" s="12"/>
      <c r="AI1495" s="12"/>
      <c r="AJ1495" s="51"/>
      <c r="AK1495" s="51"/>
      <c r="AL1495" s="51"/>
      <c r="AM1495" s="51"/>
      <c r="AP1495" s="1044"/>
      <c r="AR1495" s="1044"/>
      <c r="AS1495" s="1044"/>
    </row>
    <row r="1496" spans="2:45" hidden="1" outlineLevel="1">
      <c r="B1496" s="565">
        <v>10387</v>
      </c>
      <c r="C1496" s="816" t="s">
        <v>16</v>
      </c>
      <c r="D1496" s="9"/>
      <c r="E1496" s="50" t="s">
        <v>1412</v>
      </c>
      <c r="F1496" s="50"/>
      <c r="G1496" s="50"/>
      <c r="H1496" s="50"/>
      <c r="I1496" s="50"/>
      <c r="J1496" s="50"/>
      <c r="K1496" s="50"/>
      <c r="L1496" s="50"/>
      <c r="M1496" s="50"/>
      <c r="N1496" s="50"/>
      <c r="O1496" s="50"/>
      <c r="P1496" s="50"/>
      <c r="Q1496" s="50"/>
      <c r="R1496" s="50"/>
      <c r="S1496" s="50"/>
      <c r="T1496" s="50"/>
      <c r="U1496" s="50"/>
      <c r="V1496" s="50"/>
      <c r="W1496" s="50"/>
      <c r="X1496" s="50"/>
      <c r="Y1496" s="50"/>
      <c r="Z1496" s="50"/>
      <c r="AA1496" s="50"/>
      <c r="AB1496" s="12"/>
      <c r="AC1496" s="12"/>
      <c r="AD1496" s="12"/>
      <c r="AE1496" s="12"/>
      <c r="AF1496" s="12">
        <v>1654773</v>
      </c>
      <c r="AG1496" s="12">
        <v>2523687</v>
      </c>
      <c r="AH1496" s="12"/>
      <c r="AI1496" s="12"/>
      <c r="AJ1496" s="51"/>
      <c r="AK1496" s="51"/>
      <c r="AL1496" s="51"/>
      <c r="AM1496" s="51"/>
      <c r="AP1496" s="1044"/>
      <c r="AR1496" s="1044"/>
      <c r="AS1496" s="1044"/>
    </row>
    <row r="1497" spans="2:45" hidden="1" outlineLevel="1">
      <c r="B1497" s="565">
        <v>3568</v>
      </c>
      <c r="C1497" s="816" t="s">
        <v>16</v>
      </c>
      <c r="D1497" s="9"/>
      <c r="E1497" s="50" t="s">
        <v>116</v>
      </c>
      <c r="F1497" s="50"/>
      <c r="G1497" s="50"/>
      <c r="H1497" s="50"/>
      <c r="I1497" s="50"/>
      <c r="J1497" s="50"/>
      <c r="K1497" s="50"/>
      <c r="L1497" s="50"/>
      <c r="M1497" s="50"/>
      <c r="N1497" s="50"/>
      <c r="O1497" s="50"/>
      <c r="P1497" s="50"/>
      <c r="Q1497" s="50"/>
      <c r="R1497" s="50"/>
      <c r="S1497" s="50"/>
      <c r="T1497" s="50"/>
      <c r="U1497" s="50"/>
      <c r="V1497" s="50"/>
      <c r="W1497" s="50"/>
      <c r="X1497" s="50"/>
      <c r="Y1497" s="50"/>
      <c r="Z1497" s="50"/>
      <c r="AA1497" s="50"/>
      <c r="AB1497" s="12"/>
      <c r="AC1497" s="12"/>
      <c r="AD1497" s="12"/>
      <c r="AE1497" s="12"/>
      <c r="AF1497" s="12">
        <v>141229</v>
      </c>
      <c r="AG1497" s="12">
        <v>212352</v>
      </c>
      <c r="AH1497" s="12"/>
      <c r="AI1497" s="12"/>
      <c r="AJ1497" s="51"/>
      <c r="AK1497" s="51"/>
      <c r="AL1497" s="51"/>
      <c r="AM1497" s="51"/>
      <c r="AP1497" s="1044"/>
      <c r="AR1497" s="1044"/>
      <c r="AS1497" s="1044"/>
    </row>
    <row r="1498" spans="2:45" hidden="1" outlineLevel="1">
      <c r="B1498" s="565">
        <v>6662</v>
      </c>
      <c r="C1498" s="816" t="s">
        <v>16</v>
      </c>
      <c r="D1498" s="9"/>
      <c r="E1498" s="50" t="s">
        <v>117</v>
      </c>
      <c r="F1498" s="50"/>
      <c r="G1498" s="50"/>
      <c r="H1498" s="50"/>
      <c r="I1498" s="50"/>
      <c r="J1498" s="50"/>
      <c r="K1498" s="50"/>
      <c r="L1498" s="50"/>
      <c r="M1498" s="50"/>
      <c r="N1498" s="50"/>
      <c r="O1498" s="50"/>
      <c r="P1498" s="50"/>
      <c r="Q1498" s="50"/>
      <c r="R1498" s="50"/>
      <c r="S1498" s="50"/>
      <c r="T1498" s="50"/>
      <c r="U1498" s="50"/>
      <c r="V1498" s="50"/>
      <c r="W1498" s="50"/>
      <c r="X1498" s="50"/>
      <c r="Y1498" s="50"/>
      <c r="Z1498" s="50"/>
      <c r="AA1498" s="50"/>
      <c r="AB1498" s="12"/>
      <c r="AC1498" s="12"/>
      <c r="AD1498" s="12"/>
      <c r="AE1498" s="12"/>
      <c r="AF1498" s="12">
        <v>233642</v>
      </c>
      <c r="AG1498" s="12">
        <v>354701</v>
      </c>
      <c r="AH1498" s="12"/>
      <c r="AI1498" s="12"/>
      <c r="AJ1498" s="51"/>
      <c r="AK1498" s="51"/>
      <c r="AL1498" s="51"/>
      <c r="AM1498" s="51"/>
      <c r="AP1498" s="1044"/>
      <c r="AR1498" s="1044"/>
      <c r="AS1498" s="1044"/>
    </row>
    <row r="1499" spans="2:45" hidden="1" outlineLevel="1">
      <c r="B1499" s="565">
        <v>3570</v>
      </c>
      <c r="C1499" s="816" t="s">
        <v>16</v>
      </c>
      <c r="D1499" s="9"/>
      <c r="E1499" s="50" t="s">
        <v>1406</v>
      </c>
      <c r="F1499" s="50"/>
      <c r="G1499" s="50"/>
      <c r="H1499" s="50"/>
      <c r="I1499" s="50"/>
      <c r="J1499" s="50"/>
      <c r="K1499" s="50"/>
      <c r="L1499" s="50"/>
      <c r="M1499" s="50"/>
      <c r="N1499" s="50"/>
      <c r="O1499" s="50"/>
      <c r="P1499" s="50"/>
      <c r="Q1499" s="50"/>
      <c r="R1499" s="50"/>
      <c r="S1499" s="50"/>
      <c r="T1499" s="50"/>
      <c r="U1499" s="50"/>
      <c r="V1499" s="50"/>
      <c r="W1499" s="50"/>
      <c r="X1499" s="50"/>
      <c r="Y1499" s="50"/>
      <c r="Z1499" s="50"/>
      <c r="AA1499" s="50"/>
      <c r="AB1499" s="12"/>
      <c r="AC1499" s="12"/>
      <c r="AD1499" s="12"/>
      <c r="AE1499" s="12"/>
      <c r="AF1499" s="12">
        <v>365910</v>
      </c>
      <c r="AG1499" s="12">
        <v>558045</v>
      </c>
      <c r="AH1499" s="12"/>
      <c r="AI1499" s="12"/>
      <c r="AJ1499" s="51"/>
      <c r="AK1499" s="51"/>
      <c r="AL1499" s="51"/>
      <c r="AM1499" s="51"/>
      <c r="AP1499" s="1044"/>
      <c r="AR1499" s="1044"/>
      <c r="AS1499" s="1044"/>
    </row>
    <row r="1500" spans="2:45" hidden="1" outlineLevel="1">
      <c r="B1500" s="565">
        <v>3573</v>
      </c>
      <c r="C1500" s="816" t="s">
        <v>16</v>
      </c>
      <c r="D1500" s="9"/>
      <c r="E1500" s="50" t="s">
        <v>119</v>
      </c>
      <c r="F1500" s="50"/>
      <c r="G1500" s="50"/>
      <c r="H1500" s="50"/>
      <c r="I1500" s="50"/>
      <c r="J1500" s="50"/>
      <c r="K1500" s="50"/>
      <c r="L1500" s="50"/>
      <c r="M1500" s="50"/>
      <c r="N1500" s="50"/>
      <c r="O1500" s="50"/>
      <c r="P1500" s="50"/>
      <c r="Q1500" s="50"/>
      <c r="R1500" s="50"/>
      <c r="S1500" s="50"/>
      <c r="T1500" s="50"/>
      <c r="U1500" s="50"/>
      <c r="V1500" s="50"/>
      <c r="W1500" s="50"/>
      <c r="X1500" s="50"/>
      <c r="Y1500" s="50"/>
      <c r="Z1500" s="50"/>
      <c r="AA1500" s="50"/>
      <c r="AB1500" s="12"/>
      <c r="AC1500" s="12"/>
      <c r="AD1500" s="12"/>
      <c r="AE1500" s="12"/>
      <c r="AF1500" s="12">
        <v>108895</v>
      </c>
      <c r="AG1500" s="12">
        <v>793644</v>
      </c>
      <c r="AH1500" s="12"/>
      <c r="AI1500" s="12"/>
      <c r="AJ1500" s="51"/>
      <c r="AK1500" s="51"/>
      <c r="AL1500" s="51"/>
      <c r="AM1500" s="51"/>
      <c r="AP1500" s="1044"/>
      <c r="AR1500" s="1044"/>
      <c r="AS1500" s="1044"/>
    </row>
    <row r="1501" spans="2:45" hidden="1" outlineLevel="1">
      <c r="B1501" s="565">
        <v>10633</v>
      </c>
      <c r="C1501" s="816" t="s">
        <v>16</v>
      </c>
      <c r="D1501" s="9"/>
      <c r="E1501" s="50" t="s">
        <v>120</v>
      </c>
      <c r="F1501" s="50"/>
      <c r="G1501" s="50"/>
      <c r="H1501" s="50"/>
      <c r="I1501" s="50"/>
      <c r="J1501" s="50"/>
      <c r="K1501" s="50"/>
      <c r="L1501" s="50"/>
      <c r="M1501" s="50"/>
      <c r="N1501" s="50"/>
      <c r="O1501" s="50"/>
      <c r="P1501" s="50"/>
      <c r="Q1501" s="50"/>
      <c r="R1501" s="50"/>
      <c r="S1501" s="50"/>
      <c r="T1501" s="50"/>
      <c r="U1501" s="50"/>
      <c r="V1501" s="50"/>
      <c r="W1501" s="50"/>
      <c r="X1501" s="50"/>
      <c r="Y1501" s="50"/>
      <c r="Z1501" s="50"/>
      <c r="AA1501" s="50"/>
      <c r="AB1501" s="12"/>
      <c r="AC1501" s="12"/>
      <c r="AD1501" s="12"/>
      <c r="AE1501" s="12"/>
      <c r="AF1501" s="12">
        <v>3458983</v>
      </c>
      <c r="AG1501" s="12">
        <v>5275284</v>
      </c>
      <c r="AH1501" s="12"/>
      <c r="AI1501" s="12"/>
      <c r="AJ1501" s="51"/>
      <c r="AK1501" s="51"/>
      <c r="AL1501" s="51"/>
      <c r="AM1501" s="51"/>
      <c r="AP1501" s="1044"/>
      <c r="AR1501" s="1044"/>
      <c r="AS1501" s="1044"/>
    </row>
    <row r="1502" spans="2:45" hidden="1" outlineLevel="1">
      <c r="B1502" s="565">
        <v>103574</v>
      </c>
      <c r="C1502" s="816" t="s">
        <v>16</v>
      </c>
      <c r="D1502" s="9"/>
      <c r="E1502" s="50" t="s">
        <v>1415</v>
      </c>
      <c r="F1502" s="50"/>
      <c r="G1502" s="50"/>
      <c r="H1502" s="50"/>
      <c r="I1502" s="50"/>
      <c r="J1502" s="50"/>
      <c r="K1502" s="50"/>
      <c r="L1502" s="50"/>
      <c r="M1502" s="50"/>
      <c r="N1502" s="50"/>
      <c r="O1502" s="50"/>
      <c r="P1502" s="50"/>
      <c r="Q1502" s="50"/>
      <c r="R1502" s="50"/>
      <c r="S1502" s="50"/>
      <c r="T1502" s="50"/>
      <c r="U1502" s="50"/>
      <c r="V1502" s="50"/>
      <c r="W1502" s="50"/>
      <c r="X1502" s="50"/>
      <c r="Y1502" s="50"/>
      <c r="Z1502" s="50"/>
      <c r="AA1502" s="50"/>
      <c r="AB1502" s="12"/>
      <c r="AC1502" s="12"/>
      <c r="AD1502" s="12"/>
      <c r="AE1502" s="12"/>
      <c r="AF1502" s="12">
        <v>659772</v>
      </c>
      <c r="AG1502" s="12">
        <v>822395</v>
      </c>
      <c r="AH1502" s="12"/>
      <c r="AI1502" s="12"/>
      <c r="AJ1502" s="51"/>
      <c r="AK1502" s="51"/>
      <c r="AL1502" s="51"/>
      <c r="AM1502" s="51"/>
      <c r="AP1502" s="1044"/>
      <c r="AR1502" s="1044"/>
      <c r="AS1502" s="1044"/>
    </row>
    <row r="1503" spans="2:45" hidden="1" outlineLevel="1">
      <c r="B1503" s="565">
        <v>3580</v>
      </c>
      <c r="C1503" s="816" t="s">
        <v>16</v>
      </c>
      <c r="D1503" s="9"/>
      <c r="E1503" s="50" t="s">
        <v>122</v>
      </c>
      <c r="F1503" s="50"/>
      <c r="G1503" s="50"/>
      <c r="H1503" s="50"/>
      <c r="I1503" s="50"/>
      <c r="J1503" s="50"/>
      <c r="K1503" s="50"/>
      <c r="L1503" s="50"/>
      <c r="M1503" s="50"/>
      <c r="N1503" s="50"/>
      <c r="O1503" s="50"/>
      <c r="P1503" s="50"/>
      <c r="Q1503" s="50"/>
      <c r="R1503" s="50"/>
      <c r="S1503" s="50"/>
      <c r="T1503" s="50"/>
      <c r="U1503" s="50"/>
      <c r="V1503" s="50"/>
      <c r="W1503" s="50"/>
      <c r="X1503" s="50"/>
      <c r="Y1503" s="50"/>
      <c r="Z1503" s="50"/>
      <c r="AA1503" s="50"/>
      <c r="AB1503" s="12"/>
      <c r="AC1503" s="12"/>
      <c r="AD1503" s="12"/>
      <c r="AE1503" s="12"/>
      <c r="AF1503" s="12">
        <v>623309</v>
      </c>
      <c r="AG1503" s="12">
        <v>937550</v>
      </c>
      <c r="AH1503" s="12"/>
      <c r="AI1503" s="12"/>
      <c r="AJ1503" s="51"/>
      <c r="AK1503" s="51"/>
      <c r="AL1503" s="51"/>
      <c r="AM1503" s="51"/>
      <c r="AP1503" s="1044"/>
      <c r="AR1503" s="1044"/>
      <c r="AS1503" s="1044"/>
    </row>
    <row r="1504" spans="2:45" hidden="1" outlineLevel="1">
      <c r="B1504" s="565">
        <v>3582</v>
      </c>
      <c r="C1504" s="816" t="s">
        <v>16</v>
      </c>
      <c r="D1504" s="9"/>
      <c r="E1504" s="50" t="s">
        <v>123</v>
      </c>
      <c r="F1504" s="50"/>
      <c r="G1504" s="50"/>
      <c r="H1504" s="50"/>
      <c r="I1504" s="50"/>
      <c r="J1504" s="50"/>
      <c r="K1504" s="50"/>
      <c r="L1504" s="50"/>
      <c r="M1504" s="50"/>
      <c r="N1504" s="50"/>
      <c r="O1504" s="50"/>
      <c r="P1504" s="50"/>
      <c r="Q1504" s="50"/>
      <c r="R1504" s="50"/>
      <c r="S1504" s="50"/>
      <c r="T1504" s="50"/>
      <c r="U1504" s="50"/>
      <c r="V1504" s="50"/>
      <c r="W1504" s="50"/>
      <c r="X1504" s="50"/>
      <c r="Y1504" s="50"/>
      <c r="Z1504" s="50"/>
      <c r="AA1504" s="50"/>
      <c r="AB1504" s="12"/>
      <c r="AC1504" s="12"/>
      <c r="AD1504" s="12"/>
      <c r="AE1504" s="12"/>
      <c r="AF1504" s="12">
        <v>632693</v>
      </c>
      <c r="AG1504" s="12">
        <v>963810</v>
      </c>
      <c r="AH1504" s="12"/>
      <c r="AI1504" s="12"/>
      <c r="AJ1504" s="51"/>
      <c r="AK1504" s="51"/>
      <c r="AL1504" s="51"/>
      <c r="AM1504" s="51"/>
      <c r="AP1504" s="1044"/>
      <c r="AR1504" s="1044"/>
      <c r="AS1504" s="1044"/>
    </row>
    <row r="1505" spans="2:45" hidden="1" outlineLevel="1">
      <c r="B1505" s="565">
        <v>3583</v>
      </c>
      <c r="C1505" s="816" t="s">
        <v>16</v>
      </c>
      <c r="D1505" s="9"/>
      <c r="E1505" s="50" t="s">
        <v>174</v>
      </c>
      <c r="F1505" s="50"/>
      <c r="G1505" s="50"/>
      <c r="H1505" s="50"/>
      <c r="I1505" s="50"/>
      <c r="J1505" s="50"/>
      <c r="K1505" s="50"/>
      <c r="L1505" s="50"/>
      <c r="M1505" s="50"/>
      <c r="N1505" s="50"/>
      <c r="O1505" s="50"/>
      <c r="P1505" s="50"/>
      <c r="Q1505" s="50"/>
      <c r="R1505" s="50"/>
      <c r="S1505" s="50"/>
      <c r="T1505" s="50"/>
      <c r="U1505" s="50"/>
      <c r="V1505" s="50"/>
      <c r="W1505" s="50"/>
      <c r="X1505" s="50"/>
      <c r="Y1505" s="50"/>
      <c r="Z1505" s="50"/>
      <c r="AA1505" s="50"/>
      <c r="AB1505" s="12"/>
      <c r="AC1505" s="12"/>
      <c r="AD1505" s="12"/>
      <c r="AE1505" s="12"/>
      <c r="AF1505" s="12">
        <v>510004</v>
      </c>
      <c r="AG1505" s="12">
        <v>767122</v>
      </c>
      <c r="AH1505" s="12"/>
      <c r="AI1505" s="12"/>
      <c r="AJ1505" s="51"/>
      <c r="AK1505" s="51"/>
      <c r="AL1505" s="51"/>
      <c r="AM1505" s="51"/>
      <c r="AP1505" s="1044"/>
      <c r="AR1505" s="1044"/>
      <c r="AS1505" s="1044"/>
    </row>
    <row r="1506" spans="2:45" hidden="1" outlineLevel="1">
      <c r="B1506" s="565">
        <v>11145</v>
      </c>
      <c r="C1506" s="816" t="s">
        <v>16</v>
      </c>
      <c r="D1506" s="9"/>
      <c r="E1506" s="50" t="s">
        <v>892</v>
      </c>
      <c r="F1506" s="50"/>
      <c r="G1506" s="50"/>
      <c r="H1506" s="50"/>
      <c r="I1506" s="50"/>
      <c r="J1506" s="50"/>
      <c r="K1506" s="50"/>
      <c r="L1506" s="50"/>
      <c r="M1506" s="50"/>
      <c r="N1506" s="50"/>
      <c r="O1506" s="50"/>
      <c r="P1506" s="50"/>
      <c r="Q1506" s="50"/>
      <c r="R1506" s="50"/>
      <c r="S1506" s="50"/>
      <c r="T1506" s="50"/>
      <c r="U1506" s="50"/>
      <c r="V1506" s="50"/>
      <c r="W1506" s="50"/>
      <c r="X1506" s="50"/>
      <c r="Y1506" s="50"/>
      <c r="Z1506" s="50"/>
      <c r="AA1506" s="50"/>
      <c r="AB1506" s="12"/>
      <c r="AC1506" s="12"/>
      <c r="AD1506" s="12"/>
      <c r="AE1506" s="12"/>
      <c r="AF1506" s="12">
        <v>3030096</v>
      </c>
      <c r="AG1506" s="12">
        <v>4621188</v>
      </c>
      <c r="AH1506" s="12"/>
      <c r="AI1506" s="12"/>
      <c r="AJ1506" s="51"/>
      <c r="AK1506" s="51"/>
      <c r="AL1506" s="51"/>
      <c r="AM1506" s="51"/>
      <c r="AP1506" s="1044"/>
      <c r="AR1506" s="1044"/>
      <c r="AS1506" s="1044"/>
    </row>
    <row r="1507" spans="2:45" hidden="1" outlineLevel="1">
      <c r="B1507" s="565">
        <v>3590</v>
      </c>
      <c r="C1507" s="816" t="s">
        <v>16</v>
      </c>
      <c r="D1507" s="9"/>
      <c r="E1507" s="50" t="s">
        <v>126</v>
      </c>
      <c r="F1507" s="50"/>
      <c r="G1507" s="50"/>
      <c r="H1507" s="50"/>
      <c r="I1507" s="50"/>
      <c r="J1507" s="50"/>
      <c r="K1507" s="50"/>
      <c r="L1507" s="50"/>
      <c r="M1507" s="50"/>
      <c r="N1507" s="50"/>
      <c r="O1507" s="50"/>
      <c r="P1507" s="50"/>
      <c r="Q1507" s="50"/>
      <c r="R1507" s="50"/>
      <c r="S1507" s="50"/>
      <c r="T1507" s="50"/>
      <c r="U1507" s="50"/>
      <c r="V1507" s="50"/>
      <c r="W1507" s="50"/>
      <c r="X1507" s="50"/>
      <c r="Y1507" s="50"/>
      <c r="Z1507" s="50"/>
      <c r="AA1507" s="50"/>
      <c r="AB1507" s="12"/>
      <c r="AC1507" s="12"/>
      <c r="AD1507" s="12"/>
      <c r="AE1507" s="12"/>
      <c r="AF1507" s="12">
        <v>698588</v>
      </c>
      <c r="AG1507" s="12">
        <v>1050779</v>
      </c>
      <c r="AH1507" s="12"/>
      <c r="AI1507" s="12"/>
      <c r="AJ1507" s="51"/>
      <c r="AK1507" s="51"/>
      <c r="AL1507" s="51"/>
      <c r="AM1507" s="51"/>
      <c r="AP1507" s="1044"/>
      <c r="AR1507" s="1044"/>
      <c r="AS1507" s="1044"/>
    </row>
    <row r="1508" spans="2:45" hidden="1" outlineLevel="1">
      <c r="B1508" s="565">
        <v>9797</v>
      </c>
      <c r="C1508" s="816" t="s">
        <v>16</v>
      </c>
      <c r="D1508" s="9"/>
      <c r="E1508" s="50" t="s">
        <v>127</v>
      </c>
      <c r="F1508" s="50"/>
      <c r="G1508" s="50"/>
      <c r="H1508" s="50"/>
      <c r="I1508" s="50"/>
      <c r="J1508" s="50"/>
      <c r="K1508" s="50"/>
      <c r="L1508" s="50"/>
      <c r="M1508" s="50"/>
      <c r="N1508" s="50"/>
      <c r="O1508" s="50"/>
      <c r="P1508" s="50"/>
      <c r="Q1508" s="50"/>
      <c r="R1508" s="50"/>
      <c r="S1508" s="50"/>
      <c r="T1508" s="50"/>
      <c r="U1508" s="50"/>
      <c r="V1508" s="50"/>
      <c r="W1508" s="50"/>
      <c r="X1508" s="50"/>
      <c r="Y1508" s="50"/>
      <c r="Z1508" s="50"/>
      <c r="AA1508" s="50"/>
      <c r="AB1508" s="12"/>
      <c r="AC1508" s="12"/>
      <c r="AD1508" s="12">
        <v>-94404</v>
      </c>
      <c r="AE1508" s="12">
        <v>-76682</v>
      </c>
      <c r="AF1508" s="12">
        <v>326000</v>
      </c>
      <c r="AG1508" s="12">
        <v>952683</v>
      </c>
      <c r="AH1508" s="12"/>
      <c r="AI1508" s="12"/>
      <c r="AJ1508" s="51"/>
      <c r="AK1508" s="51"/>
      <c r="AL1508" s="51"/>
      <c r="AM1508" s="51"/>
      <c r="AP1508" s="1044"/>
      <c r="AR1508" s="1044"/>
      <c r="AS1508" s="1044"/>
    </row>
    <row r="1509" spans="2:45" hidden="1" outlineLevel="1">
      <c r="B1509" s="565">
        <v>3593</v>
      </c>
      <c r="C1509" s="816" t="s">
        <v>16</v>
      </c>
      <c r="D1509" s="9"/>
      <c r="E1509" s="50" t="s">
        <v>128</v>
      </c>
      <c r="F1509" s="50"/>
      <c r="G1509" s="50"/>
      <c r="H1509" s="50"/>
      <c r="I1509" s="50"/>
      <c r="J1509" s="50"/>
      <c r="K1509" s="50"/>
      <c r="L1509" s="50"/>
      <c r="M1509" s="50"/>
      <c r="N1509" s="50"/>
      <c r="O1509" s="50"/>
      <c r="P1509" s="50"/>
      <c r="Q1509" s="50"/>
      <c r="R1509" s="50"/>
      <c r="S1509" s="50"/>
      <c r="T1509" s="50"/>
      <c r="U1509" s="50"/>
      <c r="V1509" s="50"/>
      <c r="W1509" s="50"/>
      <c r="X1509" s="50"/>
      <c r="Y1509" s="50"/>
      <c r="Z1509" s="50"/>
      <c r="AA1509" s="50"/>
      <c r="AB1509" s="12"/>
      <c r="AC1509" s="12"/>
      <c r="AD1509" s="12"/>
      <c r="AE1509" s="12"/>
      <c r="AF1509" s="12">
        <v>745443</v>
      </c>
      <c r="AG1509" s="12">
        <v>1136872</v>
      </c>
      <c r="AH1509" s="12"/>
      <c r="AI1509" s="12"/>
      <c r="AJ1509" s="51"/>
      <c r="AK1509" s="51"/>
      <c r="AL1509" s="51"/>
      <c r="AM1509" s="51"/>
      <c r="AP1509" s="1044"/>
      <c r="AR1509" s="1044"/>
      <c r="AS1509" s="1044"/>
    </row>
    <row r="1510" spans="2:45" hidden="1" outlineLevel="1">
      <c r="B1510" s="565">
        <v>3558</v>
      </c>
      <c r="C1510" s="816" t="s">
        <v>16</v>
      </c>
      <c r="D1510" s="9"/>
      <c r="E1510" s="50" t="s">
        <v>1405</v>
      </c>
      <c r="F1510" s="50"/>
      <c r="G1510" s="50"/>
      <c r="H1510" s="50"/>
      <c r="I1510" s="50"/>
      <c r="J1510" s="50"/>
      <c r="K1510" s="50"/>
      <c r="L1510" s="50"/>
      <c r="M1510" s="50"/>
      <c r="N1510" s="50"/>
      <c r="O1510" s="50"/>
      <c r="P1510" s="50"/>
      <c r="Q1510" s="50"/>
      <c r="R1510" s="50"/>
      <c r="S1510" s="50"/>
      <c r="T1510" s="50"/>
      <c r="U1510" s="50"/>
      <c r="V1510" s="50"/>
      <c r="W1510" s="50"/>
      <c r="X1510" s="50"/>
      <c r="Y1510" s="50"/>
      <c r="Z1510" s="50"/>
      <c r="AA1510" s="50"/>
      <c r="AB1510" s="12"/>
      <c r="AC1510" s="12"/>
      <c r="AD1510" s="12"/>
      <c r="AE1510" s="12"/>
      <c r="AF1510" s="12">
        <v>347000</v>
      </c>
      <c r="AG1510" s="12">
        <v>958088</v>
      </c>
      <c r="AH1510" s="12"/>
      <c r="AI1510" s="12"/>
      <c r="AJ1510" s="51"/>
      <c r="AK1510" s="51"/>
      <c r="AL1510" s="51"/>
      <c r="AM1510" s="51"/>
      <c r="AP1510" s="1044"/>
      <c r="AR1510" s="1044"/>
      <c r="AS1510" s="1044"/>
    </row>
    <row r="1511" spans="2:45" hidden="1" outlineLevel="1">
      <c r="B1511" s="565">
        <v>23154</v>
      </c>
      <c r="C1511" s="816" t="s">
        <v>16</v>
      </c>
      <c r="D1511" s="9"/>
      <c r="E1511" s="50" t="s">
        <v>1413</v>
      </c>
      <c r="F1511" s="50"/>
      <c r="G1511" s="50"/>
      <c r="H1511" s="50"/>
      <c r="I1511" s="50"/>
      <c r="J1511" s="50"/>
      <c r="K1511" s="50"/>
      <c r="L1511" s="50"/>
      <c r="M1511" s="50"/>
      <c r="N1511" s="50"/>
      <c r="O1511" s="50"/>
      <c r="P1511" s="50"/>
      <c r="Q1511" s="50"/>
      <c r="R1511" s="50"/>
      <c r="S1511" s="50"/>
      <c r="T1511" s="50"/>
      <c r="U1511" s="50"/>
      <c r="V1511" s="50"/>
      <c r="W1511" s="50"/>
      <c r="X1511" s="50"/>
      <c r="Y1511" s="50"/>
      <c r="Z1511" s="50"/>
      <c r="AA1511" s="50"/>
      <c r="AB1511" s="12"/>
      <c r="AC1511" s="12"/>
      <c r="AD1511" s="12"/>
      <c r="AE1511" s="12"/>
      <c r="AF1511" s="12">
        <v>208119</v>
      </c>
      <c r="AG1511" s="12">
        <v>317400</v>
      </c>
      <c r="AH1511" s="12"/>
      <c r="AI1511" s="12"/>
      <c r="AJ1511" s="51"/>
      <c r="AK1511" s="51"/>
      <c r="AL1511" s="51"/>
      <c r="AM1511" s="51"/>
      <c r="AP1511" s="1044"/>
      <c r="AR1511" s="1044"/>
      <c r="AS1511" s="1044"/>
    </row>
    <row r="1512" spans="2:45" hidden="1" outlineLevel="1">
      <c r="B1512" s="565">
        <v>3596</v>
      </c>
      <c r="C1512" s="816" t="s">
        <v>16</v>
      </c>
      <c r="D1512" s="9"/>
      <c r="E1512" s="50" t="s">
        <v>131</v>
      </c>
      <c r="F1512" s="50"/>
      <c r="G1512" s="50"/>
      <c r="H1512" s="50"/>
      <c r="I1512" s="50"/>
      <c r="J1512" s="50"/>
      <c r="K1512" s="50"/>
      <c r="L1512" s="50"/>
      <c r="M1512" s="50"/>
      <c r="N1512" s="50"/>
      <c r="O1512" s="50"/>
      <c r="P1512" s="50"/>
      <c r="Q1512" s="50"/>
      <c r="R1512" s="50"/>
      <c r="S1512" s="50"/>
      <c r="T1512" s="50"/>
      <c r="U1512" s="50"/>
      <c r="V1512" s="50"/>
      <c r="W1512" s="50"/>
      <c r="X1512" s="50"/>
      <c r="Y1512" s="50"/>
      <c r="Z1512" s="50"/>
      <c r="AA1512" s="50"/>
      <c r="AB1512" s="12"/>
      <c r="AC1512" s="12"/>
      <c r="AD1512" s="12"/>
      <c r="AE1512" s="12"/>
      <c r="AF1512" s="12">
        <v>417341</v>
      </c>
      <c r="AG1512" s="12">
        <v>635532</v>
      </c>
      <c r="AH1512" s="12"/>
      <c r="AI1512" s="12"/>
      <c r="AJ1512" s="51"/>
      <c r="AK1512" s="51"/>
      <c r="AL1512" s="51"/>
      <c r="AM1512" s="51"/>
      <c r="AP1512" s="1044"/>
      <c r="AR1512" s="1044"/>
      <c r="AS1512" s="1044"/>
    </row>
    <row r="1513" spans="2:45" hidden="1" outlineLevel="1">
      <c r="B1513" s="565">
        <v>3600</v>
      </c>
      <c r="C1513" s="816" t="s">
        <v>16</v>
      </c>
      <c r="D1513" s="9"/>
      <c r="E1513" s="50" t="s">
        <v>132</v>
      </c>
      <c r="F1513" s="50"/>
      <c r="G1513" s="50"/>
      <c r="H1513" s="50"/>
      <c r="I1513" s="50"/>
      <c r="J1513" s="50"/>
      <c r="K1513" s="50"/>
      <c r="L1513" s="50"/>
      <c r="M1513" s="50"/>
      <c r="N1513" s="50"/>
      <c r="O1513" s="50"/>
      <c r="P1513" s="50"/>
      <c r="Q1513" s="50"/>
      <c r="R1513" s="50"/>
      <c r="S1513" s="50"/>
      <c r="T1513" s="50"/>
      <c r="U1513" s="50"/>
      <c r="V1513" s="50"/>
      <c r="W1513" s="50"/>
      <c r="X1513" s="50"/>
      <c r="Y1513" s="50"/>
      <c r="Z1513" s="50"/>
      <c r="AA1513" s="50"/>
      <c r="AB1513" s="12"/>
      <c r="AC1513" s="12"/>
      <c r="AD1513" s="12"/>
      <c r="AE1513" s="12"/>
      <c r="AF1513" s="12">
        <v>77678</v>
      </c>
      <c r="AG1513" s="12">
        <v>397491</v>
      </c>
      <c r="AH1513" s="12"/>
      <c r="AI1513" s="12"/>
      <c r="AJ1513" s="51"/>
      <c r="AK1513" s="51"/>
      <c r="AL1513" s="51"/>
      <c r="AM1513" s="51"/>
      <c r="AP1513" s="1044"/>
      <c r="AR1513" s="1044"/>
      <c r="AS1513" s="1044"/>
    </row>
    <row r="1514" spans="2:45" hidden="1" outlineLevel="1">
      <c r="B1514" s="565">
        <v>3601</v>
      </c>
      <c r="C1514" s="816" t="s">
        <v>16</v>
      </c>
      <c r="D1514" s="9"/>
      <c r="E1514" s="50" t="s">
        <v>133</v>
      </c>
      <c r="F1514" s="50"/>
      <c r="G1514" s="50"/>
      <c r="H1514" s="50"/>
      <c r="I1514" s="50"/>
      <c r="J1514" s="50"/>
      <c r="K1514" s="50"/>
      <c r="L1514" s="50"/>
      <c r="M1514" s="50"/>
      <c r="N1514" s="50"/>
      <c r="O1514" s="50"/>
      <c r="P1514" s="50"/>
      <c r="Q1514" s="50"/>
      <c r="R1514" s="50"/>
      <c r="S1514" s="50"/>
      <c r="T1514" s="50"/>
      <c r="U1514" s="50"/>
      <c r="V1514" s="50"/>
      <c r="W1514" s="50"/>
      <c r="X1514" s="50"/>
      <c r="Y1514" s="50"/>
      <c r="Z1514" s="50"/>
      <c r="AA1514" s="50"/>
      <c r="AB1514" s="12"/>
      <c r="AC1514" s="12"/>
      <c r="AD1514" s="12"/>
      <c r="AE1514" s="12"/>
      <c r="AF1514" s="12">
        <v>456436</v>
      </c>
      <c r="AG1514" s="12">
        <v>695431</v>
      </c>
      <c r="AH1514" s="12"/>
      <c r="AI1514" s="12"/>
      <c r="AJ1514" s="51"/>
      <c r="AK1514" s="51"/>
      <c r="AL1514" s="51"/>
      <c r="AM1514" s="51"/>
      <c r="AP1514" s="1044"/>
      <c r="AR1514" s="1044"/>
      <c r="AS1514" s="1044"/>
    </row>
    <row r="1515" spans="2:45" hidden="1" outlineLevel="1">
      <c r="B1515" s="565">
        <v>3603</v>
      </c>
      <c r="C1515" s="816" t="s">
        <v>16</v>
      </c>
      <c r="D1515" s="9"/>
      <c r="E1515" s="50" t="s">
        <v>134</v>
      </c>
      <c r="F1515" s="50"/>
      <c r="G1515" s="50"/>
      <c r="H1515" s="50"/>
      <c r="I1515" s="50"/>
      <c r="J1515" s="50"/>
      <c r="K1515" s="50"/>
      <c r="L1515" s="50"/>
      <c r="M1515" s="50"/>
      <c r="N1515" s="50"/>
      <c r="O1515" s="50"/>
      <c r="P1515" s="50"/>
      <c r="Q1515" s="50"/>
      <c r="R1515" s="50"/>
      <c r="S1515" s="50"/>
      <c r="T1515" s="50"/>
      <c r="U1515" s="50"/>
      <c r="V1515" s="50"/>
      <c r="W1515" s="50"/>
      <c r="X1515" s="50"/>
      <c r="Y1515" s="50"/>
      <c r="Z1515" s="50"/>
      <c r="AA1515" s="50"/>
      <c r="AB1515" s="12"/>
      <c r="AC1515" s="12"/>
      <c r="AD1515" s="12"/>
      <c r="AE1515" s="12"/>
      <c r="AF1515" s="12">
        <v>103872</v>
      </c>
      <c r="AG1515" s="12">
        <v>156117</v>
      </c>
      <c r="AH1515" s="12"/>
      <c r="AI1515" s="12"/>
      <c r="AJ1515" s="51"/>
      <c r="AK1515" s="51"/>
      <c r="AL1515" s="51"/>
      <c r="AM1515" s="51"/>
      <c r="AP1515" s="1044"/>
      <c r="AR1515" s="1044"/>
      <c r="AS1515" s="1044"/>
    </row>
    <row r="1516" spans="2:45" hidden="1" outlineLevel="1">
      <c r="B1516" s="565">
        <v>29137</v>
      </c>
      <c r="C1516" s="816" t="s">
        <v>16</v>
      </c>
      <c r="D1516" s="9"/>
      <c r="E1516" s="50" t="s">
        <v>1414</v>
      </c>
      <c r="F1516" s="50"/>
      <c r="G1516" s="50"/>
      <c r="H1516" s="50"/>
      <c r="I1516" s="50"/>
      <c r="J1516" s="50"/>
      <c r="K1516" s="50"/>
      <c r="L1516" s="50"/>
      <c r="M1516" s="50"/>
      <c r="N1516" s="50"/>
      <c r="O1516" s="50"/>
      <c r="P1516" s="50"/>
      <c r="Q1516" s="50"/>
      <c r="R1516" s="50"/>
      <c r="S1516" s="50"/>
      <c r="T1516" s="50"/>
      <c r="U1516" s="50"/>
      <c r="V1516" s="50"/>
      <c r="W1516" s="50"/>
      <c r="X1516" s="50"/>
      <c r="Y1516" s="50"/>
      <c r="Z1516" s="50"/>
      <c r="AA1516" s="50"/>
      <c r="AB1516" s="12"/>
      <c r="AC1516" s="12"/>
      <c r="AD1516" s="12"/>
      <c r="AE1516" s="12"/>
      <c r="AF1516" s="12">
        <v>1912182</v>
      </c>
      <c r="AG1516" s="12">
        <v>2916262</v>
      </c>
      <c r="AH1516" s="12"/>
      <c r="AI1516" s="12"/>
      <c r="AJ1516" s="51"/>
      <c r="AK1516" s="51"/>
      <c r="AL1516" s="51"/>
      <c r="AM1516" s="51"/>
      <c r="AP1516" s="1044"/>
      <c r="AR1516" s="1044"/>
      <c r="AS1516" s="1044"/>
    </row>
    <row r="1517" spans="2:45" hidden="1" outlineLevel="1">
      <c r="B1517" s="565">
        <v>3611</v>
      </c>
      <c r="C1517" s="816" t="s">
        <v>16</v>
      </c>
      <c r="D1517" s="9"/>
      <c r="E1517" s="50" t="s">
        <v>136</v>
      </c>
      <c r="F1517" s="50"/>
      <c r="G1517" s="50"/>
      <c r="H1517" s="50"/>
      <c r="I1517" s="50"/>
      <c r="J1517" s="50"/>
      <c r="K1517" s="50"/>
      <c r="L1517" s="50"/>
      <c r="M1517" s="50"/>
      <c r="N1517" s="50"/>
      <c r="O1517" s="50"/>
      <c r="P1517" s="50"/>
      <c r="Q1517" s="50"/>
      <c r="R1517" s="50"/>
      <c r="S1517" s="50"/>
      <c r="T1517" s="50"/>
      <c r="U1517" s="50"/>
      <c r="V1517" s="50"/>
      <c r="W1517" s="50"/>
      <c r="X1517" s="50"/>
      <c r="Y1517" s="50"/>
      <c r="Z1517" s="50"/>
      <c r="AA1517" s="50"/>
      <c r="AB1517" s="12"/>
      <c r="AC1517" s="12"/>
      <c r="AD1517" s="12"/>
      <c r="AE1517" s="12"/>
      <c r="AF1517" s="12">
        <v>749286</v>
      </c>
      <c r="AG1517" s="12">
        <v>1127037</v>
      </c>
      <c r="AH1517" s="12"/>
      <c r="AI1517" s="12"/>
      <c r="AJ1517" s="51"/>
      <c r="AK1517" s="51"/>
      <c r="AL1517" s="51"/>
      <c r="AM1517" s="51"/>
      <c r="AP1517" s="1044"/>
      <c r="AR1517" s="1044"/>
      <c r="AS1517" s="1044"/>
    </row>
    <row r="1518" spans="2:45" hidden="1" outlineLevel="1">
      <c r="B1518" s="565">
        <v>31034</v>
      </c>
      <c r="C1518" s="816" t="s">
        <v>16</v>
      </c>
      <c r="D1518" s="9"/>
      <c r="E1518" s="50" t="s">
        <v>137</v>
      </c>
      <c r="F1518" s="50"/>
      <c r="G1518" s="50"/>
      <c r="H1518" s="50"/>
      <c r="I1518" s="50"/>
      <c r="J1518" s="50"/>
      <c r="K1518" s="50"/>
      <c r="L1518" s="50"/>
      <c r="M1518" s="50"/>
      <c r="N1518" s="50"/>
      <c r="O1518" s="50"/>
      <c r="P1518" s="50"/>
      <c r="Q1518" s="50"/>
      <c r="R1518" s="50"/>
      <c r="S1518" s="50"/>
      <c r="T1518" s="50"/>
      <c r="U1518" s="50"/>
      <c r="V1518" s="50"/>
      <c r="W1518" s="50"/>
      <c r="X1518" s="50"/>
      <c r="Y1518" s="50"/>
      <c r="Z1518" s="50"/>
      <c r="AA1518" s="50"/>
      <c r="AB1518" s="12"/>
      <c r="AC1518" s="12"/>
      <c r="AD1518" s="12">
        <v>-114675</v>
      </c>
      <c r="AE1518" s="12">
        <v>-161152</v>
      </c>
      <c r="AF1518" s="12">
        <v>1503556</v>
      </c>
      <c r="AG1518" s="12">
        <v>2292651</v>
      </c>
      <c r="AH1518" s="12"/>
      <c r="AI1518" s="12"/>
      <c r="AJ1518" s="51"/>
      <c r="AK1518" s="51"/>
      <c r="AL1518" s="51"/>
      <c r="AM1518" s="51"/>
      <c r="AP1518" s="1044"/>
      <c r="AR1518" s="1044"/>
      <c r="AS1518" s="1044"/>
    </row>
    <row r="1519" spans="2:45" hidden="1" outlineLevel="1">
      <c r="B1519" s="565">
        <v>3614</v>
      </c>
      <c r="C1519" s="816" t="s">
        <v>16</v>
      </c>
      <c r="D1519" s="9"/>
      <c r="E1519" s="50" t="s">
        <v>138</v>
      </c>
      <c r="F1519" s="50"/>
      <c r="G1519" s="50"/>
      <c r="H1519" s="50"/>
      <c r="I1519" s="50"/>
      <c r="J1519" s="50"/>
      <c r="K1519" s="50"/>
      <c r="L1519" s="50"/>
      <c r="M1519" s="50"/>
      <c r="N1519" s="50"/>
      <c r="O1519" s="50"/>
      <c r="P1519" s="50"/>
      <c r="Q1519" s="50"/>
      <c r="R1519" s="50"/>
      <c r="S1519" s="50"/>
      <c r="T1519" s="50"/>
      <c r="U1519" s="50"/>
      <c r="V1519" s="50"/>
      <c r="W1519" s="50"/>
      <c r="X1519" s="50"/>
      <c r="Y1519" s="50"/>
      <c r="Z1519" s="50"/>
      <c r="AA1519" s="50"/>
      <c r="AB1519" s="12"/>
      <c r="AC1519" s="12"/>
      <c r="AD1519" s="12"/>
      <c r="AE1519" s="12"/>
      <c r="AF1519" s="12">
        <v>382184</v>
      </c>
      <c r="AG1519" s="12">
        <v>574796</v>
      </c>
      <c r="AH1519" s="12"/>
      <c r="AI1519" s="12"/>
      <c r="AJ1519" s="51"/>
      <c r="AK1519" s="51"/>
      <c r="AL1519" s="51"/>
      <c r="AM1519" s="51"/>
      <c r="AP1519" s="1044"/>
      <c r="AR1519" s="1044"/>
      <c r="AS1519" s="1044"/>
    </row>
    <row r="1520" spans="2:45" hidden="1" outlineLevel="1">
      <c r="B1520" s="565">
        <v>3626</v>
      </c>
      <c r="C1520" s="816" t="s">
        <v>16</v>
      </c>
      <c r="D1520" s="9"/>
      <c r="E1520" s="50" t="s">
        <v>1408</v>
      </c>
      <c r="F1520" s="50"/>
      <c r="G1520" s="50"/>
      <c r="H1520" s="50"/>
      <c r="I1520" s="50"/>
      <c r="J1520" s="50"/>
      <c r="K1520" s="50"/>
      <c r="L1520" s="50"/>
      <c r="M1520" s="50"/>
      <c r="N1520" s="50"/>
      <c r="O1520" s="50"/>
      <c r="P1520" s="50"/>
      <c r="Q1520" s="50"/>
      <c r="R1520" s="50"/>
      <c r="S1520" s="50"/>
      <c r="T1520" s="50"/>
      <c r="U1520" s="50"/>
      <c r="V1520" s="50"/>
      <c r="W1520" s="50"/>
      <c r="X1520" s="50"/>
      <c r="Y1520" s="50"/>
      <c r="Z1520" s="50"/>
      <c r="AA1520" s="50"/>
      <c r="AB1520" s="12"/>
      <c r="AC1520" s="12"/>
      <c r="AD1520" s="12"/>
      <c r="AE1520" s="12"/>
      <c r="AF1520" s="12">
        <v>1838709</v>
      </c>
      <c r="AG1520" s="12">
        <v>4739004</v>
      </c>
      <c r="AH1520" s="12"/>
      <c r="AI1520" s="12"/>
      <c r="AJ1520" s="51"/>
      <c r="AK1520" s="51"/>
      <c r="AL1520" s="51"/>
      <c r="AM1520" s="51"/>
      <c r="AP1520" s="1044"/>
      <c r="AR1520" s="1044"/>
      <c r="AS1520" s="1044"/>
    </row>
    <row r="1521" spans="2:45" hidden="1" outlineLevel="1">
      <c r="B1521" s="565">
        <v>3627</v>
      </c>
      <c r="C1521" s="816" t="s">
        <v>16</v>
      </c>
      <c r="D1521" s="9"/>
      <c r="E1521" s="50" t="s">
        <v>1409</v>
      </c>
      <c r="F1521" s="50"/>
      <c r="G1521" s="50"/>
      <c r="H1521" s="50"/>
      <c r="I1521" s="50"/>
      <c r="J1521" s="50"/>
      <c r="K1521" s="50"/>
      <c r="L1521" s="50"/>
      <c r="M1521" s="50"/>
      <c r="N1521" s="50"/>
      <c r="O1521" s="50"/>
      <c r="P1521" s="50"/>
      <c r="Q1521" s="50"/>
      <c r="R1521" s="50"/>
      <c r="S1521" s="50"/>
      <c r="T1521" s="50"/>
      <c r="U1521" s="50"/>
      <c r="V1521" s="50"/>
      <c r="W1521" s="50"/>
      <c r="X1521" s="50"/>
      <c r="Y1521" s="50"/>
      <c r="Z1521" s="50"/>
      <c r="AA1521" s="50"/>
      <c r="AB1521" s="12"/>
      <c r="AC1521" s="12"/>
      <c r="AD1521" s="12"/>
      <c r="AE1521" s="12"/>
      <c r="AF1521" s="12">
        <v>406946</v>
      </c>
      <c r="AG1521" s="12">
        <v>620631</v>
      </c>
      <c r="AH1521" s="12"/>
      <c r="AI1521" s="12"/>
      <c r="AJ1521" s="51"/>
      <c r="AK1521" s="51"/>
      <c r="AL1521" s="51"/>
      <c r="AM1521" s="51"/>
      <c r="AP1521" s="1044"/>
      <c r="AR1521" s="1044"/>
      <c r="AS1521" s="1044"/>
    </row>
    <row r="1522" spans="2:45" hidden="1" outlineLevel="1">
      <c r="B1522" s="565">
        <v>3628</v>
      </c>
      <c r="C1522" s="816" t="s">
        <v>16</v>
      </c>
      <c r="D1522" s="9"/>
      <c r="E1522" s="50" t="s">
        <v>141</v>
      </c>
      <c r="F1522" s="50"/>
      <c r="G1522" s="50"/>
      <c r="H1522" s="50"/>
      <c r="I1522" s="50"/>
      <c r="J1522" s="50"/>
      <c r="K1522" s="50"/>
      <c r="L1522" s="50"/>
      <c r="M1522" s="50"/>
      <c r="N1522" s="50"/>
      <c r="O1522" s="50"/>
      <c r="P1522" s="50"/>
      <c r="Q1522" s="50"/>
      <c r="R1522" s="50"/>
      <c r="S1522" s="50"/>
      <c r="T1522" s="50"/>
      <c r="U1522" s="50"/>
      <c r="V1522" s="50"/>
      <c r="W1522" s="50"/>
      <c r="X1522" s="50"/>
      <c r="Y1522" s="50"/>
      <c r="Z1522" s="50"/>
      <c r="AA1522" s="50"/>
      <c r="AB1522" s="12"/>
      <c r="AC1522" s="12"/>
      <c r="AD1522" s="12"/>
      <c r="AE1522" s="12"/>
      <c r="AF1522" s="12">
        <v>457431</v>
      </c>
      <c r="AG1522" s="12">
        <v>697627</v>
      </c>
      <c r="AH1522" s="12">
        <f>SUM(AH1487:AH1521)</f>
        <v>0</v>
      </c>
      <c r="AI1522" s="12">
        <f>SUM(AI1487:AI1521)</f>
        <v>0</v>
      </c>
      <c r="AJ1522" s="51"/>
      <c r="AK1522" s="51"/>
      <c r="AL1522" s="51"/>
      <c r="AM1522" s="51"/>
      <c r="AP1522" s="1044"/>
      <c r="AR1522" s="1044"/>
      <c r="AS1522" s="1044"/>
    </row>
    <row r="1523" spans="2:45" hidden="1" outlineLevel="1">
      <c r="B1523" s="565">
        <v>3643</v>
      </c>
      <c r="C1523" s="816" t="s">
        <v>16</v>
      </c>
      <c r="D1523" s="9"/>
      <c r="E1523" s="50" t="s">
        <v>142</v>
      </c>
      <c r="F1523" s="50"/>
      <c r="G1523" s="50"/>
      <c r="H1523" s="50"/>
      <c r="I1523" s="50"/>
      <c r="J1523" s="50"/>
      <c r="K1523" s="50"/>
      <c r="L1523" s="50"/>
      <c r="M1523" s="50"/>
      <c r="N1523" s="50"/>
      <c r="O1523" s="50"/>
      <c r="P1523" s="50"/>
      <c r="Q1523" s="50"/>
      <c r="R1523" s="50"/>
      <c r="S1523" s="50"/>
      <c r="T1523" s="50"/>
      <c r="U1523" s="50"/>
      <c r="V1523" s="50"/>
      <c r="W1523" s="50"/>
      <c r="X1523" s="50"/>
      <c r="Y1523" s="50"/>
      <c r="Z1523" s="50"/>
      <c r="AA1523" s="50"/>
      <c r="AB1523" s="12"/>
      <c r="AC1523" s="12"/>
      <c r="AD1523" s="12"/>
      <c r="AE1523" s="12"/>
      <c r="AF1523" s="12">
        <v>0</v>
      </c>
      <c r="AG1523" s="12">
        <v>1737231</v>
      </c>
      <c r="AH1523" s="12"/>
      <c r="AI1523" s="12"/>
      <c r="AJ1523" s="51"/>
      <c r="AK1523" s="51"/>
      <c r="AL1523" s="51"/>
      <c r="AM1523" s="51"/>
      <c r="AP1523" s="1044"/>
      <c r="AR1523" s="1044"/>
      <c r="AS1523" s="1044"/>
    </row>
    <row r="1524" spans="2:45" hidden="1" outlineLevel="1">
      <c r="B1524" s="565">
        <v>3572</v>
      </c>
      <c r="C1524" s="816" t="s">
        <v>16</v>
      </c>
      <c r="D1524" s="9"/>
      <c r="E1524" s="50" t="s">
        <v>143</v>
      </c>
      <c r="F1524" s="50"/>
      <c r="G1524" s="50"/>
      <c r="H1524" s="50"/>
      <c r="I1524" s="50"/>
      <c r="J1524" s="50"/>
      <c r="K1524" s="50"/>
      <c r="L1524" s="50"/>
      <c r="M1524" s="50"/>
      <c r="N1524" s="50"/>
      <c r="O1524" s="50"/>
      <c r="P1524" s="50"/>
      <c r="Q1524" s="50"/>
      <c r="R1524" s="50"/>
      <c r="S1524" s="50"/>
      <c r="T1524" s="50"/>
      <c r="U1524" s="50"/>
      <c r="V1524" s="50"/>
      <c r="W1524" s="50"/>
      <c r="X1524" s="50"/>
      <c r="Y1524" s="50"/>
      <c r="Z1524" s="50"/>
      <c r="AA1524" s="50"/>
      <c r="AB1524" s="12"/>
      <c r="AC1524" s="12"/>
      <c r="AD1524" s="12"/>
      <c r="AE1524" s="12"/>
      <c r="AF1524" s="12">
        <v>0</v>
      </c>
      <c r="AG1524" s="12">
        <v>1482408</v>
      </c>
      <c r="AH1524" s="12"/>
      <c r="AI1524" s="12"/>
      <c r="AJ1524" s="51"/>
      <c r="AK1524" s="51"/>
      <c r="AL1524" s="51"/>
      <c r="AM1524" s="51"/>
      <c r="AP1524" s="1044"/>
      <c r="AR1524" s="1044"/>
      <c r="AS1524" s="1044"/>
    </row>
    <row r="1525" spans="2:45" hidden="1" outlineLevel="1">
      <c r="B1525" s="565">
        <v>3648</v>
      </c>
      <c r="C1525" s="816" t="s">
        <v>16</v>
      </c>
      <c r="D1525" s="9"/>
      <c r="E1525" s="50" t="s">
        <v>144</v>
      </c>
      <c r="F1525" s="50"/>
      <c r="G1525" s="50"/>
      <c r="H1525" s="50"/>
      <c r="I1525" s="50"/>
      <c r="J1525" s="50"/>
      <c r="K1525" s="50"/>
      <c r="L1525" s="50"/>
      <c r="M1525" s="50"/>
      <c r="N1525" s="50"/>
      <c r="O1525" s="50"/>
      <c r="P1525" s="50"/>
      <c r="Q1525" s="50"/>
      <c r="R1525" s="50"/>
      <c r="S1525" s="50"/>
      <c r="T1525" s="50"/>
      <c r="U1525" s="50"/>
      <c r="V1525" s="50"/>
      <c r="W1525" s="50"/>
      <c r="X1525" s="50"/>
      <c r="Y1525" s="50"/>
      <c r="Z1525" s="50"/>
      <c r="AA1525" s="50"/>
      <c r="AB1525" s="12"/>
      <c r="AC1525" s="12"/>
      <c r="AD1525" s="12"/>
      <c r="AE1525" s="12"/>
      <c r="AF1525" s="12">
        <v>285060</v>
      </c>
      <c r="AG1525" s="12">
        <v>1969699</v>
      </c>
      <c r="AH1525" s="12"/>
      <c r="AI1525" s="12"/>
      <c r="AJ1525" s="51"/>
      <c r="AK1525" s="51"/>
      <c r="AL1525" s="51"/>
      <c r="AM1525" s="51"/>
      <c r="AP1525" s="1044"/>
      <c r="AR1525" s="1044"/>
      <c r="AS1525" s="1044"/>
    </row>
    <row r="1526" spans="2:45" hidden="1" outlineLevel="1">
      <c r="B1526" s="565">
        <v>10060</v>
      </c>
      <c r="C1526" s="816" t="s">
        <v>16</v>
      </c>
      <c r="D1526" s="9"/>
      <c r="E1526" s="50" t="s">
        <v>180</v>
      </c>
      <c r="F1526" s="50"/>
      <c r="G1526" s="50"/>
      <c r="H1526" s="50"/>
      <c r="I1526" s="50"/>
      <c r="J1526" s="50"/>
      <c r="K1526" s="50"/>
      <c r="L1526" s="50"/>
      <c r="M1526" s="50"/>
      <c r="N1526" s="50"/>
      <c r="O1526" s="50"/>
      <c r="P1526" s="50"/>
      <c r="Q1526" s="50"/>
      <c r="R1526" s="50"/>
      <c r="S1526" s="50"/>
      <c r="T1526" s="50"/>
      <c r="U1526" s="50"/>
      <c r="V1526" s="50"/>
      <c r="W1526" s="50"/>
      <c r="X1526" s="50"/>
      <c r="Y1526" s="50"/>
      <c r="Z1526" s="50"/>
      <c r="AA1526" s="50"/>
      <c r="AB1526" s="12"/>
      <c r="AC1526" s="12"/>
      <c r="AD1526" s="12"/>
      <c r="AE1526" s="12"/>
      <c r="AF1526" s="12">
        <v>290302</v>
      </c>
      <c r="AG1526" s="12">
        <v>442264</v>
      </c>
      <c r="AH1526" s="12"/>
      <c r="AI1526" s="12"/>
      <c r="AJ1526" s="51"/>
      <c r="AK1526" s="51"/>
      <c r="AL1526" s="51"/>
      <c r="AM1526" s="51"/>
      <c r="AP1526" s="1044"/>
      <c r="AR1526" s="1044"/>
      <c r="AS1526" s="1044"/>
    </row>
    <row r="1527" spans="2:45" hidden="1" outlineLevel="1">
      <c r="B1527" s="565">
        <v>3662</v>
      </c>
      <c r="C1527" s="816" t="s">
        <v>16</v>
      </c>
      <c r="D1527" s="9"/>
      <c r="E1527" s="50" t="s">
        <v>146</v>
      </c>
      <c r="F1527" s="50"/>
      <c r="G1527" s="50"/>
      <c r="H1527" s="50"/>
      <c r="I1527" s="50"/>
      <c r="J1527" s="50"/>
      <c r="K1527" s="50"/>
      <c r="L1527" s="50"/>
      <c r="M1527" s="50"/>
      <c r="N1527" s="50"/>
      <c r="O1527" s="50"/>
      <c r="P1527" s="50"/>
      <c r="Q1527" s="50"/>
      <c r="R1527" s="50"/>
      <c r="S1527" s="50"/>
      <c r="T1527" s="50"/>
      <c r="U1527" s="50"/>
      <c r="V1527" s="50"/>
      <c r="W1527" s="50"/>
      <c r="X1527" s="50"/>
      <c r="Y1527" s="50"/>
      <c r="Z1527" s="50"/>
      <c r="AA1527" s="50"/>
      <c r="AB1527" s="12"/>
      <c r="AC1527" s="12"/>
      <c r="AD1527" s="12"/>
      <c r="AE1527" s="12"/>
      <c r="AF1527" s="12">
        <v>338106</v>
      </c>
      <c r="AG1527" s="12">
        <v>508508</v>
      </c>
      <c r="AH1527" s="12"/>
      <c r="AI1527" s="12"/>
      <c r="AJ1527" s="51"/>
      <c r="AK1527" s="51"/>
      <c r="AL1527" s="51"/>
      <c r="AM1527" s="51"/>
      <c r="AP1527" s="1044"/>
      <c r="AR1527" s="1044"/>
      <c r="AS1527" s="1044"/>
    </row>
    <row r="1528" spans="2:45" hidden="1" outlineLevel="1">
      <c r="B1528" s="565">
        <v>3664</v>
      </c>
      <c r="C1528" s="816" t="s">
        <v>16</v>
      </c>
      <c r="D1528" s="9"/>
      <c r="E1528" s="50" t="s">
        <v>147</v>
      </c>
      <c r="F1528" s="50"/>
      <c r="G1528" s="50"/>
      <c r="H1528" s="50"/>
      <c r="I1528" s="50"/>
      <c r="J1528" s="50"/>
      <c r="K1528" s="50"/>
      <c r="L1528" s="50"/>
      <c r="M1528" s="50"/>
      <c r="N1528" s="50"/>
      <c r="O1528" s="50"/>
      <c r="P1528" s="50"/>
      <c r="Q1528" s="50"/>
      <c r="R1528" s="50"/>
      <c r="S1528" s="50"/>
      <c r="T1528" s="50"/>
      <c r="U1528" s="50"/>
      <c r="V1528" s="50"/>
      <c r="W1528" s="50"/>
      <c r="X1528" s="50"/>
      <c r="Y1528" s="50"/>
      <c r="Z1528" s="50"/>
      <c r="AA1528" s="50"/>
      <c r="AB1528" s="12"/>
      <c r="AC1528" s="12"/>
      <c r="AD1528" s="12"/>
      <c r="AE1528" s="12"/>
      <c r="AF1528" s="12">
        <v>405286</v>
      </c>
      <c r="AG1528" s="12">
        <v>617559</v>
      </c>
      <c r="AH1528" s="12"/>
      <c r="AI1528" s="12"/>
      <c r="AJ1528" s="51"/>
      <c r="AK1528" s="51"/>
      <c r="AL1528" s="51"/>
      <c r="AM1528" s="51"/>
      <c r="AP1528" s="1044"/>
      <c r="AR1528" s="1044"/>
      <c r="AS1528" s="1044"/>
    </row>
    <row r="1529" spans="2:45" hidden="1" outlineLevel="1">
      <c r="B1529" s="565">
        <v>9549</v>
      </c>
      <c r="C1529" s="816" t="s">
        <v>16</v>
      </c>
      <c r="D1529" s="9"/>
      <c r="E1529" s="50" t="s">
        <v>148</v>
      </c>
      <c r="F1529" s="50"/>
      <c r="G1529" s="50"/>
      <c r="H1529" s="50"/>
      <c r="I1529" s="50"/>
      <c r="J1529" s="50"/>
      <c r="K1529" s="50"/>
      <c r="L1529" s="50"/>
      <c r="M1529" s="50"/>
      <c r="N1529" s="50"/>
      <c r="O1529" s="50"/>
      <c r="P1529" s="50"/>
      <c r="Q1529" s="50"/>
      <c r="R1529" s="50"/>
      <c r="S1529" s="50"/>
      <c r="T1529" s="50"/>
      <c r="U1529" s="50"/>
      <c r="V1529" s="50"/>
      <c r="W1529" s="50"/>
      <c r="X1529" s="50"/>
      <c r="Y1529" s="50"/>
      <c r="Z1529" s="50"/>
      <c r="AA1529" s="50"/>
      <c r="AB1529" s="12"/>
      <c r="AC1529" s="12"/>
      <c r="AD1529" s="12"/>
      <c r="AE1529" s="12"/>
      <c r="AF1529" s="12">
        <v>197317</v>
      </c>
      <c r="AG1529" s="12">
        <v>300881</v>
      </c>
      <c r="AH1529" s="12"/>
      <c r="AI1529" s="12"/>
      <c r="AJ1529" s="51"/>
      <c r="AK1529" s="51"/>
      <c r="AL1529" s="51"/>
      <c r="AM1529" s="51"/>
      <c r="AP1529" s="1044"/>
      <c r="AR1529" s="1044"/>
      <c r="AS1529" s="1044"/>
    </row>
    <row r="1530" spans="2:45" hidden="1" outlineLevel="1">
      <c r="B1530" s="565">
        <v>3668</v>
      </c>
      <c r="C1530" s="816" t="s">
        <v>16</v>
      </c>
      <c r="D1530" s="9"/>
      <c r="E1530" s="50" t="s">
        <v>149</v>
      </c>
      <c r="F1530" s="50"/>
      <c r="G1530" s="50"/>
      <c r="H1530" s="50"/>
      <c r="I1530" s="50"/>
      <c r="J1530" s="50"/>
      <c r="K1530" s="50"/>
      <c r="L1530" s="50"/>
      <c r="M1530" s="50"/>
      <c r="N1530" s="50"/>
      <c r="O1530" s="50"/>
      <c r="P1530" s="50"/>
      <c r="Q1530" s="50"/>
      <c r="R1530" s="50"/>
      <c r="S1530" s="50"/>
      <c r="T1530" s="50"/>
      <c r="U1530" s="50"/>
      <c r="V1530" s="50"/>
      <c r="W1530" s="50"/>
      <c r="X1530" s="50"/>
      <c r="Y1530" s="50"/>
      <c r="Z1530" s="50"/>
      <c r="AA1530" s="50"/>
      <c r="AB1530" s="12"/>
      <c r="AC1530" s="12"/>
      <c r="AD1530" s="12"/>
      <c r="AE1530" s="12"/>
      <c r="AF1530" s="12">
        <v>421745</v>
      </c>
      <c r="AG1530" s="12">
        <v>634366</v>
      </c>
      <c r="AH1530" s="12"/>
      <c r="AI1530" s="12"/>
      <c r="AJ1530" s="51"/>
      <c r="AK1530" s="51"/>
      <c r="AL1530" s="51"/>
      <c r="AM1530" s="51"/>
      <c r="AP1530" s="1044"/>
      <c r="AR1530" s="1044"/>
      <c r="AS1530" s="1044"/>
    </row>
    <row r="1531" spans="2:45" hidden="1" outlineLevel="1">
      <c r="C1531" s="816" t="s">
        <v>16</v>
      </c>
      <c r="D1531" s="9">
        <v>3</v>
      </c>
      <c r="E1531" s="20" t="s">
        <v>1441</v>
      </c>
      <c r="F1531" s="50"/>
      <c r="G1531" s="20"/>
      <c r="H1531" s="20"/>
      <c r="I1531" s="20"/>
      <c r="J1531" s="20"/>
      <c r="K1531" s="20"/>
      <c r="L1531" s="20"/>
      <c r="M1531" s="20"/>
      <c r="N1531" s="20"/>
      <c r="O1531" s="20"/>
      <c r="P1531" s="20"/>
      <c r="Q1531" s="20"/>
      <c r="R1531" s="20"/>
      <c r="S1531" s="20"/>
      <c r="T1531" s="20"/>
      <c r="U1531" s="20"/>
      <c r="V1531" s="20"/>
      <c r="W1531" s="20"/>
      <c r="X1531" s="20"/>
      <c r="Y1531" s="20"/>
      <c r="Z1531" s="20"/>
      <c r="AA1531" s="20"/>
      <c r="AB1531" s="12"/>
      <c r="AC1531" s="12"/>
      <c r="AD1531" s="12"/>
      <c r="AE1531" s="12"/>
      <c r="AF1531" s="12">
        <v>626815</v>
      </c>
      <c r="AG1531" s="12">
        <v>314674</v>
      </c>
      <c r="AH1531" s="12"/>
      <c r="AI1531" s="12"/>
      <c r="AJ1531" s="22"/>
      <c r="AK1531" s="22"/>
      <c r="AL1531" s="22"/>
      <c r="AM1531" s="22"/>
      <c r="AP1531" s="1044"/>
      <c r="AR1531" s="1044"/>
      <c r="AS1531" s="1044"/>
    </row>
    <row r="1532" spans="2:45" hidden="1" outlineLevel="1">
      <c r="C1532" s="816" t="s">
        <v>16</v>
      </c>
      <c r="D1532" s="9">
        <v>3</v>
      </c>
      <c r="E1532" s="20" t="s">
        <v>1442</v>
      </c>
      <c r="F1532" s="50"/>
      <c r="G1532" s="20"/>
      <c r="H1532" s="20"/>
      <c r="I1532" s="20"/>
      <c r="J1532" s="20"/>
      <c r="K1532" s="20"/>
      <c r="L1532" s="20"/>
      <c r="M1532" s="20"/>
      <c r="N1532" s="20"/>
      <c r="O1532" s="20"/>
      <c r="P1532" s="20"/>
      <c r="Q1532" s="20"/>
      <c r="R1532" s="20"/>
      <c r="S1532" s="20"/>
      <c r="T1532" s="20"/>
      <c r="U1532" s="20"/>
      <c r="V1532" s="20"/>
      <c r="W1532" s="20"/>
      <c r="X1532" s="20"/>
      <c r="Y1532" s="20"/>
      <c r="Z1532" s="20"/>
      <c r="AA1532" s="20"/>
      <c r="AB1532" s="12"/>
      <c r="AC1532" s="12"/>
      <c r="AD1532" s="12"/>
      <c r="AE1532" s="12"/>
      <c r="AF1532" s="12">
        <v>759594</v>
      </c>
      <c r="AG1532" s="12">
        <v>1707490</v>
      </c>
      <c r="AH1532" s="12"/>
      <c r="AI1532" s="12"/>
      <c r="AJ1532" s="22"/>
      <c r="AK1532" s="22"/>
      <c r="AL1532" s="22"/>
      <c r="AM1532" s="22"/>
      <c r="AP1532" s="1044"/>
      <c r="AR1532" s="1044"/>
      <c r="AS1532" s="1044"/>
    </row>
    <row r="1533" spans="2:45" hidden="1" outlineLevel="1">
      <c r="C1533" s="816" t="s">
        <v>16</v>
      </c>
      <c r="D1533" s="9">
        <v>3</v>
      </c>
      <c r="E1533" s="20" t="s">
        <v>1443</v>
      </c>
      <c r="F1533" s="50"/>
      <c r="G1533" s="20"/>
      <c r="H1533" s="20"/>
      <c r="I1533" s="20"/>
      <c r="J1533" s="20"/>
      <c r="K1533" s="20"/>
      <c r="L1533" s="20"/>
      <c r="M1533" s="20"/>
      <c r="N1533" s="20"/>
      <c r="O1533" s="20"/>
      <c r="P1533" s="20"/>
      <c r="Q1533" s="20"/>
      <c r="R1533" s="20"/>
      <c r="S1533" s="20"/>
      <c r="T1533" s="20"/>
      <c r="U1533" s="20"/>
      <c r="V1533" s="20"/>
      <c r="W1533" s="20"/>
      <c r="X1533" s="20"/>
      <c r="Y1533" s="20"/>
      <c r="Z1533" s="20"/>
      <c r="AA1533" s="20"/>
      <c r="AB1533" s="12"/>
      <c r="AC1533" s="12"/>
      <c r="AD1533" s="12"/>
      <c r="AE1533" s="12"/>
      <c r="AF1533" s="12">
        <v>660430</v>
      </c>
      <c r="AG1533" s="12">
        <v>1111674</v>
      </c>
      <c r="AH1533" s="12"/>
      <c r="AI1533" s="12"/>
      <c r="AJ1533" s="22"/>
      <c r="AK1533" s="22"/>
      <c r="AL1533" s="22"/>
      <c r="AM1533" s="22"/>
      <c r="AP1533" s="1044"/>
      <c r="AR1533" s="1044"/>
      <c r="AS1533" s="1044"/>
    </row>
    <row r="1534" spans="2:45" hidden="1" outlineLevel="1">
      <c r="C1534" s="816" t="s">
        <v>16</v>
      </c>
      <c r="D1534" s="9">
        <v>3</v>
      </c>
      <c r="E1534" s="20" t="s">
        <v>1444</v>
      </c>
      <c r="F1534" s="50"/>
      <c r="G1534" s="20"/>
      <c r="H1534" s="20"/>
      <c r="I1534" s="20"/>
      <c r="J1534" s="20"/>
      <c r="K1534" s="20"/>
      <c r="L1534" s="20"/>
      <c r="M1534" s="20"/>
      <c r="N1534" s="20"/>
      <c r="O1534" s="20"/>
      <c r="P1534" s="20"/>
      <c r="Q1534" s="20"/>
      <c r="R1534" s="20"/>
      <c r="S1534" s="20"/>
      <c r="T1534" s="20"/>
      <c r="U1534" s="20"/>
      <c r="V1534" s="20"/>
      <c r="W1534" s="20"/>
      <c r="X1534" s="20"/>
      <c r="Y1534" s="20"/>
      <c r="Z1534" s="20"/>
      <c r="AA1534" s="20"/>
      <c r="AB1534" s="12"/>
      <c r="AC1534" s="12"/>
      <c r="AD1534" s="12"/>
      <c r="AE1534" s="12"/>
      <c r="AF1534" s="12">
        <v>402342</v>
      </c>
      <c r="AG1534" s="12">
        <v>433962</v>
      </c>
      <c r="AH1534" s="12"/>
      <c r="AI1534" s="12"/>
      <c r="AJ1534" s="22"/>
      <c r="AK1534" s="22"/>
      <c r="AL1534" s="22"/>
      <c r="AM1534" s="22"/>
      <c r="AP1534" s="1044"/>
      <c r="AR1534" s="1044"/>
      <c r="AS1534" s="1044"/>
    </row>
    <row r="1535" spans="2:45" hidden="1" outlineLevel="1">
      <c r="C1535" s="816" t="s">
        <v>16</v>
      </c>
      <c r="D1535" s="9">
        <v>3</v>
      </c>
      <c r="E1535" s="20" t="s">
        <v>1445</v>
      </c>
      <c r="F1535" s="50"/>
      <c r="G1535" s="20"/>
      <c r="H1535" s="20"/>
      <c r="I1535" s="20"/>
      <c r="J1535" s="20"/>
      <c r="K1535" s="20"/>
      <c r="L1535" s="20"/>
      <c r="M1535" s="20"/>
      <c r="N1535" s="20"/>
      <c r="O1535" s="20"/>
      <c r="P1535" s="20"/>
      <c r="Q1535" s="20"/>
      <c r="R1535" s="20"/>
      <c r="S1535" s="20"/>
      <c r="T1535" s="20"/>
      <c r="U1535" s="20"/>
      <c r="V1535" s="20"/>
      <c r="W1535" s="20"/>
      <c r="X1535" s="20"/>
      <c r="Y1535" s="20"/>
      <c r="Z1535" s="20"/>
      <c r="AA1535" s="20"/>
      <c r="AB1535" s="12"/>
      <c r="AC1535" s="12"/>
      <c r="AD1535" s="12"/>
      <c r="AE1535" s="12"/>
      <c r="AF1535" s="12">
        <v>136444</v>
      </c>
      <c r="AG1535" s="12">
        <v>2416071</v>
      </c>
      <c r="AH1535" s="12"/>
      <c r="AI1535" s="12"/>
      <c r="AJ1535" s="22"/>
      <c r="AK1535" s="22"/>
      <c r="AL1535" s="22"/>
      <c r="AM1535" s="22"/>
      <c r="AP1535" s="1044"/>
      <c r="AR1535" s="1044"/>
      <c r="AS1535" s="1044"/>
    </row>
    <row r="1536" spans="2:45" s="1044" customFormat="1" hidden="1" outlineLevel="1">
      <c r="B1536" s="1045"/>
      <c r="C1536" s="1053" t="s">
        <v>16</v>
      </c>
      <c r="D1536" s="1030">
        <v>3</v>
      </c>
      <c r="E1536" s="1054" t="s">
        <v>1852</v>
      </c>
      <c r="F1536" s="50"/>
      <c r="G1536" s="1047"/>
      <c r="H1536" s="1047"/>
      <c r="I1536" s="1047"/>
      <c r="J1536" s="1047"/>
      <c r="K1536" s="1047"/>
      <c r="L1536" s="1047"/>
      <c r="M1536" s="1047"/>
      <c r="N1536" s="1047"/>
      <c r="O1536" s="1047"/>
      <c r="P1536" s="1047"/>
      <c r="Q1536" s="1047"/>
      <c r="R1536" s="1047"/>
      <c r="S1536" s="1047"/>
      <c r="T1536" s="1047"/>
      <c r="U1536" s="1047"/>
      <c r="V1536" s="1047"/>
      <c r="W1536" s="1047"/>
      <c r="X1536" s="1047"/>
      <c r="Y1536" s="1047"/>
      <c r="Z1536" s="1047"/>
      <c r="AA1536" s="1047"/>
      <c r="AB1536" s="1070"/>
      <c r="AC1536" s="1070"/>
      <c r="AD1536" s="1070"/>
      <c r="AE1536" s="1070"/>
      <c r="AF1536" s="1070"/>
      <c r="AG1536" s="1070"/>
      <c r="AH1536" s="1070"/>
      <c r="AI1536" s="1070"/>
      <c r="AJ1536" s="1059"/>
      <c r="AK1536" s="1059"/>
      <c r="AL1536" s="1059"/>
      <c r="AM1536" s="1059"/>
    </row>
    <row r="1537" spans="2:45" s="1044" customFormat="1" hidden="1" outlineLevel="1">
      <c r="B1537" s="1045"/>
      <c r="C1537" s="1053" t="s">
        <v>16</v>
      </c>
      <c r="D1537" s="1030">
        <v>3</v>
      </c>
      <c r="E1537" s="1047" t="s">
        <v>1853</v>
      </c>
      <c r="F1537" s="50"/>
      <c r="G1537" s="1047"/>
      <c r="H1537" s="1047"/>
      <c r="I1537" s="1047"/>
      <c r="J1537" s="1047"/>
      <c r="K1537" s="1047"/>
      <c r="L1537" s="1047"/>
      <c r="M1537" s="1047"/>
      <c r="N1537" s="1047"/>
      <c r="O1537" s="1047"/>
      <c r="P1537" s="1047"/>
      <c r="Q1537" s="1047"/>
      <c r="R1537" s="1047"/>
      <c r="S1537" s="1047"/>
      <c r="T1537" s="1047"/>
      <c r="U1537" s="1047"/>
      <c r="V1537" s="1047"/>
      <c r="W1537" s="1047"/>
      <c r="X1537" s="1047"/>
      <c r="Y1537" s="1047"/>
      <c r="Z1537" s="1047"/>
      <c r="AA1537" s="1047"/>
      <c r="AB1537" s="1070"/>
      <c r="AC1537" s="1070"/>
      <c r="AD1537" s="1070"/>
      <c r="AE1537" s="1070"/>
      <c r="AF1537" s="1070"/>
      <c r="AG1537" s="1070"/>
      <c r="AH1537" s="1070"/>
      <c r="AI1537" s="1070"/>
      <c r="AJ1537" s="1059"/>
      <c r="AK1537" s="1059"/>
      <c r="AL1537" s="1059"/>
      <c r="AM1537" s="1059"/>
    </row>
    <row r="1538" spans="2:45" hidden="1" outlineLevel="1">
      <c r="C1538" s="816" t="s">
        <v>16</v>
      </c>
      <c r="D1538" s="9">
        <v>3</v>
      </c>
      <c r="E1538" s="20" t="s">
        <v>83</v>
      </c>
      <c r="F1538" s="50"/>
      <c r="G1538" s="20"/>
      <c r="H1538" s="20"/>
      <c r="I1538" s="20"/>
      <c r="J1538" s="20"/>
      <c r="K1538" s="20"/>
      <c r="L1538" s="20"/>
      <c r="M1538" s="20"/>
      <c r="N1538" s="20"/>
      <c r="O1538" s="20"/>
      <c r="P1538" s="20"/>
      <c r="Q1538" s="20"/>
      <c r="R1538" s="20"/>
      <c r="S1538" s="20"/>
      <c r="T1538" s="20"/>
      <c r="U1538" s="20"/>
      <c r="V1538" s="20"/>
      <c r="W1538" s="20"/>
      <c r="X1538" s="20"/>
      <c r="Y1538" s="20"/>
      <c r="Z1538" s="20"/>
      <c r="AA1538" s="20"/>
      <c r="AB1538" s="12"/>
      <c r="AC1538" s="12"/>
      <c r="AD1538" s="12">
        <v>-2425000</v>
      </c>
      <c r="AE1538" s="12">
        <v>-2425000</v>
      </c>
      <c r="AF1538" s="12">
        <v>2896137</v>
      </c>
      <c r="AG1538" s="12">
        <v>4506706</v>
      </c>
      <c r="AH1538" s="12"/>
      <c r="AI1538" s="12"/>
      <c r="AJ1538" s="22"/>
      <c r="AK1538" s="22"/>
      <c r="AL1538" s="22"/>
      <c r="AM1538" s="22"/>
      <c r="AP1538" s="1044"/>
      <c r="AR1538" s="1044"/>
      <c r="AS1538" s="1044"/>
    </row>
    <row r="1539" spans="2:45" hidden="1" outlineLevel="1">
      <c r="C1539" s="816" t="s">
        <v>16</v>
      </c>
      <c r="D1539" s="9">
        <v>3</v>
      </c>
      <c r="E1539" s="20" t="s">
        <v>84</v>
      </c>
      <c r="F1539" s="50"/>
      <c r="G1539" s="20"/>
      <c r="H1539" s="20"/>
      <c r="I1539" s="20"/>
      <c r="J1539" s="20"/>
      <c r="K1539" s="20"/>
      <c r="L1539" s="20"/>
      <c r="M1539" s="20"/>
      <c r="N1539" s="20"/>
      <c r="O1539" s="20"/>
      <c r="P1539" s="20"/>
      <c r="Q1539" s="20"/>
      <c r="R1539" s="20"/>
      <c r="S1539" s="20"/>
      <c r="T1539" s="20"/>
      <c r="U1539" s="20"/>
      <c r="V1539" s="20"/>
      <c r="W1539" s="20"/>
      <c r="X1539" s="20"/>
      <c r="Y1539" s="20"/>
      <c r="Z1539" s="20"/>
      <c r="AA1539" s="20"/>
      <c r="AB1539" s="12"/>
      <c r="AC1539" s="12"/>
      <c r="AD1539" s="12"/>
      <c r="AE1539" s="12"/>
      <c r="AF1539" s="12">
        <v>1296254</v>
      </c>
      <c r="AG1539" s="12">
        <v>4932005</v>
      </c>
      <c r="AH1539" s="12"/>
      <c r="AI1539" s="12"/>
      <c r="AJ1539" s="22"/>
      <c r="AK1539" s="22"/>
      <c r="AL1539" s="22"/>
      <c r="AM1539" s="22"/>
      <c r="AP1539" s="1044"/>
      <c r="AR1539" s="1044"/>
      <c r="AS1539" s="1044"/>
    </row>
    <row r="1540" spans="2:45" hidden="1" outlineLevel="1">
      <c r="C1540" s="816" t="s">
        <v>16</v>
      </c>
      <c r="D1540" s="9">
        <v>3</v>
      </c>
      <c r="E1540" s="20" t="s">
        <v>85</v>
      </c>
      <c r="F1540" s="50"/>
      <c r="G1540" s="20"/>
      <c r="H1540" s="20"/>
      <c r="I1540" s="20"/>
      <c r="J1540" s="20"/>
      <c r="K1540" s="20"/>
      <c r="L1540" s="20"/>
      <c r="M1540" s="20"/>
      <c r="N1540" s="20"/>
      <c r="O1540" s="20"/>
      <c r="P1540" s="20"/>
      <c r="Q1540" s="20"/>
      <c r="R1540" s="20"/>
      <c r="S1540" s="20"/>
      <c r="T1540" s="20"/>
      <c r="U1540" s="20"/>
      <c r="V1540" s="20"/>
      <c r="W1540" s="20"/>
      <c r="X1540" s="20"/>
      <c r="Y1540" s="20"/>
      <c r="Z1540" s="20"/>
      <c r="AA1540" s="20"/>
      <c r="AB1540" s="12"/>
      <c r="AC1540" s="12"/>
      <c r="AD1540" s="12"/>
      <c r="AE1540" s="12"/>
      <c r="AF1540" s="12">
        <v>706216</v>
      </c>
      <c r="AG1540" s="12">
        <v>1145627</v>
      </c>
      <c r="AH1540" s="12"/>
      <c r="AI1540" s="12"/>
      <c r="AJ1540" s="22"/>
      <c r="AK1540" s="22"/>
      <c r="AL1540" s="22"/>
      <c r="AM1540" s="22"/>
      <c r="AP1540" s="1044"/>
      <c r="AR1540" s="1044"/>
      <c r="AS1540" s="1044"/>
    </row>
    <row r="1541" spans="2:45" hidden="1" outlineLevel="1">
      <c r="C1541" s="816" t="s">
        <v>16</v>
      </c>
      <c r="D1541" s="9">
        <v>3</v>
      </c>
      <c r="E1541" s="20" t="s">
        <v>86</v>
      </c>
      <c r="F1541" s="50"/>
      <c r="G1541" s="20"/>
      <c r="H1541" s="20"/>
      <c r="I1541" s="20"/>
      <c r="J1541" s="20"/>
      <c r="K1541" s="20"/>
      <c r="L1541" s="20"/>
      <c r="M1541" s="20"/>
      <c r="N1541" s="20"/>
      <c r="O1541" s="20"/>
      <c r="P1541" s="20"/>
      <c r="Q1541" s="20"/>
      <c r="R1541" s="20"/>
      <c r="S1541" s="20"/>
      <c r="T1541" s="20"/>
      <c r="U1541" s="20"/>
      <c r="V1541" s="20"/>
      <c r="W1541" s="20"/>
      <c r="X1541" s="20"/>
      <c r="Y1541" s="20"/>
      <c r="Z1541" s="20"/>
      <c r="AA1541" s="20"/>
      <c r="AB1541" s="12"/>
      <c r="AC1541" s="12"/>
      <c r="AD1541" s="12"/>
      <c r="AE1541" s="12"/>
      <c r="AF1541" s="12">
        <v>57500</v>
      </c>
      <c r="AG1541" s="12">
        <v>56250</v>
      </c>
      <c r="AH1541" s="12"/>
      <c r="AI1541" s="12"/>
      <c r="AJ1541" s="22"/>
      <c r="AK1541" s="22"/>
      <c r="AL1541" s="22"/>
      <c r="AM1541" s="22"/>
      <c r="AP1541" s="1044"/>
      <c r="AR1541" s="1044"/>
      <c r="AS1541" s="1044"/>
    </row>
    <row r="1542" spans="2:45" hidden="1" outlineLevel="1">
      <c r="C1542" s="816" t="s">
        <v>16</v>
      </c>
      <c r="D1542" s="9">
        <v>3</v>
      </c>
      <c r="E1542" s="20" t="s">
        <v>87</v>
      </c>
      <c r="F1542" s="50"/>
      <c r="G1542" s="20"/>
      <c r="H1542" s="20"/>
      <c r="I1542" s="20"/>
      <c r="J1542" s="20"/>
      <c r="K1542" s="20"/>
      <c r="L1542" s="20"/>
      <c r="M1542" s="20"/>
      <c r="N1542" s="20"/>
      <c r="O1542" s="20"/>
      <c r="P1542" s="20"/>
      <c r="Q1542" s="20"/>
      <c r="R1542" s="20"/>
      <c r="S1542" s="20"/>
      <c r="T1542" s="20"/>
      <c r="U1542" s="20"/>
      <c r="V1542" s="20"/>
      <c r="W1542" s="20"/>
      <c r="X1542" s="20"/>
      <c r="Y1542" s="20"/>
      <c r="Z1542" s="20"/>
      <c r="AA1542" s="20"/>
      <c r="AB1542" s="12"/>
      <c r="AC1542" s="12"/>
      <c r="AD1542" s="12"/>
      <c r="AE1542" s="12"/>
      <c r="AF1542" s="12">
        <v>298482</v>
      </c>
      <c r="AG1542" s="12">
        <v>596416</v>
      </c>
      <c r="AH1542" s="12"/>
      <c r="AI1542" s="12"/>
      <c r="AJ1542" s="22"/>
      <c r="AK1542" s="22"/>
      <c r="AL1542" s="22"/>
      <c r="AM1542" s="22"/>
      <c r="AP1542" s="1044"/>
      <c r="AR1542" s="1044"/>
      <c r="AS1542" s="1044"/>
    </row>
    <row r="1543" spans="2:45" hidden="1" outlineLevel="1">
      <c r="C1543" s="816" t="s">
        <v>16</v>
      </c>
      <c r="D1543" s="9">
        <v>3</v>
      </c>
      <c r="E1543" s="20" t="s">
        <v>88</v>
      </c>
      <c r="F1543" s="50"/>
      <c r="G1543" s="20"/>
      <c r="H1543" s="20"/>
      <c r="I1543" s="20"/>
      <c r="J1543" s="20"/>
      <c r="K1543" s="20"/>
      <c r="L1543" s="20"/>
      <c r="M1543" s="20"/>
      <c r="N1543" s="20"/>
      <c r="O1543" s="20"/>
      <c r="P1543" s="20"/>
      <c r="Q1543" s="20"/>
      <c r="R1543" s="20"/>
      <c r="S1543" s="20"/>
      <c r="T1543" s="20"/>
      <c r="U1543" s="20"/>
      <c r="V1543" s="20"/>
      <c r="W1543" s="20"/>
      <c r="X1543" s="20"/>
      <c r="Y1543" s="20"/>
      <c r="Z1543" s="20"/>
      <c r="AA1543" s="20"/>
      <c r="AB1543" s="12"/>
      <c r="AC1543" s="12"/>
      <c r="AD1543" s="12"/>
      <c r="AE1543" s="12"/>
      <c r="AF1543" s="12">
        <v>523907</v>
      </c>
      <c r="AG1543" s="12">
        <v>1032378</v>
      </c>
      <c r="AH1543" s="12"/>
      <c r="AI1543" s="12"/>
      <c r="AJ1543" s="22"/>
      <c r="AK1543" s="22"/>
      <c r="AL1543" s="22"/>
      <c r="AM1543" s="22"/>
      <c r="AP1543" s="1044"/>
      <c r="AR1543" s="1044"/>
      <c r="AS1543" s="1044"/>
    </row>
    <row r="1544" spans="2:45" hidden="1" outlineLevel="1">
      <c r="C1544" s="816" t="s">
        <v>16</v>
      </c>
      <c r="D1544" s="9">
        <v>3</v>
      </c>
      <c r="E1544" s="20" t="s">
        <v>89</v>
      </c>
      <c r="F1544" s="50"/>
      <c r="G1544" s="20"/>
      <c r="H1544" s="20"/>
      <c r="I1544" s="20"/>
      <c r="J1544" s="20"/>
      <c r="K1544" s="20"/>
      <c r="L1544" s="20"/>
      <c r="M1544" s="20"/>
      <c r="N1544" s="20"/>
      <c r="O1544" s="20"/>
      <c r="P1544" s="20"/>
      <c r="Q1544" s="20"/>
      <c r="R1544" s="20"/>
      <c r="S1544" s="20"/>
      <c r="T1544" s="20"/>
      <c r="U1544" s="20"/>
      <c r="V1544" s="20"/>
      <c r="W1544" s="20"/>
      <c r="X1544" s="20"/>
      <c r="Y1544" s="20"/>
      <c r="Z1544" s="20"/>
      <c r="AA1544" s="20"/>
      <c r="AB1544" s="12"/>
      <c r="AC1544" s="12"/>
      <c r="AD1544" s="12">
        <v>-1000000</v>
      </c>
      <c r="AE1544" s="12">
        <v>-1000000</v>
      </c>
      <c r="AF1544" s="12">
        <v>204500</v>
      </c>
      <c r="AG1544" s="12">
        <v>617294</v>
      </c>
      <c r="AH1544" s="12"/>
      <c r="AI1544" s="12"/>
      <c r="AJ1544" s="22"/>
      <c r="AK1544" s="22"/>
      <c r="AL1544" s="22"/>
      <c r="AM1544" s="22"/>
      <c r="AP1544" s="1044"/>
      <c r="AR1544" s="1044"/>
      <c r="AS1544" s="1044"/>
    </row>
    <row r="1545" spans="2:45" hidden="1" outlineLevel="1">
      <c r="C1545" s="816" t="s">
        <v>16</v>
      </c>
      <c r="D1545" s="9">
        <v>3</v>
      </c>
      <c r="E1545" s="52" t="s">
        <v>221</v>
      </c>
      <c r="F1545" s="52"/>
      <c r="G1545" s="52"/>
      <c r="H1545" s="52"/>
      <c r="I1545" s="52"/>
      <c r="J1545" s="52"/>
      <c r="K1545" s="52"/>
      <c r="L1545" s="52"/>
      <c r="M1545" s="52"/>
      <c r="N1545" s="52"/>
      <c r="O1545" s="52"/>
      <c r="P1545" s="52"/>
      <c r="Q1545" s="52"/>
      <c r="R1545" s="52"/>
      <c r="S1545" s="52"/>
      <c r="T1545" s="52"/>
      <c r="U1545" s="52"/>
      <c r="V1545" s="52"/>
      <c r="W1545" s="52"/>
      <c r="X1545" s="52"/>
      <c r="Y1545" s="52"/>
      <c r="Z1545" s="52"/>
      <c r="AA1545" s="52"/>
      <c r="AB1545" s="12"/>
      <c r="AC1545" s="12"/>
      <c r="AD1545" s="12"/>
      <c r="AE1545" s="12"/>
      <c r="AF1545" s="12">
        <v>0</v>
      </c>
      <c r="AG1545" s="12">
        <v>6099709</v>
      </c>
      <c r="AH1545" s="12"/>
      <c r="AI1545" s="12"/>
      <c r="AJ1545" s="53"/>
      <c r="AK1545" s="53"/>
      <c r="AL1545" s="53"/>
      <c r="AM1545" s="53"/>
      <c r="AP1545" s="1044"/>
      <c r="AR1545" s="1044"/>
      <c r="AS1545" s="1044"/>
    </row>
    <row r="1546" spans="2:45" hidden="1" outlineLevel="1">
      <c r="C1546" s="816" t="s">
        <v>16</v>
      </c>
      <c r="D1546" s="9"/>
      <c r="E1546" s="381" t="s">
        <v>1450</v>
      </c>
      <c r="F1546" s="52"/>
      <c r="G1546" s="52"/>
      <c r="H1546" s="52"/>
      <c r="I1546" s="52"/>
      <c r="J1546" s="52"/>
      <c r="K1546" s="52"/>
      <c r="L1546" s="52"/>
      <c r="M1546" s="52"/>
      <c r="N1546" s="52"/>
      <c r="O1546" s="52"/>
      <c r="P1546" s="52"/>
      <c r="Q1546" s="52"/>
      <c r="R1546" s="52"/>
      <c r="S1546" s="52"/>
      <c r="T1546" s="52"/>
      <c r="U1546" s="52"/>
      <c r="V1546" s="52"/>
      <c r="W1546" s="52"/>
      <c r="X1546" s="52"/>
      <c r="Y1546" s="52"/>
      <c r="Z1546" s="52"/>
      <c r="AA1546" s="52"/>
      <c r="AB1546" s="34"/>
      <c r="AC1546" s="34"/>
      <c r="AD1546" s="34">
        <v>-41614290</v>
      </c>
      <c r="AE1546" s="34">
        <v>-45614290</v>
      </c>
      <c r="AF1546" s="34">
        <f>SUM(AF1393:AF1480)+SUM(AF1531:AF1545)</f>
        <v>454699936</v>
      </c>
      <c r="AG1546" s="34">
        <f>SUM(AG1393:AG1480)+SUM(AG1531:AG1545)</f>
        <v>1287366322</v>
      </c>
      <c r="AH1546" s="34"/>
      <c r="AI1546" s="34"/>
      <c r="AJ1546" s="34">
        <f t="shared" ref="AJ1546:AK1546" si="312">SUM(AJ1393:AJ1480)+SUM(AJ1531:AJ1545)</f>
        <v>0</v>
      </c>
      <c r="AK1546" s="34">
        <f t="shared" si="312"/>
        <v>0</v>
      </c>
      <c r="AL1546" s="34"/>
      <c r="AM1546" s="34"/>
      <c r="AP1546" s="1044"/>
      <c r="AR1546" s="1044"/>
      <c r="AS1546" s="1044"/>
    </row>
    <row r="1547" spans="2:45" hidden="1" outlineLevel="1">
      <c r="C1547" s="816"/>
      <c r="D1547" s="9">
        <v>3</v>
      </c>
      <c r="E1547" s="381" t="s">
        <v>1449</v>
      </c>
      <c r="F1547" s="52"/>
      <c r="G1547" s="52"/>
      <c r="H1547" s="52"/>
      <c r="I1547" s="52"/>
      <c r="J1547" s="52"/>
      <c r="K1547" s="52"/>
      <c r="L1547" s="52"/>
      <c r="M1547" s="52"/>
      <c r="N1547" s="52"/>
      <c r="O1547" s="52"/>
      <c r="P1547" s="52"/>
      <c r="Q1547" s="52"/>
      <c r="R1547" s="52"/>
      <c r="S1547" s="52"/>
      <c r="T1547" s="52"/>
      <c r="U1547" s="52"/>
      <c r="V1547" s="52"/>
      <c r="W1547" s="52"/>
      <c r="X1547" s="52"/>
      <c r="Y1547" s="52"/>
      <c r="Z1547" s="52"/>
      <c r="AA1547" s="52"/>
      <c r="AB1547" s="34"/>
      <c r="AC1547" s="34"/>
      <c r="AD1547" s="34">
        <f t="shared" ref="AD1547:AE1547" si="313">SUMIF($D$1393:$D$1546,$D1547,AD$1393:AD$1546)</f>
        <v>-41614290</v>
      </c>
      <c r="AE1547" s="34">
        <f t="shared" si="313"/>
        <v>-45614290</v>
      </c>
      <c r="AF1547" s="34">
        <f t="shared" ref="AF1547:AK1547" si="314">SUMIF($D$1393:$D$1546,$D1547,AF$1393:AF$1546)</f>
        <v>189006340</v>
      </c>
      <c r="AG1547" s="34">
        <f t="shared" si="314"/>
        <v>637511262</v>
      </c>
      <c r="AH1547" s="34">
        <f t="shared" si="314"/>
        <v>0</v>
      </c>
      <c r="AI1547" s="34">
        <f t="shared" si="314"/>
        <v>0</v>
      </c>
      <c r="AJ1547" s="34">
        <f t="shared" si="314"/>
        <v>0</v>
      </c>
      <c r="AK1547" s="34">
        <f t="shared" si="314"/>
        <v>0</v>
      </c>
      <c r="AL1547" s="34"/>
      <c r="AM1547" s="34"/>
      <c r="AP1547" s="1044"/>
      <c r="AR1547" s="1044"/>
      <c r="AS1547" s="1044"/>
    </row>
    <row r="1548" spans="2:45" hidden="1" outlineLevel="1">
      <c r="C1548" s="816"/>
      <c r="D1548" s="9"/>
      <c r="E1548" s="381"/>
      <c r="F1548" s="52"/>
      <c r="G1548" s="52"/>
      <c r="H1548" s="52"/>
      <c r="I1548" s="52"/>
      <c r="J1548" s="52"/>
      <c r="K1548" s="52"/>
      <c r="L1548" s="52"/>
      <c r="M1548" s="52"/>
      <c r="N1548" s="52"/>
      <c r="O1548" s="52"/>
      <c r="P1548" s="52"/>
      <c r="Q1548" s="52"/>
      <c r="R1548" s="52"/>
      <c r="S1548" s="52"/>
      <c r="T1548" s="52"/>
      <c r="U1548" s="52"/>
      <c r="V1548" s="52"/>
      <c r="W1548" s="52"/>
      <c r="X1548" s="52"/>
      <c r="Y1548" s="52"/>
      <c r="Z1548" s="52"/>
      <c r="AA1548" s="52"/>
      <c r="AB1548" s="34"/>
      <c r="AC1548" s="34"/>
      <c r="AD1548" s="34"/>
      <c r="AE1548" s="34"/>
      <c r="AF1548" s="34"/>
      <c r="AG1548" s="34"/>
      <c r="AH1548" s="34"/>
      <c r="AI1548" s="34"/>
      <c r="AJ1548" s="53"/>
      <c r="AK1548" s="53"/>
      <c r="AL1548" s="53"/>
      <c r="AM1548" s="53"/>
      <c r="AP1548" s="1044"/>
      <c r="AR1548" s="1044"/>
      <c r="AS1548" s="1044"/>
    </row>
    <row r="1549" spans="2:45" collapsed="1">
      <c r="C1549" s="1205" t="s">
        <v>2179</v>
      </c>
      <c r="D1549" s="1205"/>
      <c r="E1549" s="1206"/>
      <c r="F1549" s="6"/>
      <c r="G1549" s="6"/>
      <c r="H1549" s="6"/>
      <c r="I1549" s="6"/>
      <c r="J1549" s="6"/>
      <c r="K1549" s="6"/>
      <c r="L1549" s="6"/>
      <c r="M1549" s="6"/>
      <c r="N1549" s="6"/>
      <c r="O1549" s="6"/>
      <c r="P1549" s="6"/>
      <c r="Q1549" s="6"/>
      <c r="R1549" s="6"/>
      <c r="S1549" s="6"/>
      <c r="T1549" s="6"/>
      <c r="U1549" s="6"/>
      <c r="V1549" s="6"/>
      <c r="W1549" s="6"/>
      <c r="X1549" s="6"/>
      <c r="Y1549" s="6"/>
      <c r="Z1549" s="6"/>
      <c r="AA1549" s="6"/>
      <c r="AB1549" s="7"/>
      <c r="AC1549" s="7"/>
      <c r="AD1549" s="7"/>
      <c r="AE1549" s="7"/>
      <c r="AF1549" s="7"/>
      <c r="AG1549" s="7"/>
      <c r="AH1549" s="7"/>
      <c r="AI1549" s="7"/>
      <c r="AJ1549" s="31" t="s">
        <v>159</v>
      </c>
      <c r="AK1549" s="31" t="s">
        <v>159</v>
      </c>
      <c r="AL1549" s="31" t="s">
        <v>159</v>
      </c>
      <c r="AM1549" s="31" t="s">
        <v>159</v>
      </c>
      <c r="AN1549" s="1300" t="s">
        <v>159</v>
      </c>
      <c r="AO1549" s="1301"/>
      <c r="AP1549" s="1302" t="s">
        <v>159</v>
      </c>
      <c r="AQ1549" s="1303"/>
      <c r="AR1549" s="1044"/>
      <c r="AS1549" s="1044"/>
    </row>
    <row r="1550" spans="2:45" hidden="1" outlineLevel="1">
      <c r="C1550" s="816" t="s">
        <v>16</v>
      </c>
      <c r="D1550" s="9"/>
      <c r="E1550" s="20" t="s">
        <v>282</v>
      </c>
      <c r="F1550" s="20"/>
      <c r="G1550" s="20"/>
      <c r="H1550" s="20"/>
      <c r="I1550" s="20"/>
      <c r="J1550" s="20"/>
      <c r="K1550" s="20"/>
      <c r="L1550" s="20"/>
      <c r="M1550" s="20"/>
      <c r="N1550" s="20"/>
      <c r="O1550" s="20"/>
      <c r="P1550" s="20"/>
      <c r="Q1550" s="20"/>
      <c r="R1550" s="20"/>
      <c r="S1550" s="20"/>
      <c r="T1550" s="20"/>
      <c r="U1550" s="20"/>
      <c r="V1550" s="20"/>
      <c r="W1550" s="20"/>
      <c r="X1550" s="20"/>
      <c r="Y1550" s="20"/>
      <c r="Z1550" s="20"/>
      <c r="AA1550" s="20"/>
      <c r="AB1550" s="12">
        <v>187031</v>
      </c>
      <c r="AC1550" s="12">
        <v>187031</v>
      </c>
      <c r="AD1550" s="12">
        <v>187031</v>
      </c>
      <c r="AE1550" s="12">
        <v>187031</v>
      </c>
      <c r="AF1550" s="12">
        <v>187031</v>
      </c>
      <c r="AG1550" s="12">
        <v>187031</v>
      </c>
      <c r="AH1550" s="12">
        <v>133259</v>
      </c>
      <c r="AI1550" s="12">
        <v>133259</v>
      </c>
      <c r="AJ1550" s="21">
        <v>133259</v>
      </c>
      <c r="AK1550" s="21">
        <v>133259</v>
      </c>
      <c r="AL1550" s="21">
        <v>133259</v>
      </c>
      <c r="AM1550" s="21">
        <v>133259</v>
      </c>
      <c r="AN1550" s="1058">
        <v>19639</v>
      </c>
      <c r="AO1550" s="1058">
        <v>19638</v>
      </c>
      <c r="AP1550" s="1058">
        <v>19639</v>
      </c>
      <c r="AQ1550" s="1058">
        <v>19638</v>
      </c>
      <c r="AR1550" s="1044"/>
      <c r="AS1550" s="1044"/>
    </row>
    <row r="1551" spans="2:45" hidden="1" outlineLevel="1">
      <c r="C1551" s="816" t="s">
        <v>16</v>
      </c>
      <c r="D1551" s="223" t="s">
        <v>1254</v>
      </c>
      <c r="E1551" s="278" t="s">
        <v>283</v>
      </c>
      <c r="F1551" s="20"/>
      <c r="G1551" s="20"/>
      <c r="H1551" s="20"/>
      <c r="I1551" s="20"/>
      <c r="J1551" s="20"/>
      <c r="K1551" s="20"/>
      <c r="L1551" s="20"/>
      <c r="M1551" s="20"/>
      <c r="N1551" s="20"/>
      <c r="O1551" s="20"/>
      <c r="P1551" s="20"/>
      <c r="Q1551" s="20"/>
      <c r="R1551" s="20"/>
      <c r="S1551" s="20"/>
      <c r="T1551" s="20"/>
      <c r="U1551" s="20"/>
      <c r="V1551" s="20"/>
      <c r="W1551" s="20"/>
      <c r="X1551" s="20"/>
      <c r="Y1551" s="20"/>
      <c r="Z1551" s="20"/>
      <c r="AA1551" s="20"/>
      <c r="AB1551" s="12">
        <v>1245064</v>
      </c>
      <c r="AC1551" s="12">
        <v>1245064</v>
      </c>
      <c r="AD1551" s="12">
        <v>1245064</v>
      </c>
      <c r="AE1551" s="12">
        <v>1245064</v>
      </c>
      <c r="AF1551" s="12">
        <v>1245064</v>
      </c>
      <c r="AG1551" s="12">
        <v>1245064</v>
      </c>
      <c r="AH1551" s="12">
        <v>887108</v>
      </c>
      <c r="AI1551" s="12">
        <v>887108</v>
      </c>
      <c r="AJ1551" s="21">
        <v>887108</v>
      </c>
      <c r="AK1551" s="21">
        <v>887108</v>
      </c>
      <c r="AL1551" s="21">
        <v>1887108</v>
      </c>
      <c r="AM1551" s="21">
        <v>1887108</v>
      </c>
      <c r="AN1551" s="1058">
        <v>1307625</v>
      </c>
      <c r="AO1551" s="1058">
        <v>1307625</v>
      </c>
      <c r="AP1551" s="1058">
        <v>1307625</v>
      </c>
      <c r="AQ1551" s="1058">
        <v>1307625</v>
      </c>
      <c r="AR1551" s="1044"/>
      <c r="AS1551" s="1044"/>
    </row>
    <row r="1552" spans="2:45" hidden="1" outlineLevel="1">
      <c r="C1552" s="816" t="s">
        <v>16</v>
      </c>
      <c r="D1552" s="9"/>
      <c r="E1552" s="20" t="s">
        <v>284</v>
      </c>
      <c r="F1552" s="20"/>
      <c r="G1552" s="20"/>
      <c r="H1552" s="20"/>
      <c r="I1552" s="20"/>
      <c r="J1552" s="20"/>
      <c r="K1552" s="20"/>
      <c r="L1552" s="20"/>
      <c r="M1552" s="20"/>
      <c r="N1552" s="20"/>
      <c r="O1552" s="20"/>
      <c r="P1552" s="20"/>
      <c r="Q1552" s="20"/>
      <c r="R1552" s="20"/>
      <c r="S1552" s="20"/>
      <c r="T1552" s="20"/>
      <c r="U1552" s="20"/>
      <c r="V1552" s="20"/>
      <c r="W1552" s="20"/>
      <c r="X1552" s="20"/>
      <c r="Y1552" s="20"/>
      <c r="Z1552" s="20"/>
      <c r="AA1552" s="20"/>
      <c r="AB1552" s="12">
        <v>45802</v>
      </c>
      <c r="AC1552" s="12">
        <v>45802</v>
      </c>
      <c r="AD1552" s="12">
        <v>45802</v>
      </c>
      <c r="AE1552" s="12">
        <v>45802</v>
      </c>
      <c r="AF1552" s="12">
        <v>45802</v>
      </c>
      <c r="AG1552" s="12">
        <v>45802</v>
      </c>
      <c r="AH1552" s="12">
        <v>32634</v>
      </c>
      <c r="AI1552" s="12">
        <v>32634</v>
      </c>
      <c r="AJ1552" s="21">
        <v>32634</v>
      </c>
      <c r="AK1552" s="21">
        <v>32634</v>
      </c>
      <c r="AL1552" s="21">
        <v>32634</v>
      </c>
      <c r="AM1552" s="21">
        <v>32634</v>
      </c>
      <c r="AN1552" s="1058">
        <v>22613</v>
      </c>
      <c r="AO1552" s="1058">
        <v>22613</v>
      </c>
      <c r="AP1552" s="1058">
        <v>22613</v>
      </c>
      <c r="AQ1552" s="1058">
        <v>22613</v>
      </c>
      <c r="AR1552" s="1044"/>
      <c r="AS1552" s="1044"/>
    </row>
    <row r="1553" spans="2:45" hidden="1" outlineLevel="1">
      <c r="C1553" s="816" t="s">
        <v>16</v>
      </c>
      <c r="D1553" s="9"/>
      <c r="E1553" s="20" t="s">
        <v>285</v>
      </c>
      <c r="F1553" s="20"/>
      <c r="G1553" s="20"/>
      <c r="H1553" s="20"/>
      <c r="I1553" s="20"/>
      <c r="J1553" s="20"/>
      <c r="K1553" s="20"/>
      <c r="L1553" s="20"/>
      <c r="M1553" s="20"/>
      <c r="N1553" s="20"/>
      <c r="O1553" s="20"/>
      <c r="P1553" s="20"/>
      <c r="Q1553" s="20"/>
      <c r="R1553" s="20"/>
      <c r="S1553" s="20"/>
      <c r="T1553" s="20"/>
      <c r="U1553" s="20"/>
      <c r="V1553" s="20"/>
      <c r="W1553" s="20"/>
      <c r="X1553" s="20"/>
      <c r="Y1553" s="20"/>
      <c r="Z1553" s="20"/>
      <c r="AA1553" s="20"/>
      <c r="AB1553" s="12">
        <v>296374</v>
      </c>
      <c r="AC1553" s="12">
        <v>296374</v>
      </c>
      <c r="AD1553" s="12">
        <v>296374</v>
      </c>
      <c r="AE1553" s="12">
        <v>296374</v>
      </c>
      <c r="AF1553" s="12">
        <v>296374</v>
      </c>
      <c r="AG1553" s="12">
        <v>296374</v>
      </c>
      <c r="AH1553" s="12">
        <v>211166</v>
      </c>
      <c r="AI1553" s="12">
        <v>211166</v>
      </c>
      <c r="AJ1553" s="21">
        <v>211166</v>
      </c>
      <c r="AK1553" s="21">
        <v>211166</v>
      </c>
      <c r="AL1553" s="21">
        <v>211166</v>
      </c>
      <c r="AM1553" s="21">
        <v>211166</v>
      </c>
      <c r="AN1553" s="1058">
        <v>146322</v>
      </c>
      <c r="AO1553" s="1058">
        <v>146322</v>
      </c>
      <c r="AP1553" s="1058">
        <v>146322</v>
      </c>
      <c r="AQ1553" s="1058">
        <v>146322</v>
      </c>
      <c r="AR1553" s="1044"/>
      <c r="AS1553" s="1044"/>
    </row>
    <row r="1554" spans="2:45" hidden="1" outlineLevel="1">
      <c r="C1554" s="816" t="s">
        <v>16</v>
      </c>
      <c r="D1554" s="9"/>
      <c r="E1554" s="20" t="s">
        <v>286</v>
      </c>
      <c r="F1554" s="20"/>
      <c r="G1554" s="20"/>
      <c r="H1554" s="20"/>
      <c r="I1554" s="20"/>
      <c r="J1554" s="20"/>
      <c r="K1554" s="20"/>
      <c r="L1554" s="20"/>
      <c r="M1554" s="20"/>
      <c r="N1554" s="20"/>
      <c r="O1554" s="20"/>
      <c r="P1554" s="20"/>
      <c r="Q1554" s="20"/>
      <c r="R1554" s="20"/>
      <c r="S1554" s="20"/>
      <c r="T1554" s="20"/>
      <c r="U1554" s="20"/>
      <c r="V1554" s="20"/>
      <c r="W1554" s="20"/>
      <c r="X1554" s="20"/>
      <c r="Y1554" s="20"/>
      <c r="Z1554" s="20"/>
      <c r="AA1554" s="20"/>
      <c r="AB1554" s="12">
        <v>41562</v>
      </c>
      <c r="AC1554" s="12">
        <v>41562</v>
      </c>
      <c r="AD1554" s="12">
        <v>41562</v>
      </c>
      <c r="AE1554" s="12">
        <v>41562</v>
      </c>
      <c r="AF1554" s="12">
        <v>41562</v>
      </c>
      <c r="AG1554" s="12">
        <v>41562</v>
      </c>
      <c r="AH1554" s="12">
        <v>29613</v>
      </c>
      <c r="AI1554" s="12">
        <v>29613</v>
      </c>
      <c r="AJ1554" s="21">
        <v>29613</v>
      </c>
      <c r="AK1554" s="21">
        <v>29613</v>
      </c>
      <c r="AL1554" s="21">
        <v>29613</v>
      </c>
      <c r="AM1554" s="21">
        <v>29613</v>
      </c>
      <c r="AN1554" s="1058">
        <v>20520</v>
      </c>
      <c r="AO1554" s="1058">
        <v>20519</v>
      </c>
      <c r="AP1554" s="1058">
        <v>20520</v>
      </c>
      <c r="AQ1554" s="1058">
        <v>20519</v>
      </c>
      <c r="AR1554" s="1044"/>
      <c r="AS1554" s="1044"/>
    </row>
    <row r="1555" spans="2:45" s="1044" customFormat="1" hidden="1" outlineLevel="1">
      <c r="B1555" s="1045"/>
      <c r="C1555" s="1053" t="s">
        <v>16</v>
      </c>
      <c r="D1555" s="1030"/>
      <c r="E1555" s="1054" t="s">
        <v>2047</v>
      </c>
      <c r="F1555" s="1047"/>
      <c r="G1555" s="1047"/>
      <c r="H1555" s="1047"/>
      <c r="I1555" s="1047"/>
      <c r="J1555" s="1047"/>
      <c r="K1555" s="1047"/>
      <c r="L1555" s="1047"/>
      <c r="M1555" s="1047"/>
      <c r="N1555" s="1047"/>
      <c r="O1555" s="1047"/>
      <c r="P1555" s="1047"/>
      <c r="Q1555" s="1047"/>
      <c r="R1555" s="1047"/>
      <c r="S1555" s="1047"/>
      <c r="T1555" s="1047"/>
      <c r="U1555" s="1047"/>
      <c r="V1555" s="1047"/>
      <c r="W1555" s="1047"/>
      <c r="X1555" s="1047"/>
      <c r="Y1555" s="1047"/>
      <c r="Z1555" s="1047"/>
      <c r="AA1555" s="1047"/>
      <c r="AB1555" s="1070"/>
      <c r="AC1555" s="1070"/>
      <c r="AD1555" s="1070"/>
      <c r="AE1555" s="1070"/>
      <c r="AF1555" s="1070"/>
      <c r="AG1555" s="1070"/>
      <c r="AH1555" s="1070"/>
      <c r="AI1555" s="1070"/>
      <c r="AJ1555" s="1058"/>
      <c r="AK1555" s="1058"/>
      <c r="AL1555" s="1058"/>
      <c r="AM1555" s="1058"/>
      <c r="AN1555" s="1058"/>
      <c r="AO1555" s="1058"/>
      <c r="AP1555" s="1058">
        <v>1750000</v>
      </c>
      <c r="AQ1555" s="1058">
        <v>1750000</v>
      </c>
    </row>
    <row r="1556" spans="2:45" hidden="1" outlineLevel="1">
      <c r="C1556" s="816" t="s">
        <v>16</v>
      </c>
      <c r="D1556" s="9"/>
      <c r="E1556" s="20" t="s">
        <v>287</v>
      </c>
      <c r="F1556" s="20"/>
      <c r="G1556" s="20"/>
      <c r="H1556" s="20"/>
      <c r="I1556" s="20"/>
      <c r="J1556" s="20"/>
      <c r="K1556" s="20"/>
      <c r="L1556" s="20"/>
      <c r="M1556" s="20"/>
      <c r="N1556" s="20"/>
      <c r="O1556" s="20"/>
      <c r="P1556" s="20"/>
      <c r="Q1556" s="20"/>
      <c r="R1556" s="20"/>
      <c r="S1556" s="20"/>
      <c r="T1556" s="20"/>
      <c r="U1556" s="20"/>
      <c r="V1556" s="20"/>
      <c r="W1556" s="20"/>
      <c r="X1556" s="20"/>
      <c r="Y1556" s="20"/>
      <c r="Z1556" s="20"/>
      <c r="AA1556" s="20"/>
      <c r="AB1556" s="12">
        <v>0</v>
      </c>
      <c r="AC1556" s="12">
        <v>0</v>
      </c>
      <c r="AD1556" s="12">
        <v>0</v>
      </c>
      <c r="AE1556" s="12">
        <v>0</v>
      </c>
      <c r="AF1556" s="12">
        <v>0</v>
      </c>
      <c r="AG1556" s="12">
        <v>0</v>
      </c>
      <c r="AH1556" s="12">
        <v>5000000</v>
      </c>
      <c r="AI1556" s="12">
        <v>0</v>
      </c>
      <c r="AJ1556" s="12">
        <v>0</v>
      </c>
      <c r="AK1556" s="12">
        <v>0</v>
      </c>
      <c r="AL1556" s="12">
        <v>0</v>
      </c>
      <c r="AM1556" s="12">
        <v>0</v>
      </c>
      <c r="AN1556" s="1070"/>
      <c r="AO1556" s="1070"/>
      <c r="AP1556" s="1070"/>
      <c r="AQ1556" s="1070"/>
      <c r="AR1556" s="1044"/>
      <c r="AS1556" s="1044"/>
    </row>
    <row r="1557" spans="2:45" hidden="1" outlineLevel="1">
      <c r="C1557" s="816" t="s">
        <v>16</v>
      </c>
      <c r="D1557" s="223" t="s">
        <v>1354</v>
      </c>
      <c r="E1557" s="20" t="s">
        <v>288</v>
      </c>
      <c r="F1557" s="20"/>
      <c r="G1557" s="20"/>
      <c r="H1557" s="20"/>
      <c r="I1557" s="20"/>
      <c r="J1557" s="20"/>
      <c r="K1557" s="20"/>
      <c r="L1557" s="20"/>
      <c r="M1557" s="20"/>
      <c r="N1557" s="20"/>
      <c r="O1557" s="20"/>
      <c r="P1557" s="20"/>
      <c r="Q1557" s="20"/>
      <c r="R1557" s="20"/>
      <c r="S1557" s="20"/>
      <c r="T1557" s="20"/>
      <c r="U1557" s="20"/>
      <c r="V1557" s="20"/>
      <c r="W1557" s="20"/>
      <c r="X1557" s="20"/>
      <c r="Y1557" s="20"/>
      <c r="Z1557" s="20"/>
      <c r="AA1557" s="20"/>
      <c r="AB1557" s="12">
        <v>2570122</v>
      </c>
      <c r="AC1557" s="12">
        <v>2570124</v>
      </c>
      <c r="AD1557" s="12">
        <v>2570122</v>
      </c>
      <c r="AE1557" s="12">
        <v>2570124</v>
      </c>
      <c r="AF1557" s="12">
        <v>2303242</v>
      </c>
      <c r="AG1557" s="12">
        <v>2303242</v>
      </c>
      <c r="AH1557" s="12">
        <v>1641060</v>
      </c>
      <c r="AI1557" s="12">
        <v>1641060</v>
      </c>
      <c r="AJ1557" s="21">
        <v>1641060</v>
      </c>
      <c r="AK1557" s="21">
        <v>1641060</v>
      </c>
      <c r="AL1557" s="1222">
        <v>1643423</v>
      </c>
      <c r="AM1557" s="1222">
        <v>1643423</v>
      </c>
      <c r="AN1557" s="1058">
        <v>1201054</v>
      </c>
      <c r="AO1557" s="1058">
        <v>1201054</v>
      </c>
      <c r="AP1557" s="1058">
        <v>1201054</v>
      </c>
      <c r="AQ1557" s="1058">
        <v>1201054</v>
      </c>
      <c r="AR1557" s="1044"/>
      <c r="AS1557" s="1044"/>
    </row>
    <row r="1558" spans="2:45" hidden="1" outlineLevel="1">
      <c r="C1558" s="816" t="s">
        <v>16</v>
      </c>
      <c r="D1558" s="9"/>
      <c r="E1558" s="20" t="s">
        <v>289</v>
      </c>
      <c r="F1558" s="20"/>
      <c r="G1558" s="20"/>
      <c r="H1558" s="20"/>
      <c r="I1558" s="20"/>
      <c r="J1558" s="20"/>
      <c r="K1558" s="20"/>
      <c r="L1558" s="20"/>
      <c r="M1558" s="20"/>
      <c r="N1558" s="20"/>
      <c r="O1558" s="20"/>
      <c r="P1558" s="20"/>
      <c r="Q1558" s="20"/>
      <c r="R1558" s="20"/>
      <c r="S1558" s="20"/>
      <c r="T1558" s="20"/>
      <c r="U1558" s="20"/>
      <c r="V1558" s="20"/>
      <c r="W1558" s="20"/>
      <c r="X1558" s="20"/>
      <c r="Y1558" s="20"/>
      <c r="Z1558" s="20"/>
      <c r="AA1558" s="20"/>
      <c r="AB1558" s="12">
        <v>109544</v>
      </c>
      <c r="AC1558" s="12">
        <v>109544</v>
      </c>
      <c r="AD1558" s="12">
        <v>109544</v>
      </c>
      <c r="AE1558" s="12">
        <v>109544</v>
      </c>
      <c r="AF1558" s="12">
        <v>109544</v>
      </c>
      <c r="AG1558" s="12">
        <v>109544</v>
      </c>
      <c r="AH1558" s="12">
        <v>78050</v>
      </c>
      <c r="AI1558" s="12">
        <v>78050</v>
      </c>
      <c r="AJ1558" s="21">
        <v>78050</v>
      </c>
      <c r="AK1558" s="21">
        <v>78050</v>
      </c>
      <c r="AL1558" s="21">
        <v>78050</v>
      </c>
      <c r="AM1558" s="21">
        <v>78050</v>
      </c>
      <c r="AN1558" s="1058"/>
      <c r="AO1558" s="1058"/>
      <c r="AP1558" s="1058"/>
      <c r="AQ1558" s="1058"/>
      <c r="AR1558" s="1044"/>
      <c r="AS1558" s="1044"/>
    </row>
    <row r="1559" spans="2:45" hidden="1" outlineLevel="1">
      <c r="C1559" s="816" t="s">
        <v>16</v>
      </c>
      <c r="D1559" s="223" t="s">
        <v>1200</v>
      </c>
      <c r="E1559" s="25" t="s">
        <v>291</v>
      </c>
      <c r="F1559" s="6"/>
      <c r="G1559" s="6"/>
      <c r="H1559" s="6"/>
      <c r="I1559" s="6"/>
      <c r="J1559" s="6"/>
      <c r="K1559" s="6"/>
      <c r="L1559" s="6"/>
      <c r="M1559" s="6"/>
      <c r="N1559" s="6"/>
      <c r="O1559" s="6"/>
      <c r="P1559" s="6"/>
      <c r="Q1559" s="6"/>
      <c r="R1559" s="6"/>
      <c r="S1559" s="6"/>
      <c r="T1559" s="6"/>
      <c r="U1559" s="6"/>
      <c r="V1559" s="6"/>
      <c r="W1559" s="6"/>
      <c r="X1559" s="6"/>
      <c r="Y1559" s="6"/>
      <c r="Z1559" s="6"/>
      <c r="AA1559" s="6"/>
      <c r="AB1559" s="7">
        <v>4495499</v>
      </c>
      <c r="AC1559" s="7">
        <v>4495501</v>
      </c>
      <c r="AD1559" s="7">
        <v>4495499</v>
      </c>
      <c r="AE1559" s="7">
        <v>4495501</v>
      </c>
      <c r="AF1559" s="7">
        <f t="shared" ref="AF1559:AQ1559" si="315">SUM(AF1550:AF1558)</f>
        <v>4228619</v>
      </c>
      <c r="AG1559" s="7">
        <f t="shared" si="315"/>
        <v>4228619</v>
      </c>
      <c r="AH1559" s="7">
        <f t="shared" si="315"/>
        <v>8012890</v>
      </c>
      <c r="AI1559" s="7">
        <f t="shared" si="315"/>
        <v>3012890</v>
      </c>
      <c r="AJ1559" s="7">
        <f t="shared" si="315"/>
        <v>3012890</v>
      </c>
      <c r="AK1559" s="7">
        <f t="shared" si="315"/>
        <v>3012890</v>
      </c>
      <c r="AL1559" s="60">
        <f t="shared" si="315"/>
        <v>4015253</v>
      </c>
      <c r="AM1559" s="60">
        <f t="shared" si="315"/>
        <v>4015253</v>
      </c>
      <c r="AN1559" s="1074">
        <f t="shared" si="315"/>
        <v>2717773</v>
      </c>
      <c r="AO1559" s="1074">
        <f t="shared" si="315"/>
        <v>2717771</v>
      </c>
      <c r="AP1559" s="1074">
        <f t="shared" si="315"/>
        <v>4467773</v>
      </c>
      <c r="AQ1559" s="1074">
        <f t="shared" si="315"/>
        <v>4467771</v>
      </c>
      <c r="AR1559" s="222"/>
      <c r="AS1559" s="1044"/>
    </row>
    <row r="1560" spans="2:45" hidden="1" outlineLevel="1">
      <c r="C1560" s="816" t="s">
        <v>16</v>
      </c>
      <c r="D1560" s="9"/>
      <c r="E1560" s="20" t="s">
        <v>292</v>
      </c>
      <c r="F1560" s="20"/>
      <c r="G1560" s="20"/>
      <c r="H1560" s="20"/>
      <c r="I1560" s="20"/>
      <c r="J1560" s="20"/>
      <c r="K1560" s="20"/>
      <c r="L1560" s="20"/>
      <c r="M1560" s="20"/>
      <c r="N1560" s="20"/>
      <c r="O1560" s="20"/>
      <c r="P1560" s="20"/>
      <c r="Q1560" s="20"/>
      <c r="R1560" s="20"/>
      <c r="S1560" s="20"/>
      <c r="T1560" s="20"/>
      <c r="U1560" s="20"/>
      <c r="V1560" s="20"/>
      <c r="W1560" s="20"/>
      <c r="X1560" s="20"/>
      <c r="Y1560" s="20"/>
      <c r="Z1560" s="20"/>
      <c r="AA1560" s="20"/>
      <c r="AB1560" s="12"/>
      <c r="AC1560" s="12"/>
      <c r="AD1560" s="12"/>
      <c r="AE1560" s="12"/>
      <c r="AF1560" s="12">
        <v>0</v>
      </c>
      <c r="AG1560" s="12">
        <v>0</v>
      </c>
      <c r="AH1560" s="12">
        <v>1500000</v>
      </c>
      <c r="AI1560" s="12">
        <v>1500000</v>
      </c>
      <c r="AJ1560" s="21">
        <v>1500000</v>
      </c>
      <c r="AK1560" s="21">
        <v>1500000</v>
      </c>
      <c r="AL1560" s="1222">
        <v>11500000</v>
      </c>
      <c r="AM1560" s="1222">
        <v>11500000</v>
      </c>
      <c r="AN1560" s="1058">
        <v>7984276</v>
      </c>
      <c r="AO1560" s="1058">
        <v>7984276</v>
      </c>
      <c r="AP1560" s="1058">
        <v>7984276</v>
      </c>
      <c r="AQ1560" s="1058">
        <v>7984276</v>
      </c>
      <c r="AR1560" s="1044"/>
      <c r="AS1560" s="1044"/>
    </row>
    <row r="1561" spans="2:45" hidden="1" outlineLevel="1">
      <c r="C1561" s="816" t="s">
        <v>16</v>
      </c>
      <c r="D1561" s="223" t="s">
        <v>1254</v>
      </c>
      <c r="E1561" s="278" t="s">
        <v>293</v>
      </c>
      <c r="F1561" s="20"/>
      <c r="G1561" s="20"/>
      <c r="H1561" s="20"/>
      <c r="I1561" s="20"/>
      <c r="J1561" s="20"/>
      <c r="K1561" s="20"/>
      <c r="L1561" s="20"/>
      <c r="M1561" s="20"/>
      <c r="N1561" s="20"/>
      <c r="O1561" s="20"/>
      <c r="P1561" s="20"/>
      <c r="Q1561" s="20"/>
      <c r="R1561" s="20"/>
      <c r="S1561" s="20"/>
      <c r="T1561" s="20"/>
      <c r="U1561" s="20"/>
      <c r="V1561" s="20"/>
      <c r="W1561" s="20"/>
      <c r="X1561" s="20"/>
      <c r="Y1561" s="20"/>
      <c r="Z1561" s="20"/>
      <c r="AA1561" s="20"/>
      <c r="AB1561" s="12">
        <v>605303</v>
      </c>
      <c r="AC1561" s="12">
        <v>605303</v>
      </c>
      <c r="AD1561" s="12">
        <v>2605303</v>
      </c>
      <c r="AE1561" s="12">
        <v>605303</v>
      </c>
      <c r="AF1561" s="12">
        <v>1605303</v>
      </c>
      <c r="AG1561" s="12">
        <v>1605303</v>
      </c>
      <c r="AH1561" s="12">
        <v>1703977</v>
      </c>
      <c r="AI1561" s="12">
        <v>1703977</v>
      </c>
      <c r="AJ1561" s="21">
        <v>2003977</v>
      </c>
      <c r="AK1561" s="21">
        <v>2003977</v>
      </c>
      <c r="AL1561" s="21">
        <v>5353977</v>
      </c>
      <c r="AM1561" s="1222">
        <v>2503977</v>
      </c>
      <c r="AN1561" s="1058">
        <v>3238474</v>
      </c>
      <c r="AO1561" s="1058">
        <v>3238473</v>
      </c>
      <c r="AP1561" s="1058">
        <v>4428977</v>
      </c>
      <c r="AQ1561" s="1058">
        <v>4428977</v>
      </c>
      <c r="AR1561" s="1044"/>
      <c r="AS1561" s="1044"/>
    </row>
    <row r="1562" spans="2:45" hidden="1" outlineLevel="1">
      <c r="C1562" s="816" t="s">
        <v>16</v>
      </c>
      <c r="D1562" s="9"/>
      <c r="E1562" s="20" t="s">
        <v>294</v>
      </c>
      <c r="F1562" s="20"/>
      <c r="G1562" s="20"/>
      <c r="H1562" s="20"/>
      <c r="I1562" s="20"/>
      <c r="J1562" s="20"/>
      <c r="K1562" s="20"/>
      <c r="L1562" s="20"/>
      <c r="M1562" s="20"/>
      <c r="N1562" s="20"/>
      <c r="O1562" s="20"/>
      <c r="P1562" s="20"/>
      <c r="Q1562" s="20"/>
      <c r="R1562" s="20"/>
      <c r="S1562" s="20"/>
      <c r="T1562" s="20"/>
      <c r="U1562" s="20"/>
      <c r="V1562" s="20"/>
      <c r="W1562" s="20"/>
      <c r="X1562" s="20"/>
      <c r="Y1562" s="20"/>
      <c r="Z1562" s="20"/>
      <c r="AA1562" s="20"/>
      <c r="AB1562" s="12"/>
      <c r="AC1562" s="12"/>
      <c r="AD1562" s="12"/>
      <c r="AE1562" s="12"/>
      <c r="AF1562" s="12"/>
      <c r="AG1562" s="12"/>
      <c r="AH1562" s="12"/>
      <c r="AI1562" s="12"/>
      <c r="AJ1562" s="21">
        <v>108823</v>
      </c>
      <c r="AK1562" s="21">
        <v>108823</v>
      </c>
      <c r="AL1562" s="21">
        <v>108823</v>
      </c>
      <c r="AM1562" s="21">
        <v>108823</v>
      </c>
      <c r="AN1562" s="1058">
        <v>75555</v>
      </c>
      <c r="AO1562" s="1058">
        <v>75554</v>
      </c>
      <c r="AP1562" s="1058">
        <v>75555</v>
      </c>
      <c r="AQ1562" s="1058">
        <v>75554</v>
      </c>
      <c r="AR1562" s="1044"/>
      <c r="AS1562" s="1044"/>
    </row>
    <row r="1563" spans="2:45" hidden="1" outlineLevel="1">
      <c r="C1563" s="816" t="s">
        <v>16</v>
      </c>
      <c r="D1563" s="223" t="s">
        <v>1254</v>
      </c>
      <c r="E1563" s="278" t="s">
        <v>295</v>
      </c>
      <c r="F1563" s="20"/>
      <c r="G1563" s="20"/>
      <c r="H1563" s="20"/>
      <c r="I1563" s="20"/>
      <c r="J1563" s="20"/>
      <c r="K1563" s="20"/>
      <c r="L1563" s="20"/>
      <c r="M1563" s="20"/>
      <c r="N1563" s="20"/>
      <c r="O1563" s="20"/>
      <c r="P1563" s="20"/>
      <c r="Q1563" s="20"/>
      <c r="R1563" s="20"/>
      <c r="S1563" s="20"/>
      <c r="T1563" s="20"/>
      <c r="U1563" s="20"/>
      <c r="V1563" s="20"/>
      <c r="W1563" s="20"/>
      <c r="X1563" s="20"/>
      <c r="Y1563" s="20"/>
      <c r="Z1563" s="20"/>
      <c r="AA1563" s="20"/>
      <c r="AB1563" s="12">
        <v>1048093</v>
      </c>
      <c r="AC1563" s="12">
        <v>1048093</v>
      </c>
      <c r="AD1563" s="12">
        <v>1048093</v>
      </c>
      <c r="AE1563" s="12">
        <v>1048093</v>
      </c>
      <c r="AF1563" s="12">
        <v>1048093</v>
      </c>
      <c r="AG1563" s="12">
        <v>1048093</v>
      </c>
      <c r="AH1563" s="12">
        <v>786070</v>
      </c>
      <c r="AI1563" s="12">
        <v>786070</v>
      </c>
      <c r="AJ1563" s="21">
        <v>786070</v>
      </c>
      <c r="AK1563" s="21">
        <v>786070</v>
      </c>
      <c r="AL1563" s="21">
        <v>786070</v>
      </c>
      <c r="AM1563" s="21">
        <v>786070</v>
      </c>
      <c r="AN1563" s="1058">
        <v>545757</v>
      </c>
      <c r="AO1563" s="1058">
        <v>545756</v>
      </c>
      <c r="AP1563" s="1058">
        <v>786070</v>
      </c>
      <c r="AQ1563" s="1058">
        <v>786070</v>
      </c>
      <c r="AR1563" s="1044"/>
      <c r="AS1563" s="1044"/>
    </row>
    <row r="1564" spans="2:45" hidden="1" outlineLevel="1">
      <c r="C1564" s="816" t="s">
        <v>16</v>
      </c>
      <c r="D1564" s="223" t="s">
        <v>1254</v>
      </c>
      <c r="E1564" s="278" t="s">
        <v>296</v>
      </c>
      <c r="F1564" s="20"/>
      <c r="G1564" s="20"/>
      <c r="H1564" s="20"/>
      <c r="I1564" s="20"/>
      <c r="J1564" s="20"/>
      <c r="K1564" s="20"/>
      <c r="L1564" s="20"/>
      <c r="M1564" s="20"/>
      <c r="N1564" s="20"/>
      <c r="O1564" s="20"/>
      <c r="P1564" s="20"/>
      <c r="Q1564" s="20"/>
      <c r="R1564" s="20"/>
      <c r="S1564" s="20"/>
      <c r="T1564" s="20"/>
      <c r="U1564" s="20"/>
      <c r="V1564" s="20"/>
      <c r="W1564" s="20"/>
      <c r="X1564" s="20"/>
      <c r="Y1564" s="20"/>
      <c r="Z1564" s="20"/>
      <c r="AA1564" s="20"/>
      <c r="AB1564" s="12">
        <v>2856849</v>
      </c>
      <c r="AC1564" s="12">
        <v>2856849</v>
      </c>
      <c r="AD1564" s="12">
        <v>2856849</v>
      </c>
      <c r="AE1564" s="12">
        <v>2856849</v>
      </c>
      <c r="AF1564" s="12">
        <v>2856849</v>
      </c>
      <c r="AG1564" s="12">
        <v>2856849</v>
      </c>
      <c r="AH1564" s="12">
        <v>5517637</v>
      </c>
      <c r="AI1564" s="12">
        <v>5517637</v>
      </c>
      <c r="AJ1564" s="21">
        <v>1017637</v>
      </c>
      <c r="AK1564" s="21">
        <v>1017637</v>
      </c>
      <c r="AL1564" s="21">
        <v>1517637</v>
      </c>
      <c r="AM1564" s="21">
        <v>1517637</v>
      </c>
      <c r="AN1564" s="1058">
        <v>1072588</v>
      </c>
      <c r="AO1564" s="1058">
        <v>1072587</v>
      </c>
      <c r="AP1564" s="1058">
        <v>3753537</v>
      </c>
      <c r="AQ1564" s="1058">
        <v>3753537</v>
      </c>
      <c r="AR1564" s="1044"/>
      <c r="AS1564" s="1044"/>
    </row>
    <row r="1565" spans="2:45" hidden="1" outlineLevel="1">
      <c r="C1565" s="816" t="s">
        <v>16</v>
      </c>
      <c r="D1565" s="223" t="s">
        <v>1254</v>
      </c>
      <c r="E1565" s="278" t="s">
        <v>297</v>
      </c>
      <c r="F1565" s="20"/>
      <c r="G1565" s="20"/>
      <c r="H1565" s="20"/>
      <c r="I1565" s="20"/>
      <c r="J1565" s="20"/>
      <c r="K1565" s="20"/>
      <c r="L1565" s="20"/>
      <c r="M1565" s="20"/>
      <c r="N1565" s="20"/>
      <c r="O1565" s="20"/>
      <c r="P1565" s="20"/>
      <c r="Q1565" s="20"/>
      <c r="R1565" s="20"/>
      <c r="S1565" s="20"/>
      <c r="T1565" s="20"/>
      <c r="U1565" s="20"/>
      <c r="V1565" s="20"/>
      <c r="W1565" s="20"/>
      <c r="X1565" s="20"/>
      <c r="Y1565" s="20"/>
      <c r="Z1565" s="20"/>
      <c r="AA1565" s="20"/>
      <c r="AB1565" s="12">
        <v>232487</v>
      </c>
      <c r="AC1565" s="12">
        <v>232487</v>
      </c>
      <c r="AD1565" s="12">
        <v>232487</v>
      </c>
      <c r="AE1565" s="12">
        <v>232487</v>
      </c>
      <c r="AF1565" s="12">
        <v>232487</v>
      </c>
      <c r="AG1565" s="12">
        <v>232487</v>
      </c>
      <c r="AH1565" s="12">
        <v>1174365</v>
      </c>
      <c r="AI1565" s="12">
        <v>174365</v>
      </c>
      <c r="AJ1565" s="21">
        <v>174365</v>
      </c>
      <c r="AK1565" s="21">
        <v>174365</v>
      </c>
      <c r="AL1565" s="21">
        <v>174365</v>
      </c>
      <c r="AM1565" s="21">
        <v>174365</v>
      </c>
      <c r="AN1565" s="1058">
        <v>121059</v>
      </c>
      <c r="AO1565" s="1058">
        <v>121059</v>
      </c>
      <c r="AP1565" s="1058">
        <v>121059</v>
      </c>
      <c r="AQ1565" s="1058">
        <v>121059</v>
      </c>
      <c r="AR1565" s="1044"/>
      <c r="AS1565" s="1044"/>
    </row>
    <row r="1566" spans="2:45" hidden="1" outlineLevel="1">
      <c r="C1566" s="816" t="s">
        <v>16</v>
      </c>
      <c r="D1566" s="223" t="s">
        <v>1254</v>
      </c>
      <c r="E1566" s="278" t="s">
        <v>298</v>
      </c>
      <c r="F1566" s="20"/>
      <c r="G1566" s="20"/>
      <c r="H1566" s="20"/>
      <c r="I1566" s="20"/>
      <c r="J1566" s="20"/>
      <c r="K1566" s="20"/>
      <c r="L1566" s="20"/>
      <c r="M1566" s="20"/>
      <c r="N1566" s="20"/>
      <c r="O1566" s="20"/>
      <c r="P1566" s="20"/>
      <c r="Q1566" s="20"/>
      <c r="R1566" s="20"/>
      <c r="S1566" s="20"/>
      <c r="T1566" s="20"/>
      <c r="U1566" s="20"/>
      <c r="V1566" s="20"/>
      <c r="W1566" s="20"/>
      <c r="X1566" s="20"/>
      <c r="Y1566" s="20"/>
      <c r="Z1566" s="20"/>
      <c r="AA1566" s="20"/>
      <c r="AB1566" s="12">
        <v>2853587</v>
      </c>
      <c r="AC1566" s="12">
        <v>2853587</v>
      </c>
      <c r="AD1566" s="12">
        <v>4353587</v>
      </c>
      <c r="AE1566" s="12">
        <v>4353587</v>
      </c>
      <c r="AF1566" s="12">
        <v>4353587</v>
      </c>
      <c r="AG1566" s="12">
        <v>4353587</v>
      </c>
      <c r="AH1566" s="12">
        <v>3765190</v>
      </c>
      <c r="AI1566" s="12">
        <v>3765190</v>
      </c>
      <c r="AJ1566" s="21">
        <v>3765190</v>
      </c>
      <c r="AK1566" s="21">
        <v>3765190</v>
      </c>
      <c r="AL1566" s="21">
        <v>3765190</v>
      </c>
      <c r="AM1566" s="21">
        <v>3765190</v>
      </c>
      <c r="AN1566" s="1058">
        <v>2614114</v>
      </c>
      <c r="AO1566" s="1058">
        <v>2614114</v>
      </c>
      <c r="AP1566" s="1058">
        <v>3765190</v>
      </c>
      <c r="AQ1566" s="1058">
        <v>3765190</v>
      </c>
      <c r="AR1566" s="1044"/>
      <c r="AS1566" s="1044"/>
    </row>
    <row r="1567" spans="2:45" hidden="1" outlineLevel="1">
      <c r="C1567" s="816" t="s">
        <v>16</v>
      </c>
      <c r="D1567" s="223" t="s">
        <v>1254</v>
      </c>
      <c r="E1567" s="278" t="s">
        <v>299</v>
      </c>
      <c r="F1567" s="20"/>
      <c r="G1567" s="20"/>
      <c r="H1567" s="20"/>
      <c r="I1567" s="20"/>
      <c r="J1567" s="20"/>
      <c r="K1567" s="20"/>
      <c r="L1567" s="20"/>
      <c r="M1567" s="20"/>
      <c r="N1567" s="20"/>
      <c r="O1567" s="20"/>
      <c r="P1567" s="20"/>
      <c r="Q1567" s="20"/>
      <c r="R1567" s="20"/>
      <c r="S1567" s="20"/>
      <c r="T1567" s="20"/>
      <c r="U1567" s="20"/>
      <c r="V1567" s="20"/>
      <c r="W1567" s="20"/>
      <c r="X1567" s="20"/>
      <c r="Y1567" s="20"/>
      <c r="Z1567" s="20"/>
      <c r="AA1567" s="20"/>
      <c r="AB1567" s="12">
        <v>576008</v>
      </c>
      <c r="AC1567" s="12">
        <v>576008</v>
      </c>
      <c r="AD1567" s="12">
        <v>576008</v>
      </c>
      <c r="AE1567" s="12">
        <v>576008</v>
      </c>
      <c r="AF1567" s="12">
        <v>576008</v>
      </c>
      <c r="AG1567" s="12">
        <v>576008</v>
      </c>
      <c r="AH1567" s="12">
        <v>432006</v>
      </c>
      <c r="AI1567" s="12">
        <v>432006</v>
      </c>
      <c r="AJ1567" s="21">
        <v>432006</v>
      </c>
      <c r="AK1567" s="21">
        <v>432006</v>
      </c>
      <c r="AL1567" s="21">
        <v>432006</v>
      </c>
      <c r="AM1567" s="21">
        <v>432006</v>
      </c>
      <c r="AN1567" s="1058">
        <v>299935</v>
      </c>
      <c r="AO1567" s="1058">
        <v>299935</v>
      </c>
      <c r="AP1567" s="1058">
        <v>432006</v>
      </c>
      <c r="AQ1567" s="1058">
        <v>432006</v>
      </c>
      <c r="AR1567" s="1044"/>
      <c r="AS1567" s="1044"/>
    </row>
    <row r="1568" spans="2:45" hidden="1" outlineLevel="1">
      <c r="C1568" s="816" t="s">
        <v>16</v>
      </c>
      <c r="D1568" s="1051" t="s">
        <v>1254</v>
      </c>
      <c r="E1568" s="278" t="s">
        <v>300</v>
      </c>
      <c r="F1568" s="20"/>
      <c r="G1568" s="20"/>
      <c r="H1568" s="20"/>
      <c r="I1568" s="20"/>
      <c r="J1568" s="20"/>
      <c r="K1568" s="20"/>
      <c r="L1568" s="20"/>
      <c r="M1568" s="20"/>
      <c r="N1568" s="20"/>
      <c r="O1568" s="20"/>
      <c r="P1568" s="20"/>
      <c r="Q1568" s="20"/>
      <c r="R1568" s="20"/>
      <c r="S1568" s="20"/>
      <c r="T1568" s="20"/>
      <c r="U1568" s="20"/>
      <c r="V1568" s="20"/>
      <c r="W1568" s="20"/>
      <c r="X1568" s="20"/>
      <c r="Y1568" s="20"/>
      <c r="Z1568" s="20"/>
      <c r="AA1568" s="20"/>
      <c r="AB1568" s="12"/>
      <c r="AC1568" s="12"/>
      <c r="AD1568" s="12"/>
      <c r="AE1568" s="12"/>
      <c r="AF1568" s="12"/>
      <c r="AG1568" s="12"/>
      <c r="AH1568" s="12"/>
      <c r="AI1568" s="12"/>
      <c r="AJ1568" s="21">
        <v>4950000</v>
      </c>
      <c r="AK1568" s="21">
        <v>4950000</v>
      </c>
      <c r="AL1568" s="21">
        <v>4950000</v>
      </c>
      <c r="AM1568" s="21">
        <v>4950000</v>
      </c>
      <c r="AN1568" s="1058">
        <v>3255831</v>
      </c>
      <c r="AO1568" s="1058">
        <v>3255830</v>
      </c>
      <c r="AP1568" s="1058">
        <v>4950000</v>
      </c>
      <c r="AQ1568" s="1058">
        <v>4950000</v>
      </c>
      <c r="AR1568" s="1044"/>
      <c r="AS1568" s="1044"/>
    </row>
    <row r="1569" spans="3:45" hidden="1" outlineLevel="1">
      <c r="C1569" s="816" t="s">
        <v>16</v>
      </c>
      <c r="D1569" s="9"/>
      <c r="E1569" s="20" t="s">
        <v>301</v>
      </c>
      <c r="F1569" s="20"/>
      <c r="G1569" s="20"/>
      <c r="H1569" s="20"/>
      <c r="I1569" s="20"/>
      <c r="J1569" s="20"/>
      <c r="K1569" s="20"/>
      <c r="L1569" s="20"/>
      <c r="M1569" s="20"/>
      <c r="N1569" s="20"/>
      <c r="O1569" s="20"/>
      <c r="P1569" s="20"/>
      <c r="Q1569" s="20"/>
      <c r="R1569" s="20"/>
      <c r="S1569" s="20"/>
      <c r="T1569" s="20"/>
      <c r="U1569" s="20"/>
      <c r="V1569" s="20"/>
      <c r="W1569" s="20"/>
      <c r="X1569" s="20"/>
      <c r="Y1569" s="20"/>
      <c r="Z1569" s="20"/>
      <c r="AA1569" s="20"/>
      <c r="AB1569" s="12"/>
      <c r="AC1569" s="12"/>
      <c r="AD1569" s="12"/>
      <c r="AE1569" s="12"/>
      <c r="AF1569" s="12"/>
      <c r="AG1569" s="12"/>
      <c r="AH1569" s="12"/>
      <c r="AI1569" s="12"/>
      <c r="AJ1569" s="21">
        <v>2500000</v>
      </c>
      <c r="AK1569" s="21">
        <v>2500000</v>
      </c>
      <c r="AL1569" s="1222">
        <v>0</v>
      </c>
      <c r="AM1569" s="1222">
        <v>0</v>
      </c>
      <c r="AN1569" s="1058"/>
      <c r="AO1569" s="1058"/>
      <c r="AP1569" s="1058"/>
      <c r="AQ1569" s="1058"/>
      <c r="AR1569" s="1044"/>
      <c r="AS1569" s="1044"/>
    </row>
    <row r="1570" spans="3:45" hidden="1" outlineLevel="1">
      <c r="C1570" s="816" t="s">
        <v>16</v>
      </c>
      <c r="D1570" s="9"/>
      <c r="E1570" s="20" t="s">
        <v>302</v>
      </c>
      <c r="F1570" s="20"/>
      <c r="G1570" s="20"/>
      <c r="H1570" s="20"/>
      <c r="I1570" s="20"/>
      <c r="J1570" s="20"/>
      <c r="K1570" s="20"/>
      <c r="L1570" s="20"/>
      <c r="M1570" s="20"/>
      <c r="N1570" s="20"/>
      <c r="O1570" s="20"/>
      <c r="P1570" s="20"/>
      <c r="Q1570" s="20"/>
      <c r="R1570" s="20"/>
      <c r="S1570" s="20"/>
      <c r="T1570" s="20"/>
      <c r="U1570" s="20"/>
      <c r="V1570" s="20"/>
      <c r="W1570" s="20"/>
      <c r="X1570" s="20"/>
      <c r="Y1570" s="20"/>
      <c r="Z1570" s="20"/>
      <c r="AA1570" s="20"/>
      <c r="AB1570" s="12">
        <v>145097</v>
      </c>
      <c r="AC1570" s="12">
        <v>145097</v>
      </c>
      <c r="AD1570" s="12">
        <v>145097</v>
      </c>
      <c r="AE1570" s="12">
        <v>145097</v>
      </c>
      <c r="AF1570" s="12">
        <v>145097</v>
      </c>
      <c r="AG1570" s="12">
        <v>145097</v>
      </c>
      <c r="AH1570" s="12">
        <v>108823</v>
      </c>
      <c r="AI1570" s="12">
        <v>108823</v>
      </c>
      <c r="AJ1570" s="22"/>
      <c r="AK1570" s="22"/>
      <c r="AL1570" s="22"/>
      <c r="AM1570" s="22"/>
      <c r="AN1570" s="1059"/>
      <c r="AO1570" s="1059"/>
      <c r="AP1570" s="1059"/>
      <c r="AQ1570" s="1059"/>
      <c r="AR1570" s="1044"/>
      <c r="AS1570" s="1044"/>
    </row>
    <row r="1571" spans="3:45" hidden="1" outlineLevel="1">
      <c r="C1571" s="816" t="s">
        <v>16</v>
      </c>
      <c r="D1571" s="9"/>
      <c r="E1571" s="20" t="s">
        <v>303</v>
      </c>
      <c r="F1571" s="20"/>
      <c r="G1571" s="20"/>
      <c r="H1571" s="20"/>
      <c r="I1571" s="20"/>
      <c r="J1571" s="20"/>
      <c r="K1571" s="20"/>
      <c r="L1571" s="20"/>
      <c r="M1571" s="20"/>
      <c r="N1571" s="20"/>
      <c r="O1571" s="20"/>
      <c r="P1571" s="20"/>
      <c r="Q1571" s="20"/>
      <c r="R1571" s="20"/>
      <c r="S1571" s="20"/>
      <c r="T1571" s="20"/>
      <c r="U1571" s="20"/>
      <c r="V1571" s="20"/>
      <c r="W1571" s="20"/>
      <c r="X1571" s="20"/>
      <c r="Y1571" s="20"/>
      <c r="Z1571" s="20"/>
      <c r="AA1571" s="20"/>
      <c r="AB1571" s="12">
        <v>192215</v>
      </c>
      <c r="AC1571" s="12">
        <v>192215</v>
      </c>
      <c r="AD1571" s="12">
        <v>192215</v>
      </c>
      <c r="AE1571" s="12">
        <v>192215</v>
      </c>
      <c r="AF1571" s="12">
        <v>192215</v>
      </c>
      <c r="AG1571" s="12">
        <v>192215</v>
      </c>
      <c r="AH1571" s="12">
        <v>144161</v>
      </c>
      <c r="AI1571" s="12">
        <v>144161</v>
      </c>
      <c r="AJ1571" s="21">
        <v>144161</v>
      </c>
      <c r="AK1571" s="21">
        <v>144161</v>
      </c>
      <c r="AL1571" s="21">
        <v>144161</v>
      </c>
      <c r="AM1571" s="21">
        <v>144161</v>
      </c>
      <c r="AN1571" s="1058">
        <v>100089</v>
      </c>
      <c r="AO1571" s="1058">
        <v>100089</v>
      </c>
      <c r="AP1571" s="1058">
        <v>100089</v>
      </c>
      <c r="AQ1571" s="1058">
        <v>100089</v>
      </c>
      <c r="AR1571" s="1044"/>
      <c r="AS1571" s="1044"/>
    </row>
    <row r="1572" spans="3:45" hidden="1" outlineLevel="1">
      <c r="C1572" s="816" t="s">
        <v>16</v>
      </c>
      <c r="D1572" s="9"/>
      <c r="E1572" s="20" t="s">
        <v>304</v>
      </c>
      <c r="F1572" s="20"/>
      <c r="G1572" s="20"/>
      <c r="H1572" s="20"/>
      <c r="I1572" s="20"/>
      <c r="J1572" s="20"/>
      <c r="K1572" s="20"/>
      <c r="L1572" s="20"/>
      <c r="M1572" s="20"/>
      <c r="N1572" s="20"/>
      <c r="O1572" s="20"/>
      <c r="P1572" s="20"/>
      <c r="Q1572" s="20"/>
      <c r="R1572" s="20"/>
      <c r="S1572" s="20"/>
      <c r="T1572" s="20"/>
      <c r="U1572" s="20"/>
      <c r="V1572" s="20"/>
      <c r="W1572" s="20"/>
      <c r="X1572" s="20"/>
      <c r="Y1572" s="20"/>
      <c r="Z1572" s="20"/>
      <c r="AA1572" s="20"/>
      <c r="AB1572" s="12">
        <v>344408</v>
      </c>
      <c r="AC1572" s="12">
        <v>344408</v>
      </c>
      <c r="AD1572" s="12">
        <v>344408</v>
      </c>
      <c r="AE1572" s="12">
        <v>344408</v>
      </c>
      <c r="AF1572" s="12">
        <v>344408</v>
      </c>
      <c r="AG1572" s="12">
        <v>344408</v>
      </c>
      <c r="AH1572" s="12">
        <v>258306</v>
      </c>
      <c r="AI1572" s="12">
        <v>258306</v>
      </c>
      <c r="AJ1572" s="21">
        <v>258306</v>
      </c>
      <c r="AK1572" s="21">
        <v>258306</v>
      </c>
      <c r="AL1572" s="21">
        <v>258306</v>
      </c>
      <c r="AM1572" s="21">
        <v>258306</v>
      </c>
      <c r="AN1572" s="1058">
        <v>157672</v>
      </c>
      <c r="AO1572" s="1058">
        <v>157672</v>
      </c>
      <c r="AP1572" s="1058">
        <v>157672</v>
      </c>
      <c r="AQ1572" s="1058">
        <v>157672</v>
      </c>
      <c r="AR1572" s="1044"/>
      <c r="AS1572" s="1044"/>
    </row>
    <row r="1573" spans="3:45" hidden="1" outlineLevel="1">
      <c r="C1573" s="816" t="s">
        <v>16</v>
      </c>
      <c r="D1573" s="9"/>
      <c r="E1573" s="224" t="s">
        <v>1475</v>
      </c>
      <c r="F1573" s="20"/>
      <c r="G1573" s="20"/>
      <c r="H1573" s="20"/>
      <c r="I1573" s="20"/>
      <c r="J1573" s="20"/>
      <c r="K1573" s="20"/>
      <c r="L1573" s="20"/>
      <c r="M1573" s="20"/>
      <c r="N1573" s="20"/>
      <c r="O1573" s="20"/>
      <c r="P1573" s="20"/>
      <c r="Q1573" s="20"/>
      <c r="R1573" s="20"/>
      <c r="S1573" s="20"/>
      <c r="T1573" s="20"/>
      <c r="U1573" s="20"/>
      <c r="V1573" s="20"/>
      <c r="W1573" s="20"/>
      <c r="X1573" s="20"/>
      <c r="Y1573" s="20"/>
      <c r="Z1573" s="20"/>
      <c r="AA1573" s="20"/>
      <c r="AB1573" s="12">
        <v>43750</v>
      </c>
      <c r="AC1573" s="12">
        <v>43750</v>
      </c>
      <c r="AD1573" s="12">
        <v>43750</v>
      </c>
      <c r="AE1573" s="12">
        <v>43750</v>
      </c>
      <c r="AF1573" s="12">
        <v>43750</v>
      </c>
      <c r="AG1573" s="12">
        <v>43750</v>
      </c>
      <c r="AH1573" s="12">
        <v>32813</v>
      </c>
      <c r="AI1573" s="12">
        <v>32813</v>
      </c>
      <c r="AJ1573" s="21">
        <v>50312</v>
      </c>
      <c r="AK1573" s="21">
        <v>50312</v>
      </c>
      <c r="AL1573" s="21">
        <v>50312</v>
      </c>
      <c r="AM1573" s="21">
        <v>50312</v>
      </c>
      <c r="AN1573" s="1058">
        <v>34931</v>
      </c>
      <c r="AO1573" s="1058">
        <v>34931</v>
      </c>
      <c r="AP1573" s="1058">
        <v>34931</v>
      </c>
      <c r="AQ1573" s="1058">
        <v>34931</v>
      </c>
      <c r="AR1573" s="1044"/>
      <c r="AS1573" s="1044"/>
    </row>
    <row r="1574" spans="3:45" hidden="1" outlineLevel="1">
      <c r="C1574" s="816" t="s">
        <v>16</v>
      </c>
      <c r="D1574" s="9"/>
      <c r="E1574" s="20" t="s">
        <v>305</v>
      </c>
      <c r="F1574" s="20"/>
      <c r="G1574" s="20"/>
      <c r="H1574" s="20"/>
      <c r="I1574" s="20"/>
      <c r="J1574" s="20"/>
      <c r="K1574" s="20"/>
      <c r="L1574" s="20"/>
      <c r="M1574" s="20"/>
      <c r="N1574" s="20"/>
      <c r="O1574" s="20"/>
      <c r="P1574" s="20"/>
      <c r="Q1574" s="20"/>
      <c r="R1574" s="20"/>
      <c r="S1574" s="20"/>
      <c r="T1574" s="20"/>
      <c r="U1574" s="20"/>
      <c r="V1574" s="20"/>
      <c r="W1574" s="20"/>
      <c r="X1574" s="20"/>
      <c r="Y1574" s="20"/>
      <c r="Z1574" s="20"/>
      <c r="AA1574" s="20"/>
      <c r="AB1574" s="12">
        <v>43750</v>
      </c>
      <c r="AC1574" s="12">
        <v>43750</v>
      </c>
      <c r="AD1574" s="12">
        <v>225000</v>
      </c>
      <c r="AE1574" s="12">
        <v>225000</v>
      </c>
      <c r="AF1574" s="12">
        <v>225000</v>
      </c>
      <c r="AG1574" s="12">
        <v>225000</v>
      </c>
      <c r="AH1574" s="12">
        <v>168750</v>
      </c>
      <c r="AI1574" s="12">
        <v>168750</v>
      </c>
      <c r="AJ1574" s="21">
        <v>168750</v>
      </c>
      <c r="AK1574" s="21">
        <v>168750</v>
      </c>
      <c r="AL1574" s="22">
        <v>168750</v>
      </c>
      <c r="AM1574" s="22">
        <v>168750</v>
      </c>
      <c r="AN1574" s="1058">
        <v>117161</v>
      </c>
      <c r="AO1574" s="1058">
        <v>117160</v>
      </c>
      <c r="AP1574" s="1058">
        <v>117161</v>
      </c>
      <c r="AQ1574" s="1058">
        <v>117160</v>
      </c>
      <c r="AR1574" s="1044"/>
      <c r="AS1574" s="1044"/>
    </row>
    <row r="1575" spans="3:45" hidden="1" outlineLevel="1">
      <c r="C1575" s="816" t="s">
        <v>16</v>
      </c>
      <c r="D1575" s="9"/>
      <c r="E1575" s="224" t="s">
        <v>1474</v>
      </c>
      <c r="F1575" s="20"/>
      <c r="G1575" s="20"/>
      <c r="H1575" s="20"/>
      <c r="I1575" s="20"/>
      <c r="J1575" s="20"/>
      <c r="K1575" s="20"/>
      <c r="L1575" s="20"/>
      <c r="M1575" s="20"/>
      <c r="N1575" s="20"/>
      <c r="O1575" s="20"/>
      <c r="P1575" s="20"/>
      <c r="Q1575" s="20"/>
      <c r="R1575" s="20"/>
      <c r="S1575" s="20"/>
      <c r="T1575" s="20"/>
      <c r="U1575" s="20"/>
      <c r="V1575" s="20"/>
      <c r="W1575" s="20"/>
      <c r="X1575" s="20"/>
      <c r="Y1575" s="20"/>
      <c r="Z1575" s="20"/>
      <c r="AA1575" s="20"/>
      <c r="AB1575" s="12"/>
      <c r="AC1575" s="12"/>
      <c r="AD1575" s="12">
        <v>250000</v>
      </c>
      <c r="AE1575" s="12"/>
      <c r="AF1575" s="12"/>
      <c r="AG1575" s="12"/>
      <c r="AH1575" s="12"/>
      <c r="AI1575" s="12"/>
      <c r="AJ1575" s="21"/>
      <c r="AK1575" s="21"/>
      <c r="AL1575" s="21"/>
      <c r="AM1575" s="21"/>
      <c r="AN1575" s="1058"/>
      <c r="AO1575" s="1058"/>
      <c r="AP1575" s="1058"/>
      <c r="AQ1575" s="1058"/>
      <c r="AR1575" s="1044"/>
      <c r="AS1575" s="1044"/>
    </row>
    <row r="1576" spans="3:45" hidden="1" outlineLevel="1">
      <c r="C1576" s="816" t="s">
        <v>16</v>
      </c>
      <c r="D1576" s="223" t="s">
        <v>1354</v>
      </c>
      <c r="E1576" s="20" t="s">
        <v>306</v>
      </c>
      <c r="F1576" s="20"/>
      <c r="G1576" s="20"/>
      <c r="H1576" s="20"/>
      <c r="I1576" s="20"/>
      <c r="J1576" s="20"/>
      <c r="K1576" s="20"/>
      <c r="L1576" s="20"/>
      <c r="M1576" s="20"/>
      <c r="N1576" s="20"/>
      <c r="O1576" s="20"/>
      <c r="P1576" s="20"/>
      <c r="Q1576" s="20"/>
      <c r="R1576" s="20"/>
      <c r="S1576" s="20"/>
      <c r="T1576" s="20"/>
      <c r="U1576" s="20"/>
      <c r="V1576" s="20"/>
      <c r="W1576" s="20"/>
      <c r="X1576" s="20"/>
      <c r="Y1576" s="20"/>
      <c r="Z1576" s="20"/>
      <c r="AA1576" s="20"/>
      <c r="AB1576" s="12">
        <v>13487831</v>
      </c>
      <c r="AC1576" s="12">
        <v>13492013</v>
      </c>
      <c r="AD1576" s="12">
        <v>5689206</v>
      </c>
      <c r="AE1576" s="12">
        <v>5692969</v>
      </c>
      <c r="AF1576" s="12">
        <v>1446414</v>
      </c>
      <c r="AG1576" s="12">
        <v>1446414</v>
      </c>
      <c r="AH1576" s="12">
        <v>2118420</v>
      </c>
      <c r="AI1576" s="12">
        <v>2118420</v>
      </c>
      <c r="AJ1576" s="21">
        <v>1118420</v>
      </c>
      <c r="AK1576" s="21">
        <v>1118420</v>
      </c>
      <c r="AL1576" s="1223">
        <v>1227129</v>
      </c>
      <c r="AM1576" s="1223">
        <v>1227129</v>
      </c>
      <c r="AN1576" s="1058">
        <v>851080</v>
      </c>
      <c r="AO1576" s="1058">
        <v>851080</v>
      </c>
      <c r="AP1576" s="1058">
        <v>20415724</v>
      </c>
      <c r="AQ1576" s="1058">
        <v>20415723</v>
      </c>
      <c r="AR1576" s="1044"/>
      <c r="AS1576" s="1044"/>
    </row>
    <row r="1577" spans="3:45" hidden="1" outlineLevel="1">
      <c r="C1577" s="816" t="s">
        <v>16</v>
      </c>
      <c r="D1577" s="9"/>
      <c r="E1577" s="20" t="s">
        <v>308</v>
      </c>
      <c r="F1577" s="20"/>
      <c r="G1577" s="20"/>
      <c r="H1577" s="20"/>
      <c r="I1577" s="20"/>
      <c r="J1577" s="20"/>
      <c r="K1577" s="20"/>
      <c r="L1577" s="20"/>
      <c r="M1577" s="20"/>
      <c r="N1577" s="20"/>
      <c r="O1577" s="20"/>
      <c r="P1577" s="20"/>
      <c r="Q1577" s="20"/>
      <c r="R1577" s="20"/>
      <c r="S1577" s="20"/>
      <c r="T1577" s="20"/>
      <c r="U1577" s="20"/>
      <c r="V1577" s="20"/>
      <c r="W1577" s="20"/>
      <c r="X1577" s="20"/>
      <c r="Y1577" s="20"/>
      <c r="Z1577" s="20"/>
      <c r="AA1577" s="20"/>
      <c r="AB1577" s="12"/>
      <c r="AC1577" s="12"/>
      <c r="AD1577" s="12"/>
      <c r="AE1577" s="12"/>
      <c r="AF1577" s="12">
        <v>420000</v>
      </c>
      <c r="AG1577" s="12">
        <v>0</v>
      </c>
      <c r="AH1577" s="12">
        <v>0</v>
      </c>
      <c r="AI1577" s="12">
        <v>0</v>
      </c>
      <c r="AJ1577" s="22"/>
      <c r="AK1577" s="22"/>
      <c r="AL1577" s="22"/>
      <c r="AM1577" s="22"/>
      <c r="AN1577" s="1059"/>
      <c r="AO1577" s="1059"/>
      <c r="AP1577" s="1059"/>
      <c r="AQ1577" s="1059"/>
      <c r="AR1577" s="1044"/>
      <c r="AS1577" s="1044"/>
    </row>
    <row r="1578" spans="3:45" hidden="1" outlineLevel="1">
      <c r="C1578" s="816" t="s">
        <v>16</v>
      </c>
      <c r="D1578" s="223" t="s">
        <v>1200</v>
      </c>
      <c r="E1578" s="25" t="s">
        <v>309</v>
      </c>
      <c r="F1578" s="6"/>
      <c r="G1578" s="6"/>
      <c r="H1578" s="6"/>
      <c r="I1578" s="6"/>
      <c r="J1578" s="6"/>
      <c r="K1578" s="6"/>
      <c r="L1578" s="6"/>
      <c r="M1578" s="6"/>
      <c r="N1578" s="6"/>
      <c r="O1578" s="6"/>
      <c r="P1578" s="6"/>
      <c r="Q1578" s="6"/>
      <c r="R1578" s="6"/>
      <c r="S1578" s="6"/>
      <c r="T1578" s="6"/>
      <c r="U1578" s="6"/>
      <c r="V1578" s="6"/>
      <c r="W1578" s="6"/>
      <c r="X1578" s="6"/>
      <c r="Y1578" s="6"/>
      <c r="Z1578" s="6"/>
      <c r="AA1578" s="6"/>
      <c r="AB1578" s="7">
        <v>22429378</v>
      </c>
      <c r="AC1578" s="7">
        <v>22433560</v>
      </c>
      <c r="AD1578" s="7">
        <v>38256389</v>
      </c>
      <c r="AE1578" s="7">
        <v>36010152</v>
      </c>
      <c r="AF1578" s="7">
        <f t="shared" ref="AF1578:AQ1578" si="316">SUM(AF1560:AF1577)</f>
        <v>13489211</v>
      </c>
      <c r="AG1578" s="7">
        <f t="shared" si="316"/>
        <v>13069211</v>
      </c>
      <c r="AH1578" s="7">
        <f t="shared" si="316"/>
        <v>17710518</v>
      </c>
      <c r="AI1578" s="7">
        <f t="shared" si="316"/>
        <v>16710518</v>
      </c>
      <c r="AJ1578" s="7">
        <f t="shared" si="316"/>
        <v>18978017</v>
      </c>
      <c r="AK1578" s="7">
        <f t="shared" si="316"/>
        <v>18978017</v>
      </c>
      <c r="AL1578" s="60">
        <f t="shared" si="316"/>
        <v>30436726</v>
      </c>
      <c r="AM1578" s="60">
        <f t="shared" si="316"/>
        <v>27586726</v>
      </c>
      <c r="AN1578" s="1074">
        <f t="shared" si="316"/>
        <v>20468522</v>
      </c>
      <c r="AO1578" s="1074">
        <f t="shared" si="316"/>
        <v>20468516</v>
      </c>
      <c r="AP1578" s="1074">
        <f t="shared" si="316"/>
        <v>47122247</v>
      </c>
      <c r="AQ1578" s="1074">
        <f t="shared" si="316"/>
        <v>47122244</v>
      </c>
      <c r="AR1578" s="222"/>
      <c r="AS1578" s="1044"/>
    </row>
    <row r="1579" spans="3:45" hidden="1" outlineLevel="1">
      <c r="C1579" s="816" t="s">
        <v>16</v>
      </c>
      <c r="D1579" s="223" t="s">
        <v>1254</v>
      </c>
      <c r="E1579" s="278" t="s">
        <v>310</v>
      </c>
      <c r="F1579" s="20"/>
      <c r="G1579" s="20"/>
      <c r="H1579" s="20"/>
      <c r="I1579" s="20"/>
      <c r="J1579" s="20"/>
      <c r="K1579" s="20"/>
      <c r="L1579" s="20"/>
      <c r="M1579" s="20"/>
      <c r="N1579" s="20"/>
      <c r="O1579" s="20"/>
      <c r="P1579" s="20"/>
      <c r="Q1579" s="20"/>
      <c r="R1579" s="20"/>
      <c r="S1579" s="20"/>
      <c r="T1579" s="20"/>
      <c r="U1579" s="20"/>
      <c r="V1579" s="20"/>
      <c r="W1579" s="20"/>
      <c r="X1579" s="20"/>
      <c r="Y1579" s="20"/>
      <c r="Z1579" s="20"/>
      <c r="AA1579" s="20"/>
      <c r="AB1579" s="12">
        <v>546875</v>
      </c>
      <c r="AC1579" s="12">
        <v>546875</v>
      </c>
      <c r="AD1579" s="12">
        <v>546875</v>
      </c>
      <c r="AE1579" s="12">
        <v>546875</v>
      </c>
      <c r="AF1579" s="12">
        <v>546875</v>
      </c>
      <c r="AG1579" s="12">
        <v>546875</v>
      </c>
      <c r="AH1579" s="12">
        <v>365940</v>
      </c>
      <c r="AI1579" s="12">
        <v>365940</v>
      </c>
      <c r="AJ1579" s="21">
        <v>410157</v>
      </c>
      <c r="AK1579" s="21">
        <v>410156</v>
      </c>
      <c r="AL1579" s="21">
        <v>410157</v>
      </c>
      <c r="AM1579" s="21">
        <v>410156</v>
      </c>
      <c r="AN1579" s="1058">
        <v>270786</v>
      </c>
      <c r="AO1579" s="1058">
        <v>270785</v>
      </c>
      <c r="AP1579" s="1058">
        <v>270786</v>
      </c>
      <c r="AQ1579" s="1058">
        <v>270785</v>
      </c>
      <c r="AR1579" s="1044"/>
      <c r="AS1579" s="1044"/>
    </row>
    <row r="1580" spans="3:45" hidden="1" outlineLevel="1">
      <c r="C1580" s="816" t="s">
        <v>16</v>
      </c>
      <c r="D1580" s="223" t="s">
        <v>1254</v>
      </c>
      <c r="E1580" s="278" t="s">
        <v>311</v>
      </c>
      <c r="F1580" s="20"/>
      <c r="G1580" s="20"/>
      <c r="H1580" s="20"/>
      <c r="I1580" s="20"/>
      <c r="J1580" s="20"/>
      <c r="K1580" s="20"/>
      <c r="L1580" s="20"/>
      <c r="M1580" s="20"/>
      <c r="N1580" s="20"/>
      <c r="O1580" s="20"/>
      <c r="P1580" s="20"/>
      <c r="Q1580" s="20"/>
      <c r="R1580" s="20"/>
      <c r="S1580" s="20"/>
      <c r="T1580" s="20"/>
      <c r="U1580" s="20"/>
      <c r="V1580" s="20"/>
      <c r="W1580" s="20"/>
      <c r="X1580" s="20"/>
      <c r="Y1580" s="20"/>
      <c r="Z1580" s="20"/>
      <c r="AA1580" s="20"/>
      <c r="AB1580" s="12">
        <v>218750</v>
      </c>
      <c r="AC1580" s="12">
        <v>218750</v>
      </c>
      <c r="AD1580" s="12">
        <v>218750</v>
      </c>
      <c r="AE1580" s="12">
        <v>218750</v>
      </c>
      <c r="AF1580" s="12">
        <v>218750</v>
      </c>
      <c r="AG1580" s="12">
        <v>218750</v>
      </c>
      <c r="AH1580" s="12">
        <v>146376</v>
      </c>
      <c r="AI1580" s="12">
        <v>146376</v>
      </c>
      <c r="AJ1580" s="21">
        <v>164063</v>
      </c>
      <c r="AK1580" s="21">
        <v>164062</v>
      </c>
      <c r="AL1580" s="21">
        <v>164063</v>
      </c>
      <c r="AM1580" s="21">
        <v>164062</v>
      </c>
      <c r="AN1580" s="1058">
        <v>108315</v>
      </c>
      <c r="AO1580" s="1058">
        <v>108314</v>
      </c>
      <c r="AP1580" s="1058">
        <v>108315</v>
      </c>
      <c r="AQ1580" s="1058">
        <v>108314</v>
      </c>
      <c r="AR1580" s="1044"/>
      <c r="AS1580" s="1044"/>
    </row>
    <row r="1581" spans="3:45" hidden="1" outlineLevel="1">
      <c r="C1581" s="816" t="s">
        <v>16</v>
      </c>
      <c r="D1581" s="223" t="s">
        <v>1254</v>
      </c>
      <c r="E1581" s="278" t="s">
        <v>312</v>
      </c>
      <c r="F1581" s="20"/>
      <c r="G1581" s="20"/>
      <c r="H1581" s="20"/>
      <c r="I1581" s="20"/>
      <c r="J1581" s="20"/>
      <c r="K1581" s="20"/>
      <c r="L1581" s="20"/>
      <c r="M1581" s="20"/>
      <c r="N1581" s="20"/>
      <c r="O1581" s="20"/>
      <c r="P1581" s="20"/>
      <c r="Q1581" s="20"/>
      <c r="R1581" s="20"/>
      <c r="S1581" s="20"/>
      <c r="T1581" s="20"/>
      <c r="U1581" s="20"/>
      <c r="V1581" s="20"/>
      <c r="W1581" s="20"/>
      <c r="X1581" s="20"/>
      <c r="Y1581" s="20"/>
      <c r="Z1581" s="20"/>
      <c r="AA1581" s="20"/>
      <c r="AB1581" s="12"/>
      <c r="AC1581" s="12"/>
      <c r="AD1581" s="12"/>
      <c r="AE1581" s="12"/>
      <c r="AF1581" s="12">
        <v>6000000</v>
      </c>
      <c r="AG1581" s="12">
        <v>0</v>
      </c>
      <c r="AH1581" s="12">
        <v>3000000</v>
      </c>
      <c r="AI1581" s="12">
        <v>0</v>
      </c>
      <c r="AJ1581" s="21">
        <v>1500000</v>
      </c>
      <c r="AK1581" s="21">
        <v>1500000</v>
      </c>
      <c r="AL1581" s="21">
        <v>1500000</v>
      </c>
      <c r="AM1581" s="21">
        <v>1500000</v>
      </c>
      <c r="AN1581" s="1058">
        <v>990302</v>
      </c>
      <c r="AO1581" s="1058">
        <v>990302</v>
      </c>
      <c r="AP1581" s="1244">
        <v>1490302</v>
      </c>
      <c r="AQ1581" s="1244">
        <v>1490302</v>
      </c>
      <c r="AR1581" s="1044"/>
      <c r="AS1581" s="1044"/>
    </row>
    <row r="1582" spans="3:45" hidden="1" outlineLevel="1">
      <c r="C1582" s="816" t="s">
        <v>16</v>
      </c>
      <c r="D1582" s="9"/>
      <c r="E1582" s="20" t="s">
        <v>313</v>
      </c>
      <c r="F1582" s="20"/>
      <c r="G1582" s="20"/>
      <c r="H1582" s="20"/>
      <c r="I1582" s="20"/>
      <c r="J1582" s="20"/>
      <c r="K1582" s="20"/>
      <c r="L1582" s="20"/>
      <c r="M1582" s="20"/>
      <c r="N1582" s="20"/>
      <c r="O1582" s="20"/>
      <c r="P1582" s="20"/>
      <c r="Q1582" s="20"/>
      <c r="R1582" s="20"/>
      <c r="S1582" s="20"/>
      <c r="T1582" s="20"/>
      <c r="U1582" s="20"/>
      <c r="V1582" s="20"/>
      <c r="W1582" s="20"/>
      <c r="X1582" s="20"/>
      <c r="Y1582" s="20"/>
      <c r="Z1582" s="20"/>
      <c r="AA1582" s="20"/>
      <c r="AB1582" s="12">
        <v>218750</v>
      </c>
      <c r="AC1582" s="12">
        <v>218750</v>
      </c>
      <c r="AD1582" s="12">
        <v>218750</v>
      </c>
      <c r="AE1582" s="12">
        <v>218750</v>
      </c>
      <c r="AF1582" s="12">
        <v>218750</v>
      </c>
      <c r="AG1582" s="12">
        <v>218750</v>
      </c>
      <c r="AH1582" s="12">
        <v>146376</v>
      </c>
      <c r="AI1582" s="12">
        <v>146376</v>
      </c>
      <c r="AJ1582" s="21">
        <v>164063</v>
      </c>
      <c r="AK1582" s="21">
        <v>164062</v>
      </c>
      <c r="AL1582" s="21">
        <v>664063</v>
      </c>
      <c r="AM1582" s="21">
        <v>664062</v>
      </c>
      <c r="AN1582" s="1058">
        <v>438415</v>
      </c>
      <c r="AO1582" s="1058">
        <v>438415</v>
      </c>
      <c r="AP1582" s="1058">
        <v>663415</v>
      </c>
      <c r="AQ1582" s="1058">
        <v>663415</v>
      </c>
      <c r="AR1582" s="1044"/>
      <c r="AS1582" s="1044"/>
    </row>
    <row r="1583" spans="3:45" hidden="1" outlineLevel="1">
      <c r="C1583" s="816" t="s">
        <v>16</v>
      </c>
      <c r="D1583" s="223" t="s">
        <v>1354</v>
      </c>
      <c r="E1583" s="20" t="s">
        <v>314</v>
      </c>
      <c r="F1583" s="20"/>
      <c r="G1583" s="20"/>
      <c r="H1583" s="20"/>
      <c r="I1583" s="20"/>
      <c r="J1583" s="20"/>
      <c r="K1583" s="20"/>
      <c r="L1583" s="20"/>
      <c r="M1583" s="20"/>
      <c r="N1583" s="20"/>
      <c r="O1583" s="20"/>
      <c r="P1583" s="20"/>
      <c r="Q1583" s="20"/>
      <c r="R1583" s="20"/>
      <c r="S1583" s="20"/>
      <c r="T1583" s="20"/>
      <c r="U1583" s="20"/>
      <c r="V1583" s="20"/>
      <c r="W1583" s="20"/>
      <c r="X1583" s="20"/>
      <c r="Y1583" s="20"/>
      <c r="Z1583" s="20"/>
      <c r="AA1583" s="20"/>
      <c r="AB1583" s="12">
        <v>3189257</v>
      </c>
      <c r="AC1583" s="12">
        <v>3039257</v>
      </c>
      <c r="AD1583" s="12">
        <v>3044542</v>
      </c>
      <c r="AE1583" s="12">
        <v>3034154</v>
      </c>
      <c r="AF1583" s="12">
        <v>1757832</v>
      </c>
      <c r="AG1583" s="12">
        <v>1757832</v>
      </c>
      <c r="AH1583" s="12"/>
      <c r="AI1583" s="12"/>
      <c r="AJ1583" s="22"/>
      <c r="AK1583" s="22"/>
      <c r="AL1583" s="22"/>
      <c r="AM1583" s="22"/>
      <c r="AN1583" s="1059"/>
      <c r="AO1583" s="1059"/>
      <c r="AP1583" s="1059"/>
      <c r="AQ1583" s="1059"/>
      <c r="AR1583" s="1044"/>
      <c r="AS1583" s="1044"/>
    </row>
    <row r="1584" spans="3:45" hidden="1" outlineLevel="1">
      <c r="C1584" s="816" t="s">
        <v>16</v>
      </c>
      <c r="D1584" s="9"/>
      <c r="E1584" s="20" t="s">
        <v>315</v>
      </c>
      <c r="F1584" s="20"/>
      <c r="G1584" s="20"/>
      <c r="H1584" s="20"/>
      <c r="I1584" s="20"/>
      <c r="J1584" s="20"/>
      <c r="K1584" s="20"/>
      <c r="L1584" s="20"/>
      <c r="M1584" s="20"/>
      <c r="N1584" s="20"/>
      <c r="O1584" s="20"/>
      <c r="P1584" s="20"/>
      <c r="Q1584" s="20"/>
      <c r="R1584" s="20"/>
      <c r="S1584" s="20"/>
      <c r="T1584" s="20"/>
      <c r="U1584" s="20"/>
      <c r="V1584" s="20"/>
      <c r="W1584" s="20"/>
      <c r="X1584" s="20"/>
      <c r="Y1584" s="20"/>
      <c r="Z1584" s="20"/>
      <c r="AA1584" s="20"/>
      <c r="AB1584" s="12"/>
      <c r="AC1584" s="12"/>
      <c r="AD1584" s="12">
        <v>2000000</v>
      </c>
      <c r="AE1584" s="12"/>
      <c r="AF1584" s="12">
        <v>1000000</v>
      </c>
      <c r="AG1584" s="12">
        <v>1000000</v>
      </c>
      <c r="AH1584" s="12">
        <v>669148</v>
      </c>
      <c r="AI1584" s="12">
        <v>669148</v>
      </c>
      <c r="AJ1584" s="21">
        <v>144248</v>
      </c>
      <c r="AK1584" s="21">
        <v>144247</v>
      </c>
      <c r="AL1584" s="21">
        <v>144247</v>
      </c>
      <c r="AM1584" s="21">
        <v>144247</v>
      </c>
      <c r="AN1584" s="1058">
        <v>65777</v>
      </c>
      <c r="AO1584" s="1058">
        <v>65777</v>
      </c>
      <c r="AP1584" s="1058">
        <v>59199</v>
      </c>
      <c r="AQ1584" s="1058">
        <v>59199</v>
      </c>
      <c r="AR1584" s="1044"/>
      <c r="AS1584" s="1044"/>
    </row>
    <row r="1585" spans="3:45" hidden="1" outlineLevel="1">
      <c r="C1585" s="816" t="s">
        <v>16</v>
      </c>
      <c r="D1585" s="9"/>
      <c r="E1585" s="20" t="s">
        <v>317</v>
      </c>
      <c r="F1585" s="20"/>
      <c r="G1585" s="20"/>
      <c r="H1585" s="20"/>
      <c r="I1585" s="20"/>
      <c r="J1585" s="20"/>
      <c r="K1585" s="20"/>
      <c r="L1585" s="20"/>
      <c r="M1585" s="20"/>
      <c r="N1585" s="20"/>
      <c r="O1585" s="20"/>
      <c r="P1585" s="20"/>
      <c r="Q1585" s="20"/>
      <c r="R1585" s="20"/>
      <c r="S1585" s="20"/>
      <c r="T1585" s="20"/>
      <c r="U1585" s="20"/>
      <c r="V1585" s="20"/>
      <c r="W1585" s="20"/>
      <c r="X1585" s="20"/>
      <c r="Y1585" s="20"/>
      <c r="Z1585" s="20"/>
      <c r="AA1585" s="20"/>
      <c r="AB1585" s="12"/>
      <c r="AC1585" s="12"/>
      <c r="AD1585" s="12"/>
      <c r="AE1585" s="12"/>
      <c r="AF1585" s="12">
        <v>500000</v>
      </c>
      <c r="AG1585" s="12">
        <v>0</v>
      </c>
      <c r="AH1585" s="12">
        <v>0</v>
      </c>
      <c r="AI1585" s="12">
        <v>0</v>
      </c>
      <c r="AJ1585" s="22"/>
      <c r="AK1585" s="22"/>
      <c r="AL1585" s="22"/>
      <c r="AM1585" s="22"/>
      <c r="AN1585" s="1059"/>
      <c r="AO1585" s="1059"/>
      <c r="AP1585" s="1059"/>
      <c r="AQ1585" s="1059"/>
      <c r="AR1585" s="1044"/>
      <c r="AS1585" s="1044"/>
    </row>
    <row r="1586" spans="3:45" hidden="1" outlineLevel="1">
      <c r="C1586" s="816" t="s">
        <v>16</v>
      </c>
      <c r="D1586" s="9"/>
      <c r="E1586" s="20" t="s">
        <v>318</v>
      </c>
      <c r="F1586" s="20"/>
      <c r="G1586" s="20"/>
      <c r="H1586" s="20"/>
      <c r="I1586" s="20"/>
      <c r="J1586" s="20"/>
      <c r="K1586" s="20"/>
      <c r="L1586" s="20"/>
      <c r="M1586" s="20"/>
      <c r="N1586" s="20"/>
      <c r="O1586" s="20"/>
      <c r="P1586" s="20"/>
      <c r="Q1586" s="20"/>
      <c r="R1586" s="20"/>
      <c r="S1586" s="20"/>
      <c r="T1586" s="20"/>
      <c r="U1586" s="20"/>
      <c r="V1586" s="20"/>
      <c r="W1586" s="20"/>
      <c r="X1586" s="20"/>
      <c r="Y1586" s="20"/>
      <c r="Z1586" s="20"/>
      <c r="AA1586" s="20"/>
      <c r="AB1586" s="12"/>
      <c r="AC1586" s="12"/>
      <c r="AD1586" s="12"/>
      <c r="AE1586" s="12"/>
      <c r="AF1586" s="12">
        <v>462500</v>
      </c>
      <c r="AG1586" s="12">
        <v>0</v>
      </c>
      <c r="AH1586" s="12">
        <v>0</v>
      </c>
      <c r="AI1586" s="12">
        <v>0</v>
      </c>
      <c r="AJ1586" s="22"/>
      <c r="AK1586" s="22"/>
      <c r="AL1586" s="22"/>
      <c r="AM1586" s="22"/>
      <c r="AN1586" s="1059"/>
      <c r="AO1586" s="1059"/>
      <c r="AP1586" s="1059"/>
      <c r="AQ1586" s="1059"/>
      <c r="AR1586" s="1044"/>
      <c r="AS1586" s="1044"/>
    </row>
    <row r="1587" spans="3:45" hidden="1" outlineLevel="1">
      <c r="C1587" s="816" t="s">
        <v>16</v>
      </c>
      <c r="D1587" s="223" t="s">
        <v>1200</v>
      </c>
      <c r="E1587" s="25" t="s">
        <v>319</v>
      </c>
      <c r="F1587" s="6"/>
      <c r="G1587" s="6"/>
      <c r="H1587" s="6"/>
      <c r="I1587" s="6"/>
      <c r="J1587" s="6"/>
      <c r="K1587" s="6"/>
      <c r="L1587" s="6"/>
      <c r="M1587" s="6"/>
      <c r="N1587" s="6"/>
      <c r="O1587" s="6"/>
      <c r="P1587" s="6"/>
      <c r="Q1587" s="6"/>
      <c r="R1587" s="6"/>
      <c r="S1587" s="6"/>
      <c r="T1587" s="6"/>
      <c r="U1587" s="6"/>
      <c r="V1587" s="6"/>
      <c r="W1587" s="6"/>
      <c r="X1587" s="6"/>
      <c r="Y1587" s="6"/>
      <c r="Z1587" s="6"/>
      <c r="AA1587" s="6"/>
      <c r="AB1587" s="7">
        <v>4173632</v>
      </c>
      <c r="AC1587" s="7">
        <v>4023632</v>
      </c>
      <c r="AD1587" s="7">
        <v>6028917</v>
      </c>
      <c r="AE1587" s="7">
        <v>4018529</v>
      </c>
      <c r="AF1587" s="7">
        <f t="shared" ref="AF1587:AQ1587" si="317">SUM(AF1579:AF1586)</f>
        <v>10704707</v>
      </c>
      <c r="AG1587" s="7">
        <f t="shared" si="317"/>
        <v>3742207</v>
      </c>
      <c r="AH1587" s="7">
        <f t="shared" si="317"/>
        <v>4327840</v>
      </c>
      <c r="AI1587" s="7">
        <f t="shared" si="317"/>
        <v>1327840</v>
      </c>
      <c r="AJ1587" s="7">
        <f t="shared" si="317"/>
        <v>2382531</v>
      </c>
      <c r="AK1587" s="7">
        <f t="shared" si="317"/>
        <v>2382527</v>
      </c>
      <c r="AL1587" s="60">
        <f t="shared" si="317"/>
        <v>2882530</v>
      </c>
      <c r="AM1587" s="60">
        <f t="shared" si="317"/>
        <v>2882527</v>
      </c>
      <c r="AN1587" s="1074">
        <f t="shared" si="317"/>
        <v>1873595</v>
      </c>
      <c r="AO1587" s="1074">
        <f t="shared" si="317"/>
        <v>1873593</v>
      </c>
      <c r="AP1587" s="1074">
        <f t="shared" si="317"/>
        <v>2592017</v>
      </c>
      <c r="AQ1587" s="1074">
        <f t="shared" si="317"/>
        <v>2592015</v>
      </c>
      <c r="AR1587" s="222"/>
      <c r="AS1587" s="1044"/>
    </row>
    <row r="1588" spans="3:45" hidden="1" outlineLevel="1">
      <c r="C1588" s="816" t="s">
        <v>16</v>
      </c>
      <c r="D1588" s="223" t="s">
        <v>1254</v>
      </c>
      <c r="E1588" s="278" t="s">
        <v>320</v>
      </c>
      <c r="F1588" s="20"/>
      <c r="G1588" s="20"/>
      <c r="H1588" s="20"/>
      <c r="I1588" s="20"/>
      <c r="J1588" s="20"/>
      <c r="K1588" s="20"/>
      <c r="L1588" s="20"/>
      <c r="M1588" s="20"/>
      <c r="N1588" s="20"/>
      <c r="O1588" s="20"/>
      <c r="P1588" s="20"/>
      <c r="Q1588" s="20"/>
      <c r="R1588" s="20"/>
      <c r="S1588" s="20"/>
      <c r="T1588" s="20"/>
      <c r="U1588" s="20"/>
      <c r="V1588" s="20"/>
      <c r="W1588" s="20"/>
      <c r="X1588" s="20"/>
      <c r="Y1588" s="20"/>
      <c r="Z1588" s="20"/>
      <c r="AA1588" s="20"/>
      <c r="AB1588" s="12">
        <v>81421</v>
      </c>
      <c r="AC1588" s="12">
        <v>81431</v>
      </c>
      <c r="AD1588" s="12">
        <v>81426</v>
      </c>
      <c r="AE1588" s="12">
        <v>81426</v>
      </c>
      <c r="AF1588" s="12">
        <v>81426</v>
      </c>
      <c r="AG1588" s="12">
        <v>81426</v>
      </c>
      <c r="AH1588" s="12">
        <v>58016</v>
      </c>
      <c r="AI1588" s="12">
        <v>58016</v>
      </c>
      <c r="AJ1588" s="21">
        <v>58016</v>
      </c>
      <c r="AK1588" s="21">
        <v>58016</v>
      </c>
      <c r="AL1588" s="21">
        <v>58016</v>
      </c>
      <c r="AM1588" s="21">
        <v>58016</v>
      </c>
      <c r="AN1588" s="1058">
        <v>38620</v>
      </c>
      <c r="AO1588" s="1058">
        <v>38619</v>
      </c>
      <c r="AP1588" s="1058">
        <v>38620</v>
      </c>
      <c r="AQ1588" s="1058">
        <v>38619</v>
      </c>
      <c r="AR1588" s="1044"/>
      <c r="AS1588" s="1044"/>
    </row>
    <row r="1589" spans="3:45" hidden="1" outlineLevel="1">
      <c r="C1589" s="816" t="s">
        <v>16</v>
      </c>
      <c r="D1589" s="223" t="s">
        <v>1254</v>
      </c>
      <c r="E1589" s="278" t="s">
        <v>321</v>
      </c>
      <c r="F1589" s="20"/>
      <c r="G1589" s="20"/>
      <c r="H1589" s="20"/>
      <c r="I1589" s="20"/>
      <c r="J1589" s="20"/>
      <c r="K1589" s="20"/>
      <c r="L1589" s="20"/>
      <c r="M1589" s="20"/>
      <c r="N1589" s="20"/>
      <c r="O1589" s="20"/>
      <c r="P1589" s="20"/>
      <c r="Q1589" s="20"/>
      <c r="R1589" s="20"/>
      <c r="S1589" s="20"/>
      <c r="T1589" s="20"/>
      <c r="U1589" s="20"/>
      <c r="V1589" s="20"/>
      <c r="W1589" s="20"/>
      <c r="X1589" s="20"/>
      <c r="Y1589" s="20"/>
      <c r="Z1589" s="20"/>
      <c r="AA1589" s="20"/>
      <c r="AB1589" s="12">
        <v>217104</v>
      </c>
      <c r="AC1589" s="12">
        <v>217128</v>
      </c>
      <c r="AD1589" s="12">
        <v>217116</v>
      </c>
      <c r="AE1589" s="12">
        <v>217116</v>
      </c>
      <c r="AF1589" s="12">
        <v>217116</v>
      </c>
      <c r="AG1589" s="12">
        <v>217116</v>
      </c>
      <c r="AH1589" s="12">
        <v>154695</v>
      </c>
      <c r="AI1589" s="12">
        <v>154695</v>
      </c>
      <c r="AJ1589" s="21">
        <v>154695</v>
      </c>
      <c r="AK1589" s="21">
        <v>154695</v>
      </c>
      <c r="AL1589" s="21">
        <v>154695</v>
      </c>
      <c r="AM1589" s="21">
        <v>154695</v>
      </c>
      <c r="AN1589" s="1058">
        <v>102976</v>
      </c>
      <c r="AO1589" s="1058">
        <v>102975</v>
      </c>
      <c r="AP1589" s="1058">
        <v>102976</v>
      </c>
      <c r="AQ1589" s="1058">
        <v>102975</v>
      </c>
      <c r="AR1589" s="1044"/>
      <c r="AS1589" s="1044"/>
    </row>
    <row r="1590" spans="3:45" hidden="1" outlineLevel="1">
      <c r="C1590" s="816" t="s">
        <v>16</v>
      </c>
      <c r="D1590" s="223"/>
      <c r="E1590" s="1060" t="s">
        <v>322</v>
      </c>
      <c r="F1590" s="20"/>
      <c r="G1590" s="20"/>
      <c r="H1590" s="20"/>
      <c r="I1590" s="20"/>
      <c r="J1590" s="20"/>
      <c r="K1590" s="20"/>
      <c r="L1590" s="20"/>
      <c r="M1590" s="20"/>
      <c r="N1590" s="20"/>
      <c r="O1590" s="20"/>
      <c r="P1590" s="20"/>
      <c r="Q1590" s="20"/>
      <c r="R1590" s="20"/>
      <c r="S1590" s="20"/>
      <c r="T1590" s="20"/>
      <c r="U1590" s="20"/>
      <c r="V1590" s="20"/>
      <c r="W1590" s="20"/>
      <c r="X1590" s="20"/>
      <c r="Y1590" s="20"/>
      <c r="Z1590" s="20"/>
      <c r="AA1590" s="20"/>
      <c r="AB1590" s="12">
        <v>413026</v>
      </c>
      <c r="AC1590" s="12">
        <v>413072</v>
      </c>
      <c r="AD1590" s="12">
        <v>413049</v>
      </c>
      <c r="AE1590" s="12">
        <v>413049</v>
      </c>
      <c r="AF1590" s="12">
        <v>413049</v>
      </c>
      <c r="AG1590" s="12">
        <v>413049</v>
      </c>
      <c r="AH1590" s="12">
        <v>294297</v>
      </c>
      <c r="AI1590" s="12">
        <v>294297</v>
      </c>
      <c r="AJ1590" s="21">
        <v>294297</v>
      </c>
      <c r="AK1590" s="21">
        <v>294297</v>
      </c>
      <c r="AL1590" s="21">
        <v>294297</v>
      </c>
      <c r="AM1590" s="21">
        <v>294297</v>
      </c>
      <c r="AN1590" s="1058">
        <v>195905</v>
      </c>
      <c r="AO1590" s="1058">
        <v>195904</v>
      </c>
      <c r="AP1590" s="1058">
        <v>195905</v>
      </c>
      <c r="AQ1590" s="1058">
        <v>195904</v>
      </c>
      <c r="AR1590" s="1044"/>
      <c r="AS1590" s="1044"/>
    </row>
    <row r="1591" spans="3:45" hidden="1" outlineLevel="1">
      <c r="C1591" s="1053" t="s">
        <v>16</v>
      </c>
      <c r="D1591" s="223"/>
      <c r="E1591" s="224" t="s">
        <v>1706</v>
      </c>
      <c r="F1591" s="20"/>
      <c r="G1591" s="20"/>
      <c r="H1591" s="20"/>
      <c r="I1591" s="20"/>
      <c r="J1591" s="20"/>
      <c r="K1591" s="20"/>
      <c r="L1591" s="20"/>
      <c r="M1591" s="20"/>
      <c r="N1591" s="20"/>
      <c r="O1591" s="20"/>
      <c r="P1591" s="20"/>
      <c r="Q1591" s="20"/>
      <c r="R1591" s="20"/>
      <c r="S1591" s="20"/>
      <c r="T1591" s="20"/>
      <c r="U1591" s="20"/>
      <c r="V1591" s="20"/>
      <c r="W1591" s="20"/>
      <c r="X1591" s="20"/>
      <c r="Y1591" s="20"/>
      <c r="Z1591" s="20"/>
      <c r="AA1591" s="20"/>
      <c r="AB1591" s="12"/>
      <c r="AC1591" s="12"/>
      <c r="AD1591" s="12"/>
      <c r="AE1591" s="12"/>
      <c r="AF1591" s="12"/>
      <c r="AG1591" s="12"/>
      <c r="AH1591" s="12"/>
      <c r="AI1591" s="12"/>
      <c r="AJ1591" s="21"/>
      <c r="AK1591" s="21"/>
      <c r="AL1591" s="21">
        <v>80541</v>
      </c>
      <c r="AM1591" s="21">
        <v>80541</v>
      </c>
      <c r="AN1591" s="1058">
        <v>53614</v>
      </c>
      <c r="AO1591" s="1058">
        <v>53613</v>
      </c>
      <c r="AP1591" s="1058">
        <v>3246855</v>
      </c>
      <c r="AQ1591" s="1058">
        <v>3246855</v>
      </c>
      <c r="AR1591" s="1044"/>
      <c r="AS1591" s="1044"/>
    </row>
    <row r="1592" spans="3:45" hidden="1" outlineLevel="1">
      <c r="C1592" s="816" t="s">
        <v>16</v>
      </c>
      <c r="D1592" s="9"/>
      <c r="E1592" s="20" t="s">
        <v>323</v>
      </c>
      <c r="F1592" s="20"/>
      <c r="G1592" s="20"/>
      <c r="H1592" s="20"/>
      <c r="I1592" s="20"/>
      <c r="J1592" s="20"/>
      <c r="K1592" s="20"/>
      <c r="L1592" s="20"/>
      <c r="M1592" s="20"/>
      <c r="N1592" s="20"/>
      <c r="O1592" s="20"/>
      <c r="P1592" s="20"/>
      <c r="Q1592" s="20"/>
      <c r="R1592" s="20"/>
      <c r="S1592" s="20"/>
      <c r="T1592" s="20"/>
      <c r="U1592" s="20"/>
      <c r="V1592" s="20"/>
      <c r="W1592" s="20"/>
      <c r="X1592" s="20"/>
      <c r="Y1592" s="20"/>
      <c r="Z1592" s="20"/>
      <c r="AA1592" s="20"/>
      <c r="AB1592" s="12">
        <v>113033</v>
      </c>
      <c r="AC1592" s="12">
        <v>113046</v>
      </c>
      <c r="AD1592" s="12">
        <v>113040</v>
      </c>
      <c r="AE1592" s="12">
        <v>113040</v>
      </c>
      <c r="AF1592" s="12">
        <v>113040</v>
      </c>
      <c r="AG1592" s="12">
        <v>113040</v>
      </c>
      <c r="AH1592" s="12">
        <v>80541</v>
      </c>
      <c r="AI1592" s="12">
        <v>80541</v>
      </c>
      <c r="AJ1592" s="21">
        <v>80541</v>
      </c>
      <c r="AK1592" s="21">
        <v>80541</v>
      </c>
      <c r="AL1592" s="21">
        <v>3500000</v>
      </c>
      <c r="AM1592" s="21">
        <v>3500000</v>
      </c>
      <c r="AN1592" s="1058">
        <v>2329839</v>
      </c>
      <c r="AO1592" s="1058">
        <v>2329839</v>
      </c>
      <c r="AP1592" s="1058">
        <v>53614</v>
      </c>
      <c r="AQ1592" s="1058">
        <v>53613</v>
      </c>
      <c r="AR1592" s="1044"/>
      <c r="AS1592" s="1044"/>
    </row>
    <row r="1593" spans="3:45" hidden="1" outlineLevel="1">
      <c r="C1593" s="816" t="s">
        <v>16</v>
      </c>
      <c r="D1593" s="9"/>
      <c r="E1593" s="20" t="s">
        <v>324</v>
      </c>
      <c r="F1593" s="20"/>
      <c r="G1593" s="20"/>
      <c r="H1593" s="20"/>
      <c r="I1593" s="20"/>
      <c r="J1593" s="20"/>
      <c r="K1593" s="20"/>
      <c r="L1593" s="20"/>
      <c r="M1593" s="20"/>
      <c r="N1593" s="20"/>
      <c r="O1593" s="20"/>
      <c r="P1593" s="20"/>
      <c r="Q1593" s="20"/>
      <c r="R1593" s="20"/>
      <c r="S1593" s="20"/>
      <c r="T1593" s="20"/>
      <c r="U1593" s="20"/>
      <c r="V1593" s="20"/>
      <c r="W1593" s="20"/>
      <c r="X1593" s="20"/>
      <c r="Y1593" s="20"/>
      <c r="Z1593" s="20"/>
      <c r="AA1593" s="20"/>
      <c r="AB1593" s="12">
        <v>59596</v>
      </c>
      <c r="AC1593" s="12">
        <v>59602</v>
      </c>
      <c r="AD1593" s="12">
        <v>59599</v>
      </c>
      <c r="AE1593" s="12">
        <v>59599</v>
      </c>
      <c r="AF1593" s="12">
        <v>59599</v>
      </c>
      <c r="AG1593" s="12">
        <v>59599</v>
      </c>
      <c r="AH1593" s="12">
        <v>42464</v>
      </c>
      <c r="AI1593" s="12">
        <v>42464</v>
      </c>
      <c r="AJ1593" s="21">
        <v>42464</v>
      </c>
      <c r="AK1593" s="21">
        <v>42464</v>
      </c>
      <c r="AL1593" s="21">
        <v>42464</v>
      </c>
      <c r="AM1593" s="21">
        <v>42464</v>
      </c>
      <c r="AN1593" s="1058">
        <v>28267</v>
      </c>
      <c r="AO1593" s="1058">
        <v>28266</v>
      </c>
      <c r="AP1593" s="1058">
        <v>28267</v>
      </c>
      <c r="AQ1593" s="1058">
        <v>28266</v>
      </c>
      <c r="AR1593" s="1044"/>
      <c r="AS1593" s="1044"/>
    </row>
    <row r="1594" spans="3:45" hidden="1" outlineLevel="1">
      <c r="C1594" s="816" t="s">
        <v>16</v>
      </c>
      <c r="D1594" s="9"/>
      <c r="E1594" s="20" t="s">
        <v>325</v>
      </c>
      <c r="F1594" s="20"/>
      <c r="G1594" s="20"/>
      <c r="H1594" s="20"/>
      <c r="I1594" s="20"/>
      <c r="J1594" s="20"/>
      <c r="K1594" s="20"/>
      <c r="L1594" s="20"/>
      <c r="M1594" s="20"/>
      <c r="N1594" s="20"/>
      <c r="O1594" s="20"/>
      <c r="P1594" s="20"/>
      <c r="Q1594" s="20"/>
      <c r="R1594" s="20"/>
      <c r="S1594" s="20"/>
      <c r="T1594" s="20"/>
      <c r="U1594" s="20"/>
      <c r="V1594" s="20"/>
      <c r="W1594" s="20"/>
      <c r="X1594" s="20"/>
      <c r="Y1594" s="20"/>
      <c r="Z1594" s="20"/>
      <c r="AA1594" s="20"/>
      <c r="AB1594" s="12">
        <v>83023</v>
      </c>
      <c r="AC1594" s="12">
        <v>83032</v>
      </c>
      <c r="AD1594" s="12">
        <v>83027</v>
      </c>
      <c r="AE1594" s="12">
        <v>83027</v>
      </c>
      <c r="AF1594" s="12">
        <v>83027</v>
      </c>
      <c r="AG1594" s="12">
        <v>83027</v>
      </c>
      <c r="AH1594" s="12">
        <v>59157</v>
      </c>
      <c r="AI1594" s="12">
        <v>59157</v>
      </c>
      <c r="AJ1594" s="21">
        <v>59157</v>
      </c>
      <c r="AK1594" s="21">
        <v>59157</v>
      </c>
      <c r="AL1594" s="21">
        <v>59157</v>
      </c>
      <c r="AM1594" s="21">
        <v>59157</v>
      </c>
      <c r="AN1594" s="1058">
        <v>26976</v>
      </c>
      <c r="AO1594" s="1058">
        <v>26976</v>
      </c>
      <c r="AP1594" s="1058">
        <v>24278</v>
      </c>
      <c r="AQ1594" s="1058">
        <v>24278</v>
      </c>
      <c r="AR1594" s="1044"/>
      <c r="AS1594" s="1044"/>
    </row>
    <row r="1595" spans="3:45" hidden="1" outlineLevel="1">
      <c r="C1595" s="816" t="s">
        <v>16</v>
      </c>
      <c r="D1595" s="9"/>
      <c r="E1595" s="20" t="s">
        <v>326</v>
      </c>
      <c r="F1595" s="20"/>
      <c r="G1595" s="20"/>
      <c r="H1595" s="20"/>
      <c r="I1595" s="20"/>
      <c r="J1595" s="20"/>
      <c r="K1595" s="20"/>
      <c r="L1595" s="20"/>
      <c r="M1595" s="20"/>
      <c r="N1595" s="20"/>
      <c r="O1595" s="20"/>
      <c r="P1595" s="20"/>
      <c r="Q1595" s="20"/>
      <c r="R1595" s="20"/>
      <c r="S1595" s="20"/>
      <c r="T1595" s="20"/>
      <c r="U1595" s="20"/>
      <c r="V1595" s="20"/>
      <c r="W1595" s="20"/>
      <c r="X1595" s="20"/>
      <c r="Y1595" s="20"/>
      <c r="Z1595" s="20"/>
      <c r="AA1595" s="20"/>
      <c r="AB1595" s="12">
        <v>794347</v>
      </c>
      <c r="AC1595" s="12">
        <v>794436</v>
      </c>
      <c r="AD1595" s="12">
        <v>794392</v>
      </c>
      <c r="AE1595" s="12">
        <v>794392</v>
      </c>
      <c r="AF1595" s="12">
        <v>794392</v>
      </c>
      <c r="AG1595" s="12">
        <v>794392</v>
      </c>
      <c r="AH1595" s="12">
        <v>566004</v>
      </c>
      <c r="AI1595" s="12">
        <v>566004</v>
      </c>
      <c r="AJ1595" s="21">
        <v>566004</v>
      </c>
      <c r="AK1595" s="21">
        <v>566004</v>
      </c>
      <c r="AL1595" s="21">
        <v>566004</v>
      </c>
      <c r="AM1595" s="21">
        <v>566004</v>
      </c>
      <c r="AN1595" s="1058">
        <v>376771</v>
      </c>
      <c r="AO1595" s="1058">
        <v>376771</v>
      </c>
      <c r="AP1595" s="1058">
        <v>376771</v>
      </c>
      <c r="AQ1595" s="1058">
        <v>376771</v>
      </c>
      <c r="AR1595" s="1044"/>
      <c r="AS1595" s="1044"/>
    </row>
    <row r="1596" spans="3:45" hidden="1" outlineLevel="1">
      <c r="C1596" s="816" t="s">
        <v>16</v>
      </c>
      <c r="D1596" s="9"/>
      <c r="E1596" s="20" t="s">
        <v>327</v>
      </c>
      <c r="F1596" s="20"/>
      <c r="G1596" s="20"/>
      <c r="H1596" s="20"/>
      <c r="I1596" s="20"/>
      <c r="J1596" s="20"/>
      <c r="K1596" s="20"/>
      <c r="L1596" s="20"/>
      <c r="M1596" s="20"/>
      <c r="N1596" s="20"/>
      <c r="O1596" s="20"/>
      <c r="P1596" s="20"/>
      <c r="Q1596" s="20"/>
      <c r="R1596" s="20"/>
      <c r="S1596" s="20"/>
      <c r="T1596" s="20"/>
      <c r="U1596" s="20"/>
      <c r="V1596" s="20"/>
      <c r="W1596" s="20"/>
      <c r="X1596" s="20"/>
      <c r="Y1596" s="20"/>
      <c r="Z1596" s="20"/>
      <c r="AA1596" s="20"/>
      <c r="AB1596" s="12">
        <v>108552</v>
      </c>
      <c r="AC1596" s="12">
        <v>108564</v>
      </c>
      <c r="AD1596" s="12">
        <v>108558</v>
      </c>
      <c r="AE1596" s="12">
        <v>108558</v>
      </c>
      <c r="AF1596" s="12">
        <v>108558</v>
      </c>
      <c r="AG1596" s="12">
        <v>108558</v>
      </c>
      <c r="AH1596" s="12">
        <v>77348</v>
      </c>
      <c r="AI1596" s="12">
        <v>77348</v>
      </c>
      <c r="AJ1596" s="21">
        <v>77348</v>
      </c>
      <c r="AK1596" s="21">
        <v>77348</v>
      </c>
      <c r="AL1596" s="21">
        <v>77348</v>
      </c>
      <c r="AM1596" s="21">
        <v>77348</v>
      </c>
      <c r="AN1596" s="1058">
        <v>51488</v>
      </c>
      <c r="AO1596" s="1058">
        <v>51488</v>
      </c>
      <c r="AP1596" s="1058">
        <v>51488</v>
      </c>
      <c r="AQ1596" s="1058">
        <v>51488</v>
      </c>
      <c r="AR1596" s="1044"/>
      <c r="AS1596" s="1044"/>
    </row>
    <row r="1597" spans="3:45" hidden="1" outlineLevel="1">
      <c r="C1597" s="816" t="s">
        <v>16</v>
      </c>
      <c r="D1597" s="9"/>
      <c r="E1597" s="20" t="s">
        <v>328</v>
      </c>
      <c r="F1597" s="20"/>
      <c r="G1597" s="20"/>
      <c r="H1597" s="20"/>
      <c r="I1597" s="20"/>
      <c r="J1597" s="20"/>
      <c r="K1597" s="20"/>
      <c r="L1597" s="20"/>
      <c r="M1597" s="20"/>
      <c r="N1597" s="20"/>
      <c r="O1597" s="20"/>
      <c r="P1597" s="20"/>
      <c r="Q1597" s="20"/>
      <c r="R1597" s="20"/>
      <c r="S1597" s="20"/>
      <c r="T1597" s="20"/>
      <c r="U1597" s="20"/>
      <c r="V1597" s="20"/>
      <c r="W1597" s="20"/>
      <c r="X1597" s="20"/>
      <c r="Y1597" s="20"/>
      <c r="Z1597" s="20"/>
      <c r="AA1597" s="20"/>
      <c r="AB1597" s="12">
        <v>268467</v>
      </c>
      <c r="AC1597" s="12">
        <v>268497</v>
      </c>
      <c r="AD1597" s="12">
        <v>268482</v>
      </c>
      <c r="AE1597" s="12">
        <v>268482</v>
      </c>
      <c r="AF1597" s="12">
        <v>268482</v>
      </c>
      <c r="AG1597" s="12">
        <v>268482</v>
      </c>
      <c r="AH1597" s="12">
        <v>191294</v>
      </c>
      <c r="AI1597" s="12">
        <v>191294</v>
      </c>
      <c r="AJ1597" s="21">
        <v>191294</v>
      </c>
      <c r="AK1597" s="21">
        <v>191294</v>
      </c>
      <c r="AL1597" s="21">
        <v>191294</v>
      </c>
      <c r="AM1597" s="21">
        <v>191294</v>
      </c>
      <c r="AN1597" s="1058">
        <v>127338</v>
      </c>
      <c r="AO1597" s="1058">
        <v>127338</v>
      </c>
      <c r="AP1597" s="1058">
        <v>127338</v>
      </c>
      <c r="AQ1597" s="1058">
        <v>127338</v>
      </c>
      <c r="AR1597" s="1044"/>
      <c r="AS1597" s="1044"/>
    </row>
    <row r="1598" spans="3:45" hidden="1" outlineLevel="1">
      <c r="C1598" s="816" t="s">
        <v>16</v>
      </c>
      <c r="D1598" s="1051" t="s">
        <v>1254</v>
      </c>
      <c r="E1598" s="278" t="s">
        <v>329</v>
      </c>
      <c r="F1598" s="20"/>
      <c r="G1598" s="20"/>
      <c r="H1598" s="20"/>
      <c r="I1598" s="20"/>
      <c r="J1598" s="20"/>
      <c r="K1598" s="20"/>
      <c r="L1598" s="20"/>
      <c r="M1598" s="20"/>
      <c r="N1598" s="20"/>
      <c r="O1598" s="20"/>
      <c r="P1598" s="20"/>
      <c r="Q1598" s="20"/>
      <c r="R1598" s="20"/>
      <c r="S1598" s="20"/>
      <c r="T1598" s="20"/>
      <c r="U1598" s="20"/>
      <c r="V1598" s="20"/>
      <c r="W1598" s="20"/>
      <c r="X1598" s="20"/>
      <c r="Y1598" s="20"/>
      <c r="Z1598" s="20"/>
      <c r="AA1598" s="20"/>
      <c r="AB1598" s="12">
        <v>289118</v>
      </c>
      <c r="AC1598" s="12">
        <v>289151</v>
      </c>
      <c r="AD1598" s="12">
        <v>289135</v>
      </c>
      <c r="AE1598" s="12">
        <v>289135</v>
      </c>
      <c r="AF1598" s="12">
        <v>289135</v>
      </c>
      <c r="AG1598" s="12">
        <v>289135</v>
      </c>
      <c r="AH1598" s="12">
        <v>206009</v>
      </c>
      <c r="AI1598" s="12">
        <v>206009</v>
      </c>
      <c r="AJ1598" s="21">
        <v>206009</v>
      </c>
      <c r="AK1598" s="21">
        <v>206009</v>
      </c>
      <c r="AL1598" s="21">
        <v>206009</v>
      </c>
      <c r="AM1598" s="21">
        <v>206009</v>
      </c>
      <c r="AN1598" s="1058">
        <v>137134</v>
      </c>
      <c r="AO1598" s="1058">
        <v>137134</v>
      </c>
      <c r="AP1598" s="1058">
        <v>137134</v>
      </c>
      <c r="AQ1598" s="1058">
        <v>137134</v>
      </c>
      <c r="AR1598" s="1044"/>
      <c r="AS1598" s="1044"/>
    </row>
    <row r="1599" spans="3:45" hidden="1" outlineLevel="1">
      <c r="C1599" s="816" t="s">
        <v>16</v>
      </c>
      <c r="D1599" s="9"/>
      <c r="E1599" s="20" t="s">
        <v>330</v>
      </c>
      <c r="F1599" s="20"/>
      <c r="G1599" s="20"/>
      <c r="H1599" s="20"/>
      <c r="I1599" s="20"/>
      <c r="J1599" s="20"/>
      <c r="K1599" s="20"/>
      <c r="L1599" s="20"/>
      <c r="M1599" s="20"/>
      <c r="N1599" s="20"/>
      <c r="O1599" s="20"/>
      <c r="P1599" s="20"/>
      <c r="Q1599" s="20"/>
      <c r="R1599" s="20"/>
      <c r="S1599" s="20"/>
      <c r="T1599" s="20"/>
      <c r="U1599" s="20"/>
      <c r="V1599" s="20"/>
      <c r="W1599" s="20"/>
      <c r="X1599" s="20"/>
      <c r="Y1599" s="20"/>
      <c r="Z1599" s="20"/>
      <c r="AA1599" s="20"/>
      <c r="AB1599" s="12">
        <v>41303</v>
      </c>
      <c r="AC1599" s="12">
        <v>41307</v>
      </c>
      <c r="AD1599" s="12">
        <v>41305</v>
      </c>
      <c r="AE1599" s="12">
        <v>41305</v>
      </c>
      <c r="AF1599" s="12">
        <v>41305</v>
      </c>
      <c r="AG1599" s="12">
        <v>41305</v>
      </c>
      <c r="AH1599" s="12">
        <v>29430</v>
      </c>
      <c r="AI1599" s="12">
        <v>29430</v>
      </c>
      <c r="AJ1599" s="21">
        <v>29430</v>
      </c>
      <c r="AK1599" s="21">
        <v>29430</v>
      </c>
      <c r="AL1599" s="21">
        <v>29430</v>
      </c>
      <c r="AM1599" s="21">
        <v>29430</v>
      </c>
      <c r="AN1599" s="1058">
        <v>19591</v>
      </c>
      <c r="AO1599" s="1058">
        <v>19591</v>
      </c>
      <c r="AP1599" s="1058">
        <v>19591</v>
      </c>
      <c r="AQ1599" s="1058">
        <v>19591</v>
      </c>
      <c r="AR1599" s="1044"/>
      <c r="AS1599" s="1044"/>
    </row>
    <row r="1600" spans="3:45" hidden="1" outlineLevel="1">
      <c r="C1600" s="816" t="s">
        <v>16</v>
      </c>
      <c r="D1600" s="223" t="s">
        <v>1354</v>
      </c>
      <c r="E1600" s="20" t="s">
        <v>331</v>
      </c>
      <c r="F1600" s="20"/>
      <c r="G1600" s="20"/>
      <c r="H1600" s="20"/>
      <c r="I1600" s="20"/>
      <c r="J1600" s="20"/>
      <c r="K1600" s="20"/>
      <c r="L1600" s="20"/>
      <c r="M1600" s="20"/>
      <c r="N1600" s="20"/>
      <c r="O1600" s="20"/>
      <c r="P1600" s="20"/>
      <c r="Q1600" s="20"/>
      <c r="R1600" s="20"/>
      <c r="S1600" s="20"/>
      <c r="T1600" s="20"/>
      <c r="U1600" s="20"/>
      <c r="V1600" s="20"/>
      <c r="W1600" s="20"/>
      <c r="X1600" s="20"/>
      <c r="Y1600" s="20"/>
      <c r="Z1600" s="20"/>
      <c r="AA1600" s="20"/>
      <c r="AB1600" s="12">
        <v>7808608</v>
      </c>
      <c r="AC1600" s="12">
        <v>7809410</v>
      </c>
      <c r="AD1600" s="12">
        <v>7809007</v>
      </c>
      <c r="AE1600" s="12">
        <v>7809008</v>
      </c>
      <c r="AF1600" s="12">
        <v>8030220</v>
      </c>
      <c r="AG1600" s="12">
        <v>8030220</v>
      </c>
      <c r="AH1600" s="12">
        <v>5721531</v>
      </c>
      <c r="AI1600" s="12">
        <v>5721532</v>
      </c>
      <c r="AJ1600" s="21">
        <v>3221532</v>
      </c>
      <c r="AK1600" s="21">
        <v>3221532</v>
      </c>
      <c r="AL1600" s="1223">
        <v>3225065</v>
      </c>
      <c r="AM1600" s="1223">
        <v>3225065</v>
      </c>
      <c r="AN1600" s="1058">
        <v>2257471</v>
      </c>
      <c r="AO1600" s="1058">
        <v>2257471</v>
      </c>
      <c r="AP1600" s="1058">
        <v>2257471</v>
      </c>
      <c r="AQ1600" s="1058">
        <v>2257471</v>
      </c>
      <c r="AR1600" s="1044"/>
      <c r="AS1600" s="1044"/>
    </row>
    <row r="1601" spans="3:45" hidden="1" outlineLevel="1">
      <c r="C1601" s="816" t="s">
        <v>16</v>
      </c>
      <c r="D1601" s="223" t="s">
        <v>1200</v>
      </c>
      <c r="E1601" s="25" t="s">
        <v>2214</v>
      </c>
      <c r="F1601" s="6"/>
      <c r="G1601" s="6"/>
      <c r="H1601" s="6"/>
      <c r="I1601" s="6"/>
      <c r="J1601" s="6"/>
      <c r="K1601" s="6"/>
      <c r="L1601" s="6"/>
      <c r="M1601" s="6"/>
      <c r="N1601" s="6"/>
      <c r="O1601" s="6"/>
      <c r="P1601" s="6"/>
      <c r="Q1601" s="6"/>
      <c r="R1601" s="6"/>
      <c r="S1601" s="6"/>
      <c r="T1601" s="6"/>
      <c r="U1601" s="6"/>
      <c r="V1601" s="6"/>
      <c r="W1601" s="6"/>
      <c r="X1601" s="6"/>
      <c r="Y1601" s="6"/>
      <c r="Z1601" s="6"/>
      <c r="AA1601" s="6"/>
      <c r="AB1601" s="7">
        <v>10277598</v>
      </c>
      <c r="AC1601" s="7">
        <v>10278676</v>
      </c>
      <c r="AD1601" s="7">
        <v>10278136</v>
      </c>
      <c r="AE1601" s="7">
        <v>10278137</v>
      </c>
      <c r="AF1601" s="7">
        <f t="shared" ref="AF1601:AQ1601" si="318">SUM(AF1588:AF1600)</f>
        <v>10499349</v>
      </c>
      <c r="AG1601" s="7">
        <f t="shared" si="318"/>
        <v>10499349</v>
      </c>
      <c r="AH1601" s="7">
        <f t="shared" si="318"/>
        <v>7480786</v>
      </c>
      <c r="AI1601" s="7">
        <f t="shared" si="318"/>
        <v>7480787</v>
      </c>
      <c r="AJ1601" s="7">
        <f t="shared" si="318"/>
        <v>4980787</v>
      </c>
      <c r="AK1601" s="7">
        <f t="shared" si="318"/>
        <v>4980787</v>
      </c>
      <c r="AL1601" s="60">
        <f t="shared" si="318"/>
        <v>8484320</v>
      </c>
      <c r="AM1601" s="60">
        <f t="shared" si="318"/>
        <v>8484320</v>
      </c>
      <c r="AN1601" s="1074">
        <f t="shared" si="318"/>
        <v>5745990</v>
      </c>
      <c r="AO1601" s="1074">
        <f t="shared" si="318"/>
        <v>5745985</v>
      </c>
      <c r="AP1601" s="1074">
        <f t="shared" si="318"/>
        <v>6660308</v>
      </c>
      <c r="AQ1601" s="1074">
        <f t="shared" si="318"/>
        <v>6660303</v>
      </c>
      <c r="AR1601" s="222"/>
      <c r="AS1601" s="1044"/>
    </row>
    <row r="1602" spans="3:45" hidden="1" outlineLevel="1">
      <c r="C1602" s="816" t="s">
        <v>16</v>
      </c>
      <c r="D1602" s="9"/>
      <c r="E1602" s="20" t="s">
        <v>1671</v>
      </c>
      <c r="F1602" s="23"/>
      <c r="G1602" s="23"/>
      <c r="H1602" s="23"/>
      <c r="I1602" s="23"/>
      <c r="J1602" s="23"/>
      <c r="K1602" s="23"/>
      <c r="L1602" s="23"/>
      <c r="M1602" s="23"/>
      <c r="N1602" s="23"/>
      <c r="O1602" s="23"/>
      <c r="P1602" s="23"/>
      <c r="Q1602" s="23"/>
      <c r="R1602" s="23"/>
      <c r="S1602" s="23"/>
      <c r="T1602" s="23"/>
      <c r="U1602" s="23"/>
      <c r="V1602" s="23"/>
      <c r="W1602" s="23"/>
      <c r="X1602" s="23"/>
      <c r="Y1602" s="23"/>
      <c r="Z1602" s="23"/>
      <c r="AA1602" s="23"/>
      <c r="AB1602" s="14"/>
      <c r="AC1602" s="14"/>
      <c r="AD1602" s="14"/>
      <c r="AE1602" s="14"/>
      <c r="AF1602" s="14"/>
      <c r="AG1602" s="14"/>
      <c r="AH1602" s="14"/>
      <c r="AI1602" s="14"/>
      <c r="AJ1602" s="14"/>
      <c r="AK1602" s="14"/>
      <c r="AL1602" s="21">
        <v>113326</v>
      </c>
      <c r="AM1602" s="21">
        <v>113326</v>
      </c>
      <c r="AN1602" s="1058">
        <v>78347</v>
      </c>
      <c r="AO1602" s="1058">
        <v>78346</v>
      </c>
      <c r="AP1602" s="1058">
        <v>78347</v>
      </c>
      <c r="AQ1602" s="1058">
        <v>78346</v>
      </c>
      <c r="AR1602" s="1044"/>
      <c r="AS1602" s="1044"/>
    </row>
    <row r="1603" spans="3:45" hidden="1" outlineLevel="1">
      <c r="C1603" s="816" t="s">
        <v>16</v>
      </c>
      <c r="D1603" s="9"/>
      <c r="E1603" s="20" t="s">
        <v>1672</v>
      </c>
      <c r="F1603" s="23"/>
      <c r="G1603" s="23"/>
      <c r="H1603" s="23"/>
      <c r="I1603" s="23"/>
      <c r="J1603" s="23"/>
      <c r="K1603" s="23"/>
      <c r="L1603" s="23"/>
      <c r="M1603" s="23"/>
      <c r="N1603" s="23"/>
      <c r="O1603" s="23"/>
      <c r="P1603" s="23"/>
      <c r="Q1603" s="23"/>
      <c r="R1603" s="23"/>
      <c r="S1603" s="23"/>
      <c r="T1603" s="23"/>
      <c r="U1603" s="23"/>
      <c r="V1603" s="23"/>
      <c r="W1603" s="23"/>
      <c r="X1603" s="23"/>
      <c r="Y1603" s="23"/>
      <c r="Z1603" s="23"/>
      <c r="AA1603" s="23"/>
      <c r="AB1603" s="14"/>
      <c r="AC1603" s="14"/>
      <c r="AD1603" s="14"/>
      <c r="AE1603" s="14"/>
      <c r="AF1603" s="14"/>
      <c r="AG1603" s="14"/>
      <c r="AH1603" s="14"/>
      <c r="AI1603" s="14"/>
      <c r="AJ1603" s="14"/>
      <c r="AK1603" s="14"/>
      <c r="AL1603" s="21">
        <v>135991</v>
      </c>
      <c r="AM1603" s="21">
        <v>135991</v>
      </c>
      <c r="AN1603" s="1058">
        <v>64596</v>
      </c>
      <c r="AO1603" s="1058">
        <v>64596</v>
      </c>
      <c r="AP1603" s="1058">
        <v>58136</v>
      </c>
      <c r="AQ1603" s="1058">
        <v>58136</v>
      </c>
      <c r="AR1603" s="1044"/>
      <c r="AS1603" s="1044"/>
    </row>
    <row r="1604" spans="3:45" hidden="1" outlineLevel="1">
      <c r="C1604" s="816" t="s">
        <v>16</v>
      </c>
      <c r="D1604" s="9"/>
      <c r="E1604" s="20" t="s">
        <v>1673</v>
      </c>
      <c r="F1604" s="23"/>
      <c r="G1604" s="23"/>
      <c r="H1604" s="23"/>
      <c r="I1604" s="23"/>
      <c r="J1604" s="23"/>
      <c r="K1604" s="23"/>
      <c r="L1604" s="23"/>
      <c r="M1604" s="23"/>
      <c r="N1604" s="23"/>
      <c r="O1604" s="23"/>
      <c r="P1604" s="23"/>
      <c r="Q1604" s="23"/>
      <c r="R1604" s="23"/>
      <c r="S1604" s="23"/>
      <c r="T1604" s="23"/>
      <c r="U1604" s="23"/>
      <c r="V1604" s="23"/>
      <c r="W1604" s="23"/>
      <c r="X1604" s="23"/>
      <c r="Y1604" s="23"/>
      <c r="Z1604" s="23"/>
      <c r="AA1604" s="23"/>
      <c r="AB1604" s="14"/>
      <c r="AC1604" s="14"/>
      <c r="AD1604" s="14"/>
      <c r="AE1604" s="14"/>
      <c r="AF1604" s="14"/>
      <c r="AG1604" s="14"/>
      <c r="AH1604" s="14"/>
      <c r="AI1604" s="14"/>
      <c r="AJ1604" s="14"/>
      <c r="AK1604" s="14"/>
      <c r="AL1604" s="21">
        <v>67996</v>
      </c>
      <c r="AM1604" s="21">
        <v>67996</v>
      </c>
      <c r="AN1604" s="1058">
        <v>32298</v>
      </c>
      <c r="AO1604" s="1058">
        <v>32298</v>
      </c>
      <c r="AP1604" s="1058">
        <v>29068</v>
      </c>
      <c r="AQ1604" s="1058">
        <v>29068</v>
      </c>
      <c r="AR1604" s="1044"/>
      <c r="AS1604" s="1044"/>
    </row>
    <row r="1605" spans="3:45" hidden="1" outlineLevel="1">
      <c r="C1605" s="816" t="s">
        <v>16</v>
      </c>
      <c r="D1605" s="9"/>
      <c r="E1605" s="20" t="s">
        <v>1674</v>
      </c>
      <c r="F1605" s="23"/>
      <c r="G1605" s="23"/>
      <c r="H1605" s="23"/>
      <c r="I1605" s="23"/>
      <c r="J1605" s="23"/>
      <c r="K1605" s="23"/>
      <c r="L1605" s="23"/>
      <c r="M1605" s="23"/>
      <c r="N1605" s="23"/>
      <c r="O1605" s="23"/>
      <c r="P1605" s="23"/>
      <c r="Q1605" s="23"/>
      <c r="R1605" s="23"/>
      <c r="S1605" s="23"/>
      <c r="T1605" s="23"/>
      <c r="U1605" s="23"/>
      <c r="V1605" s="23"/>
      <c r="W1605" s="23"/>
      <c r="X1605" s="23"/>
      <c r="Y1605" s="23"/>
      <c r="Z1605" s="23"/>
      <c r="AA1605" s="23"/>
      <c r="AB1605" s="14"/>
      <c r="AC1605" s="14"/>
      <c r="AD1605" s="14"/>
      <c r="AE1605" s="14"/>
      <c r="AF1605" s="14"/>
      <c r="AG1605" s="14"/>
      <c r="AH1605" s="14"/>
      <c r="AI1605" s="14"/>
      <c r="AJ1605" s="14"/>
      <c r="AK1605" s="14"/>
      <c r="AL1605" s="21">
        <v>400000</v>
      </c>
      <c r="AM1605" s="21">
        <v>400000</v>
      </c>
      <c r="AN1605" s="1058">
        <v>276536</v>
      </c>
      <c r="AO1605" s="1058">
        <v>276536</v>
      </c>
      <c r="AP1605" s="1058">
        <v>248882</v>
      </c>
      <c r="AQ1605" s="1058">
        <v>248882</v>
      </c>
      <c r="AR1605" s="1044"/>
      <c r="AS1605" s="1044"/>
    </row>
    <row r="1606" spans="3:45" hidden="1" outlineLevel="1">
      <c r="C1606" s="816" t="s">
        <v>16</v>
      </c>
      <c r="D1606" s="9"/>
      <c r="E1606" s="224" t="s">
        <v>1711</v>
      </c>
      <c r="F1606" s="23"/>
      <c r="G1606" s="23"/>
      <c r="H1606" s="23"/>
      <c r="I1606" s="23"/>
      <c r="J1606" s="23"/>
      <c r="K1606" s="23"/>
      <c r="L1606" s="23"/>
      <c r="M1606" s="23"/>
      <c r="N1606" s="23"/>
      <c r="O1606" s="23"/>
      <c r="P1606" s="23"/>
      <c r="Q1606" s="23"/>
      <c r="R1606" s="23"/>
      <c r="S1606" s="23"/>
      <c r="T1606" s="23"/>
      <c r="U1606" s="23"/>
      <c r="V1606" s="23"/>
      <c r="W1606" s="23"/>
      <c r="X1606" s="23"/>
      <c r="Y1606" s="23"/>
      <c r="Z1606" s="23"/>
      <c r="AA1606" s="23"/>
      <c r="AB1606" s="14"/>
      <c r="AC1606" s="14"/>
      <c r="AD1606" s="14"/>
      <c r="AE1606" s="14"/>
      <c r="AF1606" s="14"/>
      <c r="AG1606" s="14"/>
      <c r="AH1606" s="14"/>
      <c r="AI1606" s="14"/>
      <c r="AJ1606" s="14"/>
      <c r="AK1606" s="14"/>
      <c r="AL1606" s="21">
        <v>500000</v>
      </c>
      <c r="AM1606" s="21">
        <v>500000</v>
      </c>
      <c r="AN1606" s="1058">
        <v>345670</v>
      </c>
      <c r="AO1606" s="1058">
        <v>345670</v>
      </c>
      <c r="AP1606" s="1058">
        <v>345670</v>
      </c>
      <c r="AQ1606" s="1058">
        <v>345670</v>
      </c>
      <c r="AR1606" s="1044"/>
      <c r="AS1606" s="1044"/>
    </row>
    <row r="1607" spans="3:45" hidden="1" outlineLevel="1">
      <c r="C1607" s="816" t="s">
        <v>16</v>
      </c>
      <c r="D1607" s="9"/>
      <c r="E1607" s="20" t="s">
        <v>1675</v>
      </c>
      <c r="F1607" s="23"/>
      <c r="G1607" s="23"/>
      <c r="H1607" s="23"/>
      <c r="I1607" s="23"/>
      <c r="J1607" s="23"/>
      <c r="K1607" s="23"/>
      <c r="L1607" s="23"/>
      <c r="M1607" s="23"/>
      <c r="N1607" s="23"/>
      <c r="O1607" s="23"/>
      <c r="P1607" s="23"/>
      <c r="Q1607" s="23"/>
      <c r="R1607" s="23"/>
      <c r="S1607" s="23"/>
      <c r="T1607" s="23"/>
      <c r="U1607" s="23"/>
      <c r="V1607" s="23"/>
      <c r="W1607" s="23"/>
      <c r="X1607" s="23"/>
      <c r="Y1607" s="23"/>
      <c r="Z1607" s="23"/>
      <c r="AA1607" s="23"/>
      <c r="AB1607" s="14"/>
      <c r="AC1607" s="14"/>
      <c r="AD1607" s="14"/>
      <c r="AE1607" s="14"/>
      <c r="AF1607" s="14"/>
      <c r="AG1607" s="14"/>
      <c r="AH1607" s="14"/>
      <c r="AI1607" s="14"/>
      <c r="AJ1607" s="14"/>
      <c r="AK1607" s="14"/>
      <c r="AL1607" s="21">
        <v>498188</v>
      </c>
      <c r="AM1607" s="21">
        <v>498188</v>
      </c>
      <c r="AN1607" s="1058">
        <v>328741</v>
      </c>
      <c r="AO1607" s="1058">
        <v>328741</v>
      </c>
      <c r="AP1607" s="1058"/>
      <c r="AQ1607" s="1058"/>
      <c r="AR1607" s="1044"/>
      <c r="AS1607" s="1044"/>
    </row>
    <row r="1608" spans="3:45" hidden="1" outlineLevel="1">
      <c r="C1608" s="816" t="s">
        <v>16</v>
      </c>
      <c r="D1608" s="9"/>
      <c r="E1608" s="20" t="s">
        <v>1676</v>
      </c>
      <c r="F1608" s="23"/>
      <c r="G1608" s="23"/>
      <c r="H1608" s="23"/>
      <c r="I1608" s="23"/>
      <c r="J1608" s="23"/>
      <c r="K1608" s="23"/>
      <c r="L1608" s="23"/>
      <c r="M1608" s="23"/>
      <c r="N1608" s="23"/>
      <c r="O1608" s="23"/>
      <c r="P1608" s="23"/>
      <c r="Q1608" s="23"/>
      <c r="R1608" s="23"/>
      <c r="S1608" s="23"/>
      <c r="T1608" s="23"/>
      <c r="U1608" s="23"/>
      <c r="V1608" s="23"/>
      <c r="W1608" s="23"/>
      <c r="X1608" s="23"/>
      <c r="Y1608" s="23"/>
      <c r="Z1608" s="23"/>
      <c r="AA1608" s="23"/>
      <c r="AB1608" s="14"/>
      <c r="AC1608" s="14"/>
      <c r="AD1608" s="14"/>
      <c r="AE1608" s="14"/>
      <c r="AF1608" s="14"/>
      <c r="AG1608" s="14"/>
      <c r="AH1608" s="14"/>
      <c r="AI1608" s="14"/>
      <c r="AJ1608" s="14"/>
      <c r="AK1608" s="14"/>
      <c r="AL1608" s="21">
        <v>228846</v>
      </c>
      <c r="AM1608" s="21">
        <v>228846</v>
      </c>
      <c r="AN1608" s="1058">
        <v>149883</v>
      </c>
      <c r="AO1608" s="1058">
        <v>149883</v>
      </c>
      <c r="AP1608" s="1058">
        <v>149883</v>
      </c>
      <c r="AQ1608" s="1058">
        <v>149883</v>
      </c>
      <c r="AR1608" s="1044"/>
      <c r="AS1608" s="1044"/>
    </row>
    <row r="1609" spans="3:45" hidden="1" outlineLevel="1">
      <c r="C1609" s="816" t="s">
        <v>16</v>
      </c>
      <c r="D1609" s="9"/>
      <c r="E1609" s="20" t="s">
        <v>1677</v>
      </c>
      <c r="F1609" s="23"/>
      <c r="G1609" s="23"/>
      <c r="H1609" s="23"/>
      <c r="I1609" s="23"/>
      <c r="J1609" s="23"/>
      <c r="K1609" s="23"/>
      <c r="L1609" s="23"/>
      <c r="M1609" s="23"/>
      <c r="N1609" s="23"/>
      <c r="O1609" s="23"/>
      <c r="P1609" s="23"/>
      <c r="Q1609" s="23"/>
      <c r="R1609" s="23"/>
      <c r="S1609" s="23"/>
      <c r="T1609" s="23"/>
      <c r="U1609" s="23"/>
      <c r="V1609" s="23"/>
      <c r="W1609" s="23"/>
      <c r="X1609" s="23"/>
      <c r="Y1609" s="23"/>
      <c r="Z1609" s="23"/>
      <c r="AA1609" s="23"/>
      <c r="AB1609" s="14"/>
      <c r="AC1609" s="14"/>
      <c r="AD1609" s="14"/>
      <c r="AE1609" s="14"/>
      <c r="AF1609" s="14"/>
      <c r="AG1609" s="14"/>
      <c r="AH1609" s="14"/>
      <c r="AI1609" s="14"/>
      <c r="AJ1609" s="14"/>
      <c r="AK1609" s="14"/>
      <c r="AL1609" s="21">
        <v>79663</v>
      </c>
      <c r="AM1609" s="21">
        <v>79663</v>
      </c>
      <c r="AN1609" s="1058">
        <v>35849</v>
      </c>
      <c r="AO1609" s="1058">
        <v>35848</v>
      </c>
      <c r="AP1609" s="1058">
        <v>32264</v>
      </c>
      <c r="AQ1609" s="1058">
        <v>32264</v>
      </c>
      <c r="AR1609" s="1044"/>
      <c r="AS1609" s="1044"/>
    </row>
    <row r="1610" spans="3:45" hidden="1" outlineLevel="1">
      <c r="C1610" s="816" t="s">
        <v>16</v>
      </c>
      <c r="D1610" s="9"/>
      <c r="E1610" s="224" t="s">
        <v>1712</v>
      </c>
      <c r="F1610" s="23"/>
      <c r="G1610" s="23"/>
      <c r="H1610" s="23"/>
      <c r="I1610" s="23"/>
      <c r="J1610" s="23"/>
      <c r="K1610" s="23"/>
      <c r="L1610" s="23"/>
      <c r="M1610" s="23"/>
      <c r="N1610" s="23"/>
      <c r="O1610" s="23"/>
      <c r="P1610" s="23"/>
      <c r="Q1610" s="23"/>
      <c r="R1610" s="23"/>
      <c r="S1610" s="23"/>
      <c r="T1610" s="23"/>
      <c r="U1610" s="23"/>
      <c r="V1610" s="23"/>
      <c r="W1610" s="23"/>
      <c r="X1610" s="23"/>
      <c r="Y1610" s="23"/>
      <c r="Z1610" s="23"/>
      <c r="AA1610" s="23"/>
      <c r="AB1610" s="14"/>
      <c r="AC1610" s="14"/>
      <c r="AD1610" s="14"/>
      <c r="AE1610" s="14"/>
      <c r="AF1610" s="14"/>
      <c r="AG1610" s="14"/>
      <c r="AH1610" s="14"/>
      <c r="AI1610" s="14"/>
      <c r="AJ1610" s="14"/>
      <c r="AK1610" s="14"/>
      <c r="AL1610" s="21">
        <v>155859</v>
      </c>
      <c r="AM1610" s="21">
        <v>155859</v>
      </c>
      <c r="AN1610" s="1058">
        <v>107752</v>
      </c>
      <c r="AO1610" s="1058">
        <v>107751</v>
      </c>
      <c r="AP1610" s="1058">
        <v>107752</v>
      </c>
      <c r="AQ1610" s="1058">
        <v>107751</v>
      </c>
      <c r="AR1610" s="1044"/>
      <c r="AS1610" s="1044"/>
    </row>
    <row r="1611" spans="3:45" hidden="1" outlineLevel="1">
      <c r="C1611" s="816" t="s">
        <v>16</v>
      </c>
      <c r="D1611" s="9"/>
      <c r="E1611" s="20" t="s">
        <v>1678</v>
      </c>
      <c r="F1611" s="23"/>
      <c r="G1611" s="23"/>
      <c r="H1611" s="23"/>
      <c r="I1611" s="23"/>
      <c r="J1611" s="23"/>
      <c r="K1611" s="23"/>
      <c r="L1611" s="23"/>
      <c r="M1611" s="23"/>
      <c r="N1611" s="23"/>
      <c r="O1611" s="23"/>
      <c r="P1611" s="23"/>
      <c r="Q1611" s="23"/>
      <c r="R1611" s="23"/>
      <c r="S1611" s="23"/>
      <c r="T1611" s="23"/>
      <c r="U1611" s="23"/>
      <c r="V1611" s="23"/>
      <c r="W1611" s="23"/>
      <c r="X1611" s="23"/>
      <c r="Y1611" s="23"/>
      <c r="Z1611" s="23"/>
      <c r="AA1611" s="23"/>
      <c r="AB1611" s="14"/>
      <c r="AC1611" s="14"/>
      <c r="AD1611" s="14"/>
      <c r="AE1611" s="14"/>
      <c r="AF1611" s="14"/>
      <c r="AG1611" s="14"/>
      <c r="AH1611" s="14"/>
      <c r="AI1611" s="14"/>
      <c r="AJ1611" s="14"/>
      <c r="AK1611" s="14"/>
      <c r="AL1611" s="21">
        <v>59748</v>
      </c>
      <c r="AM1611" s="21">
        <v>59748</v>
      </c>
      <c r="AN1611" s="1058">
        <v>41306</v>
      </c>
      <c r="AO1611" s="1058">
        <v>41306</v>
      </c>
      <c r="AP1611" s="1058"/>
      <c r="AQ1611" s="1058"/>
      <c r="AR1611" s="1044"/>
      <c r="AS1611" s="1044"/>
    </row>
    <row r="1612" spans="3:45" hidden="1" outlineLevel="1">
      <c r="C1612" s="816" t="s">
        <v>16</v>
      </c>
      <c r="D1612" s="9"/>
      <c r="E1612" s="20" t="s">
        <v>1679</v>
      </c>
      <c r="F1612" s="23"/>
      <c r="G1612" s="23"/>
      <c r="H1612" s="23"/>
      <c r="I1612" s="23"/>
      <c r="J1612" s="23"/>
      <c r="K1612" s="23"/>
      <c r="L1612" s="23"/>
      <c r="M1612" s="23"/>
      <c r="N1612" s="23"/>
      <c r="O1612" s="23"/>
      <c r="P1612" s="23"/>
      <c r="Q1612" s="23"/>
      <c r="R1612" s="23"/>
      <c r="S1612" s="23"/>
      <c r="T1612" s="23"/>
      <c r="U1612" s="23"/>
      <c r="V1612" s="23"/>
      <c r="W1612" s="23"/>
      <c r="X1612" s="23"/>
      <c r="Y1612" s="23"/>
      <c r="Z1612" s="23"/>
      <c r="AA1612" s="23"/>
      <c r="AB1612" s="14"/>
      <c r="AC1612" s="14"/>
      <c r="AD1612" s="14"/>
      <c r="AE1612" s="14"/>
      <c r="AF1612" s="14"/>
      <c r="AG1612" s="14"/>
      <c r="AH1612" s="14"/>
      <c r="AI1612" s="14"/>
      <c r="AJ1612" s="14"/>
      <c r="AK1612" s="14"/>
      <c r="AL1612" s="21">
        <v>114434</v>
      </c>
      <c r="AM1612" s="21">
        <v>114434</v>
      </c>
      <c r="AN1612" s="1058">
        <v>79113</v>
      </c>
      <c r="AO1612" s="1058">
        <v>79113</v>
      </c>
      <c r="AP1612" s="1058">
        <v>79113</v>
      </c>
      <c r="AQ1612" s="1058">
        <v>79113</v>
      </c>
      <c r="AR1612" s="1044"/>
      <c r="AS1612" s="1044"/>
    </row>
    <row r="1613" spans="3:45" hidden="1" outlineLevel="1">
      <c r="C1613" s="816" t="s">
        <v>16</v>
      </c>
      <c r="D1613" s="9"/>
      <c r="E1613" s="20" t="s">
        <v>1680</v>
      </c>
      <c r="F1613" s="23"/>
      <c r="G1613" s="23"/>
      <c r="H1613" s="23"/>
      <c r="I1613" s="23"/>
      <c r="J1613" s="23"/>
      <c r="K1613" s="23"/>
      <c r="L1613" s="23"/>
      <c r="M1613" s="23"/>
      <c r="N1613" s="23"/>
      <c r="O1613" s="23"/>
      <c r="P1613" s="23"/>
      <c r="Q1613" s="23"/>
      <c r="R1613" s="23"/>
      <c r="S1613" s="23"/>
      <c r="T1613" s="23"/>
      <c r="U1613" s="23"/>
      <c r="V1613" s="23"/>
      <c r="W1613" s="23"/>
      <c r="X1613" s="23"/>
      <c r="Y1613" s="23"/>
      <c r="Z1613" s="23"/>
      <c r="AA1613" s="23"/>
      <c r="AB1613" s="14"/>
      <c r="AC1613" s="14"/>
      <c r="AD1613" s="14"/>
      <c r="AE1613" s="14"/>
      <c r="AF1613" s="14"/>
      <c r="AG1613" s="14"/>
      <c r="AH1613" s="14"/>
      <c r="AI1613" s="14"/>
      <c r="AJ1613" s="14"/>
      <c r="AK1613" s="14"/>
      <c r="AL1613" s="21">
        <v>158656</v>
      </c>
      <c r="AM1613" s="21">
        <v>158656</v>
      </c>
      <c r="AN1613" s="1058">
        <v>109685</v>
      </c>
      <c r="AO1613" s="1058">
        <v>109685</v>
      </c>
      <c r="AP1613" s="1058">
        <v>109685</v>
      </c>
      <c r="AQ1613" s="1058">
        <v>109685</v>
      </c>
      <c r="AR1613" s="1044"/>
      <c r="AS1613" s="1044"/>
    </row>
    <row r="1614" spans="3:45" hidden="1" outlineLevel="1">
      <c r="C1614" s="816" t="s">
        <v>16</v>
      </c>
      <c r="D1614" s="9"/>
      <c r="E1614" s="20" t="s">
        <v>1681</v>
      </c>
      <c r="F1614" s="23"/>
      <c r="G1614" s="23"/>
      <c r="H1614" s="23"/>
      <c r="I1614" s="23"/>
      <c r="J1614" s="23"/>
      <c r="K1614" s="23"/>
      <c r="L1614" s="23"/>
      <c r="M1614" s="23"/>
      <c r="N1614" s="23"/>
      <c r="O1614" s="23"/>
      <c r="P1614" s="23"/>
      <c r="Q1614" s="23"/>
      <c r="R1614" s="23"/>
      <c r="S1614" s="23"/>
      <c r="T1614" s="23"/>
      <c r="U1614" s="23"/>
      <c r="V1614" s="23"/>
      <c r="W1614" s="23"/>
      <c r="X1614" s="23"/>
      <c r="Y1614" s="23"/>
      <c r="Z1614" s="23"/>
      <c r="AA1614" s="23"/>
      <c r="AB1614" s="14"/>
      <c r="AC1614" s="14"/>
      <c r="AD1614" s="14"/>
      <c r="AE1614" s="14"/>
      <c r="AF1614" s="14"/>
      <c r="AG1614" s="14"/>
      <c r="AH1614" s="14"/>
      <c r="AI1614" s="14"/>
      <c r="AJ1614" s="14"/>
      <c r="AK1614" s="14"/>
      <c r="AL1614" s="21">
        <v>500000</v>
      </c>
      <c r="AM1614" s="21">
        <v>500000</v>
      </c>
      <c r="AN1614" s="1058">
        <v>345670</v>
      </c>
      <c r="AO1614" s="1058">
        <v>345670</v>
      </c>
      <c r="AP1614" s="1058">
        <v>345670</v>
      </c>
      <c r="AQ1614" s="1058">
        <v>345670</v>
      </c>
      <c r="AR1614" s="1044"/>
      <c r="AS1614" s="1044"/>
    </row>
    <row r="1615" spans="3:45" hidden="1" outlineLevel="1">
      <c r="C1615" s="816" t="s">
        <v>16</v>
      </c>
      <c r="D1615" s="9"/>
      <c r="E1615" s="224" t="s">
        <v>1710</v>
      </c>
      <c r="F1615" s="23"/>
      <c r="G1615" s="23"/>
      <c r="H1615" s="23"/>
      <c r="I1615" s="23"/>
      <c r="J1615" s="23"/>
      <c r="K1615" s="23"/>
      <c r="L1615" s="23"/>
      <c r="M1615" s="23"/>
      <c r="N1615" s="23"/>
      <c r="O1615" s="23"/>
      <c r="P1615" s="23"/>
      <c r="Q1615" s="23"/>
      <c r="R1615" s="23"/>
      <c r="S1615" s="23"/>
      <c r="T1615" s="23"/>
      <c r="U1615" s="23"/>
      <c r="V1615" s="23"/>
      <c r="W1615" s="23"/>
      <c r="X1615" s="23"/>
      <c r="Y1615" s="23"/>
      <c r="Z1615" s="23"/>
      <c r="AA1615" s="23"/>
      <c r="AB1615" s="14"/>
      <c r="AC1615" s="14"/>
      <c r="AD1615" s="14"/>
      <c r="AE1615" s="14"/>
      <c r="AF1615" s="14"/>
      <c r="AG1615" s="14"/>
      <c r="AH1615" s="14"/>
      <c r="AI1615" s="14"/>
      <c r="AJ1615" s="14"/>
      <c r="AK1615" s="14"/>
      <c r="AL1615" s="21">
        <v>275000</v>
      </c>
      <c r="AM1615" s="21">
        <v>275000</v>
      </c>
      <c r="AN1615" s="1058">
        <v>180112</v>
      </c>
      <c r="AO1615" s="1058">
        <v>180112</v>
      </c>
      <c r="AP1615" s="1058">
        <v>550159</v>
      </c>
      <c r="AQ1615" s="1058">
        <v>550159</v>
      </c>
      <c r="AR1615" s="1044"/>
      <c r="AS1615" s="1044"/>
    </row>
    <row r="1616" spans="3:45" hidden="1" outlineLevel="1">
      <c r="C1616" s="816" t="s">
        <v>16</v>
      </c>
      <c r="D1616" s="223" t="s">
        <v>1354</v>
      </c>
      <c r="E1616" s="20" t="s">
        <v>1682</v>
      </c>
      <c r="F1616" s="23"/>
      <c r="G1616" s="23"/>
      <c r="H1616" s="23"/>
      <c r="I1616" s="23"/>
      <c r="J1616" s="23"/>
      <c r="K1616" s="23"/>
      <c r="L1616" s="23"/>
      <c r="M1616" s="23"/>
      <c r="N1616" s="23"/>
      <c r="O1616" s="23"/>
      <c r="P1616" s="23"/>
      <c r="Q1616" s="23"/>
      <c r="R1616" s="23"/>
      <c r="S1616" s="23"/>
      <c r="T1616" s="23"/>
      <c r="U1616" s="23"/>
      <c r="V1616" s="23"/>
      <c r="W1616" s="23"/>
      <c r="X1616" s="23"/>
      <c r="Y1616" s="23"/>
      <c r="Z1616" s="23"/>
      <c r="AA1616" s="23"/>
      <c r="AB1616" s="14"/>
      <c r="AC1616" s="14"/>
      <c r="AD1616" s="14"/>
      <c r="AE1616" s="14"/>
      <c r="AF1616" s="14"/>
      <c r="AG1616" s="14"/>
      <c r="AH1616" s="14"/>
      <c r="AI1616" s="14"/>
      <c r="AJ1616" s="14"/>
      <c r="AK1616" s="14"/>
      <c r="AL1616" s="1058">
        <v>10549960</v>
      </c>
      <c r="AM1616" s="1058">
        <v>10549960</v>
      </c>
      <c r="AN1616" s="1058">
        <v>6339880</v>
      </c>
      <c r="AO1616" s="1058">
        <v>6339878</v>
      </c>
      <c r="AP1616" s="1058">
        <v>8444215</v>
      </c>
      <c r="AQ1616" s="1058">
        <v>8444212</v>
      </c>
      <c r="AR1616" s="1044"/>
      <c r="AS1616" s="1044"/>
    </row>
    <row r="1617" spans="3:45" hidden="1" outlineLevel="1">
      <c r="C1617" s="816" t="s">
        <v>16</v>
      </c>
      <c r="D1617" s="9"/>
      <c r="E1617" s="20" t="s">
        <v>1683</v>
      </c>
      <c r="F1617" s="23"/>
      <c r="G1617" s="23"/>
      <c r="H1617" s="23"/>
      <c r="I1617" s="23"/>
      <c r="J1617" s="23"/>
      <c r="K1617" s="23"/>
      <c r="L1617" s="23"/>
      <c r="M1617" s="23"/>
      <c r="N1617" s="23"/>
      <c r="O1617" s="23"/>
      <c r="P1617" s="23"/>
      <c r="Q1617" s="23"/>
      <c r="R1617" s="23"/>
      <c r="S1617" s="23"/>
      <c r="T1617" s="23"/>
      <c r="U1617" s="23"/>
      <c r="V1617" s="23"/>
      <c r="W1617" s="23"/>
      <c r="X1617" s="23"/>
      <c r="Y1617" s="23"/>
      <c r="Z1617" s="23"/>
      <c r="AA1617" s="23"/>
      <c r="AB1617" s="14"/>
      <c r="AC1617" s="14"/>
      <c r="AD1617" s="14"/>
      <c r="AE1617" s="14"/>
      <c r="AF1617" s="14"/>
      <c r="AG1617" s="14"/>
      <c r="AH1617" s="14"/>
      <c r="AI1617" s="14"/>
      <c r="AJ1617" s="14"/>
      <c r="AK1617" s="14"/>
      <c r="AL1617" s="21">
        <v>226652</v>
      </c>
      <c r="AM1617" s="21">
        <v>226652</v>
      </c>
      <c r="AN1617" s="1058">
        <v>156694</v>
      </c>
      <c r="AO1617" s="1058">
        <v>156693</v>
      </c>
      <c r="AP1617" s="1058">
        <v>156694</v>
      </c>
      <c r="AQ1617" s="1058">
        <v>156693</v>
      </c>
      <c r="AR1617" s="1044"/>
      <c r="AS1617" s="1044"/>
    </row>
    <row r="1618" spans="3:45" hidden="1" outlineLevel="1">
      <c r="C1618" s="816" t="s">
        <v>16</v>
      </c>
      <c r="D1618" s="9"/>
      <c r="E1618" s="224" t="s">
        <v>1709</v>
      </c>
      <c r="F1618" s="23"/>
      <c r="G1618" s="23"/>
      <c r="H1618" s="23"/>
      <c r="I1618" s="23"/>
      <c r="J1618" s="23"/>
      <c r="K1618" s="23"/>
      <c r="L1618" s="23"/>
      <c r="M1618" s="23"/>
      <c r="N1618" s="23"/>
      <c r="O1618" s="23"/>
      <c r="P1618" s="23"/>
      <c r="Q1618" s="23"/>
      <c r="R1618" s="23"/>
      <c r="S1618" s="23"/>
      <c r="T1618" s="23"/>
      <c r="U1618" s="23"/>
      <c r="V1618" s="23"/>
      <c r="W1618" s="23"/>
      <c r="X1618" s="23"/>
      <c r="Y1618" s="23"/>
      <c r="Z1618" s="23"/>
      <c r="AA1618" s="23"/>
      <c r="AB1618" s="14"/>
      <c r="AC1618" s="14"/>
      <c r="AD1618" s="14"/>
      <c r="AE1618" s="14"/>
      <c r="AF1618" s="14"/>
      <c r="AG1618" s="14"/>
      <c r="AH1618" s="14"/>
      <c r="AI1618" s="14"/>
      <c r="AJ1618" s="14"/>
      <c r="AK1618" s="14"/>
      <c r="AL1618" s="21">
        <v>30698950</v>
      </c>
      <c r="AM1618" s="21">
        <v>30698950</v>
      </c>
      <c r="AN1618" s="1058"/>
      <c r="AO1618" s="1058"/>
      <c r="AP1618" s="1058"/>
      <c r="AQ1618" s="1058"/>
      <c r="AR1618" s="1044"/>
      <c r="AS1618" s="1044"/>
    </row>
    <row r="1619" spans="3:45" hidden="1" outlineLevel="1">
      <c r="C1619" s="816" t="s">
        <v>16</v>
      </c>
      <c r="D1619" s="223" t="s">
        <v>1200</v>
      </c>
      <c r="E1619" s="25" t="s">
        <v>2215</v>
      </c>
      <c r="F1619" s="6"/>
      <c r="G1619" s="6"/>
      <c r="H1619" s="6"/>
      <c r="I1619" s="6"/>
      <c r="J1619" s="6"/>
      <c r="K1619" s="6"/>
      <c r="L1619" s="6"/>
      <c r="M1619" s="6"/>
      <c r="N1619" s="6"/>
      <c r="O1619" s="6"/>
      <c r="P1619" s="6"/>
      <c r="Q1619" s="6"/>
      <c r="R1619" s="6"/>
      <c r="S1619" s="6"/>
      <c r="T1619" s="6"/>
      <c r="U1619" s="6"/>
      <c r="V1619" s="6"/>
      <c r="W1619" s="6"/>
      <c r="X1619" s="6"/>
      <c r="Y1619" s="6"/>
      <c r="Z1619" s="6"/>
      <c r="AA1619" s="6"/>
      <c r="AB1619" s="7"/>
      <c r="AC1619" s="7"/>
      <c r="AD1619" s="7"/>
      <c r="AE1619" s="7"/>
      <c r="AF1619" s="7"/>
      <c r="AG1619" s="7"/>
      <c r="AH1619" s="7"/>
      <c r="AI1619" s="7"/>
      <c r="AJ1619" s="7"/>
      <c r="AK1619" s="7"/>
      <c r="AL1619" s="60">
        <f t="shared" ref="AL1619:AQ1619" si="319">SUM(AL1602:AL1618)</f>
        <v>44763269</v>
      </c>
      <c r="AM1619" s="60">
        <f t="shared" si="319"/>
        <v>44763269</v>
      </c>
      <c r="AN1619" s="1074">
        <f t="shared" si="319"/>
        <v>8672132</v>
      </c>
      <c r="AO1619" s="1074">
        <f t="shared" si="319"/>
        <v>8672126</v>
      </c>
      <c r="AP1619" s="1074">
        <f t="shared" si="319"/>
        <v>10735538</v>
      </c>
      <c r="AQ1619" s="1074">
        <f t="shared" si="319"/>
        <v>10735532</v>
      </c>
      <c r="AR1619" s="222"/>
      <c r="AS1619" s="1044"/>
    </row>
    <row r="1620" spans="3:45" hidden="1" outlineLevel="1">
      <c r="C1620" s="816" t="s">
        <v>16</v>
      </c>
      <c r="D1620" s="9"/>
      <c r="E1620" s="20" t="s">
        <v>333</v>
      </c>
      <c r="F1620" s="20"/>
      <c r="G1620" s="20"/>
      <c r="H1620" s="20"/>
      <c r="I1620" s="20"/>
      <c r="J1620" s="20"/>
      <c r="K1620" s="20"/>
      <c r="L1620" s="20"/>
      <c r="M1620" s="20"/>
      <c r="N1620" s="20"/>
      <c r="O1620" s="20"/>
      <c r="P1620" s="20"/>
      <c r="Q1620" s="20"/>
      <c r="R1620" s="20"/>
      <c r="S1620" s="20"/>
      <c r="T1620" s="20"/>
      <c r="U1620" s="20"/>
      <c r="V1620" s="20"/>
      <c r="W1620" s="20"/>
      <c r="X1620" s="20"/>
      <c r="Y1620" s="20"/>
      <c r="Z1620" s="20"/>
      <c r="AA1620" s="20"/>
      <c r="AB1620" s="12">
        <v>207813</v>
      </c>
      <c r="AC1620" s="12">
        <v>207813</v>
      </c>
      <c r="AD1620" s="12">
        <v>207813</v>
      </c>
      <c r="AE1620" s="12">
        <v>207813</v>
      </c>
      <c r="AF1620" s="12">
        <v>207813</v>
      </c>
      <c r="AG1620" s="12">
        <v>207813</v>
      </c>
      <c r="AH1620" s="12">
        <v>113326</v>
      </c>
      <c r="AI1620" s="12">
        <v>113326</v>
      </c>
      <c r="AJ1620" s="21">
        <v>113326</v>
      </c>
      <c r="AK1620" s="21">
        <v>113326</v>
      </c>
      <c r="AL1620" s="21"/>
      <c r="AM1620" s="21"/>
      <c r="AN1620" s="1058"/>
      <c r="AO1620" s="1058"/>
      <c r="AP1620" s="1058"/>
      <c r="AQ1620" s="1058"/>
      <c r="AR1620" s="1044"/>
      <c r="AS1620" s="1044"/>
    </row>
    <row r="1621" spans="3:45" hidden="1" outlineLevel="1">
      <c r="C1621" s="816" t="s">
        <v>16</v>
      </c>
      <c r="D1621" s="9"/>
      <c r="E1621" s="20" t="s">
        <v>334</v>
      </c>
      <c r="F1621" s="20"/>
      <c r="G1621" s="20"/>
      <c r="H1621" s="20"/>
      <c r="I1621" s="20"/>
      <c r="J1621" s="20"/>
      <c r="K1621" s="20"/>
      <c r="L1621" s="20"/>
      <c r="M1621" s="20"/>
      <c r="N1621" s="20"/>
      <c r="O1621" s="20"/>
      <c r="P1621" s="20"/>
      <c r="Q1621" s="20"/>
      <c r="R1621" s="20"/>
      <c r="S1621" s="20"/>
      <c r="T1621" s="20"/>
      <c r="U1621" s="20"/>
      <c r="V1621" s="20"/>
      <c r="W1621" s="20"/>
      <c r="X1621" s="20"/>
      <c r="Y1621" s="20"/>
      <c r="Z1621" s="20"/>
      <c r="AA1621" s="20"/>
      <c r="AB1621" s="12">
        <v>249375</v>
      </c>
      <c r="AC1621" s="12">
        <v>249375</v>
      </c>
      <c r="AD1621" s="12">
        <v>249375</v>
      </c>
      <c r="AE1621" s="12">
        <v>249375</v>
      </c>
      <c r="AF1621" s="12">
        <v>249375</v>
      </c>
      <c r="AG1621" s="12">
        <v>249375</v>
      </c>
      <c r="AH1621" s="12">
        <v>135991</v>
      </c>
      <c r="AI1621" s="12">
        <v>135991</v>
      </c>
      <c r="AJ1621" s="21">
        <v>135991</v>
      </c>
      <c r="AK1621" s="21">
        <v>135991</v>
      </c>
      <c r="AL1621" s="21"/>
      <c r="AM1621" s="21"/>
      <c r="AN1621" s="1058"/>
      <c r="AO1621" s="1058"/>
      <c r="AP1621" s="1058"/>
      <c r="AQ1621" s="1058"/>
      <c r="AR1621" s="1044"/>
      <c r="AS1621" s="1044"/>
    </row>
    <row r="1622" spans="3:45" hidden="1" outlineLevel="1">
      <c r="C1622" s="816" t="s">
        <v>16</v>
      </c>
      <c r="D1622" s="9"/>
      <c r="E1622" s="20" t="s">
        <v>335</v>
      </c>
      <c r="F1622" s="20"/>
      <c r="G1622" s="20"/>
      <c r="H1622" s="20"/>
      <c r="I1622" s="20"/>
      <c r="J1622" s="20"/>
      <c r="K1622" s="20"/>
      <c r="L1622" s="20"/>
      <c r="M1622" s="20"/>
      <c r="N1622" s="20"/>
      <c r="O1622" s="20"/>
      <c r="P1622" s="20"/>
      <c r="Q1622" s="20"/>
      <c r="R1622" s="20"/>
      <c r="S1622" s="20"/>
      <c r="T1622" s="20"/>
      <c r="U1622" s="20"/>
      <c r="V1622" s="20"/>
      <c r="W1622" s="20"/>
      <c r="X1622" s="20"/>
      <c r="Y1622" s="20"/>
      <c r="Z1622" s="20"/>
      <c r="AA1622" s="20"/>
      <c r="AB1622" s="12">
        <v>124688</v>
      </c>
      <c r="AC1622" s="12">
        <v>124688</v>
      </c>
      <c r="AD1622" s="12">
        <v>124688</v>
      </c>
      <c r="AE1622" s="12">
        <v>124688</v>
      </c>
      <c r="AF1622" s="12">
        <v>124688</v>
      </c>
      <c r="AG1622" s="12">
        <v>124688</v>
      </c>
      <c r="AH1622" s="12">
        <v>67996</v>
      </c>
      <c r="AI1622" s="12">
        <v>67996</v>
      </c>
      <c r="AJ1622" s="21">
        <v>67996</v>
      </c>
      <c r="AK1622" s="21">
        <v>67996</v>
      </c>
      <c r="AL1622" s="21"/>
      <c r="AM1622" s="21"/>
      <c r="AN1622" s="1058"/>
      <c r="AO1622" s="1058"/>
      <c r="AP1622" s="1058"/>
      <c r="AQ1622" s="1058"/>
      <c r="AR1622" s="1044"/>
      <c r="AS1622" s="1044"/>
    </row>
    <row r="1623" spans="3:45" hidden="1" outlineLevel="1">
      <c r="C1623" s="816" t="s">
        <v>16</v>
      </c>
      <c r="D1623" s="9"/>
      <c r="E1623" s="20" t="s">
        <v>336</v>
      </c>
      <c r="F1623" s="20"/>
      <c r="G1623" s="20"/>
      <c r="H1623" s="20"/>
      <c r="I1623" s="20"/>
      <c r="J1623" s="20"/>
      <c r="K1623" s="20"/>
      <c r="L1623" s="20"/>
      <c r="M1623" s="20"/>
      <c r="N1623" s="20"/>
      <c r="O1623" s="20"/>
      <c r="P1623" s="20"/>
      <c r="Q1623" s="20"/>
      <c r="R1623" s="20"/>
      <c r="S1623" s="20"/>
      <c r="T1623" s="20"/>
      <c r="U1623" s="20"/>
      <c r="V1623" s="20"/>
      <c r="W1623" s="20"/>
      <c r="X1623" s="20"/>
      <c r="Y1623" s="20"/>
      <c r="Z1623" s="20"/>
      <c r="AA1623" s="20"/>
      <c r="AB1623" s="12"/>
      <c r="AC1623" s="12"/>
      <c r="AD1623" s="12"/>
      <c r="AE1623" s="12"/>
      <c r="AF1623" s="12">
        <v>0</v>
      </c>
      <c r="AG1623" s="12">
        <v>0</v>
      </c>
      <c r="AH1623" s="12">
        <v>400000</v>
      </c>
      <c r="AI1623" s="12">
        <v>400000</v>
      </c>
      <c r="AJ1623" s="21">
        <v>400000</v>
      </c>
      <c r="AK1623" s="21">
        <v>400000</v>
      </c>
      <c r="AL1623" s="21"/>
      <c r="AM1623" s="21"/>
      <c r="AN1623" s="1058"/>
      <c r="AO1623" s="1058"/>
      <c r="AP1623" s="1058"/>
      <c r="AQ1623" s="1058"/>
      <c r="AR1623" s="1044"/>
      <c r="AS1623" s="1044"/>
    </row>
    <row r="1624" spans="3:45" hidden="1" outlineLevel="1">
      <c r="C1624" s="816" t="s">
        <v>16</v>
      </c>
      <c r="D1624" s="9"/>
      <c r="E1624" s="20" t="s">
        <v>337</v>
      </c>
      <c r="F1624" s="20"/>
      <c r="G1624" s="20"/>
      <c r="H1624" s="20"/>
      <c r="I1624" s="20"/>
      <c r="J1624" s="20"/>
      <c r="K1624" s="20"/>
      <c r="L1624" s="20"/>
      <c r="M1624" s="20"/>
      <c r="N1624" s="20"/>
      <c r="O1624" s="20"/>
      <c r="P1624" s="20"/>
      <c r="Q1624" s="20"/>
      <c r="R1624" s="20"/>
      <c r="S1624" s="20"/>
      <c r="T1624" s="20"/>
      <c r="U1624" s="20"/>
      <c r="V1624" s="20"/>
      <c r="W1624" s="20"/>
      <c r="X1624" s="20"/>
      <c r="Y1624" s="20"/>
      <c r="Z1624" s="20"/>
      <c r="AA1624" s="20"/>
      <c r="AB1624" s="12">
        <v>543707</v>
      </c>
      <c r="AC1624" s="12">
        <v>543707</v>
      </c>
      <c r="AD1624" s="12">
        <v>543708</v>
      </c>
      <c r="AE1624" s="12">
        <v>543708</v>
      </c>
      <c r="AF1624" s="12">
        <v>565978</v>
      </c>
      <c r="AG1624" s="12">
        <v>565978</v>
      </c>
      <c r="AH1624" s="12">
        <v>473690</v>
      </c>
      <c r="AI1624" s="12">
        <v>473690</v>
      </c>
      <c r="AJ1624" s="21">
        <v>498188</v>
      </c>
      <c r="AK1624" s="21">
        <v>498188</v>
      </c>
      <c r="AL1624" s="21"/>
      <c r="AM1624" s="21"/>
      <c r="AN1624" s="1058"/>
      <c r="AO1624" s="1058"/>
      <c r="AP1624" s="1058"/>
      <c r="AQ1624" s="1058"/>
      <c r="AR1624" s="1044"/>
      <c r="AS1624" s="1044"/>
    </row>
    <row r="1625" spans="3:45" hidden="1" outlineLevel="1">
      <c r="C1625" s="816" t="s">
        <v>16</v>
      </c>
      <c r="D1625" s="9"/>
      <c r="E1625" s="20" t="s">
        <v>338</v>
      </c>
      <c r="F1625" s="20"/>
      <c r="G1625" s="20"/>
      <c r="H1625" s="20"/>
      <c r="I1625" s="20"/>
      <c r="J1625" s="20"/>
      <c r="K1625" s="20"/>
      <c r="L1625" s="20"/>
      <c r="M1625" s="20"/>
      <c r="N1625" s="20"/>
      <c r="O1625" s="20"/>
      <c r="P1625" s="20"/>
      <c r="Q1625" s="20"/>
      <c r="R1625" s="20"/>
      <c r="S1625" s="20"/>
      <c r="T1625" s="20"/>
      <c r="U1625" s="20"/>
      <c r="V1625" s="20"/>
      <c r="W1625" s="20"/>
      <c r="X1625" s="20"/>
      <c r="Y1625" s="20"/>
      <c r="Z1625" s="20"/>
      <c r="AA1625" s="20"/>
      <c r="AB1625" s="12">
        <v>208042</v>
      </c>
      <c r="AC1625" s="12">
        <v>208042</v>
      </c>
      <c r="AD1625" s="12">
        <v>208042</v>
      </c>
      <c r="AE1625" s="12">
        <v>208042</v>
      </c>
      <c r="AF1625" s="12">
        <v>208042</v>
      </c>
      <c r="AG1625" s="12">
        <v>208042</v>
      </c>
      <c r="AH1625" s="12">
        <v>208042</v>
      </c>
      <c r="AI1625" s="12">
        <v>208042</v>
      </c>
      <c r="AJ1625" s="21">
        <v>228846</v>
      </c>
      <c r="AK1625" s="21">
        <v>228846</v>
      </c>
      <c r="AL1625" s="21"/>
      <c r="AM1625" s="21"/>
      <c r="AN1625" s="1058"/>
      <c r="AO1625" s="1058"/>
      <c r="AP1625" s="1058"/>
      <c r="AQ1625" s="1058"/>
      <c r="AR1625" s="1044"/>
      <c r="AS1625" s="1044"/>
    </row>
    <row r="1626" spans="3:45" hidden="1" outlineLevel="1">
      <c r="C1626" s="816" t="s">
        <v>16</v>
      </c>
      <c r="D1626" s="9"/>
      <c r="E1626" s="20" t="s">
        <v>339</v>
      </c>
      <c r="F1626" s="20"/>
      <c r="G1626" s="20"/>
      <c r="H1626" s="20"/>
      <c r="I1626" s="20"/>
      <c r="J1626" s="20"/>
      <c r="K1626" s="20"/>
      <c r="L1626" s="20"/>
      <c r="M1626" s="20"/>
      <c r="N1626" s="20"/>
      <c r="O1626" s="20"/>
      <c r="P1626" s="20"/>
      <c r="Q1626" s="20"/>
      <c r="R1626" s="20"/>
      <c r="S1626" s="20"/>
      <c r="T1626" s="20"/>
      <c r="U1626" s="20"/>
      <c r="V1626" s="20"/>
      <c r="W1626" s="20"/>
      <c r="X1626" s="20"/>
      <c r="Y1626" s="20"/>
      <c r="Z1626" s="20"/>
      <c r="AA1626" s="20"/>
      <c r="AB1626" s="12">
        <v>146083</v>
      </c>
      <c r="AC1626" s="12">
        <v>146083</v>
      </c>
      <c r="AD1626" s="12">
        <v>146083</v>
      </c>
      <c r="AE1626" s="12">
        <v>146083</v>
      </c>
      <c r="AF1626" s="12">
        <v>146083</v>
      </c>
      <c r="AG1626" s="12">
        <v>146083</v>
      </c>
      <c r="AH1626" s="12">
        <v>79663</v>
      </c>
      <c r="AI1626" s="12">
        <v>79663</v>
      </c>
      <c r="AJ1626" s="21">
        <v>79663</v>
      </c>
      <c r="AK1626" s="21">
        <v>79663</v>
      </c>
      <c r="AL1626" s="21"/>
      <c r="AM1626" s="21"/>
      <c r="AN1626" s="1058"/>
      <c r="AO1626" s="1058"/>
      <c r="AP1626" s="1058"/>
      <c r="AQ1626" s="1058"/>
      <c r="AR1626" s="1044"/>
      <c r="AS1626" s="1044"/>
    </row>
    <row r="1627" spans="3:45" hidden="1" outlineLevel="1">
      <c r="C1627" s="816" t="s">
        <v>16</v>
      </c>
      <c r="D1627" s="9"/>
      <c r="E1627" s="20" t="s">
        <v>340</v>
      </c>
      <c r="F1627" s="20"/>
      <c r="G1627" s="20"/>
      <c r="H1627" s="20"/>
      <c r="I1627" s="20"/>
      <c r="J1627" s="20"/>
      <c r="K1627" s="20"/>
      <c r="L1627" s="20"/>
      <c r="M1627" s="20"/>
      <c r="N1627" s="20"/>
      <c r="O1627" s="20"/>
      <c r="P1627" s="20"/>
      <c r="Q1627" s="20"/>
      <c r="R1627" s="20"/>
      <c r="S1627" s="20"/>
      <c r="T1627" s="20"/>
      <c r="U1627" s="20"/>
      <c r="V1627" s="20"/>
      <c r="W1627" s="20"/>
      <c r="X1627" s="20"/>
      <c r="Y1627" s="20"/>
      <c r="Z1627" s="20"/>
      <c r="AA1627" s="20"/>
      <c r="AB1627" s="12">
        <v>109563</v>
      </c>
      <c r="AC1627" s="12">
        <v>109563</v>
      </c>
      <c r="AD1627" s="12">
        <v>109563</v>
      </c>
      <c r="AE1627" s="12">
        <v>109563</v>
      </c>
      <c r="AF1627" s="12">
        <v>109563</v>
      </c>
      <c r="AG1627" s="12">
        <v>109563</v>
      </c>
      <c r="AH1627" s="12">
        <v>59748</v>
      </c>
      <c r="AI1627" s="12">
        <v>59748</v>
      </c>
      <c r="AJ1627" s="21">
        <v>59748</v>
      </c>
      <c r="AK1627" s="21">
        <v>59748</v>
      </c>
      <c r="AL1627" s="21"/>
      <c r="AM1627" s="21"/>
      <c r="AN1627" s="1058"/>
      <c r="AO1627" s="1058"/>
      <c r="AP1627" s="1058"/>
      <c r="AQ1627" s="1058"/>
      <c r="AR1627" s="1044"/>
      <c r="AS1627" s="1044"/>
    </row>
    <row r="1628" spans="3:45" hidden="1" outlineLevel="1">
      <c r="C1628" s="816" t="s">
        <v>16</v>
      </c>
      <c r="D1628" s="9"/>
      <c r="E1628" s="20" t="s">
        <v>341</v>
      </c>
      <c r="F1628" s="20"/>
      <c r="G1628" s="20"/>
      <c r="H1628" s="20"/>
      <c r="I1628" s="20"/>
      <c r="J1628" s="20"/>
      <c r="K1628" s="20"/>
      <c r="L1628" s="20"/>
      <c r="M1628" s="20"/>
      <c r="N1628" s="20"/>
      <c r="O1628" s="20"/>
      <c r="P1628" s="20"/>
      <c r="Q1628" s="20"/>
      <c r="R1628" s="20"/>
      <c r="S1628" s="20"/>
      <c r="T1628" s="20"/>
      <c r="U1628" s="20"/>
      <c r="V1628" s="20"/>
      <c r="W1628" s="20"/>
      <c r="X1628" s="20"/>
      <c r="Y1628" s="20"/>
      <c r="Z1628" s="20"/>
      <c r="AA1628" s="20"/>
      <c r="AB1628" s="12">
        <v>209844</v>
      </c>
      <c r="AC1628" s="12">
        <v>209844</v>
      </c>
      <c r="AD1628" s="12">
        <v>209844</v>
      </c>
      <c r="AE1628" s="12">
        <v>209844</v>
      </c>
      <c r="AF1628" s="12">
        <v>209844</v>
      </c>
      <c r="AG1628" s="12">
        <v>209844</v>
      </c>
      <c r="AH1628" s="12">
        <v>114434</v>
      </c>
      <c r="AI1628" s="12">
        <v>114434</v>
      </c>
      <c r="AJ1628" s="21">
        <v>114434</v>
      </c>
      <c r="AK1628" s="21">
        <v>114434</v>
      </c>
      <c r="AL1628" s="21"/>
      <c r="AM1628" s="21"/>
      <c r="AN1628" s="1058"/>
      <c r="AO1628" s="1058"/>
      <c r="AP1628" s="1058"/>
      <c r="AQ1628" s="1058"/>
      <c r="AR1628" s="1044"/>
      <c r="AS1628" s="1044"/>
    </row>
    <row r="1629" spans="3:45" hidden="1" outlineLevel="1">
      <c r="C1629" s="816" t="s">
        <v>16</v>
      </c>
      <c r="D1629" s="9"/>
      <c r="E1629" s="20" t="s">
        <v>342</v>
      </c>
      <c r="F1629" s="20"/>
      <c r="G1629" s="20"/>
      <c r="H1629" s="20"/>
      <c r="I1629" s="20"/>
      <c r="J1629" s="20"/>
      <c r="K1629" s="20"/>
      <c r="L1629" s="20"/>
      <c r="M1629" s="20"/>
      <c r="N1629" s="20"/>
      <c r="O1629" s="20"/>
      <c r="P1629" s="20"/>
      <c r="Q1629" s="20"/>
      <c r="R1629" s="20"/>
      <c r="S1629" s="20"/>
      <c r="T1629" s="20"/>
      <c r="U1629" s="20"/>
      <c r="V1629" s="20"/>
      <c r="W1629" s="20"/>
      <c r="X1629" s="20"/>
      <c r="Y1629" s="20"/>
      <c r="Z1629" s="20"/>
      <c r="AA1629" s="20"/>
      <c r="AB1629" s="12">
        <v>290938</v>
      </c>
      <c r="AC1629" s="12">
        <v>290938</v>
      </c>
      <c r="AD1629" s="12">
        <v>290938</v>
      </c>
      <c r="AE1629" s="12">
        <v>290938</v>
      </c>
      <c r="AF1629" s="12">
        <v>290938</v>
      </c>
      <c r="AG1629" s="12">
        <v>290938</v>
      </c>
      <c r="AH1629" s="12">
        <v>158657</v>
      </c>
      <c r="AI1629" s="12">
        <v>158657</v>
      </c>
      <c r="AJ1629" s="21">
        <v>158656</v>
      </c>
      <c r="AK1629" s="21">
        <v>158656</v>
      </c>
      <c r="AL1629" s="21"/>
      <c r="AM1629" s="21"/>
      <c r="AN1629" s="1058"/>
      <c r="AO1629" s="1058"/>
      <c r="AP1629" s="1058"/>
      <c r="AQ1629" s="1058"/>
      <c r="AR1629" s="1044"/>
      <c r="AS1629" s="1044"/>
    </row>
    <row r="1630" spans="3:45" hidden="1" outlineLevel="1">
      <c r="C1630" s="816" t="s">
        <v>16</v>
      </c>
      <c r="D1630" s="9"/>
      <c r="E1630" s="20" t="s">
        <v>343</v>
      </c>
      <c r="F1630" s="20"/>
      <c r="G1630" s="20"/>
      <c r="H1630" s="20"/>
      <c r="I1630" s="20"/>
      <c r="J1630" s="20"/>
      <c r="K1630" s="20"/>
      <c r="L1630" s="20"/>
      <c r="M1630" s="20"/>
      <c r="N1630" s="20"/>
      <c r="O1630" s="20"/>
      <c r="P1630" s="20"/>
      <c r="Q1630" s="20"/>
      <c r="R1630" s="20"/>
      <c r="S1630" s="20"/>
      <c r="T1630" s="20"/>
      <c r="U1630" s="20"/>
      <c r="V1630" s="20"/>
      <c r="W1630" s="20"/>
      <c r="X1630" s="20"/>
      <c r="Y1630" s="20"/>
      <c r="Z1630" s="20"/>
      <c r="AA1630" s="20"/>
      <c r="AB1630" s="12"/>
      <c r="AC1630" s="12"/>
      <c r="AD1630" s="12"/>
      <c r="AE1630" s="12"/>
      <c r="AF1630" s="12"/>
      <c r="AG1630" s="12"/>
      <c r="AH1630" s="12"/>
      <c r="AI1630" s="12"/>
      <c r="AJ1630" s="21">
        <v>500000</v>
      </c>
      <c r="AK1630" s="21">
        <v>500000</v>
      </c>
      <c r="AL1630" s="21"/>
      <c r="AM1630" s="21"/>
      <c r="AN1630" s="1058"/>
      <c r="AO1630" s="1058"/>
      <c r="AP1630" s="1058"/>
      <c r="AQ1630" s="1058"/>
      <c r="AR1630" s="1044"/>
      <c r="AS1630" s="1044"/>
    </row>
    <row r="1631" spans="3:45" hidden="1" outlineLevel="1">
      <c r="C1631" s="816" t="s">
        <v>16</v>
      </c>
      <c r="D1631" s="223" t="s">
        <v>1354</v>
      </c>
      <c r="E1631" s="20" t="s">
        <v>344</v>
      </c>
      <c r="F1631" s="20"/>
      <c r="G1631" s="20"/>
      <c r="H1631" s="20"/>
      <c r="I1631" s="20"/>
      <c r="J1631" s="20"/>
      <c r="K1631" s="20"/>
      <c r="L1631" s="20"/>
      <c r="M1631" s="20"/>
      <c r="N1631" s="20"/>
      <c r="O1631" s="20"/>
      <c r="P1631" s="20"/>
      <c r="Q1631" s="20"/>
      <c r="R1631" s="20"/>
      <c r="S1631" s="20"/>
      <c r="T1631" s="20"/>
      <c r="U1631" s="20"/>
      <c r="V1631" s="20"/>
      <c r="W1631" s="20"/>
      <c r="X1631" s="20"/>
      <c r="Y1631" s="20"/>
      <c r="Z1631" s="20"/>
      <c r="AA1631" s="20"/>
      <c r="AB1631" s="12">
        <v>7974084</v>
      </c>
      <c r="AC1631" s="12">
        <v>7974084</v>
      </c>
      <c r="AD1631" s="12">
        <v>7974083</v>
      </c>
      <c r="AE1631" s="12">
        <v>7974083</v>
      </c>
      <c r="AF1631" s="12">
        <v>7668903</v>
      </c>
      <c r="AG1631" s="12">
        <v>7668903</v>
      </c>
      <c r="AH1631" s="12">
        <v>5751677</v>
      </c>
      <c r="AI1631" s="12">
        <v>5751677</v>
      </c>
      <c r="AJ1631" s="21">
        <v>6251677</v>
      </c>
      <c r="AK1631" s="21">
        <v>6251677</v>
      </c>
      <c r="AL1631" s="21"/>
      <c r="AM1631" s="21"/>
      <c r="AN1631" s="1058"/>
      <c r="AO1631" s="1058"/>
      <c r="AP1631" s="1058"/>
      <c r="AQ1631" s="1058"/>
      <c r="AR1631" s="1044"/>
      <c r="AS1631" s="1044"/>
    </row>
    <row r="1632" spans="3:45" hidden="1" outlineLevel="1">
      <c r="C1632" s="816" t="s">
        <v>16</v>
      </c>
      <c r="D1632" s="9"/>
      <c r="E1632" s="20" t="s">
        <v>345</v>
      </c>
      <c r="F1632" s="20"/>
      <c r="G1632" s="20"/>
      <c r="H1632" s="20"/>
      <c r="I1632" s="20"/>
      <c r="J1632" s="20"/>
      <c r="K1632" s="20"/>
      <c r="L1632" s="20"/>
      <c r="M1632" s="20"/>
      <c r="N1632" s="20"/>
      <c r="O1632" s="20"/>
      <c r="P1632" s="20"/>
      <c r="Q1632" s="20"/>
      <c r="R1632" s="20"/>
      <c r="S1632" s="20"/>
      <c r="T1632" s="20"/>
      <c r="U1632" s="20"/>
      <c r="V1632" s="20"/>
      <c r="W1632" s="20"/>
      <c r="X1632" s="20"/>
      <c r="Y1632" s="20"/>
      <c r="Z1632" s="20"/>
      <c r="AA1632" s="20"/>
      <c r="AB1632" s="12">
        <v>415625</v>
      </c>
      <c r="AC1632" s="12">
        <v>415625</v>
      </c>
      <c r="AD1632" s="12">
        <v>415625</v>
      </c>
      <c r="AE1632" s="12">
        <v>415625</v>
      </c>
      <c r="AF1632" s="12">
        <v>415625</v>
      </c>
      <c r="AG1632" s="12">
        <v>415625</v>
      </c>
      <c r="AH1632" s="12">
        <v>226652</v>
      </c>
      <c r="AI1632" s="12">
        <v>226652</v>
      </c>
      <c r="AJ1632" s="21">
        <v>226652</v>
      </c>
      <c r="AK1632" s="21">
        <v>226652</v>
      </c>
      <c r="AL1632" s="21"/>
      <c r="AM1632" s="21"/>
      <c r="AN1632" s="1058"/>
      <c r="AO1632" s="1058"/>
      <c r="AP1632" s="1058"/>
      <c r="AQ1632" s="1058"/>
      <c r="AR1632" s="1044"/>
      <c r="AS1632" s="1044"/>
    </row>
    <row r="1633" spans="3:45" hidden="1" outlineLevel="1">
      <c r="C1633" s="816" t="s">
        <v>16</v>
      </c>
      <c r="D1633" s="223" t="s">
        <v>1200</v>
      </c>
      <c r="E1633" s="25" t="s">
        <v>2216</v>
      </c>
      <c r="F1633" s="6"/>
      <c r="G1633" s="6"/>
      <c r="H1633" s="6"/>
      <c r="I1633" s="6"/>
      <c r="J1633" s="6"/>
      <c r="K1633" s="6"/>
      <c r="L1633" s="6"/>
      <c r="M1633" s="6"/>
      <c r="N1633" s="6"/>
      <c r="O1633" s="6"/>
      <c r="P1633" s="6"/>
      <c r="Q1633" s="6"/>
      <c r="R1633" s="6"/>
      <c r="S1633" s="6"/>
      <c r="T1633" s="6"/>
      <c r="U1633" s="6"/>
      <c r="V1633" s="6"/>
      <c r="W1633" s="6"/>
      <c r="X1633" s="6"/>
      <c r="Y1633" s="6"/>
      <c r="Z1633" s="6"/>
      <c r="AA1633" s="6"/>
      <c r="AB1633" s="7">
        <v>10479762</v>
      </c>
      <c r="AC1633" s="7">
        <v>10479762</v>
      </c>
      <c r="AD1633" s="7">
        <v>10479762</v>
      </c>
      <c r="AE1633" s="7">
        <v>10479762</v>
      </c>
      <c r="AF1633" s="7">
        <f t="shared" ref="AF1633:AK1633" si="320">SUM(AF1620:AF1632)</f>
        <v>10196852</v>
      </c>
      <c r="AG1633" s="7">
        <f t="shared" si="320"/>
        <v>10196852</v>
      </c>
      <c r="AH1633" s="7">
        <f t="shared" si="320"/>
        <v>7789876</v>
      </c>
      <c r="AI1633" s="7">
        <f t="shared" si="320"/>
        <v>7789876</v>
      </c>
      <c r="AJ1633" s="7">
        <f t="shared" si="320"/>
        <v>8835177</v>
      </c>
      <c r="AK1633" s="7">
        <f t="shared" si="320"/>
        <v>8835177</v>
      </c>
      <c r="AL1633" s="7"/>
      <c r="AM1633" s="7"/>
      <c r="AN1633" s="1055"/>
      <c r="AO1633" s="1055"/>
      <c r="AP1633" s="1055"/>
      <c r="AQ1633" s="1055"/>
      <c r="AR1633" s="1044"/>
      <c r="AS1633" s="1044"/>
    </row>
    <row r="1634" spans="3:45" hidden="1" outlineLevel="1">
      <c r="C1634" s="816" t="s">
        <v>16</v>
      </c>
      <c r="D1634" s="9"/>
      <c r="E1634" s="20" t="s">
        <v>347</v>
      </c>
      <c r="F1634" s="20"/>
      <c r="G1634" s="20"/>
      <c r="H1634" s="20"/>
      <c r="I1634" s="20"/>
      <c r="J1634" s="20"/>
      <c r="K1634" s="20"/>
      <c r="L1634" s="20"/>
      <c r="M1634" s="20"/>
      <c r="N1634" s="20"/>
      <c r="O1634" s="20"/>
      <c r="P1634" s="20"/>
      <c r="Q1634" s="20"/>
      <c r="R1634" s="20"/>
      <c r="S1634" s="20"/>
      <c r="T1634" s="20"/>
      <c r="U1634" s="20"/>
      <c r="V1634" s="20"/>
      <c r="W1634" s="20"/>
      <c r="X1634" s="20"/>
      <c r="Y1634" s="20"/>
      <c r="Z1634" s="20"/>
      <c r="AA1634" s="20"/>
      <c r="AB1634" s="12">
        <v>250000</v>
      </c>
      <c r="AC1634" s="12">
        <v>250000</v>
      </c>
      <c r="AD1634" s="12">
        <v>250000</v>
      </c>
      <c r="AE1634" s="12">
        <v>250000</v>
      </c>
      <c r="AF1634" s="12">
        <v>250000</v>
      </c>
      <c r="AG1634" s="12">
        <v>250000</v>
      </c>
      <c r="AH1634" s="12">
        <v>250000</v>
      </c>
      <c r="AI1634" s="12">
        <v>250000</v>
      </c>
      <c r="AJ1634" s="21">
        <v>275000</v>
      </c>
      <c r="AK1634" s="21">
        <v>275000</v>
      </c>
      <c r="AL1634" s="21"/>
      <c r="AM1634" s="21"/>
      <c r="AN1634" s="1058"/>
      <c r="AO1634" s="1058"/>
      <c r="AP1634" s="1058"/>
      <c r="AQ1634" s="1058"/>
      <c r="AR1634" s="1044"/>
      <c r="AS1634" s="1044"/>
    </row>
    <row r="1635" spans="3:45" hidden="1" outlineLevel="1">
      <c r="C1635" s="816" t="s">
        <v>16</v>
      </c>
      <c r="D1635" s="9"/>
      <c r="E1635" s="20" t="s">
        <v>348</v>
      </c>
      <c r="F1635" s="20"/>
      <c r="G1635" s="20"/>
      <c r="H1635" s="20"/>
      <c r="I1635" s="20"/>
      <c r="J1635" s="20"/>
      <c r="K1635" s="20"/>
      <c r="L1635" s="20"/>
      <c r="M1635" s="20"/>
      <c r="N1635" s="20"/>
      <c r="O1635" s="20"/>
      <c r="P1635" s="20"/>
      <c r="Q1635" s="20"/>
      <c r="R1635" s="20"/>
      <c r="S1635" s="20"/>
      <c r="T1635" s="20"/>
      <c r="U1635" s="20"/>
      <c r="V1635" s="20"/>
      <c r="W1635" s="20"/>
      <c r="X1635" s="20"/>
      <c r="Y1635" s="20"/>
      <c r="Z1635" s="20"/>
      <c r="AA1635" s="20"/>
      <c r="AB1635" s="12">
        <v>218750</v>
      </c>
      <c r="AC1635" s="12">
        <v>218750</v>
      </c>
      <c r="AD1635" s="12">
        <v>218750</v>
      </c>
      <c r="AE1635" s="12">
        <v>218750</v>
      </c>
      <c r="AF1635" s="12">
        <v>218750</v>
      </c>
      <c r="AG1635" s="12">
        <v>218750</v>
      </c>
      <c r="AH1635" s="12">
        <v>155859</v>
      </c>
      <c r="AI1635" s="12">
        <v>155859</v>
      </c>
      <c r="AJ1635" s="21">
        <v>155859</v>
      </c>
      <c r="AK1635" s="21">
        <v>155859</v>
      </c>
      <c r="AL1635" s="21"/>
      <c r="AM1635" s="21"/>
      <c r="AN1635" s="1058"/>
      <c r="AO1635" s="1058"/>
      <c r="AP1635" s="1058"/>
      <c r="AQ1635" s="1058"/>
      <c r="AR1635" s="1044"/>
      <c r="AS1635" s="1044"/>
    </row>
    <row r="1636" spans="3:45" hidden="1" outlineLevel="1">
      <c r="C1636" s="816" t="s">
        <v>16</v>
      </c>
      <c r="D1636" s="223" t="s">
        <v>1354</v>
      </c>
      <c r="E1636" s="20" t="s">
        <v>349</v>
      </c>
      <c r="F1636" s="20"/>
      <c r="G1636" s="20"/>
      <c r="H1636" s="20"/>
      <c r="I1636" s="20"/>
      <c r="J1636" s="20"/>
      <c r="K1636" s="20"/>
      <c r="L1636" s="20"/>
      <c r="M1636" s="20"/>
      <c r="N1636" s="20"/>
      <c r="O1636" s="20"/>
      <c r="P1636" s="20"/>
      <c r="Q1636" s="20"/>
      <c r="R1636" s="20"/>
      <c r="S1636" s="20"/>
      <c r="T1636" s="20"/>
      <c r="U1636" s="20"/>
      <c r="V1636" s="20"/>
      <c r="W1636" s="20"/>
      <c r="X1636" s="20"/>
      <c r="Y1636" s="20"/>
      <c r="Z1636" s="20"/>
      <c r="AA1636" s="20"/>
      <c r="AB1636" s="12">
        <v>5562743</v>
      </c>
      <c r="AC1636" s="12">
        <v>5562744</v>
      </c>
      <c r="AD1636" s="12">
        <v>5562744</v>
      </c>
      <c r="AE1636" s="12">
        <v>5562744</v>
      </c>
      <c r="AF1636" s="12">
        <v>5330923</v>
      </c>
      <c r="AG1636" s="12">
        <v>5330923</v>
      </c>
      <c r="AH1636" s="12">
        <v>3798284</v>
      </c>
      <c r="AI1636" s="12">
        <v>3798283</v>
      </c>
      <c r="AJ1636" s="21">
        <v>4298283</v>
      </c>
      <c r="AK1636" s="21">
        <v>4298283</v>
      </c>
      <c r="AL1636" s="21"/>
      <c r="AM1636" s="21"/>
      <c r="AN1636" s="1058"/>
      <c r="AO1636" s="1058"/>
      <c r="AP1636" s="1058"/>
      <c r="AQ1636" s="1058"/>
      <c r="AR1636" s="1044"/>
      <c r="AS1636" s="1044"/>
    </row>
    <row r="1637" spans="3:45" hidden="1" outlineLevel="1">
      <c r="C1637" s="816" t="s">
        <v>16</v>
      </c>
      <c r="D1637" s="223" t="s">
        <v>1200</v>
      </c>
      <c r="E1637" s="25" t="s">
        <v>2217</v>
      </c>
      <c r="F1637" s="6"/>
      <c r="G1637" s="6"/>
      <c r="H1637" s="6"/>
      <c r="I1637" s="6"/>
      <c r="J1637" s="6"/>
      <c r="K1637" s="6"/>
      <c r="L1637" s="6"/>
      <c r="M1637" s="6"/>
      <c r="N1637" s="6"/>
      <c r="O1637" s="6"/>
      <c r="P1637" s="6"/>
      <c r="Q1637" s="6"/>
      <c r="R1637" s="6"/>
      <c r="S1637" s="6"/>
      <c r="T1637" s="6"/>
      <c r="U1637" s="6"/>
      <c r="V1637" s="6"/>
      <c r="W1637" s="6"/>
      <c r="X1637" s="6"/>
      <c r="Y1637" s="6"/>
      <c r="Z1637" s="6"/>
      <c r="AA1637" s="6"/>
      <c r="AB1637" s="7">
        <v>6031493</v>
      </c>
      <c r="AC1637" s="7">
        <v>6031494</v>
      </c>
      <c r="AD1637" s="7">
        <v>6031494</v>
      </c>
      <c r="AE1637" s="7">
        <v>6031494</v>
      </c>
      <c r="AF1637" s="7">
        <f t="shared" ref="AF1637:AK1637" si="321">SUM(AF1634:AF1636)</f>
        <v>5799673</v>
      </c>
      <c r="AG1637" s="7">
        <f t="shared" si="321"/>
        <v>5799673</v>
      </c>
      <c r="AH1637" s="7">
        <f t="shared" si="321"/>
        <v>4204143</v>
      </c>
      <c r="AI1637" s="7">
        <f t="shared" si="321"/>
        <v>4204142</v>
      </c>
      <c r="AJ1637" s="7">
        <f t="shared" si="321"/>
        <v>4729142</v>
      </c>
      <c r="AK1637" s="7">
        <f t="shared" si="321"/>
        <v>4729142</v>
      </c>
      <c r="AL1637" s="7"/>
      <c r="AM1637" s="7"/>
      <c r="AN1637" s="1055"/>
      <c r="AO1637" s="1055"/>
      <c r="AP1637" s="1055"/>
      <c r="AQ1637" s="1055"/>
      <c r="AR1637" s="1044"/>
      <c r="AS1637" s="1044"/>
    </row>
    <row r="1638" spans="3:45" hidden="1" outlineLevel="1">
      <c r="C1638" s="816" t="s">
        <v>16</v>
      </c>
      <c r="D1638" s="9"/>
      <c r="E1638" s="20" t="s">
        <v>351</v>
      </c>
      <c r="F1638" s="20"/>
      <c r="G1638" s="20"/>
      <c r="H1638" s="20"/>
      <c r="I1638" s="20"/>
      <c r="J1638" s="20"/>
      <c r="K1638" s="20"/>
      <c r="L1638" s="20"/>
      <c r="M1638" s="20"/>
      <c r="N1638" s="20"/>
      <c r="O1638" s="20"/>
      <c r="P1638" s="20"/>
      <c r="Q1638" s="20"/>
      <c r="R1638" s="20"/>
      <c r="S1638" s="20"/>
      <c r="T1638" s="20"/>
      <c r="U1638" s="20"/>
      <c r="V1638" s="20"/>
      <c r="W1638" s="20"/>
      <c r="X1638" s="20"/>
      <c r="Y1638" s="20"/>
      <c r="Z1638" s="20"/>
      <c r="AA1638" s="20"/>
      <c r="AB1638" s="12"/>
      <c r="AC1638" s="12"/>
      <c r="AD1638" s="12">
        <v>190000</v>
      </c>
      <c r="AE1638" s="12">
        <v>310000</v>
      </c>
      <c r="AF1638" s="12">
        <v>190000</v>
      </c>
      <c r="AG1638" s="12">
        <v>310000</v>
      </c>
      <c r="AH1638" s="12">
        <v>178125</v>
      </c>
      <c r="AI1638" s="12">
        <v>178125</v>
      </c>
      <c r="AJ1638" s="21">
        <v>178125</v>
      </c>
      <c r="AK1638" s="21">
        <v>178125</v>
      </c>
      <c r="AL1638" s="21">
        <v>178125</v>
      </c>
      <c r="AM1638" s="21">
        <v>178125</v>
      </c>
      <c r="AN1638" s="1058">
        <v>118723</v>
      </c>
      <c r="AO1638" s="1058">
        <v>118722</v>
      </c>
      <c r="AP1638" s="1058">
        <v>118723</v>
      </c>
      <c r="AQ1638" s="1058">
        <v>118722</v>
      </c>
      <c r="AR1638" s="1044"/>
      <c r="AS1638" s="1044"/>
    </row>
    <row r="1639" spans="3:45" hidden="1" outlineLevel="1">
      <c r="C1639" s="816" t="s">
        <v>16</v>
      </c>
      <c r="D1639" s="9"/>
      <c r="E1639" s="20" t="s">
        <v>352</v>
      </c>
      <c r="F1639" s="20"/>
      <c r="G1639" s="20"/>
      <c r="H1639" s="20"/>
      <c r="I1639" s="20"/>
      <c r="J1639" s="20"/>
      <c r="K1639" s="20"/>
      <c r="L1639" s="20"/>
      <c r="M1639" s="20"/>
      <c r="N1639" s="20"/>
      <c r="O1639" s="20"/>
      <c r="P1639" s="20"/>
      <c r="Q1639" s="20"/>
      <c r="R1639" s="20"/>
      <c r="S1639" s="20"/>
      <c r="T1639" s="20"/>
      <c r="U1639" s="20"/>
      <c r="V1639" s="20"/>
      <c r="W1639" s="20"/>
      <c r="X1639" s="20"/>
      <c r="Y1639" s="20"/>
      <c r="Z1639" s="20"/>
      <c r="AA1639" s="20"/>
      <c r="AB1639" s="12"/>
      <c r="AC1639" s="12"/>
      <c r="AD1639" s="12">
        <v>4500000</v>
      </c>
      <c r="AE1639" s="12">
        <v>4500000</v>
      </c>
      <c r="AF1639" s="12">
        <v>4500000</v>
      </c>
      <c r="AG1639" s="12">
        <v>4500000</v>
      </c>
      <c r="AH1639" s="12">
        <v>3206250</v>
      </c>
      <c r="AI1639" s="12">
        <v>3206250</v>
      </c>
      <c r="AJ1639" s="21">
        <v>3206250</v>
      </c>
      <c r="AK1639" s="21">
        <v>3206250</v>
      </c>
      <c r="AL1639" s="21">
        <v>3206250</v>
      </c>
      <c r="AM1639" s="21">
        <v>3206250</v>
      </c>
      <c r="AN1639" s="1058">
        <v>2137009</v>
      </c>
      <c r="AO1639" s="1058">
        <v>2137009</v>
      </c>
      <c r="AP1639" s="1058">
        <v>2137009</v>
      </c>
      <c r="AQ1639" s="1058">
        <v>2137009</v>
      </c>
      <c r="AR1639" s="1044"/>
      <c r="AS1639" s="1044"/>
    </row>
    <row r="1640" spans="3:45" hidden="1" outlineLevel="1">
      <c r="C1640" s="816" t="s">
        <v>16</v>
      </c>
      <c r="D1640" s="9"/>
      <c r="E1640" s="20" t="s">
        <v>353</v>
      </c>
      <c r="F1640" s="20"/>
      <c r="G1640" s="20"/>
      <c r="H1640" s="20"/>
      <c r="I1640" s="20"/>
      <c r="J1640" s="20"/>
      <c r="K1640" s="20"/>
      <c r="L1640" s="20"/>
      <c r="M1640" s="20"/>
      <c r="N1640" s="20"/>
      <c r="O1640" s="20"/>
      <c r="P1640" s="20"/>
      <c r="Q1640" s="20"/>
      <c r="R1640" s="20"/>
      <c r="S1640" s="20"/>
      <c r="T1640" s="20"/>
      <c r="U1640" s="20"/>
      <c r="V1640" s="20"/>
      <c r="W1640" s="20"/>
      <c r="X1640" s="20"/>
      <c r="Y1640" s="20"/>
      <c r="Z1640" s="20"/>
      <c r="AA1640" s="20"/>
      <c r="AB1640" s="12"/>
      <c r="AC1640" s="12"/>
      <c r="AD1640" s="12"/>
      <c r="AE1640" s="12"/>
      <c r="AF1640" s="12">
        <v>0</v>
      </c>
      <c r="AG1640" s="12">
        <v>0</v>
      </c>
      <c r="AH1640" s="12">
        <v>1700000</v>
      </c>
      <c r="AI1640" s="12">
        <v>0</v>
      </c>
      <c r="AJ1640" s="21">
        <v>850000</v>
      </c>
      <c r="AK1640" s="21">
        <v>850000</v>
      </c>
      <c r="AL1640" s="21">
        <v>850000</v>
      </c>
      <c r="AM1640" s="21">
        <v>850000</v>
      </c>
      <c r="AN1640" s="1058">
        <v>1390142</v>
      </c>
      <c r="AO1640" s="1058">
        <v>1390142</v>
      </c>
      <c r="AP1640" s="1058">
        <v>1251128</v>
      </c>
      <c r="AQ1640" s="1058">
        <v>1251128</v>
      </c>
      <c r="AR1640" s="1044"/>
      <c r="AS1640" s="1044"/>
    </row>
    <row r="1641" spans="3:45" hidden="1" outlineLevel="1">
      <c r="C1641" s="816" t="s">
        <v>16</v>
      </c>
      <c r="D1641" s="9"/>
      <c r="E1641" s="20" t="s">
        <v>354</v>
      </c>
      <c r="F1641" s="20"/>
      <c r="G1641" s="20"/>
      <c r="H1641" s="20"/>
      <c r="I1641" s="20"/>
      <c r="J1641" s="20"/>
      <c r="K1641" s="20"/>
      <c r="L1641" s="20"/>
      <c r="M1641" s="20"/>
      <c r="N1641" s="20"/>
      <c r="O1641" s="20"/>
      <c r="P1641" s="20"/>
      <c r="Q1641" s="20"/>
      <c r="R1641" s="20"/>
      <c r="S1641" s="20"/>
      <c r="T1641" s="20"/>
      <c r="U1641" s="20"/>
      <c r="V1641" s="20"/>
      <c r="W1641" s="20"/>
      <c r="X1641" s="20"/>
      <c r="Y1641" s="20"/>
      <c r="Z1641" s="20"/>
      <c r="AA1641" s="20"/>
      <c r="AB1641" s="12"/>
      <c r="AC1641" s="12"/>
      <c r="AD1641" s="12"/>
      <c r="AE1641" s="12"/>
      <c r="AF1641" s="12"/>
      <c r="AG1641" s="12"/>
      <c r="AH1641" s="12"/>
      <c r="AI1641" s="12"/>
      <c r="AJ1641" s="21">
        <v>1200000</v>
      </c>
      <c r="AK1641" s="21">
        <v>1200000</v>
      </c>
      <c r="AL1641" s="21">
        <v>1200000</v>
      </c>
      <c r="AM1641" s="21">
        <v>1200000</v>
      </c>
      <c r="AN1641" s="1058">
        <v>799816</v>
      </c>
      <c r="AO1641" s="1058">
        <v>799816</v>
      </c>
      <c r="AP1641" s="1058">
        <v>719834</v>
      </c>
      <c r="AQ1641" s="1058">
        <v>719834</v>
      </c>
      <c r="AR1641" s="1044"/>
      <c r="AS1641" s="1044"/>
    </row>
    <row r="1642" spans="3:45" hidden="1" outlineLevel="1">
      <c r="C1642" s="816" t="s">
        <v>16</v>
      </c>
      <c r="D1642" s="9"/>
      <c r="E1642" s="224" t="s">
        <v>1713</v>
      </c>
      <c r="F1642" s="20"/>
      <c r="G1642" s="20"/>
      <c r="H1642" s="20"/>
      <c r="I1642" s="20"/>
      <c r="J1642" s="20"/>
      <c r="K1642" s="20"/>
      <c r="L1642" s="20"/>
      <c r="M1642" s="20"/>
      <c r="N1642" s="20"/>
      <c r="O1642" s="20"/>
      <c r="P1642" s="20"/>
      <c r="Q1642" s="20"/>
      <c r="R1642" s="20"/>
      <c r="S1642" s="20"/>
      <c r="T1642" s="20"/>
      <c r="U1642" s="20"/>
      <c r="V1642" s="20"/>
      <c r="W1642" s="20"/>
      <c r="X1642" s="20"/>
      <c r="Y1642" s="20"/>
      <c r="Z1642" s="20"/>
      <c r="AA1642" s="20"/>
      <c r="AB1642" s="12"/>
      <c r="AC1642" s="12"/>
      <c r="AD1642" s="12"/>
      <c r="AE1642" s="12"/>
      <c r="AF1642" s="12"/>
      <c r="AG1642" s="12"/>
      <c r="AH1642" s="12"/>
      <c r="AI1642" s="12"/>
      <c r="AJ1642" s="21"/>
      <c r="AK1642" s="21"/>
      <c r="AL1642" s="21">
        <v>1500000</v>
      </c>
      <c r="AM1642" s="21">
        <v>1500000</v>
      </c>
      <c r="AN1642" s="1058">
        <v>1041428</v>
      </c>
      <c r="AO1642" s="1058">
        <v>1041427</v>
      </c>
      <c r="AP1642" s="1058">
        <v>937285</v>
      </c>
      <c r="AQ1642" s="1058">
        <v>937285</v>
      </c>
      <c r="AR1642" s="1044"/>
      <c r="AS1642" s="1044"/>
    </row>
    <row r="1643" spans="3:45" hidden="1" outlineLevel="1">
      <c r="C1643" s="816" t="s">
        <v>16</v>
      </c>
      <c r="D1643" s="223" t="s">
        <v>1254</v>
      </c>
      <c r="E1643" s="278" t="s">
        <v>355</v>
      </c>
      <c r="F1643" s="20"/>
      <c r="G1643" s="20"/>
      <c r="H1643" s="20"/>
      <c r="I1643" s="20"/>
      <c r="J1643" s="20"/>
      <c r="K1643" s="20"/>
      <c r="L1643" s="20"/>
      <c r="M1643" s="20"/>
      <c r="N1643" s="20"/>
      <c r="O1643" s="20"/>
      <c r="P1643" s="20"/>
      <c r="Q1643" s="20"/>
      <c r="R1643" s="20"/>
      <c r="S1643" s="20"/>
      <c r="T1643" s="20"/>
      <c r="U1643" s="20"/>
      <c r="V1643" s="20"/>
      <c r="W1643" s="20"/>
      <c r="X1643" s="20"/>
      <c r="Y1643" s="20"/>
      <c r="Z1643" s="20"/>
      <c r="AA1643" s="20"/>
      <c r="AB1643" s="12">
        <v>262101</v>
      </c>
      <c r="AC1643" s="12">
        <v>262101</v>
      </c>
      <c r="AD1643" s="12">
        <v>262101</v>
      </c>
      <c r="AE1643" s="12">
        <v>262101</v>
      </c>
      <c r="AF1643" s="12">
        <v>262101</v>
      </c>
      <c r="AG1643" s="12">
        <v>262101</v>
      </c>
      <c r="AH1643" s="12">
        <v>186747</v>
      </c>
      <c r="AI1643" s="12">
        <v>186747</v>
      </c>
      <c r="AJ1643" s="21">
        <v>186747</v>
      </c>
      <c r="AK1643" s="21">
        <v>186747</v>
      </c>
      <c r="AL1643" s="21">
        <v>186747</v>
      </c>
      <c r="AM1643" s="21">
        <v>186747</v>
      </c>
      <c r="AN1643" s="1058">
        <v>124469</v>
      </c>
      <c r="AO1643" s="1058">
        <v>124469</v>
      </c>
      <c r="AP1643" s="1058">
        <v>124469</v>
      </c>
      <c r="AQ1643" s="1058">
        <v>124469</v>
      </c>
      <c r="AR1643" s="1044"/>
      <c r="AS1643" s="1044"/>
    </row>
    <row r="1644" spans="3:45" hidden="1" outlineLevel="1">
      <c r="C1644" s="816" t="s">
        <v>16</v>
      </c>
      <c r="D1644" s="9"/>
      <c r="E1644" s="224" t="s">
        <v>1266</v>
      </c>
      <c r="F1644" s="20"/>
      <c r="G1644" s="20"/>
      <c r="H1644" s="20"/>
      <c r="I1644" s="20"/>
      <c r="J1644" s="20"/>
      <c r="K1644" s="20"/>
      <c r="L1644" s="20"/>
      <c r="M1644" s="20"/>
      <c r="N1644" s="20"/>
      <c r="O1644" s="20"/>
      <c r="P1644" s="20"/>
      <c r="Q1644" s="20"/>
      <c r="R1644" s="20"/>
      <c r="S1644" s="20"/>
      <c r="T1644" s="20"/>
      <c r="U1644" s="20"/>
      <c r="V1644" s="20"/>
      <c r="W1644" s="20"/>
      <c r="X1644" s="20"/>
      <c r="Y1644" s="20"/>
      <c r="Z1644" s="20"/>
      <c r="AA1644" s="20"/>
      <c r="AB1644" s="12">
        <v>698938</v>
      </c>
      <c r="AC1644" s="12">
        <v>698938</v>
      </c>
      <c r="AD1644" s="12">
        <v>698938</v>
      </c>
      <c r="AE1644" s="12">
        <v>698938</v>
      </c>
      <c r="AF1644" s="12">
        <v>698938</v>
      </c>
      <c r="AG1644" s="12">
        <v>698938</v>
      </c>
      <c r="AH1644" s="12">
        <v>497993</v>
      </c>
      <c r="AI1644" s="12">
        <v>497993</v>
      </c>
      <c r="AJ1644" s="21">
        <v>497993</v>
      </c>
      <c r="AK1644" s="21">
        <v>497993</v>
      </c>
      <c r="AL1644" s="21">
        <v>497993</v>
      </c>
      <c r="AM1644" s="21">
        <v>497993</v>
      </c>
      <c r="AN1644" s="1058">
        <v>331919</v>
      </c>
      <c r="AO1644" s="1058">
        <v>331919</v>
      </c>
      <c r="AP1644" s="1058">
        <v>331919</v>
      </c>
      <c r="AQ1644" s="1058">
        <v>331919</v>
      </c>
      <c r="AR1644" s="1044"/>
      <c r="AS1644" s="1044"/>
    </row>
    <row r="1645" spans="3:45" hidden="1" outlineLevel="1">
      <c r="C1645" s="816" t="s">
        <v>16</v>
      </c>
      <c r="D1645" s="9"/>
      <c r="E1645" s="20" t="s">
        <v>356</v>
      </c>
      <c r="F1645" s="20"/>
      <c r="G1645" s="20"/>
      <c r="H1645" s="20"/>
      <c r="I1645" s="20"/>
      <c r="J1645" s="20"/>
      <c r="K1645" s="20"/>
      <c r="L1645" s="20"/>
      <c r="M1645" s="20"/>
      <c r="N1645" s="20"/>
      <c r="O1645" s="20"/>
      <c r="P1645" s="20"/>
      <c r="Q1645" s="20"/>
      <c r="R1645" s="20"/>
      <c r="S1645" s="20"/>
      <c r="T1645" s="20"/>
      <c r="U1645" s="20"/>
      <c r="V1645" s="20"/>
      <c r="W1645" s="20"/>
      <c r="X1645" s="20"/>
      <c r="Y1645" s="20"/>
      <c r="Z1645" s="20"/>
      <c r="AA1645" s="20"/>
      <c r="AB1645" s="12">
        <v>127234</v>
      </c>
      <c r="AC1645" s="12">
        <v>127234</v>
      </c>
      <c r="AD1645" s="12">
        <v>127234</v>
      </c>
      <c r="AE1645" s="12">
        <v>127234</v>
      </c>
      <c r="AF1645" s="12">
        <v>139957</v>
      </c>
      <c r="AG1645" s="12">
        <v>139957</v>
      </c>
      <c r="AH1645" s="12">
        <v>139957</v>
      </c>
      <c r="AI1645" s="12">
        <v>139957</v>
      </c>
      <c r="AJ1645" s="21">
        <v>153953</v>
      </c>
      <c r="AK1645" s="21">
        <v>153953</v>
      </c>
      <c r="AL1645" s="21">
        <v>153953</v>
      </c>
      <c r="AM1645" s="21">
        <v>153953</v>
      </c>
      <c r="AN1645" s="1058">
        <v>101262</v>
      </c>
      <c r="AO1645" s="1058">
        <v>101262</v>
      </c>
      <c r="AP1645" s="1058">
        <v>101262</v>
      </c>
      <c r="AQ1645" s="1058">
        <v>101262</v>
      </c>
      <c r="AR1645" s="1044"/>
      <c r="AS1645" s="1044"/>
    </row>
    <row r="1646" spans="3:45" hidden="1" outlineLevel="1">
      <c r="C1646" s="816" t="s">
        <v>16</v>
      </c>
      <c r="D1646" s="223" t="s">
        <v>1354</v>
      </c>
      <c r="E1646" s="20" t="s">
        <v>357</v>
      </c>
      <c r="F1646" s="20"/>
      <c r="G1646" s="20"/>
      <c r="H1646" s="20"/>
      <c r="I1646" s="20"/>
      <c r="J1646" s="20"/>
      <c r="K1646" s="20"/>
      <c r="L1646" s="20"/>
      <c r="M1646" s="20"/>
      <c r="N1646" s="20"/>
      <c r="O1646" s="20"/>
      <c r="P1646" s="20"/>
      <c r="Q1646" s="20"/>
      <c r="R1646" s="20"/>
      <c r="S1646" s="20"/>
      <c r="T1646" s="20"/>
      <c r="U1646" s="20"/>
      <c r="V1646" s="20"/>
      <c r="W1646" s="20"/>
      <c r="X1646" s="20"/>
      <c r="Y1646" s="20"/>
      <c r="Z1646" s="20"/>
      <c r="AA1646" s="20"/>
      <c r="AB1646" s="12"/>
      <c r="AC1646" s="12"/>
      <c r="AD1646" s="12"/>
      <c r="AE1646" s="12"/>
      <c r="AF1646" s="12">
        <v>3708858</v>
      </c>
      <c r="AG1646" s="12">
        <v>3708858</v>
      </c>
      <c r="AH1646" s="12">
        <v>2642561</v>
      </c>
      <c r="AI1646" s="12">
        <v>2642561</v>
      </c>
      <c r="AJ1646" s="21">
        <v>3142561</v>
      </c>
      <c r="AK1646" s="21">
        <v>3142561</v>
      </c>
      <c r="AL1646" s="21">
        <v>3142561</v>
      </c>
      <c r="AM1646" s="21">
        <v>3142561</v>
      </c>
      <c r="AN1646" s="1058">
        <v>2135491</v>
      </c>
      <c r="AO1646" s="1058">
        <v>2135491</v>
      </c>
      <c r="AP1646" s="1058">
        <v>4241369</v>
      </c>
      <c r="AQ1646" s="1058">
        <v>4241369</v>
      </c>
      <c r="AR1646" s="1044"/>
      <c r="AS1646" s="1044"/>
    </row>
    <row r="1647" spans="3:45" hidden="1" outlineLevel="1">
      <c r="C1647" s="816" t="s">
        <v>16</v>
      </c>
      <c r="D1647" s="223" t="s">
        <v>1200</v>
      </c>
      <c r="E1647" s="25" t="s">
        <v>359</v>
      </c>
      <c r="F1647" s="6"/>
      <c r="G1647" s="6"/>
      <c r="H1647" s="6"/>
      <c r="I1647" s="6"/>
      <c r="J1647" s="6"/>
      <c r="K1647" s="6"/>
      <c r="L1647" s="6"/>
      <c r="M1647" s="6"/>
      <c r="N1647" s="6"/>
      <c r="O1647" s="6"/>
      <c r="P1647" s="6"/>
      <c r="Q1647" s="6"/>
      <c r="R1647" s="6"/>
      <c r="S1647" s="6"/>
      <c r="T1647" s="6"/>
      <c r="U1647" s="6"/>
      <c r="V1647" s="6"/>
      <c r="W1647" s="6"/>
      <c r="X1647" s="6"/>
      <c r="Y1647" s="6"/>
      <c r="Z1647" s="6"/>
      <c r="AA1647" s="6"/>
      <c r="AB1647" s="7">
        <v>4801520</v>
      </c>
      <c r="AC1647" s="7">
        <v>4801520</v>
      </c>
      <c r="AD1647" s="7">
        <v>9491519</v>
      </c>
      <c r="AE1647" s="7">
        <v>9611521</v>
      </c>
      <c r="AF1647" s="7">
        <f t="shared" ref="AF1647:AQ1647" si="322">SUM(AF1638:AF1646)</f>
        <v>9499854</v>
      </c>
      <c r="AG1647" s="7">
        <f t="shared" si="322"/>
        <v>9619854</v>
      </c>
      <c r="AH1647" s="7">
        <f t="shared" si="322"/>
        <v>8551633</v>
      </c>
      <c r="AI1647" s="7">
        <f t="shared" si="322"/>
        <v>6851633</v>
      </c>
      <c r="AJ1647" s="7">
        <f t="shared" si="322"/>
        <v>9415629</v>
      </c>
      <c r="AK1647" s="7">
        <f t="shared" si="322"/>
        <v>9415629</v>
      </c>
      <c r="AL1647" s="60">
        <f t="shared" si="322"/>
        <v>10915629</v>
      </c>
      <c r="AM1647" s="60">
        <f t="shared" si="322"/>
        <v>10915629</v>
      </c>
      <c r="AN1647" s="1074">
        <f t="shared" si="322"/>
        <v>8180259</v>
      </c>
      <c r="AO1647" s="1074">
        <f t="shared" si="322"/>
        <v>8180257</v>
      </c>
      <c r="AP1647" s="1074">
        <f t="shared" si="322"/>
        <v>9962998</v>
      </c>
      <c r="AQ1647" s="1074">
        <f t="shared" si="322"/>
        <v>9962997</v>
      </c>
      <c r="AR1647" s="1044"/>
      <c r="AS1647" s="1044"/>
    </row>
    <row r="1648" spans="3:45" hidden="1" outlineLevel="1">
      <c r="C1648" s="816" t="s">
        <v>16</v>
      </c>
      <c r="D1648" s="9"/>
      <c r="E1648" s="20" t="s">
        <v>360</v>
      </c>
      <c r="F1648" s="20"/>
      <c r="G1648" s="20"/>
      <c r="H1648" s="20"/>
      <c r="I1648" s="20"/>
      <c r="J1648" s="20"/>
      <c r="K1648" s="20"/>
      <c r="L1648" s="20"/>
      <c r="M1648" s="20"/>
      <c r="N1648" s="20"/>
      <c r="O1648" s="20"/>
      <c r="P1648" s="20"/>
      <c r="Q1648" s="20"/>
      <c r="R1648" s="20"/>
      <c r="S1648" s="20"/>
      <c r="T1648" s="20"/>
      <c r="U1648" s="20"/>
      <c r="V1648" s="20"/>
      <c r="W1648" s="20"/>
      <c r="X1648" s="20"/>
      <c r="Y1648" s="20"/>
      <c r="Z1648" s="20"/>
      <c r="AA1648" s="20"/>
      <c r="AB1648" s="12">
        <v>557190</v>
      </c>
      <c r="AC1648" s="12">
        <v>557190</v>
      </c>
      <c r="AD1648" s="12">
        <v>557190</v>
      </c>
      <c r="AE1648" s="12">
        <v>557190</v>
      </c>
      <c r="AF1648" s="12">
        <v>557190</v>
      </c>
      <c r="AG1648" s="12">
        <v>557190</v>
      </c>
      <c r="AH1648" s="12">
        <v>417892</v>
      </c>
      <c r="AI1648" s="12">
        <v>417892</v>
      </c>
      <c r="AJ1648" s="21">
        <v>417892</v>
      </c>
      <c r="AK1648" s="21">
        <v>417892</v>
      </c>
      <c r="AL1648" s="21">
        <v>417892</v>
      </c>
      <c r="AM1648" s="21">
        <v>417892</v>
      </c>
      <c r="AN1648" s="1058">
        <v>285729</v>
      </c>
      <c r="AO1648" s="1058">
        <v>285729</v>
      </c>
      <c r="AP1648" s="1058">
        <v>285729</v>
      </c>
      <c r="AQ1648" s="1058">
        <v>285729</v>
      </c>
      <c r="AR1648" s="1044"/>
      <c r="AS1648" s="1044"/>
    </row>
    <row r="1649" spans="2:45" s="1044" customFormat="1" hidden="1" outlineLevel="1">
      <c r="B1649" s="1045"/>
      <c r="C1649" s="1053" t="s">
        <v>16</v>
      </c>
      <c r="D1649" s="1030"/>
      <c r="E1649" s="1054" t="s">
        <v>2048</v>
      </c>
      <c r="F1649" s="1047"/>
      <c r="G1649" s="1047"/>
      <c r="H1649" s="1047"/>
      <c r="I1649" s="1047"/>
      <c r="J1649" s="1047"/>
      <c r="K1649" s="1047"/>
      <c r="L1649" s="1047"/>
      <c r="M1649" s="1047"/>
      <c r="N1649" s="1047"/>
      <c r="O1649" s="1047"/>
      <c r="P1649" s="1047"/>
      <c r="Q1649" s="1047"/>
      <c r="R1649" s="1047"/>
      <c r="S1649" s="1047"/>
      <c r="T1649" s="1047"/>
      <c r="U1649" s="1047"/>
      <c r="V1649" s="1047"/>
      <c r="W1649" s="1047"/>
      <c r="X1649" s="1047"/>
      <c r="Y1649" s="1047"/>
      <c r="Z1649" s="1047"/>
      <c r="AA1649" s="1047"/>
      <c r="AB1649" s="1070"/>
      <c r="AC1649" s="1070"/>
      <c r="AD1649" s="1070"/>
      <c r="AE1649" s="1070"/>
      <c r="AF1649" s="1070"/>
      <c r="AG1649" s="1070"/>
      <c r="AH1649" s="1070"/>
      <c r="AI1649" s="1070"/>
      <c r="AJ1649" s="1058"/>
      <c r="AK1649" s="1058"/>
      <c r="AL1649" s="1058"/>
      <c r="AM1649" s="1058"/>
      <c r="AN1649" s="1058"/>
      <c r="AO1649" s="1058"/>
      <c r="AP1649" s="1058">
        <v>1750000</v>
      </c>
      <c r="AQ1649" s="1058">
        <v>1750000</v>
      </c>
    </row>
    <row r="1650" spans="2:45" hidden="1" outlineLevel="1">
      <c r="C1650" s="816" t="s">
        <v>16</v>
      </c>
      <c r="D1650" s="9"/>
      <c r="E1650" s="20" t="s">
        <v>361</v>
      </c>
      <c r="F1650" s="20"/>
      <c r="G1650" s="20"/>
      <c r="H1650" s="20"/>
      <c r="I1650" s="20"/>
      <c r="J1650" s="20"/>
      <c r="K1650" s="20"/>
      <c r="L1650" s="20"/>
      <c r="M1650" s="20"/>
      <c r="N1650" s="20"/>
      <c r="O1650" s="20"/>
      <c r="P1650" s="20"/>
      <c r="Q1650" s="20"/>
      <c r="R1650" s="20"/>
      <c r="S1650" s="20"/>
      <c r="T1650" s="20"/>
      <c r="U1650" s="20"/>
      <c r="V1650" s="20"/>
      <c r="W1650" s="20"/>
      <c r="X1650" s="20"/>
      <c r="Y1650" s="20"/>
      <c r="Z1650" s="20"/>
      <c r="AA1650" s="20"/>
      <c r="AB1650" s="12">
        <v>131250</v>
      </c>
      <c r="AC1650" s="12">
        <v>131250</v>
      </c>
      <c r="AD1650" s="12">
        <v>131250</v>
      </c>
      <c r="AE1650" s="12">
        <v>131250</v>
      </c>
      <c r="AF1650" s="12">
        <v>131250</v>
      </c>
      <c r="AG1650" s="12">
        <v>131250</v>
      </c>
      <c r="AH1650" s="12"/>
      <c r="AI1650" s="12"/>
      <c r="AJ1650" s="22"/>
      <c r="AK1650" s="22"/>
      <c r="AL1650" s="22"/>
      <c r="AM1650" s="22"/>
      <c r="AN1650" s="1059"/>
      <c r="AO1650" s="1059"/>
      <c r="AP1650" s="1059"/>
      <c r="AQ1650" s="1059"/>
      <c r="AR1650" s="1044"/>
      <c r="AS1650" s="1044"/>
    </row>
    <row r="1651" spans="2:45" hidden="1" outlineLevel="1">
      <c r="C1651" s="816" t="s">
        <v>16</v>
      </c>
      <c r="D1651" s="223" t="s">
        <v>1254</v>
      </c>
      <c r="E1651" s="278" t="s">
        <v>362</v>
      </c>
      <c r="F1651" s="20"/>
      <c r="G1651" s="20"/>
      <c r="H1651" s="20"/>
      <c r="I1651" s="20"/>
      <c r="J1651" s="20"/>
      <c r="K1651" s="20"/>
      <c r="L1651" s="20"/>
      <c r="M1651" s="20"/>
      <c r="N1651" s="20"/>
      <c r="O1651" s="20"/>
      <c r="P1651" s="20"/>
      <c r="Q1651" s="20"/>
      <c r="R1651" s="20"/>
      <c r="S1651" s="20"/>
      <c r="T1651" s="20"/>
      <c r="U1651" s="20"/>
      <c r="V1651" s="20"/>
      <c r="W1651" s="20"/>
      <c r="X1651" s="20"/>
      <c r="Y1651" s="20"/>
      <c r="Z1651" s="20"/>
      <c r="AA1651" s="20"/>
      <c r="AB1651" s="12"/>
      <c r="AC1651" s="12"/>
      <c r="AD1651" s="12"/>
      <c r="AE1651" s="12"/>
      <c r="AF1651" s="12">
        <v>0</v>
      </c>
      <c r="AG1651" s="12">
        <v>0</v>
      </c>
      <c r="AH1651" s="12">
        <v>735000</v>
      </c>
      <c r="AI1651" s="12">
        <v>735000</v>
      </c>
      <c r="AJ1651" s="21">
        <v>735000</v>
      </c>
      <c r="AK1651" s="21">
        <v>735000</v>
      </c>
      <c r="AL1651" s="21">
        <v>2000000</v>
      </c>
      <c r="AM1651" s="21">
        <v>2000000</v>
      </c>
      <c r="AN1651" s="1058">
        <v>1388570</v>
      </c>
      <c r="AO1651" s="1058">
        <v>1388569</v>
      </c>
      <c r="AP1651" s="1058">
        <v>1388570</v>
      </c>
      <c r="AQ1651" s="1058">
        <v>1388569</v>
      </c>
      <c r="AR1651" s="1044"/>
      <c r="AS1651" s="1044"/>
    </row>
    <row r="1652" spans="2:45" hidden="1" outlineLevel="1">
      <c r="C1652" s="816" t="s">
        <v>16</v>
      </c>
      <c r="D1652" s="9"/>
      <c r="E1652" s="20" t="s">
        <v>363</v>
      </c>
      <c r="F1652" s="20"/>
      <c r="G1652" s="20"/>
      <c r="H1652" s="20"/>
      <c r="I1652" s="20"/>
      <c r="J1652" s="20"/>
      <c r="K1652" s="20"/>
      <c r="L1652" s="20"/>
      <c r="M1652" s="20"/>
      <c r="N1652" s="20"/>
      <c r="O1652" s="20"/>
      <c r="P1652" s="20"/>
      <c r="Q1652" s="20"/>
      <c r="R1652" s="20"/>
      <c r="S1652" s="20"/>
      <c r="T1652" s="20"/>
      <c r="U1652" s="20"/>
      <c r="V1652" s="20"/>
      <c r="W1652" s="20"/>
      <c r="X1652" s="20"/>
      <c r="Y1652" s="20"/>
      <c r="Z1652" s="20"/>
      <c r="AA1652" s="20"/>
      <c r="AB1652" s="12">
        <v>3179898</v>
      </c>
      <c r="AC1652" s="12">
        <v>3179898</v>
      </c>
      <c r="AD1652" s="12">
        <v>3446489</v>
      </c>
      <c r="AE1652" s="12">
        <v>3446489</v>
      </c>
      <c r="AF1652" s="12">
        <v>3791138</v>
      </c>
      <c r="AG1652" s="12">
        <v>3791138</v>
      </c>
      <c r="AH1652" s="12">
        <v>3791138</v>
      </c>
      <c r="AI1652" s="12">
        <v>3791138</v>
      </c>
      <c r="AJ1652" s="21">
        <v>4170252</v>
      </c>
      <c r="AK1652" s="21">
        <v>4170252</v>
      </c>
      <c r="AL1652" s="21">
        <v>4170252</v>
      </c>
      <c r="AM1652" s="21">
        <v>4170252</v>
      </c>
      <c r="AN1652" s="1058">
        <v>2742957</v>
      </c>
      <c r="AO1652" s="1058">
        <v>2742956</v>
      </c>
      <c r="AP1652" s="1058">
        <v>2742957</v>
      </c>
      <c r="AQ1652" s="1058">
        <v>2742956</v>
      </c>
      <c r="AR1652" s="1044"/>
      <c r="AS1652" s="1044"/>
    </row>
    <row r="1653" spans="2:45" hidden="1" outlineLevel="1">
      <c r="C1653" s="816" t="s">
        <v>16</v>
      </c>
      <c r="D1653" s="9"/>
      <c r="E1653" s="20" t="s">
        <v>364</v>
      </c>
      <c r="F1653" s="20"/>
      <c r="G1653" s="20"/>
      <c r="H1653" s="20"/>
      <c r="I1653" s="20"/>
      <c r="J1653" s="20"/>
      <c r="K1653" s="20"/>
      <c r="L1653" s="20"/>
      <c r="M1653" s="20"/>
      <c r="N1653" s="20"/>
      <c r="O1653" s="20"/>
      <c r="P1653" s="20"/>
      <c r="Q1653" s="20"/>
      <c r="R1653" s="20"/>
      <c r="S1653" s="20"/>
      <c r="T1653" s="20"/>
      <c r="U1653" s="20"/>
      <c r="V1653" s="20"/>
      <c r="W1653" s="20"/>
      <c r="X1653" s="20"/>
      <c r="Y1653" s="20"/>
      <c r="Z1653" s="20"/>
      <c r="AA1653" s="20"/>
      <c r="AB1653" s="12">
        <v>1953126</v>
      </c>
      <c r="AC1653" s="12">
        <v>1953126</v>
      </c>
      <c r="AD1653" s="12">
        <v>1953126</v>
      </c>
      <c r="AE1653" s="12">
        <v>1953126</v>
      </c>
      <c r="AF1653" s="12">
        <v>1953126</v>
      </c>
      <c r="AG1653" s="12">
        <v>1953126</v>
      </c>
      <c r="AH1653" s="12">
        <v>1464844</v>
      </c>
      <c r="AI1653" s="12">
        <v>1464844</v>
      </c>
      <c r="AJ1653" s="21">
        <v>1464844</v>
      </c>
      <c r="AK1653" s="21">
        <v>1464844</v>
      </c>
      <c r="AL1653" s="21">
        <v>1464844</v>
      </c>
      <c r="AM1653" s="21">
        <v>1464844</v>
      </c>
      <c r="AN1653" s="1058">
        <v>1001572</v>
      </c>
      <c r="AO1653" s="1058">
        <v>1001571</v>
      </c>
      <c r="AP1653" s="1058">
        <v>1001572</v>
      </c>
      <c r="AQ1653" s="1058">
        <v>1001571</v>
      </c>
      <c r="AR1653" s="1044"/>
      <c r="AS1653" s="1044"/>
    </row>
    <row r="1654" spans="2:45" hidden="1" outlineLevel="1">
      <c r="C1654" s="816" t="s">
        <v>16</v>
      </c>
      <c r="D1654" s="9"/>
      <c r="E1654" s="20" t="s">
        <v>365</v>
      </c>
      <c r="F1654" s="20"/>
      <c r="G1654" s="20"/>
      <c r="H1654" s="20"/>
      <c r="I1654" s="20"/>
      <c r="J1654" s="20"/>
      <c r="K1654" s="20"/>
      <c r="L1654" s="20"/>
      <c r="M1654" s="20"/>
      <c r="N1654" s="20"/>
      <c r="O1654" s="20"/>
      <c r="P1654" s="20"/>
      <c r="Q1654" s="20"/>
      <c r="R1654" s="20"/>
      <c r="S1654" s="20"/>
      <c r="T1654" s="20"/>
      <c r="U1654" s="20"/>
      <c r="V1654" s="20"/>
      <c r="W1654" s="20"/>
      <c r="X1654" s="20"/>
      <c r="Y1654" s="20"/>
      <c r="Z1654" s="20"/>
      <c r="AA1654" s="20"/>
      <c r="AB1654" s="12"/>
      <c r="AC1654" s="12"/>
      <c r="AD1654" s="12"/>
      <c r="AE1654" s="12"/>
      <c r="AF1654" s="12">
        <v>1213169</v>
      </c>
      <c r="AG1654" s="12">
        <v>1213169</v>
      </c>
      <c r="AH1654" s="12">
        <v>1213169</v>
      </c>
      <c r="AI1654" s="12">
        <v>1213169</v>
      </c>
      <c r="AJ1654" s="21">
        <v>1334486</v>
      </c>
      <c r="AK1654" s="21">
        <v>1334486</v>
      </c>
      <c r="AL1654" s="21">
        <v>1334486</v>
      </c>
      <c r="AM1654" s="21">
        <v>1334486</v>
      </c>
      <c r="AN1654" s="1058">
        <v>877750</v>
      </c>
      <c r="AO1654" s="1058">
        <v>877749</v>
      </c>
      <c r="AP1654" s="1058">
        <v>877750</v>
      </c>
      <c r="AQ1654" s="1058">
        <v>877749</v>
      </c>
      <c r="AR1654" s="1044"/>
      <c r="AS1654" s="1044"/>
    </row>
    <row r="1655" spans="2:45" hidden="1" outlineLevel="1">
      <c r="C1655" s="816" t="s">
        <v>16</v>
      </c>
      <c r="D1655" s="223" t="s">
        <v>1354</v>
      </c>
      <c r="E1655" s="20" t="s">
        <v>366</v>
      </c>
      <c r="F1655" s="20"/>
      <c r="G1655" s="20"/>
      <c r="H1655" s="20"/>
      <c r="I1655" s="20"/>
      <c r="J1655" s="20"/>
      <c r="K1655" s="20"/>
      <c r="L1655" s="20"/>
      <c r="M1655" s="20"/>
      <c r="N1655" s="20"/>
      <c r="O1655" s="20"/>
      <c r="P1655" s="20"/>
      <c r="Q1655" s="20"/>
      <c r="R1655" s="20"/>
      <c r="S1655" s="20"/>
      <c r="T1655" s="20"/>
      <c r="U1655" s="20"/>
      <c r="V1655" s="20"/>
      <c r="W1655" s="20"/>
      <c r="X1655" s="20"/>
      <c r="Y1655" s="20"/>
      <c r="Z1655" s="20"/>
      <c r="AA1655" s="20"/>
      <c r="AB1655" s="12">
        <v>4960402</v>
      </c>
      <c r="AC1655" s="12">
        <v>4970880</v>
      </c>
      <c r="AD1655" s="12">
        <v>4960926</v>
      </c>
      <c r="AE1655" s="12">
        <v>4970357</v>
      </c>
      <c r="AF1655" s="12">
        <v>5709366</v>
      </c>
      <c r="AG1655" s="12">
        <v>5709366</v>
      </c>
      <c r="AH1655" s="12">
        <v>4057500</v>
      </c>
      <c r="AI1655" s="12">
        <v>4057500</v>
      </c>
      <c r="AJ1655" s="21">
        <v>2485386</v>
      </c>
      <c r="AK1655" s="21">
        <v>2485386</v>
      </c>
      <c r="AL1655" s="1224">
        <v>2485430</v>
      </c>
      <c r="AM1655" s="1224">
        <v>2485430</v>
      </c>
      <c r="AN1655" s="1058">
        <v>1788839</v>
      </c>
      <c r="AO1655" s="1058">
        <v>1788838</v>
      </c>
      <c r="AP1655" s="1058">
        <v>1788839</v>
      </c>
      <c r="AQ1655" s="1058">
        <v>1788838</v>
      </c>
      <c r="AR1655" s="1044"/>
      <c r="AS1655" s="1044"/>
    </row>
    <row r="1656" spans="2:45" hidden="1" outlineLevel="1">
      <c r="C1656" s="816" t="s">
        <v>16</v>
      </c>
      <c r="D1656" s="9"/>
      <c r="E1656" s="20" t="s">
        <v>367</v>
      </c>
      <c r="F1656" s="20"/>
      <c r="G1656" s="20"/>
      <c r="H1656" s="20"/>
      <c r="I1656" s="20"/>
      <c r="J1656" s="20"/>
      <c r="K1656" s="20"/>
      <c r="L1656" s="20"/>
      <c r="M1656" s="20"/>
      <c r="N1656" s="20"/>
      <c r="O1656" s="20"/>
      <c r="P1656" s="20"/>
      <c r="Q1656" s="20"/>
      <c r="R1656" s="20"/>
      <c r="S1656" s="20"/>
      <c r="T1656" s="20"/>
      <c r="U1656" s="20"/>
      <c r="V1656" s="20"/>
      <c r="W1656" s="20"/>
      <c r="X1656" s="20"/>
      <c r="Y1656" s="20"/>
      <c r="Z1656" s="20"/>
      <c r="AA1656" s="20"/>
      <c r="AB1656" s="12">
        <v>1312500</v>
      </c>
      <c r="AC1656" s="12">
        <v>1312500</v>
      </c>
      <c r="AD1656" s="12">
        <v>1312500</v>
      </c>
      <c r="AE1656" s="12">
        <v>1312500</v>
      </c>
      <c r="AF1656" s="12">
        <v>1312500</v>
      </c>
      <c r="AG1656" s="12">
        <v>1312500</v>
      </c>
      <c r="AH1656" s="12">
        <v>927886</v>
      </c>
      <c r="AI1656" s="12">
        <v>927886</v>
      </c>
      <c r="AJ1656" s="22"/>
      <c r="AK1656" s="22"/>
      <c r="AL1656" s="22"/>
      <c r="AM1656" s="22"/>
      <c r="AN1656" s="1059"/>
      <c r="AO1656" s="1059"/>
      <c r="AP1656" s="1059"/>
      <c r="AQ1656" s="1059"/>
      <c r="AR1656" s="1044"/>
      <c r="AS1656" s="1044"/>
    </row>
    <row r="1657" spans="2:45" hidden="1" outlineLevel="1">
      <c r="C1657" s="816" t="s">
        <v>16</v>
      </c>
      <c r="D1657" s="9"/>
      <c r="E1657" s="20" t="s">
        <v>368</v>
      </c>
      <c r="F1657" s="20"/>
      <c r="G1657" s="20"/>
      <c r="H1657" s="20"/>
      <c r="I1657" s="20"/>
      <c r="J1657" s="20"/>
      <c r="K1657" s="20"/>
      <c r="L1657" s="20"/>
      <c r="M1657" s="20"/>
      <c r="N1657" s="20"/>
      <c r="O1657" s="20"/>
      <c r="P1657" s="20"/>
      <c r="Q1657" s="20"/>
      <c r="R1657" s="20"/>
      <c r="S1657" s="20"/>
      <c r="T1657" s="20"/>
      <c r="U1657" s="20"/>
      <c r="V1657" s="20"/>
      <c r="W1657" s="20"/>
      <c r="X1657" s="20"/>
      <c r="Y1657" s="20"/>
      <c r="Z1657" s="20"/>
      <c r="AA1657" s="20"/>
      <c r="AB1657" s="12">
        <v>327398</v>
      </c>
      <c r="AC1657" s="12">
        <v>327398</v>
      </c>
      <c r="AD1657" s="12">
        <v>327398</v>
      </c>
      <c r="AE1657" s="12">
        <v>327398</v>
      </c>
      <c r="AF1657" s="12">
        <v>605253</v>
      </c>
      <c r="AG1657" s="12">
        <v>605253</v>
      </c>
      <c r="AH1657" s="12">
        <v>491440</v>
      </c>
      <c r="AI1657" s="12">
        <v>491440</v>
      </c>
      <c r="AJ1657" s="21">
        <v>506440</v>
      </c>
      <c r="AK1657" s="21">
        <v>506440</v>
      </c>
      <c r="AL1657" s="21">
        <v>506440</v>
      </c>
      <c r="AM1657" s="21">
        <v>506440</v>
      </c>
      <c r="AN1657" s="1058">
        <v>352439</v>
      </c>
      <c r="AO1657" s="1058">
        <v>352438</v>
      </c>
      <c r="AP1657" s="1058">
        <v>352439</v>
      </c>
      <c r="AQ1657" s="1058">
        <v>352438</v>
      </c>
      <c r="AR1657" s="1044"/>
      <c r="AS1657" s="1044"/>
    </row>
    <row r="1658" spans="2:45" hidden="1" outlineLevel="1">
      <c r="C1658" s="816" t="s">
        <v>16</v>
      </c>
      <c r="D1658" s="223" t="s">
        <v>1254</v>
      </c>
      <c r="E1658" s="279" t="s">
        <v>1714</v>
      </c>
      <c r="F1658" s="20"/>
      <c r="G1658" s="20"/>
      <c r="H1658" s="20"/>
      <c r="I1658" s="20"/>
      <c r="J1658" s="20"/>
      <c r="K1658" s="20"/>
      <c r="L1658" s="20"/>
      <c r="M1658" s="20"/>
      <c r="N1658" s="20"/>
      <c r="O1658" s="20"/>
      <c r="P1658" s="20"/>
      <c r="Q1658" s="20"/>
      <c r="R1658" s="20"/>
      <c r="S1658" s="20"/>
      <c r="T1658" s="20"/>
      <c r="U1658" s="20"/>
      <c r="V1658" s="20"/>
      <c r="W1658" s="20"/>
      <c r="X1658" s="20"/>
      <c r="Y1658" s="20"/>
      <c r="Z1658" s="20"/>
      <c r="AA1658" s="20"/>
      <c r="AB1658" s="12"/>
      <c r="AC1658" s="12"/>
      <c r="AD1658" s="12"/>
      <c r="AE1658" s="12"/>
      <c r="AF1658" s="12"/>
      <c r="AG1658" s="12"/>
      <c r="AH1658" s="12"/>
      <c r="AI1658" s="12"/>
      <c r="AJ1658" s="21"/>
      <c r="AK1658" s="21"/>
      <c r="AL1658" s="21">
        <v>355000</v>
      </c>
      <c r="AM1658" s="21">
        <v>355000</v>
      </c>
      <c r="AN1658" s="1058"/>
      <c r="AO1658" s="1058"/>
      <c r="AP1658" s="1058"/>
      <c r="AQ1658" s="1058"/>
      <c r="AR1658" s="1044"/>
      <c r="AS1658" s="1044"/>
    </row>
    <row r="1659" spans="2:45" hidden="1" outlineLevel="1">
      <c r="C1659" s="816" t="s">
        <v>16</v>
      </c>
      <c r="D1659" s="9"/>
      <c r="E1659" s="20" t="s">
        <v>370</v>
      </c>
      <c r="F1659" s="20"/>
      <c r="G1659" s="20"/>
      <c r="H1659" s="20"/>
      <c r="I1659" s="20"/>
      <c r="J1659" s="20"/>
      <c r="K1659" s="20"/>
      <c r="L1659" s="20"/>
      <c r="M1659" s="20"/>
      <c r="N1659" s="20"/>
      <c r="O1659" s="20"/>
      <c r="P1659" s="20"/>
      <c r="Q1659" s="20"/>
      <c r="R1659" s="20"/>
      <c r="S1659" s="20"/>
      <c r="T1659" s="20"/>
      <c r="U1659" s="20"/>
      <c r="V1659" s="20"/>
      <c r="W1659" s="20"/>
      <c r="X1659" s="20"/>
      <c r="Y1659" s="20"/>
      <c r="Z1659" s="20"/>
      <c r="AA1659" s="20"/>
      <c r="AB1659" s="12"/>
      <c r="AC1659" s="12"/>
      <c r="AD1659" s="12"/>
      <c r="AE1659" s="12"/>
      <c r="AF1659" s="12">
        <v>500000</v>
      </c>
      <c r="AG1659" s="12">
        <v>0</v>
      </c>
      <c r="AH1659" s="12">
        <v>0</v>
      </c>
      <c r="AI1659" s="12">
        <v>0</v>
      </c>
      <c r="AJ1659" s="22"/>
      <c r="AK1659" s="22"/>
      <c r="AL1659" s="22"/>
      <c r="AM1659" s="22"/>
      <c r="AN1659" s="1059"/>
      <c r="AO1659" s="1059"/>
      <c r="AP1659" s="1059"/>
      <c r="AQ1659" s="1059"/>
      <c r="AR1659" s="1044"/>
      <c r="AS1659" s="1044"/>
    </row>
    <row r="1660" spans="2:45" hidden="1" outlineLevel="1">
      <c r="C1660" s="816" t="s">
        <v>16</v>
      </c>
      <c r="D1660" s="223" t="s">
        <v>1200</v>
      </c>
      <c r="E1660" s="25" t="s">
        <v>2218</v>
      </c>
      <c r="F1660" s="6"/>
      <c r="G1660" s="6"/>
      <c r="H1660" s="6"/>
      <c r="I1660" s="6"/>
      <c r="J1660" s="6"/>
      <c r="K1660" s="6"/>
      <c r="L1660" s="6"/>
      <c r="M1660" s="6"/>
      <c r="N1660" s="6"/>
      <c r="O1660" s="6"/>
      <c r="P1660" s="6"/>
      <c r="Q1660" s="6"/>
      <c r="R1660" s="6"/>
      <c r="S1660" s="6"/>
      <c r="T1660" s="6"/>
      <c r="U1660" s="6"/>
      <c r="V1660" s="6"/>
      <c r="W1660" s="6"/>
      <c r="X1660" s="6"/>
      <c r="Y1660" s="6"/>
      <c r="Z1660" s="6"/>
      <c r="AA1660" s="6"/>
      <c r="AB1660" s="7">
        <v>12421764</v>
      </c>
      <c r="AC1660" s="7">
        <v>12432242</v>
      </c>
      <c r="AD1660" s="7">
        <v>12688879</v>
      </c>
      <c r="AE1660" s="7">
        <v>12698310</v>
      </c>
      <c r="AF1660" s="7">
        <f t="shared" ref="AF1660:AQ1660" si="323">SUM(AF1648:AF1659)</f>
        <v>15772992</v>
      </c>
      <c r="AG1660" s="7">
        <f t="shared" si="323"/>
        <v>15272992</v>
      </c>
      <c r="AH1660" s="7">
        <f t="shared" si="323"/>
        <v>13098869</v>
      </c>
      <c r="AI1660" s="7">
        <f t="shared" si="323"/>
        <v>13098869</v>
      </c>
      <c r="AJ1660" s="7">
        <f t="shared" si="323"/>
        <v>11114300</v>
      </c>
      <c r="AK1660" s="7">
        <f t="shared" si="323"/>
        <v>11114300</v>
      </c>
      <c r="AL1660" s="60">
        <f t="shared" si="323"/>
        <v>12734344</v>
      </c>
      <c r="AM1660" s="60">
        <f t="shared" si="323"/>
        <v>12734344</v>
      </c>
      <c r="AN1660" s="1074">
        <f t="shared" si="323"/>
        <v>8437856</v>
      </c>
      <c r="AO1660" s="1074">
        <f t="shared" si="323"/>
        <v>8437850</v>
      </c>
      <c r="AP1660" s="1074">
        <f t="shared" si="323"/>
        <v>10187856</v>
      </c>
      <c r="AQ1660" s="1074">
        <f t="shared" si="323"/>
        <v>10187850</v>
      </c>
      <c r="AR1660" s="1044"/>
      <c r="AS1660" s="1044"/>
    </row>
    <row r="1661" spans="2:45" hidden="1" outlineLevel="1">
      <c r="C1661" s="816" t="s">
        <v>16</v>
      </c>
      <c r="D1661" s="9"/>
      <c r="E1661" s="20" t="s">
        <v>371</v>
      </c>
      <c r="F1661" s="20"/>
      <c r="G1661" s="20"/>
      <c r="H1661" s="20"/>
      <c r="I1661" s="20"/>
      <c r="J1661" s="20"/>
      <c r="K1661" s="20"/>
      <c r="L1661" s="20"/>
      <c r="M1661" s="20"/>
      <c r="N1661" s="20"/>
      <c r="O1661" s="20"/>
      <c r="P1661" s="20"/>
      <c r="Q1661" s="20"/>
      <c r="R1661" s="20"/>
      <c r="S1661" s="20"/>
      <c r="T1661" s="20"/>
      <c r="U1661" s="20"/>
      <c r="V1661" s="20"/>
      <c r="W1661" s="20"/>
      <c r="X1661" s="20"/>
      <c r="Y1661" s="20"/>
      <c r="Z1661" s="20"/>
      <c r="AA1661" s="20"/>
      <c r="AB1661" s="12">
        <v>1064000</v>
      </c>
      <c r="AC1661" s="12">
        <v>1142969</v>
      </c>
      <c r="AD1661" s="12">
        <v>1103485</v>
      </c>
      <c r="AE1661" s="12">
        <v>1103485</v>
      </c>
      <c r="AF1661" s="12">
        <v>1103485</v>
      </c>
      <c r="AG1661" s="12">
        <v>1103485</v>
      </c>
      <c r="AH1661" s="12">
        <v>505396</v>
      </c>
      <c r="AI1661" s="12">
        <v>505396</v>
      </c>
      <c r="AJ1661" s="21">
        <v>505396</v>
      </c>
      <c r="AK1661" s="21">
        <v>505396</v>
      </c>
      <c r="AL1661" s="21"/>
      <c r="AM1661" s="21"/>
      <c r="AN1661" s="1058"/>
      <c r="AO1661" s="1058"/>
      <c r="AP1661" s="1058"/>
      <c r="AQ1661" s="1058"/>
      <c r="AR1661" s="1044"/>
      <c r="AS1661" s="1044"/>
    </row>
    <row r="1662" spans="2:45" hidden="1" outlineLevel="1">
      <c r="C1662" s="816" t="s">
        <v>16</v>
      </c>
      <c r="D1662" s="9"/>
      <c r="E1662" s="224" t="s">
        <v>1717</v>
      </c>
      <c r="F1662" s="20"/>
      <c r="G1662" s="20"/>
      <c r="H1662" s="20"/>
      <c r="I1662" s="20"/>
      <c r="J1662" s="20"/>
      <c r="K1662" s="20"/>
      <c r="L1662" s="20"/>
      <c r="M1662" s="20"/>
      <c r="N1662" s="20"/>
      <c r="O1662" s="20"/>
      <c r="P1662" s="20"/>
      <c r="Q1662" s="20"/>
      <c r="R1662" s="20"/>
      <c r="S1662" s="20"/>
      <c r="T1662" s="20"/>
      <c r="U1662" s="20"/>
      <c r="V1662" s="20"/>
      <c r="W1662" s="20"/>
      <c r="X1662" s="20"/>
      <c r="Y1662" s="20"/>
      <c r="Z1662" s="20"/>
      <c r="AA1662" s="20"/>
      <c r="AB1662" s="12"/>
      <c r="AC1662" s="12"/>
      <c r="AD1662" s="12"/>
      <c r="AE1662" s="12"/>
      <c r="AF1662" s="12"/>
      <c r="AG1662" s="12"/>
      <c r="AH1662" s="12"/>
      <c r="AI1662" s="12"/>
      <c r="AJ1662" s="21"/>
      <c r="AK1662" s="21"/>
      <c r="AL1662" s="21">
        <v>500000</v>
      </c>
      <c r="AM1662" s="21">
        <v>500000</v>
      </c>
      <c r="AN1662" s="1058">
        <v>203456</v>
      </c>
      <c r="AO1662" s="1058">
        <v>203455</v>
      </c>
      <c r="AP1662" s="1058">
        <v>183110</v>
      </c>
      <c r="AQ1662" s="1058">
        <v>183110</v>
      </c>
      <c r="AR1662" s="1044"/>
      <c r="AS1662" s="1044"/>
    </row>
    <row r="1663" spans="2:45" hidden="1" outlineLevel="1">
      <c r="C1663" s="816" t="s">
        <v>16</v>
      </c>
      <c r="D1663" s="9"/>
      <c r="E1663" s="20" t="s">
        <v>372</v>
      </c>
      <c r="F1663" s="20"/>
      <c r="G1663" s="20"/>
      <c r="H1663" s="20"/>
      <c r="I1663" s="20"/>
      <c r="J1663" s="20"/>
      <c r="K1663" s="20"/>
      <c r="L1663" s="20"/>
      <c r="M1663" s="20"/>
      <c r="N1663" s="20"/>
      <c r="O1663" s="20"/>
      <c r="P1663" s="20"/>
      <c r="Q1663" s="20"/>
      <c r="R1663" s="20"/>
      <c r="S1663" s="20"/>
      <c r="T1663" s="20"/>
      <c r="U1663" s="20"/>
      <c r="V1663" s="20"/>
      <c r="W1663" s="20"/>
      <c r="X1663" s="20"/>
      <c r="Y1663" s="20"/>
      <c r="Z1663" s="20"/>
      <c r="AA1663" s="20"/>
      <c r="AB1663" s="12">
        <v>1145151</v>
      </c>
      <c r="AC1663" s="12">
        <v>1145151</v>
      </c>
      <c r="AD1663" s="12">
        <v>1145151</v>
      </c>
      <c r="AE1663" s="12">
        <v>1145151</v>
      </c>
      <c r="AF1663" s="12">
        <v>1145151</v>
      </c>
      <c r="AG1663" s="12">
        <v>1145151</v>
      </c>
      <c r="AH1663" s="12">
        <v>1346363</v>
      </c>
      <c r="AI1663" s="12">
        <v>1346363</v>
      </c>
      <c r="AJ1663" s="21">
        <v>1346363</v>
      </c>
      <c r="AK1663" s="21">
        <v>1346363</v>
      </c>
      <c r="AL1663" s="21">
        <v>1346363</v>
      </c>
      <c r="AM1663" s="21">
        <v>1346363</v>
      </c>
      <c r="AN1663" s="1058">
        <v>547850</v>
      </c>
      <c r="AO1663" s="1058">
        <v>547849</v>
      </c>
      <c r="AP1663" s="1058">
        <v>493065</v>
      </c>
      <c r="AQ1663" s="1058">
        <v>493065</v>
      </c>
      <c r="AR1663" s="1044"/>
      <c r="AS1663" s="1044"/>
    </row>
    <row r="1664" spans="2:45" hidden="1" outlineLevel="1">
      <c r="C1664" s="816" t="s">
        <v>16</v>
      </c>
      <c r="D1664" s="223" t="s">
        <v>1354</v>
      </c>
      <c r="E1664" s="20" t="s">
        <v>373</v>
      </c>
      <c r="F1664" s="20"/>
      <c r="G1664" s="20"/>
      <c r="H1664" s="20"/>
      <c r="I1664" s="20"/>
      <c r="J1664" s="20"/>
      <c r="K1664" s="20"/>
      <c r="L1664" s="20"/>
      <c r="M1664" s="20"/>
      <c r="N1664" s="20"/>
      <c r="O1664" s="20"/>
      <c r="P1664" s="20"/>
      <c r="Q1664" s="20"/>
      <c r="R1664" s="20"/>
      <c r="S1664" s="20"/>
      <c r="T1664" s="20"/>
      <c r="U1664" s="20"/>
      <c r="V1664" s="20"/>
      <c r="W1664" s="20"/>
      <c r="X1664" s="20"/>
      <c r="Y1664" s="20"/>
      <c r="Z1664" s="20"/>
      <c r="AA1664" s="20"/>
      <c r="AB1664" s="12">
        <v>5220330</v>
      </c>
      <c r="AC1664" s="12">
        <v>5220330</v>
      </c>
      <c r="AD1664" s="12">
        <v>6720330</v>
      </c>
      <c r="AE1664" s="12">
        <v>5220330</v>
      </c>
      <c r="AF1664" s="12">
        <v>5636836</v>
      </c>
      <c r="AG1664" s="12">
        <v>5636836</v>
      </c>
      <c r="AH1664" s="12">
        <v>4227627</v>
      </c>
      <c r="AI1664" s="12">
        <v>4227627</v>
      </c>
      <c r="AJ1664" s="21">
        <v>4727627</v>
      </c>
      <c r="AK1664" s="21">
        <v>4727627</v>
      </c>
      <c r="AL1664" s="21">
        <v>4727627</v>
      </c>
      <c r="AM1664" s="21">
        <v>4727627</v>
      </c>
      <c r="AN1664" s="1058">
        <v>3252842</v>
      </c>
      <c r="AO1664" s="1058">
        <v>3252842</v>
      </c>
      <c r="AP1664" s="1058">
        <v>3252842</v>
      </c>
      <c r="AQ1664" s="1058">
        <v>3252842</v>
      </c>
      <c r="AR1664" s="1044"/>
      <c r="AS1664" s="1044"/>
    </row>
    <row r="1665" spans="2:45" hidden="1" outlineLevel="1">
      <c r="C1665" s="816" t="s">
        <v>16</v>
      </c>
      <c r="D1665" s="223" t="s">
        <v>1200</v>
      </c>
      <c r="E1665" s="25" t="s">
        <v>375</v>
      </c>
      <c r="F1665" s="6"/>
      <c r="G1665" s="6"/>
      <c r="H1665" s="6"/>
      <c r="I1665" s="6"/>
      <c r="J1665" s="6"/>
      <c r="K1665" s="6"/>
      <c r="L1665" s="6"/>
      <c r="M1665" s="6"/>
      <c r="N1665" s="6"/>
      <c r="O1665" s="6"/>
      <c r="P1665" s="6"/>
      <c r="Q1665" s="6"/>
      <c r="R1665" s="6"/>
      <c r="S1665" s="6"/>
      <c r="T1665" s="6"/>
      <c r="U1665" s="6"/>
      <c r="V1665" s="6"/>
      <c r="W1665" s="6"/>
      <c r="X1665" s="6"/>
      <c r="Y1665" s="6"/>
      <c r="Z1665" s="6"/>
      <c r="AA1665" s="6"/>
      <c r="AB1665" s="7">
        <v>7429481</v>
      </c>
      <c r="AC1665" s="7">
        <v>7508450</v>
      </c>
      <c r="AD1665" s="7">
        <v>8968966</v>
      </c>
      <c r="AE1665" s="7">
        <v>7468966</v>
      </c>
      <c r="AF1665" s="7">
        <f t="shared" ref="AF1665:AK1665" si="324">SUM(AF1661:AF1664)</f>
        <v>7885472</v>
      </c>
      <c r="AG1665" s="7">
        <f t="shared" si="324"/>
        <v>7885472</v>
      </c>
      <c r="AH1665" s="7">
        <f t="shared" si="324"/>
        <v>6079386</v>
      </c>
      <c r="AI1665" s="7">
        <f t="shared" si="324"/>
        <v>6079386</v>
      </c>
      <c r="AJ1665" s="7">
        <f t="shared" si="324"/>
        <v>6579386</v>
      </c>
      <c r="AK1665" s="7">
        <f t="shared" si="324"/>
        <v>6579386</v>
      </c>
      <c r="AL1665" s="60">
        <f t="shared" ref="AL1665:AQ1665" si="325">SUM(AL1662:AL1664)</f>
        <v>6573990</v>
      </c>
      <c r="AM1665" s="60">
        <f t="shared" si="325"/>
        <v>6573990</v>
      </c>
      <c r="AN1665" s="1074">
        <f t="shared" si="325"/>
        <v>4004148</v>
      </c>
      <c r="AO1665" s="1074">
        <f t="shared" si="325"/>
        <v>4004146</v>
      </c>
      <c r="AP1665" s="1074">
        <f t="shared" si="325"/>
        <v>3929017</v>
      </c>
      <c r="AQ1665" s="1074">
        <f t="shared" si="325"/>
        <v>3929017</v>
      </c>
      <c r="AR1665" s="1044"/>
      <c r="AS1665" s="1044"/>
    </row>
    <row r="1666" spans="2:45" s="173" customFormat="1" hidden="1" outlineLevel="1">
      <c r="B1666" s="566"/>
      <c r="C1666" s="816" t="s">
        <v>16</v>
      </c>
      <c r="D1666" s="244"/>
      <c r="E1666" s="375" t="s">
        <v>1718</v>
      </c>
      <c r="F1666" s="23"/>
      <c r="G1666" s="23"/>
      <c r="H1666" s="23"/>
      <c r="I1666" s="23"/>
      <c r="J1666" s="23"/>
      <c r="K1666" s="23"/>
      <c r="L1666" s="23"/>
      <c r="M1666" s="23"/>
      <c r="N1666" s="23"/>
      <c r="O1666" s="23"/>
      <c r="P1666" s="23"/>
      <c r="Q1666" s="23"/>
      <c r="R1666" s="23"/>
      <c r="S1666" s="23"/>
      <c r="T1666" s="23"/>
      <c r="U1666" s="23"/>
      <c r="V1666" s="23"/>
      <c r="W1666" s="23"/>
      <c r="X1666" s="23"/>
      <c r="Y1666" s="23"/>
      <c r="Z1666" s="23"/>
      <c r="AA1666" s="23"/>
      <c r="AB1666" s="14"/>
      <c r="AC1666" s="14"/>
      <c r="AD1666" s="14"/>
      <c r="AE1666" s="14"/>
      <c r="AF1666" s="14"/>
      <c r="AG1666" s="14"/>
      <c r="AH1666" s="14"/>
      <c r="AI1666" s="14"/>
      <c r="AJ1666" s="14"/>
      <c r="AK1666" s="14"/>
      <c r="AL1666" s="1220">
        <v>0</v>
      </c>
      <c r="AM1666" s="1220">
        <v>0</v>
      </c>
      <c r="AN1666" s="1071"/>
      <c r="AO1666" s="1071"/>
      <c r="AP1666" s="1071"/>
      <c r="AQ1666" s="1071"/>
      <c r="AR1666" s="1044"/>
      <c r="AS1666" s="1044"/>
    </row>
    <row r="1667" spans="2:45" hidden="1" outlineLevel="1">
      <c r="C1667" s="816" t="s">
        <v>16</v>
      </c>
      <c r="D1667" s="223" t="s">
        <v>1254</v>
      </c>
      <c r="E1667" s="278" t="s">
        <v>376</v>
      </c>
      <c r="F1667" s="20"/>
      <c r="G1667" s="20"/>
      <c r="H1667" s="20"/>
      <c r="I1667" s="20"/>
      <c r="J1667" s="20"/>
      <c r="K1667" s="20"/>
      <c r="L1667" s="20"/>
      <c r="M1667" s="20"/>
      <c r="N1667" s="20"/>
      <c r="O1667" s="20"/>
      <c r="P1667" s="20"/>
      <c r="Q1667" s="20"/>
      <c r="R1667" s="20"/>
      <c r="S1667" s="20"/>
      <c r="T1667" s="20"/>
      <c r="U1667" s="20"/>
      <c r="V1667" s="20"/>
      <c r="W1667" s="20"/>
      <c r="X1667" s="20"/>
      <c r="Y1667" s="20"/>
      <c r="Z1667" s="20"/>
      <c r="AA1667" s="20"/>
      <c r="AB1667" s="12">
        <v>548154</v>
      </c>
      <c r="AC1667" s="12">
        <v>548154</v>
      </c>
      <c r="AD1667" s="12">
        <v>548154</v>
      </c>
      <c r="AE1667" s="12">
        <v>548154</v>
      </c>
      <c r="AF1667" s="12">
        <v>548154</v>
      </c>
      <c r="AG1667" s="12">
        <v>548154</v>
      </c>
      <c r="AH1667" s="12">
        <v>390560</v>
      </c>
      <c r="AI1667" s="12">
        <v>390560</v>
      </c>
      <c r="AJ1667" s="21">
        <v>390560</v>
      </c>
      <c r="AK1667" s="21">
        <v>390560</v>
      </c>
      <c r="AL1667" s="21">
        <v>390560</v>
      </c>
      <c r="AM1667" s="21">
        <v>390560</v>
      </c>
      <c r="AN1667" s="1058">
        <v>260314</v>
      </c>
      <c r="AO1667" s="1058">
        <v>260313</v>
      </c>
      <c r="AP1667" s="1058">
        <v>260314</v>
      </c>
      <c r="AQ1667" s="1058">
        <v>260313</v>
      </c>
      <c r="AR1667" s="1044"/>
      <c r="AS1667" s="1044"/>
    </row>
    <row r="1668" spans="2:45" hidden="1" outlineLevel="1">
      <c r="C1668" s="816" t="s">
        <v>16</v>
      </c>
      <c r="D1668" s="223" t="s">
        <v>1254</v>
      </c>
      <c r="E1668" s="278" t="s">
        <v>377</v>
      </c>
      <c r="F1668" s="20"/>
      <c r="G1668" s="20"/>
      <c r="H1668" s="20"/>
      <c r="I1668" s="20"/>
      <c r="J1668" s="20"/>
      <c r="K1668" s="20"/>
      <c r="L1668" s="20"/>
      <c r="M1668" s="20"/>
      <c r="N1668" s="20"/>
      <c r="O1668" s="20"/>
      <c r="P1668" s="20"/>
      <c r="Q1668" s="20"/>
      <c r="R1668" s="20"/>
      <c r="S1668" s="20"/>
      <c r="T1668" s="20"/>
      <c r="U1668" s="20"/>
      <c r="V1668" s="20"/>
      <c r="W1668" s="20"/>
      <c r="X1668" s="20"/>
      <c r="Y1668" s="20"/>
      <c r="Z1668" s="20"/>
      <c r="AA1668" s="20"/>
      <c r="AB1668" s="12">
        <v>359678</v>
      </c>
      <c r="AC1668" s="12">
        <v>359678</v>
      </c>
      <c r="AD1668" s="12">
        <v>359678</v>
      </c>
      <c r="AE1668" s="12">
        <v>359678</v>
      </c>
      <c r="AF1668" s="12">
        <v>359678</v>
      </c>
      <c r="AG1668" s="12">
        <v>359678</v>
      </c>
      <c r="AH1668" s="12">
        <v>256270</v>
      </c>
      <c r="AI1668" s="12">
        <v>256270</v>
      </c>
      <c r="AJ1668" s="21">
        <v>256270</v>
      </c>
      <c r="AK1668" s="21">
        <v>256270</v>
      </c>
      <c r="AL1668" s="21">
        <v>256270</v>
      </c>
      <c r="AM1668" s="21">
        <v>256270</v>
      </c>
      <c r="AN1668" s="1058">
        <v>170807</v>
      </c>
      <c r="AO1668" s="1058">
        <v>170807</v>
      </c>
      <c r="AP1668" s="1058">
        <v>170807</v>
      </c>
      <c r="AQ1668" s="1058">
        <v>170807</v>
      </c>
      <c r="AR1668" s="1044"/>
      <c r="AS1668" s="1044"/>
    </row>
    <row r="1669" spans="2:45" hidden="1" outlineLevel="1">
      <c r="C1669" s="816" t="s">
        <v>16</v>
      </c>
      <c r="D1669" s="223" t="s">
        <v>1254</v>
      </c>
      <c r="E1669" s="278" t="s">
        <v>378</v>
      </c>
      <c r="F1669" s="20"/>
      <c r="G1669" s="20"/>
      <c r="H1669" s="20"/>
      <c r="I1669" s="20"/>
      <c r="J1669" s="20"/>
      <c r="K1669" s="20"/>
      <c r="L1669" s="20"/>
      <c r="M1669" s="20"/>
      <c r="N1669" s="20"/>
      <c r="O1669" s="20"/>
      <c r="P1669" s="20"/>
      <c r="Q1669" s="20"/>
      <c r="R1669" s="20"/>
      <c r="S1669" s="20"/>
      <c r="T1669" s="20"/>
      <c r="U1669" s="20"/>
      <c r="V1669" s="20"/>
      <c r="W1669" s="20"/>
      <c r="X1669" s="20"/>
      <c r="Y1669" s="20"/>
      <c r="Z1669" s="20"/>
      <c r="AA1669" s="20"/>
      <c r="AB1669" s="12">
        <v>551765</v>
      </c>
      <c r="AC1669" s="12">
        <v>551765</v>
      </c>
      <c r="AD1669" s="12">
        <v>551765</v>
      </c>
      <c r="AE1669" s="12">
        <v>551765</v>
      </c>
      <c r="AF1669" s="12">
        <v>551765</v>
      </c>
      <c r="AG1669" s="12">
        <v>551765</v>
      </c>
      <c r="AH1669" s="12">
        <v>393133</v>
      </c>
      <c r="AI1669" s="12">
        <v>393133</v>
      </c>
      <c r="AJ1669" s="21">
        <v>393133</v>
      </c>
      <c r="AK1669" s="21">
        <v>393133</v>
      </c>
      <c r="AL1669" s="21">
        <v>393133</v>
      </c>
      <c r="AM1669" s="21">
        <v>393133</v>
      </c>
      <c r="AN1669" s="1058">
        <v>262029</v>
      </c>
      <c r="AO1669" s="1058">
        <v>262029</v>
      </c>
      <c r="AP1669" s="1058">
        <v>262029</v>
      </c>
      <c r="AQ1669" s="1058">
        <v>262029</v>
      </c>
      <c r="AR1669" s="1044"/>
      <c r="AS1669" s="1044"/>
    </row>
    <row r="1670" spans="2:45" hidden="1" outlineLevel="1">
      <c r="C1670" s="816" t="s">
        <v>16</v>
      </c>
      <c r="D1670" s="223" t="s">
        <v>1254</v>
      </c>
      <c r="E1670" s="278" t="s">
        <v>379</v>
      </c>
      <c r="F1670" s="20"/>
      <c r="G1670" s="20"/>
      <c r="H1670" s="20"/>
      <c r="I1670" s="20"/>
      <c r="J1670" s="20"/>
      <c r="K1670" s="20"/>
      <c r="L1670" s="20"/>
      <c r="M1670" s="20"/>
      <c r="N1670" s="20"/>
      <c r="O1670" s="20"/>
      <c r="P1670" s="20"/>
      <c r="Q1670" s="20"/>
      <c r="R1670" s="20"/>
      <c r="S1670" s="20"/>
      <c r="T1670" s="20"/>
      <c r="U1670" s="20"/>
      <c r="V1670" s="20"/>
      <c r="W1670" s="20"/>
      <c r="X1670" s="20"/>
      <c r="Y1670" s="20"/>
      <c r="Z1670" s="20"/>
      <c r="AA1670" s="20"/>
      <c r="AB1670" s="12">
        <v>41243</v>
      </c>
      <c r="AC1670" s="12">
        <v>41243</v>
      </c>
      <c r="AD1670" s="12">
        <v>41242</v>
      </c>
      <c r="AE1670" s="12">
        <v>41244</v>
      </c>
      <c r="AF1670" s="12">
        <v>41244</v>
      </c>
      <c r="AG1670" s="12">
        <v>41244</v>
      </c>
      <c r="AH1670" s="12">
        <v>29386</v>
      </c>
      <c r="AI1670" s="12">
        <v>29386</v>
      </c>
      <c r="AJ1670" s="22"/>
      <c r="AK1670" s="22"/>
      <c r="AL1670" s="22"/>
      <c r="AM1670" s="22"/>
      <c r="AN1670" s="1059"/>
      <c r="AO1670" s="1059"/>
      <c r="AP1670" s="1059"/>
      <c r="AQ1670" s="1059"/>
      <c r="AR1670" s="1044"/>
      <c r="AS1670" s="1044"/>
    </row>
    <row r="1671" spans="2:45" hidden="1" outlineLevel="1">
      <c r="C1671" s="816" t="s">
        <v>16</v>
      </c>
      <c r="D1671" s="223" t="s">
        <v>1254</v>
      </c>
      <c r="E1671" s="278" t="s">
        <v>380</v>
      </c>
      <c r="F1671" s="20"/>
      <c r="G1671" s="20"/>
      <c r="H1671" s="20"/>
      <c r="I1671" s="20"/>
      <c r="J1671" s="20"/>
      <c r="K1671" s="20"/>
      <c r="L1671" s="20"/>
      <c r="M1671" s="20"/>
      <c r="N1671" s="20"/>
      <c r="O1671" s="20"/>
      <c r="P1671" s="20"/>
      <c r="Q1671" s="20"/>
      <c r="R1671" s="20"/>
      <c r="S1671" s="20"/>
      <c r="T1671" s="20"/>
      <c r="U1671" s="20"/>
      <c r="V1671" s="20"/>
      <c r="W1671" s="20"/>
      <c r="X1671" s="20"/>
      <c r="Y1671" s="20"/>
      <c r="Z1671" s="20"/>
      <c r="AA1671" s="20"/>
      <c r="AB1671" s="12">
        <v>2661938</v>
      </c>
      <c r="AC1671" s="12">
        <v>2150000</v>
      </c>
      <c r="AD1671" s="12">
        <v>2661938</v>
      </c>
      <c r="AE1671" s="12">
        <v>2721100</v>
      </c>
      <c r="AF1671" s="12">
        <v>3296652</v>
      </c>
      <c r="AG1671" s="12">
        <v>3375206</v>
      </c>
      <c r="AH1671" s="12">
        <v>4291967</v>
      </c>
      <c r="AI1671" s="12">
        <v>4506566</v>
      </c>
      <c r="AJ1671" s="21">
        <v>4365774</v>
      </c>
      <c r="AK1671" s="21">
        <v>4365774</v>
      </c>
      <c r="AL1671" s="21">
        <v>5097038</v>
      </c>
      <c r="AM1671" s="21">
        <v>5064322</v>
      </c>
      <c r="AN1671" s="1058"/>
      <c r="AO1671" s="1058"/>
      <c r="AP1671" s="1058"/>
      <c r="AQ1671" s="1058"/>
      <c r="AR1671" s="1044"/>
      <c r="AS1671" s="1044"/>
    </row>
    <row r="1672" spans="2:45" hidden="1" outlineLevel="1">
      <c r="C1672" s="816" t="s">
        <v>16</v>
      </c>
      <c r="D1672" s="9"/>
      <c r="E1672" s="20" t="s">
        <v>381</v>
      </c>
      <c r="F1672" s="20"/>
      <c r="G1672" s="20"/>
      <c r="H1672" s="20"/>
      <c r="I1672" s="20"/>
      <c r="J1672" s="20"/>
      <c r="K1672" s="20"/>
      <c r="L1672" s="20"/>
      <c r="M1672" s="20"/>
      <c r="N1672" s="20"/>
      <c r="O1672" s="20"/>
      <c r="P1672" s="20"/>
      <c r="Q1672" s="20"/>
      <c r="R1672" s="20"/>
      <c r="S1672" s="20"/>
      <c r="T1672" s="20"/>
      <c r="U1672" s="20"/>
      <c r="V1672" s="20"/>
      <c r="W1672" s="20"/>
      <c r="X1672" s="20"/>
      <c r="Y1672" s="20"/>
      <c r="Z1672" s="20"/>
      <c r="AA1672" s="20"/>
      <c r="AB1672" s="12">
        <v>750274</v>
      </c>
      <c r="AC1672" s="12">
        <v>750274</v>
      </c>
      <c r="AD1672" s="12">
        <v>750274</v>
      </c>
      <c r="AE1672" s="12">
        <v>750274</v>
      </c>
      <c r="AF1672" s="12">
        <v>750274</v>
      </c>
      <c r="AG1672" s="12">
        <v>750274</v>
      </c>
      <c r="AH1672" s="12">
        <v>534570</v>
      </c>
      <c r="AI1672" s="12">
        <v>534570</v>
      </c>
      <c r="AJ1672" s="21">
        <v>534570</v>
      </c>
      <c r="AK1672" s="21">
        <v>534570</v>
      </c>
      <c r="AL1672" s="21">
        <v>534570</v>
      </c>
      <c r="AM1672" s="21">
        <v>534570</v>
      </c>
      <c r="AN1672" s="1058">
        <v>356298</v>
      </c>
      <c r="AO1672" s="1058">
        <v>356298</v>
      </c>
      <c r="AP1672" s="1058">
        <v>356298</v>
      </c>
      <c r="AQ1672" s="1058">
        <v>356298</v>
      </c>
      <c r="AR1672" s="1044"/>
      <c r="AS1672" s="1044"/>
    </row>
    <row r="1673" spans="2:45" hidden="1" outlineLevel="1">
      <c r="C1673" s="816" t="s">
        <v>16</v>
      </c>
      <c r="D1673" s="223" t="s">
        <v>1354</v>
      </c>
      <c r="E1673" s="224" t="s">
        <v>1476</v>
      </c>
      <c r="F1673" s="20"/>
      <c r="G1673" s="20"/>
      <c r="H1673" s="20"/>
      <c r="I1673" s="20"/>
      <c r="J1673" s="20"/>
      <c r="K1673" s="20"/>
      <c r="L1673" s="20"/>
      <c r="M1673" s="20"/>
      <c r="N1673" s="20"/>
      <c r="O1673" s="20"/>
      <c r="P1673" s="20"/>
      <c r="Q1673" s="20"/>
      <c r="R1673" s="20"/>
      <c r="S1673" s="20"/>
      <c r="T1673" s="20"/>
      <c r="U1673" s="20"/>
      <c r="V1673" s="20"/>
      <c r="W1673" s="20"/>
      <c r="X1673" s="20"/>
      <c r="Y1673" s="20"/>
      <c r="Z1673" s="20"/>
      <c r="AA1673" s="20"/>
      <c r="AB1673" s="12">
        <v>24571259</v>
      </c>
      <c r="AC1673" s="12">
        <v>24263716</v>
      </c>
      <c r="AD1673" s="12">
        <v>4417488</v>
      </c>
      <c r="AE1673" s="12">
        <v>4417488</v>
      </c>
      <c r="AF1673" s="12"/>
      <c r="AG1673" s="12"/>
      <c r="AH1673" s="12"/>
      <c r="AI1673" s="12"/>
      <c r="AJ1673" s="21"/>
      <c r="AK1673" s="21"/>
      <c r="AL1673" s="21">
        <v>165000</v>
      </c>
      <c r="AM1673" s="21">
        <v>165000</v>
      </c>
      <c r="AN1673" s="1058">
        <v>165000</v>
      </c>
      <c r="AO1673" s="1058">
        <v>165000</v>
      </c>
      <c r="AP1673" s="1058">
        <v>27665000</v>
      </c>
      <c r="AQ1673" s="1058">
        <v>27665000</v>
      </c>
      <c r="AR1673" s="1044"/>
      <c r="AS1673" s="1044"/>
    </row>
    <row r="1674" spans="2:45" hidden="1" outlineLevel="1">
      <c r="C1674" s="816" t="s">
        <v>16</v>
      </c>
      <c r="D1674" s="9"/>
      <c r="E1674" s="224" t="s">
        <v>1477</v>
      </c>
      <c r="F1674" s="20"/>
      <c r="G1674" s="20"/>
      <c r="H1674" s="20"/>
      <c r="I1674" s="20"/>
      <c r="J1674" s="20"/>
      <c r="K1674" s="20"/>
      <c r="L1674" s="20"/>
      <c r="M1674" s="20"/>
      <c r="N1674" s="20"/>
      <c r="O1674" s="20"/>
      <c r="P1674" s="20"/>
      <c r="Q1674" s="20"/>
      <c r="R1674" s="20"/>
      <c r="S1674" s="20"/>
      <c r="T1674" s="20"/>
      <c r="U1674" s="20"/>
      <c r="V1674" s="20"/>
      <c r="W1674" s="20"/>
      <c r="X1674" s="20"/>
      <c r="Y1674" s="20"/>
      <c r="Z1674" s="20"/>
      <c r="AA1674" s="20"/>
      <c r="AB1674" s="12"/>
      <c r="AC1674" s="12"/>
      <c r="AD1674" s="12">
        <v>3000000</v>
      </c>
      <c r="AE1674" s="12"/>
      <c r="AF1674" s="12"/>
      <c r="AG1674" s="12"/>
      <c r="AH1674" s="12"/>
      <c r="AI1674" s="12"/>
      <c r="AJ1674" s="21"/>
      <c r="AK1674" s="21"/>
      <c r="AL1674" s="21"/>
      <c r="AM1674" s="21"/>
      <c r="AN1674" s="1058"/>
      <c r="AO1674" s="1058"/>
      <c r="AP1674" s="1058"/>
      <c r="AQ1674" s="1058"/>
      <c r="AR1674" s="1044"/>
      <c r="AS1674" s="1044"/>
    </row>
    <row r="1675" spans="2:45" hidden="1" outlineLevel="1">
      <c r="C1675" s="816" t="s">
        <v>16</v>
      </c>
      <c r="D1675" s="223" t="s">
        <v>1200</v>
      </c>
      <c r="E1675" s="25" t="s">
        <v>383</v>
      </c>
      <c r="F1675" s="6"/>
      <c r="G1675" s="6"/>
      <c r="H1675" s="6"/>
      <c r="I1675" s="6"/>
      <c r="J1675" s="6"/>
      <c r="K1675" s="6"/>
      <c r="L1675" s="6"/>
      <c r="M1675" s="6"/>
      <c r="N1675" s="6"/>
      <c r="O1675" s="6"/>
      <c r="P1675" s="6"/>
      <c r="Q1675" s="6"/>
      <c r="R1675" s="6"/>
      <c r="S1675" s="6"/>
      <c r="T1675" s="6"/>
      <c r="U1675" s="6"/>
      <c r="V1675" s="6"/>
      <c r="W1675" s="6"/>
      <c r="X1675" s="6"/>
      <c r="Y1675" s="6"/>
      <c r="Z1675" s="6"/>
      <c r="AA1675" s="6"/>
      <c r="AB1675" s="7">
        <v>29484311</v>
      </c>
      <c r="AC1675" s="7">
        <v>28664830</v>
      </c>
      <c r="AD1675" s="7">
        <v>32594273</v>
      </c>
      <c r="AE1675" s="7">
        <v>29653435</v>
      </c>
      <c r="AF1675" s="7">
        <f t="shared" ref="AF1675:AK1675" si="326">SUM(AF1667:AF1674)</f>
        <v>5547767</v>
      </c>
      <c r="AG1675" s="7">
        <f t="shared" si="326"/>
        <v>5626321</v>
      </c>
      <c r="AH1675" s="7">
        <f t="shared" si="326"/>
        <v>5895886</v>
      </c>
      <c r="AI1675" s="7">
        <f t="shared" si="326"/>
        <v>6110485</v>
      </c>
      <c r="AJ1675" s="7">
        <f t="shared" si="326"/>
        <v>5940307</v>
      </c>
      <c r="AK1675" s="7">
        <f t="shared" si="326"/>
        <v>5940307</v>
      </c>
      <c r="AL1675" s="60">
        <f t="shared" ref="AL1675:AQ1675" si="327">SUM(AL1666:AL1674)</f>
        <v>6836571</v>
      </c>
      <c r="AM1675" s="60">
        <f t="shared" si="327"/>
        <v>6803855</v>
      </c>
      <c r="AN1675" s="1074">
        <f t="shared" si="327"/>
        <v>1214448</v>
      </c>
      <c r="AO1675" s="1074">
        <f t="shared" si="327"/>
        <v>1214447</v>
      </c>
      <c r="AP1675" s="1074">
        <f t="shared" si="327"/>
        <v>28714448</v>
      </c>
      <c r="AQ1675" s="1074">
        <f t="shared" si="327"/>
        <v>28714447</v>
      </c>
      <c r="AR1675" s="1044"/>
      <c r="AS1675" s="1044"/>
    </row>
    <row r="1676" spans="2:45" s="173" customFormat="1" hidden="1" outlineLevel="1">
      <c r="B1676" s="566"/>
      <c r="C1676" s="816" t="s">
        <v>16</v>
      </c>
      <c r="D1676" s="223" t="s">
        <v>1354</v>
      </c>
      <c r="E1676" s="375" t="s">
        <v>1478</v>
      </c>
      <c r="F1676" s="23"/>
      <c r="G1676" s="23"/>
      <c r="H1676" s="23"/>
      <c r="I1676" s="23"/>
      <c r="J1676" s="23"/>
      <c r="K1676" s="23"/>
      <c r="L1676" s="23"/>
      <c r="M1676" s="23"/>
      <c r="N1676" s="23"/>
      <c r="O1676" s="23"/>
      <c r="P1676" s="23"/>
      <c r="Q1676" s="23"/>
      <c r="R1676" s="23"/>
      <c r="S1676" s="23"/>
      <c r="T1676" s="23"/>
      <c r="U1676" s="23"/>
      <c r="V1676" s="23"/>
      <c r="W1676" s="23"/>
      <c r="X1676" s="23"/>
      <c r="Y1676" s="23"/>
      <c r="Z1676" s="23"/>
      <c r="AA1676" s="23"/>
      <c r="AB1676" s="14">
        <v>2056445</v>
      </c>
      <c r="AC1676" s="14">
        <v>2102732</v>
      </c>
      <c r="AD1676" s="14"/>
      <c r="AE1676" s="14"/>
      <c r="AF1676" s="14"/>
      <c r="AG1676" s="14"/>
      <c r="AH1676" s="14"/>
      <c r="AI1676" s="14"/>
      <c r="AJ1676" s="14"/>
      <c r="AK1676" s="14"/>
      <c r="AL1676" s="14"/>
      <c r="AM1676" s="14"/>
      <c r="AN1676" s="1071"/>
      <c r="AO1676" s="1071"/>
      <c r="AP1676" s="1071"/>
      <c r="AQ1676" s="1071"/>
      <c r="AR1676" s="1044"/>
      <c r="AS1676" s="1044"/>
    </row>
    <row r="1677" spans="2:45" hidden="1" outlineLevel="1">
      <c r="C1677" s="816" t="s">
        <v>16</v>
      </c>
      <c r="D1677" s="223" t="s">
        <v>1254</v>
      </c>
      <c r="E1677" s="278" t="s">
        <v>384</v>
      </c>
      <c r="F1677" s="20"/>
      <c r="G1677" s="20"/>
      <c r="H1677" s="20"/>
      <c r="I1677" s="20"/>
      <c r="J1677" s="20"/>
      <c r="K1677" s="20"/>
      <c r="L1677" s="20"/>
      <c r="M1677" s="20"/>
      <c r="N1677" s="20"/>
      <c r="O1677" s="20"/>
      <c r="P1677" s="20"/>
      <c r="Q1677" s="20"/>
      <c r="R1677" s="20"/>
      <c r="S1677" s="20"/>
      <c r="T1677" s="20"/>
      <c r="U1677" s="20"/>
      <c r="V1677" s="20"/>
      <c r="W1677" s="20"/>
      <c r="X1677" s="20"/>
      <c r="Y1677" s="20"/>
      <c r="Z1677" s="20"/>
      <c r="AA1677" s="20"/>
      <c r="AB1677" s="12">
        <v>22882</v>
      </c>
      <c r="AC1677" s="12">
        <v>22882</v>
      </c>
      <c r="AD1677" s="12">
        <v>22882</v>
      </c>
      <c r="AE1677" s="12">
        <v>22882</v>
      </c>
      <c r="AF1677" s="12">
        <v>22882</v>
      </c>
      <c r="AG1677" s="12">
        <v>22882</v>
      </c>
      <c r="AH1677" s="12">
        <v>17161</v>
      </c>
      <c r="AI1677" s="12">
        <v>17161</v>
      </c>
      <c r="AJ1677" s="21">
        <v>17161</v>
      </c>
      <c r="AK1677" s="21">
        <v>17161</v>
      </c>
      <c r="AL1677" s="21">
        <v>17161</v>
      </c>
      <c r="AM1677" s="21">
        <v>17161</v>
      </c>
      <c r="AN1677" s="1058">
        <v>11438</v>
      </c>
      <c r="AO1677" s="1058">
        <v>11438</v>
      </c>
      <c r="AP1677" s="1058">
        <v>11438</v>
      </c>
      <c r="AQ1677" s="1058">
        <v>11438</v>
      </c>
      <c r="AR1677" s="1044"/>
      <c r="AS1677" s="1044"/>
    </row>
    <row r="1678" spans="2:45" hidden="1" outlineLevel="1">
      <c r="C1678" s="816" t="s">
        <v>16</v>
      </c>
      <c r="D1678" s="223" t="s">
        <v>1254</v>
      </c>
      <c r="E1678" s="278" t="s">
        <v>385</v>
      </c>
      <c r="F1678" s="20"/>
      <c r="G1678" s="20"/>
      <c r="H1678" s="20"/>
      <c r="I1678" s="20"/>
      <c r="J1678" s="20"/>
      <c r="K1678" s="20"/>
      <c r="L1678" s="20"/>
      <c r="M1678" s="20"/>
      <c r="N1678" s="20"/>
      <c r="O1678" s="20"/>
      <c r="P1678" s="20"/>
      <c r="Q1678" s="20"/>
      <c r="R1678" s="20"/>
      <c r="S1678" s="20"/>
      <c r="T1678" s="20"/>
      <c r="U1678" s="20"/>
      <c r="V1678" s="20"/>
      <c r="W1678" s="20"/>
      <c r="X1678" s="20"/>
      <c r="Y1678" s="20"/>
      <c r="Z1678" s="20"/>
      <c r="AA1678" s="20"/>
      <c r="AB1678" s="12">
        <v>469326</v>
      </c>
      <c r="AC1678" s="12">
        <v>469326</v>
      </c>
      <c r="AD1678" s="12">
        <v>469326</v>
      </c>
      <c r="AE1678" s="12">
        <v>469326</v>
      </c>
      <c r="AF1678" s="12">
        <v>469326</v>
      </c>
      <c r="AG1678" s="12">
        <v>469326</v>
      </c>
      <c r="AH1678" s="12">
        <v>351994</v>
      </c>
      <c r="AI1678" s="12">
        <v>351994</v>
      </c>
      <c r="AJ1678" s="21">
        <v>451994</v>
      </c>
      <c r="AK1678" s="21">
        <v>451994</v>
      </c>
      <c r="AL1678" s="21">
        <v>451994</v>
      </c>
      <c r="AM1678" s="21">
        <v>451994</v>
      </c>
      <c r="AN1678" s="1058">
        <v>304769</v>
      </c>
      <c r="AO1678" s="1058">
        <v>304767</v>
      </c>
      <c r="AP1678" s="1058">
        <v>334609</v>
      </c>
      <c r="AQ1678" s="1058">
        <v>334608</v>
      </c>
      <c r="AR1678" s="1044"/>
      <c r="AS1678" s="1044"/>
    </row>
    <row r="1679" spans="2:45" s="173" customFormat="1" hidden="1" outlineLevel="1">
      <c r="B1679" s="566"/>
      <c r="C1679" s="816" t="s">
        <v>16</v>
      </c>
      <c r="D1679" s="244"/>
      <c r="E1679" s="375" t="s">
        <v>1481</v>
      </c>
      <c r="F1679" s="23"/>
      <c r="G1679" s="23"/>
      <c r="H1679" s="23"/>
      <c r="I1679" s="23"/>
      <c r="J1679" s="23"/>
      <c r="K1679" s="23"/>
      <c r="L1679" s="23"/>
      <c r="M1679" s="23"/>
      <c r="N1679" s="23"/>
      <c r="O1679" s="23"/>
      <c r="P1679" s="23"/>
      <c r="Q1679" s="23"/>
      <c r="R1679" s="23"/>
      <c r="S1679" s="23"/>
      <c r="T1679" s="23"/>
      <c r="U1679" s="23"/>
      <c r="V1679" s="23"/>
      <c r="W1679" s="23"/>
      <c r="X1679" s="23"/>
      <c r="Y1679" s="23"/>
      <c r="Z1679" s="23"/>
      <c r="AA1679" s="23"/>
      <c r="AB1679" s="14">
        <v>35941</v>
      </c>
      <c r="AC1679" s="14">
        <v>0</v>
      </c>
      <c r="AD1679" s="14"/>
      <c r="AE1679" s="14"/>
      <c r="AF1679" s="14"/>
      <c r="AG1679" s="14"/>
      <c r="AH1679" s="14"/>
      <c r="AI1679" s="14"/>
      <c r="AJ1679" s="24"/>
      <c r="AK1679" s="24"/>
      <c r="AL1679" s="24"/>
      <c r="AM1679" s="24"/>
      <c r="AN1679" s="1061"/>
      <c r="AO1679" s="1061"/>
      <c r="AP1679" s="1061"/>
      <c r="AQ1679" s="1061"/>
      <c r="AR1679" s="1044"/>
      <c r="AS1679" s="1044"/>
    </row>
    <row r="1680" spans="2:45" s="173" customFormat="1" hidden="1" outlineLevel="1">
      <c r="B1680" s="566"/>
      <c r="C1680" s="816" t="s">
        <v>16</v>
      </c>
      <c r="D1680" s="244"/>
      <c r="E1680" s="375" t="s">
        <v>1479</v>
      </c>
      <c r="F1680" s="23"/>
      <c r="G1680" s="23"/>
      <c r="H1680" s="23"/>
      <c r="I1680" s="23"/>
      <c r="J1680" s="23"/>
      <c r="K1680" s="23"/>
      <c r="L1680" s="23"/>
      <c r="M1680" s="23"/>
      <c r="N1680" s="23"/>
      <c r="O1680" s="23"/>
      <c r="P1680" s="23"/>
      <c r="Q1680" s="23"/>
      <c r="R1680" s="23"/>
      <c r="S1680" s="23"/>
      <c r="T1680" s="23"/>
      <c r="U1680" s="23"/>
      <c r="V1680" s="23"/>
      <c r="W1680" s="23"/>
      <c r="X1680" s="23"/>
      <c r="Y1680" s="23"/>
      <c r="Z1680" s="23"/>
      <c r="AA1680" s="23"/>
      <c r="AB1680" s="14">
        <v>902100</v>
      </c>
      <c r="AC1680" s="14">
        <v>902100</v>
      </c>
      <c r="AD1680" s="14"/>
      <c r="AE1680" s="14"/>
      <c r="AF1680" s="14"/>
      <c r="AG1680" s="14"/>
      <c r="AH1680" s="14"/>
      <c r="AI1680" s="14"/>
      <c r="AJ1680" s="24"/>
      <c r="AK1680" s="24"/>
      <c r="AL1680" s="24"/>
      <c r="AM1680" s="24"/>
      <c r="AN1680" s="1061"/>
      <c r="AO1680" s="1061"/>
      <c r="AP1680" s="1061"/>
      <c r="AQ1680" s="1061"/>
      <c r="AR1680" s="1044"/>
      <c r="AS1680" s="1044"/>
    </row>
    <row r="1681" spans="2:45" s="173" customFormat="1" hidden="1" outlineLevel="1">
      <c r="B1681" s="566"/>
      <c r="C1681" s="816" t="s">
        <v>16</v>
      </c>
      <c r="D1681" s="244"/>
      <c r="E1681" s="375" t="s">
        <v>1480</v>
      </c>
      <c r="F1681" s="23"/>
      <c r="G1681" s="23"/>
      <c r="H1681" s="23"/>
      <c r="I1681" s="23"/>
      <c r="J1681" s="23"/>
      <c r="K1681" s="23"/>
      <c r="L1681" s="23"/>
      <c r="M1681" s="23"/>
      <c r="N1681" s="23"/>
      <c r="O1681" s="23"/>
      <c r="P1681" s="23"/>
      <c r="Q1681" s="23"/>
      <c r="R1681" s="23"/>
      <c r="S1681" s="23"/>
      <c r="T1681" s="23"/>
      <c r="U1681" s="23"/>
      <c r="V1681" s="23"/>
      <c r="W1681" s="23"/>
      <c r="X1681" s="23"/>
      <c r="Y1681" s="23"/>
      <c r="Z1681" s="23"/>
      <c r="AA1681" s="23"/>
      <c r="AB1681" s="14">
        <v>402227</v>
      </c>
      <c r="AC1681" s="14">
        <v>402227</v>
      </c>
      <c r="AD1681" s="14"/>
      <c r="AE1681" s="14"/>
      <c r="AF1681" s="14"/>
      <c r="AG1681" s="14"/>
      <c r="AH1681" s="14"/>
      <c r="AI1681" s="14"/>
      <c r="AJ1681" s="24"/>
      <c r="AK1681" s="24"/>
      <c r="AL1681" s="24"/>
      <c r="AM1681" s="24"/>
      <c r="AN1681" s="1061"/>
      <c r="AO1681" s="1061"/>
      <c r="AP1681" s="1061"/>
      <c r="AQ1681" s="1061"/>
      <c r="AR1681" s="1044"/>
      <c r="AS1681" s="1044"/>
    </row>
    <row r="1682" spans="2:45" hidden="1" outlineLevel="1">
      <c r="C1682" s="816" t="s">
        <v>16</v>
      </c>
      <c r="D1682" s="223" t="s">
        <v>1354</v>
      </c>
      <c r="E1682" s="20" t="s">
        <v>386</v>
      </c>
      <c r="F1682" s="20"/>
      <c r="G1682" s="20"/>
      <c r="H1682" s="20"/>
      <c r="I1682" s="20"/>
      <c r="J1682" s="20"/>
      <c r="K1682" s="20"/>
      <c r="L1682" s="20"/>
      <c r="M1682" s="20"/>
      <c r="N1682" s="20"/>
      <c r="O1682" s="20"/>
      <c r="P1682" s="20"/>
      <c r="Q1682" s="20"/>
      <c r="R1682" s="20"/>
      <c r="S1682" s="20"/>
      <c r="T1682" s="20"/>
      <c r="U1682" s="20"/>
      <c r="V1682" s="20"/>
      <c r="W1682" s="20"/>
      <c r="X1682" s="20"/>
      <c r="Y1682" s="20"/>
      <c r="Z1682" s="20"/>
      <c r="AA1682" s="20"/>
      <c r="AB1682" s="12">
        <v>2165678</v>
      </c>
      <c r="AC1682" s="12">
        <v>2165678</v>
      </c>
      <c r="AD1682" s="12">
        <v>2166195</v>
      </c>
      <c r="AE1682" s="12">
        <v>2165161</v>
      </c>
      <c r="AF1682" s="12">
        <v>2477098</v>
      </c>
      <c r="AG1682" s="12">
        <v>2477098</v>
      </c>
      <c r="AH1682" s="12">
        <v>1743853</v>
      </c>
      <c r="AI1682" s="12">
        <v>1743853</v>
      </c>
      <c r="AJ1682" s="21">
        <v>2243853</v>
      </c>
      <c r="AK1682" s="21">
        <v>2243853</v>
      </c>
      <c r="AL1682" s="21">
        <v>2243853</v>
      </c>
      <c r="AM1682" s="21">
        <v>2243853</v>
      </c>
      <c r="AN1682" s="1058">
        <v>1574271</v>
      </c>
      <c r="AO1682" s="1058">
        <v>1574270</v>
      </c>
      <c r="AP1682" s="1058">
        <v>1574271</v>
      </c>
      <c r="AQ1682" s="1058">
        <v>1574270</v>
      </c>
      <c r="AR1682" s="1044"/>
      <c r="AS1682" s="1044"/>
    </row>
    <row r="1683" spans="2:45" hidden="1" outlineLevel="1">
      <c r="C1683" s="816" t="s">
        <v>16</v>
      </c>
      <c r="D1683" s="223" t="s">
        <v>1200</v>
      </c>
      <c r="E1683" s="25" t="s">
        <v>388</v>
      </c>
      <c r="F1683" s="6"/>
      <c r="G1683" s="6"/>
      <c r="H1683" s="6"/>
      <c r="I1683" s="6"/>
      <c r="J1683" s="6"/>
      <c r="K1683" s="6"/>
      <c r="L1683" s="6"/>
      <c r="M1683" s="6"/>
      <c r="N1683" s="6"/>
      <c r="O1683" s="6"/>
      <c r="P1683" s="6"/>
      <c r="Q1683" s="6"/>
      <c r="R1683" s="6"/>
      <c r="S1683" s="6"/>
      <c r="T1683" s="6"/>
      <c r="U1683" s="6"/>
      <c r="V1683" s="6"/>
      <c r="W1683" s="6"/>
      <c r="X1683" s="6"/>
      <c r="Y1683" s="6"/>
      <c r="Z1683" s="6"/>
      <c r="AA1683" s="6"/>
      <c r="AB1683" s="7">
        <v>6054599</v>
      </c>
      <c r="AC1683" s="7">
        <v>6064945</v>
      </c>
      <c r="AD1683" s="7">
        <v>2658403</v>
      </c>
      <c r="AE1683" s="7">
        <v>2657369</v>
      </c>
      <c r="AF1683" s="7">
        <f t="shared" ref="AF1683:AQ1683" si="328">SUM(AF1677:AF1682)</f>
        <v>2969306</v>
      </c>
      <c r="AG1683" s="7">
        <f t="shared" si="328"/>
        <v>2969306</v>
      </c>
      <c r="AH1683" s="7">
        <f t="shared" si="328"/>
        <v>2113008</v>
      </c>
      <c r="AI1683" s="7">
        <f t="shared" si="328"/>
        <v>2113008</v>
      </c>
      <c r="AJ1683" s="7">
        <f t="shared" si="328"/>
        <v>2713008</v>
      </c>
      <c r="AK1683" s="7">
        <f t="shared" si="328"/>
        <v>2713008</v>
      </c>
      <c r="AL1683" s="60">
        <f t="shared" si="328"/>
        <v>2713008</v>
      </c>
      <c r="AM1683" s="60">
        <f t="shared" si="328"/>
        <v>2713008</v>
      </c>
      <c r="AN1683" s="1074">
        <f t="shared" si="328"/>
        <v>1890478</v>
      </c>
      <c r="AO1683" s="1074">
        <f t="shared" si="328"/>
        <v>1890475</v>
      </c>
      <c r="AP1683" s="1074">
        <f t="shared" si="328"/>
        <v>1920318</v>
      </c>
      <c r="AQ1683" s="1074">
        <f t="shared" si="328"/>
        <v>1920316</v>
      </c>
      <c r="AR1683" s="1044"/>
      <c r="AS1683" s="1044"/>
    </row>
    <row r="1684" spans="2:45" hidden="1" outlineLevel="1">
      <c r="C1684" s="816" t="s">
        <v>16</v>
      </c>
      <c r="D1684" s="9"/>
      <c r="E1684" s="20" t="s">
        <v>389</v>
      </c>
      <c r="F1684" s="20"/>
      <c r="G1684" s="20"/>
      <c r="H1684" s="20"/>
      <c r="I1684" s="20"/>
      <c r="J1684" s="20"/>
      <c r="K1684" s="20"/>
      <c r="L1684" s="20"/>
      <c r="M1684" s="20"/>
      <c r="N1684" s="20"/>
      <c r="O1684" s="20"/>
      <c r="P1684" s="20"/>
      <c r="Q1684" s="20"/>
      <c r="R1684" s="20"/>
      <c r="S1684" s="20"/>
      <c r="T1684" s="20"/>
      <c r="U1684" s="20"/>
      <c r="V1684" s="20"/>
      <c r="W1684" s="20"/>
      <c r="X1684" s="20"/>
      <c r="Y1684" s="20"/>
      <c r="Z1684" s="20"/>
      <c r="AA1684" s="20"/>
      <c r="AB1684" s="12">
        <v>159969</v>
      </c>
      <c r="AC1684" s="12">
        <v>159970</v>
      </c>
      <c r="AD1684" s="12">
        <v>159970</v>
      </c>
      <c r="AE1684" s="12">
        <v>159969</v>
      </c>
      <c r="AF1684" s="12">
        <v>159970</v>
      </c>
      <c r="AG1684" s="12">
        <v>159969</v>
      </c>
      <c r="AH1684" s="12">
        <v>113978</v>
      </c>
      <c r="AI1684" s="12">
        <v>113978</v>
      </c>
      <c r="AJ1684" s="21">
        <v>113978</v>
      </c>
      <c r="AK1684" s="21">
        <v>113978</v>
      </c>
      <c r="AL1684" s="21">
        <v>113978</v>
      </c>
      <c r="AM1684" s="21">
        <v>113978</v>
      </c>
      <c r="AN1684" s="1058">
        <v>75839</v>
      </c>
      <c r="AO1684" s="1058">
        <v>75838</v>
      </c>
      <c r="AP1684" s="1058">
        <v>75839</v>
      </c>
      <c r="AQ1684" s="1058">
        <v>75838</v>
      </c>
      <c r="AR1684" s="1044"/>
      <c r="AS1684" s="1044"/>
    </row>
    <row r="1685" spans="2:45" hidden="1" outlineLevel="1">
      <c r="C1685" s="816" t="s">
        <v>16</v>
      </c>
      <c r="D1685" s="9"/>
      <c r="E1685" s="20" t="s">
        <v>390</v>
      </c>
      <c r="F1685" s="20"/>
      <c r="G1685" s="20"/>
      <c r="H1685" s="20"/>
      <c r="I1685" s="20"/>
      <c r="J1685" s="20"/>
      <c r="K1685" s="20"/>
      <c r="L1685" s="20"/>
      <c r="M1685" s="20"/>
      <c r="N1685" s="20"/>
      <c r="O1685" s="20"/>
      <c r="P1685" s="20"/>
      <c r="Q1685" s="20"/>
      <c r="R1685" s="20"/>
      <c r="S1685" s="20"/>
      <c r="T1685" s="20"/>
      <c r="U1685" s="20"/>
      <c r="V1685" s="20"/>
      <c r="W1685" s="20"/>
      <c r="X1685" s="20"/>
      <c r="Y1685" s="20"/>
      <c r="Z1685" s="20"/>
      <c r="AA1685" s="20"/>
      <c r="AB1685" s="12">
        <v>83125</v>
      </c>
      <c r="AC1685" s="12">
        <v>83125</v>
      </c>
      <c r="AD1685" s="12">
        <v>83126</v>
      </c>
      <c r="AE1685" s="12">
        <v>83125</v>
      </c>
      <c r="AF1685" s="12">
        <v>83126</v>
      </c>
      <c r="AG1685" s="12">
        <v>83125</v>
      </c>
      <c r="AH1685" s="12">
        <v>59227</v>
      </c>
      <c r="AI1685" s="12">
        <v>59227</v>
      </c>
      <c r="AJ1685" s="21">
        <v>59227</v>
      </c>
      <c r="AK1685" s="21">
        <v>59227</v>
      </c>
      <c r="AL1685" s="21">
        <v>59227</v>
      </c>
      <c r="AM1685" s="21">
        <v>59227</v>
      </c>
      <c r="AN1685" s="1058">
        <v>27008</v>
      </c>
      <c r="AO1685" s="1058">
        <v>27007</v>
      </c>
      <c r="AP1685" s="1058">
        <v>27008</v>
      </c>
      <c r="AQ1685" s="1058">
        <v>27007</v>
      </c>
      <c r="AR1685" s="1044"/>
      <c r="AS1685" s="1044"/>
    </row>
    <row r="1686" spans="2:45" hidden="1" outlineLevel="1">
      <c r="C1686" s="816" t="s">
        <v>16</v>
      </c>
      <c r="D1686" s="223" t="s">
        <v>1254</v>
      </c>
      <c r="E1686" s="278" t="s">
        <v>391</v>
      </c>
      <c r="F1686" s="20"/>
      <c r="G1686" s="20"/>
      <c r="H1686" s="20"/>
      <c r="I1686" s="20"/>
      <c r="J1686" s="20"/>
      <c r="K1686" s="20"/>
      <c r="L1686" s="20"/>
      <c r="M1686" s="20"/>
      <c r="N1686" s="20"/>
      <c r="O1686" s="20"/>
      <c r="P1686" s="20"/>
      <c r="Q1686" s="20"/>
      <c r="R1686" s="20"/>
      <c r="S1686" s="20"/>
      <c r="T1686" s="20"/>
      <c r="U1686" s="20"/>
      <c r="V1686" s="20"/>
      <c r="W1686" s="20"/>
      <c r="X1686" s="20"/>
      <c r="Y1686" s="20"/>
      <c r="Z1686" s="20"/>
      <c r="AA1686" s="20"/>
      <c r="AB1686" s="12">
        <v>751693</v>
      </c>
      <c r="AC1686" s="12">
        <v>751693</v>
      </c>
      <c r="AD1686" s="12">
        <v>4751694</v>
      </c>
      <c r="AE1686" s="12">
        <v>751692</v>
      </c>
      <c r="AF1686" s="12">
        <v>751693</v>
      </c>
      <c r="AG1686" s="12">
        <v>751693</v>
      </c>
      <c r="AH1686" s="12">
        <v>1287127</v>
      </c>
      <c r="AI1686" s="12">
        <v>1287126</v>
      </c>
      <c r="AJ1686" s="21">
        <v>1287126</v>
      </c>
      <c r="AK1686" s="21">
        <v>1287126</v>
      </c>
      <c r="AL1686" s="21"/>
      <c r="AM1686" s="21"/>
      <c r="AN1686" s="1058"/>
      <c r="AO1686" s="1058"/>
      <c r="AP1686" s="1058"/>
      <c r="AQ1686" s="1058"/>
      <c r="AR1686" s="1044"/>
      <c r="AS1686" s="1044"/>
    </row>
    <row r="1687" spans="2:45" hidden="1" outlineLevel="1">
      <c r="C1687" s="816" t="s">
        <v>16</v>
      </c>
      <c r="D1687" s="1051" t="s">
        <v>1254</v>
      </c>
      <c r="E1687" s="278" t="s">
        <v>392</v>
      </c>
      <c r="F1687" s="20"/>
      <c r="G1687" s="20"/>
      <c r="H1687" s="20"/>
      <c r="I1687" s="20"/>
      <c r="J1687" s="20"/>
      <c r="K1687" s="20"/>
      <c r="L1687" s="20"/>
      <c r="M1687" s="20"/>
      <c r="N1687" s="20"/>
      <c r="O1687" s="20"/>
      <c r="P1687" s="20"/>
      <c r="Q1687" s="20"/>
      <c r="R1687" s="20"/>
      <c r="S1687" s="20"/>
      <c r="T1687" s="20"/>
      <c r="U1687" s="20"/>
      <c r="V1687" s="20"/>
      <c r="W1687" s="20"/>
      <c r="X1687" s="20"/>
      <c r="Y1687" s="20"/>
      <c r="Z1687" s="20"/>
      <c r="AA1687" s="20"/>
      <c r="AB1687" s="12"/>
      <c r="AC1687" s="12"/>
      <c r="AD1687" s="12"/>
      <c r="AE1687" s="12"/>
      <c r="AF1687" s="12">
        <v>2000000</v>
      </c>
      <c r="AG1687" s="12">
        <v>2000000</v>
      </c>
      <c r="AH1687" s="12"/>
      <c r="AI1687" s="12"/>
      <c r="AJ1687" s="22"/>
      <c r="AK1687" s="22"/>
      <c r="AL1687" s="21">
        <v>3207051</v>
      </c>
      <c r="AM1687" s="21">
        <v>3207051</v>
      </c>
      <c r="AN1687" s="1058">
        <v>2133899</v>
      </c>
      <c r="AO1687" s="1058">
        <v>2133899</v>
      </c>
      <c r="AP1687" s="1058">
        <v>2133899</v>
      </c>
      <c r="AQ1687" s="1058">
        <v>2133899</v>
      </c>
      <c r="AR1687" s="1044"/>
      <c r="AS1687" s="1044"/>
    </row>
    <row r="1688" spans="2:45" hidden="1" outlineLevel="1">
      <c r="C1688" s="816" t="s">
        <v>16</v>
      </c>
      <c r="D1688" s="9"/>
      <c r="E1688" s="20" t="s">
        <v>393</v>
      </c>
      <c r="F1688" s="20"/>
      <c r="G1688" s="20"/>
      <c r="H1688" s="20"/>
      <c r="I1688" s="20"/>
      <c r="J1688" s="20"/>
      <c r="K1688" s="20"/>
      <c r="L1688" s="20"/>
      <c r="M1688" s="20"/>
      <c r="N1688" s="20"/>
      <c r="O1688" s="20"/>
      <c r="P1688" s="20"/>
      <c r="Q1688" s="20"/>
      <c r="R1688" s="20"/>
      <c r="S1688" s="20"/>
      <c r="T1688" s="20"/>
      <c r="U1688" s="20"/>
      <c r="V1688" s="20"/>
      <c r="W1688" s="20"/>
      <c r="X1688" s="20"/>
      <c r="Y1688" s="20"/>
      <c r="Z1688" s="20"/>
      <c r="AA1688" s="20"/>
      <c r="AB1688" s="12">
        <v>1749433</v>
      </c>
      <c r="AC1688" s="12">
        <v>1749432</v>
      </c>
      <c r="AD1688" s="12">
        <v>1749434</v>
      </c>
      <c r="AE1688" s="12">
        <v>1749432</v>
      </c>
      <c r="AF1688" s="12">
        <v>1749433</v>
      </c>
      <c r="AG1688" s="12">
        <v>1749433</v>
      </c>
      <c r="AH1688" s="12">
        <v>1919926</v>
      </c>
      <c r="AI1688" s="12">
        <v>1919926</v>
      </c>
      <c r="AJ1688" s="21">
        <v>1919925</v>
      </c>
      <c r="AK1688" s="21">
        <v>1919925</v>
      </c>
      <c r="AL1688" s="21"/>
      <c r="AM1688" s="21"/>
      <c r="AN1688" s="1058"/>
      <c r="AO1688" s="1058"/>
      <c r="AP1688" s="1058"/>
      <c r="AQ1688" s="1058"/>
      <c r="AR1688" s="1044"/>
      <c r="AS1688" s="1044"/>
    </row>
    <row r="1689" spans="2:45" hidden="1" outlineLevel="1">
      <c r="C1689" s="816" t="s">
        <v>16</v>
      </c>
      <c r="D1689" s="9"/>
      <c r="E1689" s="20" t="s">
        <v>394</v>
      </c>
      <c r="F1689" s="20"/>
      <c r="G1689" s="20"/>
      <c r="H1689" s="20"/>
      <c r="I1689" s="20"/>
      <c r="J1689" s="20"/>
      <c r="K1689" s="20"/>
      <c r="L1689" s="20"/>
      <c r="M1689" s="20"/>
      <c r="N1689" s="20"/>
      <c r="O1689" s="20"/>
      <c r="P1689" s="20"/>
      <c r="Q1689" s="20"/>
      <c r="R1689" s="20"/>
      <c r="S1689" s="20"/>
      <c r="T1689" s="20"/>
      <c r="U1689" s="20"/>
      <c r="V1689" s="20"/>
      <c r="W1689" s="20"/>
      <c r="X1689" s="20"/>
      <c r="Y1689" s="20"/>
      <c r="Z1689" s="20"/>
      <c r="AA1689" s="20"/>
      <c r="AB1689" s="12">
        <v>1764901</v>
      </c>
      <c r="AC1689" s="12">
        <v>2072889</v>
      </c>
      <c r="AD1689" s="12">
        <v>1918896</v>
      </c>
      <c r="AE1689" s="12">
        <v>1918895</v>
      </c>
      <c r="AF1689" s="12">
        <v>2343500</v>
      </c>
      <c r="AG1689" s="12">
        <v>2343500</v>
      </c>
      <c r="AH1689" s="12">
        <v>1944000</v>
      </c>
      <c r="AI1689" s="12">
        <v>1944000</v>
      </c>
      <c r="AJ1689" s="21">
        <v>9771000</v>
      </c>
      <c r="AK1689" s="21">
        <v>2032000</v>
      </c>
      <c r="AL1689" s="21">
        <v>2200000</v>
      </c>
      <c r="AM1689" s="21">
        <v>2200000</v>
      </c>
      <c r="AN1689" s="1058">
        <v>1361281</v>
      </c>
      <c r="AO1689" s="1058">
        <v>1361281</v>
      </c>
      <c r="AP1689" s="1058">
        <v>1361281</v>
      </c>
      <c r="AQ1689" s="1058">
        <v>1361281</v>
      </c>
      <c r="AR1689" s="1044"/>
      <c r="AS1689" s="1044"/>
    </row>
    <row r="1690" spans="2:45" hidden="1" outlineLevel="1">
      <c r="C1690" s="816" t="s">
        <v>16</v>
      </c>
      <c r="D1690" s="9"/>
      <c r="E1690" s="20" t="s">
        <v>395</v>
      </c>
      <c r="F1690" s="20"/>
      <c r="G1690" s="20"/>
      <c r="H1690" s="20"/>
      <c r="I1690" s="20"/>
      <c r="J1690" s="20"/>
      <c r="K1690" s="20"/>
      <c r="L1690" s="20"/>
      <c r="M1690" s="20"/>
      <c r="N1690" s="20"/>
      <c r="O1690" s="20"/>
      <c r="P1690" s="20"/>
      <c r="Q1690" s="20"/>
      <c r="R1690" s="20"/>
      <c r="S1690" s="20"/>
      <c r="T1690" s="20"/>
      <c r="U1690" s="20"/>
      <c r="V1690" s="20"/>
      <c r="W1690" s="20"/>
      <c r="X1690" s="20"/>
      <c r="Y1690" s="20"/>
      <c r="Z1690" s="20"/>
      <c r="AA1690" s="20"/>
      <c r="AB1690" s="12">
        <v>124688</v>
      </c>
      <c r="AC1690" s="12">
        <v>124687</v>
      </c>
      <c r="AD1690" s="12">
        <v>224688</v>
      </c>
      <c r="AE1690" s="12">
        <v>124688</v>
      </c>
      <c r="AF1690" s="12">
        <v>174688</v>
      </c>
      <c r="AG1690" s="12">
        <v>174688</v>
      </c>
      <c r="AH1690" s="12">
        <v>124466</v>
      </c>
      <c r="AI1690" s="12">
        <v>124465</v>
      </c>
      <c r="AJ1690" s="21">
        <v>124465</v>
      </c>
      <c r="AK1690" s="21">
        <v>124465</v>
      </c>
      <c r="AL1690" s="21">
        <v>199465</v>
      </c>
      <c r="AM1690" s="21">
        <v>199465</v>
      </c>
      <c r="AN1690" s="1058">
        <v>132720</v>
      </c>
      <c r="AO1690" s="1058">
        <v>132719</v>
      </c>
      <c r="AP1690" s="1058">
        <v>132720</v>
      </c>
      <c r="AQ1690" s="1058">
        <v>132719</v>
      </c>
      <c r="AR1690" s="1044"/>
      <c r="AS1690" s="1044"/>
    </row>
    <row r="1691" spans="2:45" hidden="1" outlineLevel="1">
      <c r="C1691" s="816" t="s">
        <v>16</v>
      </c>
      <c r="D1691" s="223" t="s">
        <v>1354</v>
      </c>
      <c r="E1691" s="20" t="s">
        <v>396</v>
      </c>
      <c r="F1691" s="20"/>
      <c r="G1691" s="20"/>
      <c r="H1691" s="20"/>
      <c r="I1691" s="20"/>
      <c r="J1691" s="20"/>
      <c r="K1691" s="20"/>
      <c r="L1691" s="20"/>
      <c r="M1691" s="20"/>
      <c r="N1691" s="20"/>
      <c r="O1691" s="20"/>
      <c r="P1691" s="20"/>
      <c r="Q1691" s="20"/>
      <c r="R1691" s="20"/>
      <c r="S1691" s="20"/>
      <c r="T1691" s="20"/>
      <c r="U1691" s="20"/>
      <c r="V1691" s="20"/>
      <c r="W1691" s="20"/>
      <c r="X1691" s="20"/>
      <c r="Y1691" s="20"/>
      <c r="Z1691" s="20"/>
      <c r="AA1691" s="20"/>
      <c r="AB1691" s="12">
        <v>4894182</v>
      </c>
      <c r="AC1691" s="12">
        <v>4894181</v>
      </c>
      <c r="AD1691" s="12">
        <v>4894182</v>
      </c>
      <c r="AE1691" s="12">
        <v>4894181</v>
      </c>
      <c r="AF1691" s="12">
        <v>4664147</v>
      </c>
      <c r="AG1691" s="12">
        <v>4664147</v>
      </c>
      <c r="AH1691" s="12">
        <v>3273205</v>
      </c>
      <c r="AI1691" s="12">
        <v>3273204</v>
      </c>
      <c r="AJ1691" s="21">
        <v>3773204</v>
      </c>
      <c r="AK1691" s="21">
        <v>3773204</v>
      </c>
      <c r="AL1691" s="21">
        <v>2948204</v>
      </c>
      <c r="AM1691" s="21">
        <v>3948204</v>
      </c>
      <c r="AN1691" s="1058">
        <v>2765311</v>
      </c>
      <c r="AO1691" s="1058">
        <v>2765309</v>
      </c>
      <c r="AP1691" s="1058">
        <v>7563362</v>
      </c>
      <c r="AQ1691" s="1058">
        <v>7563359</v>
      </c>
      <c r="AR1691" s="1044"/>
      <c r="AS1691" s="1044"/>
    </row>
    <row r="1692" spans="2:45" hidden="1" outlineLevel="1">
      <c r="C1692" s="816" t="s">
        <v>16</v>
      </c>
      <c r="D1692" s="9"/>
      <c r="E1692" s="20" t="s">
        <v>397</v>
      </c>
      <c r="F1692" s="20"/>
      <c r="G1692" s="20"/>
      <c r="H1692" s="20"/>
      <c r="I1692" s="20"/>
      <c r="J1692" s="20"/>
      <c r="K1692" s="20"/>
      <c r="L1692" s="20"/>
      <c r="M1692" s="20"/>
      <c r="N1692" s="20"/>
      <c r="O1692" s="20"/>
      <c r="P1692" s="20"/>
      <c r="Q1692" s="20"/>
      <c r="R1692" s="20"/>
      <c r="S1692" s="20"/>
      <c r="T1692" s="20"/>
      <c r="U1692" s="20"/>
      <c r="V1692" s="20"/>
      <c r="W1692" s="20"/>
      <c r="X1692" s="20"/>
      <c r="Y1692" s="20"/>
      <c r="Z1692" s="20"/>
      <c r="AA1692" s="20"/>
      <c r="AB1692" s="12"/>
      <c r="AC1692" s="12"/>
      <c r="AD1692" s="12"/>
      <c r="AE1692" s="12"/>
      <c r="AF1692" s="12"/>
      <c r="AG1692" s="12"/>
      <c r="AH1692" s="12">
        <v>50000</v>
      </c>
      <c r="AI1692" s="12">
        <v>50000</v>
      </c>
      <c r="AJ1692" s="21">
        <v>50000</v>
      </c>
      <c r="AK1692" s="21">
        <v>50000</v>
      </c>
      <c r="AL1692" s="21">
        <v>50000</v>
      </c>
      <c r="AM1692" s="21">
        <v>50000</v>
      </c>
      <c r="AN1692" s="1058">
        <v>33269</v>
      </c>
      <c r="AO1692" s="1058">
        <v>33269</v>
      </c>
      <c r="AP1692" s="1058">
        <v>33269</v>
      </c>
      <c r="AQ1692" s="1058">
        <v>33269</v>
      </c>
      <c r="AR1692" s="1044"/>
      <c r="AS1692" s="1044"/>
    </row>
    <row r="1693" spans="2:45" hidden="1" outlineLevel="1">
      <c r="C1693" s="816" t="s">
        <v>16</v>
      </c>
      <c r="D1693" s="9"/>
      <c r="E1693" s="20" t="s">
        <v>398</v>
      </c>
      <c r="F1693" s="20"/>
      <c r="G1693" s="20"/>
      <c r="H1693" s="20"/>
      <c r="I1693" s="20"/>
      <c r="J1693" s="20"/>
      <c r="K1693" s="20"/>
      <c r="L1693" s="20"/>
      <c r="M1693" s="20"/>
      <c r="N1693" s="20"/>
      <c r="O1693" s="20"/>
      <c r="P1693" s="20"/>
      <c r="Q1693" s="20"/>
      <c r="R1693" s="20"/>
      <c r="S1693" s="20"/>
      <c r="T1693" s="20"/>
      <c r="U1693" s="20"/>
      <c r="V1693" s="20"/>
      <c r="W1693" s="20"/>
      <c r="X1693" s="20"/>
      <c r="Y1693" s="20"/>
      <c r="Z1693" s="20"/>
      <c r="AA1693" s="20"/>
      <c r="AB1693" s="12"/>
      <c r="AC1693" s="12"/>
      <c r="AD1693" s="12"/>
      <c r="AE1693" s="12"/>
      <c r="AF1693" s="12">
        <v>12500000</v>
      </c>
      <c r="AG1693" s="12">
        <v>12500000</v>
      </c>
      <c r="AH1693" s="12">
        <v>8906250</v>
      </c>
      <c r="AI1693" s="12">
        <v>8906250</v>
      </c>
      <c r="AJ1693" s="21">
        <v>10166016</v>
      </c>
      <c r="AK1693" s="21">
        <v>10166016</v>
      </c>
      <c r="AL1693" s="21">
        <v>12500000</v>
      </c>
      <c r="AM1693" s="21">
        <v>12500000</v>
      </c>
      <c r="AN1693" s="1058">
        <v>12500000</v>
      </c>
      <c r="AO1693" s="1058">
        <v>12500000</v>
      </c>
      <c r="AP1693" s="1058">
        <v>12500000</v>
      </c>
      <c r="AQ1693" s="1058">
        <v>12500000</v>
      </c>
      <c r="AR1693" s="1044"/>
      <c r="AS1693" s="1044"/>
    </row>
    <row r="1694" spans="2:45" hidden="1" outlineLevel="1">
      <c r="C1694" s="816" t="s">
        <v>16</v>
      </c>
      <c r="D1694" s="223" t="s">
        <v>1200</v>
      </c>
      <c r="E1694" s="25" t="s">
        <v>399</v>
      </c>
      <c r="F1694" s="6"/>
      <c r="G1694" s="6"/>
      <c r="H1694" s="6"/>
      <c r="I1694" s="6"/>
      <c r="J1694" s="6"/>
      <c r="K1694" s="6"/>
      <c r="L1694" s="6"/>
      <c r="M1694" s="6"/>
      <c r="N1694" s="6"/>
      <c r="O1694" s="6"/>
      <c r="P1694" s="6"/>
      <c r="Q1694" s="6"/>
      <c r="R1694" s="6"/>
      <c r="S1694" s="6"/>
      <c r="T1694" s="6"/>
      <c r="U1694" s="6"/>
      <c r="V1694" s="6"/>
      <c r="W1694" s="6"/>
      <c r="X1694" s="6"/>
      <c r="Y1694" s="6"/>
      <c r="Z1694" s="6"/>
      <c r="AA1694" s="6"/>
      <c r="AB1694" s="7">
        <v>9527991</v>
      </c>
      <c r="AC1694" s="7">
        <v>9835977</v>
      </c>
      <c r="AD1694" s="7">
        <v>13781990</v>
      </c>
      <c r="AE1694" s="7">
        <v>9681982</v>
      </c>
      <c r="AF1694" s="7">
        <f t="shared" ref="AF1694:AQ1694" si="329">SUM(AF1684:AF1693)</f>
        <v>24426557</v>
      </c>
      <c r="AG1694" s="7">
        <f t="shared" si="329"/>
        <v>24426555</v>
      </c>
      <c r="AH1694" s="7">
        <f t="shared" si="329"/>
        <v>17678179</v>
      </c>
      <c r="AI1694" s="7">
        <f t="shared" si="329"/>
        <v>17678176</v>
      </c>
      <c r="AJ1694" s="7">
        <f t="shared" si="329"/>
        <v>27264941</v>
      </c>
      <c r="AK1694" s="7">
        <f t="shared" si="329"/>
        <v>19525941</v>
      </c>
      <c r="AL1694" s="60">
        <f t="shared" si="329"/>
        <v>21277925</v>
      </c>
      <c r="AM1694" s="60">
        <f t="shared" si="329"/>
        <v>22277925</v>
      </c>
      <c r="AN1694" s="1074">
        <f t="shared" si="329"/>
        <v>19029327</v>
      </c>
      <c r="AO1694" s="1074">
        <f t="shared" si="329"/>
        <v>19029322</v>
      </c>
      <c r="AP1694" s="1074">
        <f t="shared" si="329"/>
        <v>23827378</v>
      </c>
      <c r="AQ1694" s="1074">
        <f t="shared" si="329"/>
        <v>23827372</v>
      </c>
      <c r="AR1694" s="1044"/>
      <c r="AS1694" s="1044"/>
    </row>
    <row r="1695" spans="2:45" hidden="1" outlineLevel="1">
      <c r="C1695" s="816" t="s">
        <v>16</v>
      </c>
      <c r="D1695" s="9"/>
      <c r="E1695" s="20" t="s">
        <v>400</v>
      </c>
      <c r="F1695" s="20"/>
      <c r="G1695" s="20"/>
      <c r="H1695" s="20"/>
      <c r="I1695" s="20"/>
      <c r="J1695" s="20"/>
      <c r="K1695" s="20"/>
      <c r="L1695" s="20"/>
      <c r="M1695" s="20"/>
      <c r="N1695" s="20"/>
      <c r="O1695" s="20"/>
      <c r="P1695" s="20"/>
      <c r="Q1695" s="20"/>
      <c r="R1695" s="20"/>
      <c r="S1695" s="20"/>
      <c r="T1695" s="20"/>
      <c r="U1695" s="20"/>
      <c r="V1695" s="20"/>
      <c r="W1695" s="20"/>
      <c r="X1695" s="20"/>
      <c r="Y1695" s="20"/>
      <c r="Z1695" s="20"/>
      <c r="AA1695" s="20"/>
      <c r="AB1695" s="12">
        <v>884493</v>
      </c>
      <c r="AC1695" s="12">
        <v>884494</v>
      </c>
      <c r="AD1695" s="12">
        <v>5000000</v>
      </c>
      <c r="AE1695" s="12">
        <v>5000000</v>
      </c>
      <c r="AF1695" s="12">
        <v>9683000</v>
      </c>
      <c r="AG1695" s="12">
        <v>6385000</v>
      </c>
      <c r="AH1695" s="12">
        <v>0</v>
      </c>
      <c r="AI1695" s="12">
        <v>0</v>
      </c>
      <c r="AJ1695" s="22"/>
      <c r="AK1695" s="22"/>
      <c r="AL1695" s="22"/>
      <c r="AM1695" s="22"/>
      <c r="AN1695" s="1059"/>
      <c r="AO1695" s="1059"/>
      <c r="AP1695" s="1059"/>
      <c r="AQ1695" s="1059"/>
      <c r="AR1695" s="1044"/>
      <c r="AS1695" s="1044"/>
    </row>
    <row r="1696" spans="2:45" hidden="1" outlineLevel="1">
      <c r="C1696" s="816" t="s">
        <v>16</v>
      </c>
      <c r="D1696" s="9"/>
      <c r="E1696" s="20" t="s">
        <v>401</v>
      </c>
      <c r="F1696" s="20"/>
      <c r="G1696" s="20"/>
      <c r="H1696" s="20"/>
      <c r="I1696" s="20"/>
      <c r="J1696" s="20"/>
      <c r="K1696" s="20"/>
      <c r="L1696" s="20"/>
      <c r="M1696" s="20"/>
      <c r="N1696" s="20"/>
      <c r="O1696" s="20"/>
      <c r="P1696" s="20"/>
      <c r="Q1696" s="20"/>
      <c r="R1696" s="20"/>
      <c r="S1696" s="20"/>
      <c r="T1696" s="20"/>
      <c r="U1696" s="20"/>
      <c r="V1696" s="20"/>
      <c r="W1696" s="20"/>
      <c r="X1696" s="20"/>
      <c r="Y1696" s="20"/>
      <c r="Z1696" s="20"/>
      <c r="AA1696" s="20"/>
      <c r="AB1696" s="12"/>
      <c r="AC1696" s="12"/>
      <c r="AD1696" s="12"/>
      <c r="AE1696" s="12"/>
      <c r="AF1696" s="12">
        <v>50000</v>
      </c>
      <c r="AG1696" s="12">
        <v>50000</v>
      </c>
      <c r="AH1696" s="12">
        <v>35625</v>
      </c>
      <c r="AI1696" s="12">
        <v>35625</v>
      </c>
      <c r="AJ1696" s="21">
        <v>35625</v>
      </c>
      <c r="AK1696" s="21">
        <v>35625</v>
      </c>
      <c r="AL1696" s="21">
        <v>35625</v>
      </c>
      <c r="AM1696" s="21">
        <v>35625</v>
      </c>
      <c r="AN1696" s="1058">
        <v>16245</v>
      </c>
      <c r="AO1696" s="1058">
        <v>16245</v>
      </c>
      <c r="AP1696" s="1058">
        <v>16245</v>
      </c>
      <c r="AQ1696" s="1058">
        <v>16245</v>
      </c>
      <c r="AR1696" s="1044"/>
      <c r="AS1696" s="1044"/>
    </row>
    <row r="1697" spans="2:45" hidden="1" outlineLevel="1">
      <c r="C1697" s="816" t="s">
        <v>16</v>
      </c>
      <c r="D1697" s="9"/>
      <c r="E1697" s="20" t="s">
        <v>402</v>
      </c>
      <c r="F1697" s="20"/>
      <c r="G1697" s="20"/>
      <c r="H1697" s="20"/>
      <c r="I1697" s="20"/>
      <c r="J1697" s="20"/>
      <c r="K1697" s="20"/>
      <c r="L1697" s="20"/>
      <c r="M1697" s="20"/>
      <c r="N1697" s="20"/>
      <c r="O1697" s="20"/>
      <c r="P1697" s="20"/>
      <c r="Q1697" s="20"/>
      <c r="R1697" s="20"/>
      <c r="S1697" s="20"/>
      <c r="T1697" s="20"/>
      <c r="U1697" s="20"/>
      <c r="V1697" s="20"/>
      <c r="W1697" s="20"/>
      <c r="X1697" s="20"/>
      <c r="Y1697" s="20"/>
      <c r="Z1697" s="20"/>
      <c r="AA1697" s="20"/>
      <c r="AB1697" s="12"/>
      <c r="AC1697" s="12"/>
      <c r="AD1697" s="12"/>
      <c r="AE1697" s="12"/>
      <c r="AF1697" s="12">
        <v>0</v>
      </c>
      <c r="AG1697" s="12">
        <v>0</v>
      </c>
      <c r="AH1697" s="12">
        <v>1500000</v>
      </c>
      <c r="AI1697" s="12">
        <v>1500000</v>
      </c>
      <c r="AJ1697" s="21">
        <v>1500000</v>
      </c>
      <c r="AK1697" s="21">
        <v>1500000</v>
      </c>
      <c r="AL1697" s="21">
        <v>1500000</v>
      </c>
      <c r="AM1697" s="21">
        <v>1500000</v>
      </c>
      <c r="AN1697" s="1058">
        <v>992378</v>
      </c>
      <c r="AO1697" s="1058">
        <v>992377</v>
      </c>
      <c r="AP1697" s="1058">
        <v>893140</v>
      </c>
      <c r="AQ1697" s="1058">
        <v>893140</v>
      </c>
      <c r="AR1697" s="1044"/>
      <c r="AS1697" s="1044"/>
    </row>
    <row r="1698" spans="2:45" hidden="1" outlineLevel="1">
      <c r="C1698" s="816" t="s">
        <v>16</v>
      </c>
      <c r="D1698" s="223" t="s">
        <v>1254</v>
      </c>
      <c r="E1698" s="278" t="s">
        <v>403</v>
      </c>
      <c r="F1698" s="20"/>
      <c r="G1698" s="20"/>
      <c r="H1698" s="20"/>
      <c r="I1698" s="20"/>
      <c r="J1698" s="20"/>
      <c r="K1698" s="20"/>
      <c r="L1698" s="20"/>
      <c r="M1698" s="20"/>
      <c r="N1698" s="20"/>
      <c r="O1698" s="20"/>
      <c r="P1698" s="20"/>
      <c r="Q1698" s="20"/>
      <c r="R1698" s="20"/>
      <c r="S1698" s="20"/>
      <c r="T1698" s="20"/>
      <c r="U1698" s="20"/>
      <c r="V1698" s="20"/>
      <c r="W1698" s="20"/>
      <c r="X1698" s="20"/>
      <c r="Y1698" s="20"/>
      <c r="Z1698" s="20"/>
      <c r="AA1698" s="20"/>
      <c r="AB1698" s="12">
        <v>1049955</v>
      </c>
      <c r="AC1698" s="12">
        <v>1049956</v>
      </c>
      <c r="AD1698" s="12">
        <v>1049956</v>
      </c>
      <c r="AE1698" s="12">
        <v>1049956</v>
      </c>
      <c r="AF1698" s="12">
        <v>1049956</v>
      </c>
      <c r="AG1698" s="12">
        <v>1049956</v>
      </c>
      <c r="AH1698" s="12">
        <v>748094</v>
      </c>
      <c r="AI1698" s="12">
        <v>748094</v>
      </c>
      <c r="AJ1698" s="21">
        <v>748094</v>
      </c>
      <c r="AK1698" s="21">
        <v>748094</v>
      </c>
      <c r="AL1698" s="21">
        <v>748094</v>
      </c>
      <c r="AM1698" s="21">
        <v>748094</v>
      </c>
      <c r="AN1698" s="1058">
        <v>494928</v>
      </c>
      <c r="AO1698" s="1058">
        <v>494928</v>
      </c>
      <c r="AP1698" s="1058">
        <v>494928</v>
      </c>
      <c r="AQ1698" s="1058">
        <v>494928</v>
      </c>
      <c r="AR1698" s="1044"/>
      <c r="AS1698" s="1044"/>
    </row>
    <row r="1699" spans="2:45" hidden="1" outlineLevel="1">
      <c r="C1699" s="816" t="s">
        <v>16</v>
      </c>
      <c r="D1699" s="223" t="s">
        <v>1254</v>
      </c>
      <c r="E1699" s="278" t="s">
        <v>404</v>
      </c>
      <c r="F1699" s="20"/>
      <c r="G1699" s="20"/>
      <c r="H1699" s="20"/>
      <c r="I1699" s="20"/>
      <c r="J1699" s="20"/>
      <c r="K1699" s="20"/>
      <c r="L1699" s="20"/>
      <c r="M1699" s="20"/>
      <c r="N1699" s="20"/>
      <c r="O1699" s="20"/>
      <c r="P1699" s="20"/>
      <c r="Q1699" s="20"/>
      <c r="R1699" s="20"/>
      <c r="S1699" s="20"/>
      <c r="T1699" s="20"/>
      <c r="U1699" s="20"/>
      <c r="V1699" s="20"/>
      <c r="W1699" s="20"/>
      <c r="X1699" s="20"/>
      <c r="Y1699" s="20"/>
      <c r="Z1699" s="20"/>
      <c r="AA1699" s="20"/>
      <c r="AB1699" s="12">
        <v>246083</v>
      </c>
      <c r="AC1699" s="12">
        <v>246084</v>
      </c>
      <c r="AD1699" s="12">
        <v>246084</v>
      </c>
      <c r="AE1699" s="12">
        <v>246084</v>
      </c>
      <c r="AF1699" s="12">
        <v>246084</v>
      </c>
      <c r="AG1699" s="12">
        <v>246084</v>
      </c>
      <c r="AH1699" s="12">
        <v>175335</v>
      </c>
      <c r="AI1699" s="12">
        <v>175335</v>
      </c>
      <c r="AJ1699" s="21">
        <v>175335</v>
      </c>
      <c r="AK1699" s="21">
        <v>175335</v>
      </c>
      <c r="AL1699" s="21">
        <v>175335</v>
      </c>
      <c r="AM1699" s="21">
        <v>175335</v>
      </c>
      <c r="AN1699" s="1058">
        <v>79953</v>
      </c>
      <c r="AO1699" s="1058">
        <v>79953</v>
      </c>
      <c r="AP1699" s="1058">
        <v>71958</v>
      </c>
      <c r="AQ1699" s="1058">
        <v>71958</v>
      </c>
      <c r="AR1699" s="1044"/>
      <c r="AS1699" s="1044"/>
    </row>
    <row r="1700" spans="2:45" hidden="1" outlineLevel="1">
      <c r="C1700" s="816" t="s">
        <v>16</v>
      </c>
      <c r="D1700" s="9"/>
      <c r="E1700" s="20" t="s">
        <v>405</v>
      </c>
      <c r="F1700" s="20"/>
      <c r="G1700" s="20"/>
      <c r="H1700" s="20"/>
      <c r="I1700" s="20"/>
      <c r="J1700" s="20"/>
      <c r="K1700" s="20"/>
      <c r="L1700" s="20"/>
      <c r="M1700" s="20"/>
      <c r="N1700" s="20"/>
      <c r="O1700" s="20"/>
      <c r="P1700" s="20"/>
      <c r="Q1700" s="20"/>
      <c r="R1700" s="20"/>
      <c r="S1700" s="20"/>
      <c r="T1700" s="20"/>
      <c r="U1700" s="20"/>
      <c r="V1700" s="20"/>
      <c r="W1700" s="20"/>
      <c r="X1700" s="20"/>
      <c r="Y1700" s="20"/>
      <c r="Z1700" s="20"/>
      <c r="AA1700" s="20"/>
      <c r="AB1700" s="12"/>
      <c r="AC1700" s="12"/>
      <c r="AD1700" s="12">
        <v>100000</v>
      </c>
      <c r="AE1700" s="12">
        <v>100000</v>
      </c>
      <c r="AF1700" s="12">
        <v>110000</v>
      </c>
      <c r="AG1700" s="12">
        <v>110000</v>
      </c>
      <c r="AH1700" s="12">
        <v>110000</v>
      </c>
      <c r="AI1700" s="12">
        <v>110000</v>
      </c>
      <c r="AJ1700" s="21">
        <v>121000</v>
      </c>
      <c r="AK1700" s="21">
        <v>121000</v>
      </c>
      <c r="AL1700" s="21">
        <v>121000</v>
      </c>
      <c r="AM1700" s="21">
        <v>121000</v>
      </c>
      <c r="AN1700" s="1058">
        <v>78999</v>
      </c>
      <c r="AO1700" s="1058">
        <v>78998</v>
      </c>
      <c r="AP1700" s="1058">
        <v>78999</v>
      </c>
      <c r="AQ1700" s="1058">
        <v>78998</v>
      </c>
      <c r="AR1700" s="1044"/>
      <c r="AS1700" s="1044"/>
    </row>
    <row r="1701" spans="2:45" hidden="1" outlineLevel="1">
      <c r="C1701" s="816" t="s">
        <v>16</v>
      </c>
      <c r="D1701" s="9"/>
      <c r="E1701" s="224" t="s">
        <v>1721</v>
      </c>
      <c r="F1701" s="20"/>
      <c r="G1701" s="20"/>
      <c r="H1701" s="20"/>
      <c r="I1701" s="20"/>
      <c r="J1701" s="20"/>
      <c r="K1701" s="20"/>
      <c r="L1701" s="20"/>
      <c r="M1701" s="20"/>
      <c r="N1701" s="20"/>
      <c r="O1701" s="20"/>
      <c r="P1701" s="20"/>
      <c r="Q1701" s="20"/>
      <c r="R1701" s="20"/>
      <c r="S1701" s="20"/>
      <c r="T1701" s="20"/>
      <c r="U1701" s="20"/>
      <c r="V1701" s="20"/>
      <c r="W1701" s="20"/>
      <c r="X1701" s="20"/>
      <c r="Y1701" s="20"/>
      <c r="Z1701" s="20"/>
      <c r="AA1701" s="20"/>
      <c r="AB1701" s="12"/>
      <c r="AC1701" s="12"/>
      <c r="AD1701" s="12"/>
      <c r="AE1701" s="12"/>
      <c r="AF1701" s="12"/>
      <c r="AG1701" s="12"/>
      <c r="AH1701" s="12"/>
      <c r="AI1701" s="12"/>
      <c r="AJ1701" s="21"/>
      <c r="AK1701" s="21"/>
      <c r="AL1701" s="1220">
        <v>0</v>
      </c>
      <c r="AM1701" s="1220">
        <v>0</v>
      </c>
      <c r="AN1701" s="1058"/>
      <c r="AO1701" s="1058"/>
      <c r="AP1701" s="1058"/>
      <c r="AQ1701" s="1058"/>
      <c r="AR1701" s="1044"/>
      <c r="AS1701" s="1044"/>
    </row>
    <row r="1702" spans="2:45" hidden="1" outlineLevel="1">
      <c r="C1702" s="816" t="s">
        <v>16</v>
      </c>
      <c r="D1702" s="223" t="s">
        <v>1354</v>
      </c>
      <c r="E1702" s="20" t="s">
        <v>406</v>
      </c>
      <c r="F1702" s="20"/>
      <c r="G1702" s="20"/>
      <c r="H1702" s="20"/>
      <c r="I1702" s="20"/>
      <c r="J1702" s="20"/>
      <c r="K1702" s="20"/>
      <c r="L1702" s="20"/>
      <c r="M1702" s="20"/>
      <c r="N1702" s="20"/>
      <c r="O1702" s="20"/>
      <c r="P1702" s="20"/>
      <c r="Q1702" s="20"/>
      <c r="R1702" s="20"/>
      <c r="S1702" s="20"/>
      <c r="T1702" s="20"/>
      <c r="U1702" s="20"/>
      <c r="V1702" s="20"/>
      <c r="W1702" s="20"/>
      <c r="X1702" s="20"/>
      <c r="Y1702" s="20"/>
      <c r="Z1702" s="20"/>
      <c r="AA1702" s="20"/>
      <c r="AB1702" s="12">
        <v>3353338</v>
      </c>
      <c r="AC1702" s="12">
        <v>3353338</v>
      </c>
      <c r="AD1702" s="12">
        <v>3353338</v>
      </c>
      <c r="AE1702" s="12">
        <v>3353338</v>
      </c>
      <c r="AF1702" s="12">
        <v>3146901</v>
      </c>
      <c r="AG1702" s="12">
        <v>3146901</v>
      </c>
      <c r="AH1702" s="12">
        <v>2242167</v>
      </c>
      <c r="AI1702" s="12">
        <v>2242167</v>
      </c>
      <c r="AJ1702" s="21">
        <v>2742167</v>
      </c>
      <c r="AK1702" s="21">
        <v>2742167</v>
      </c>
      <c r="AL1702" s="21">
        <v>2742167</v>
      </c>
      <c r="AM1702" s="21">
        <v>2742167</v>
      </c>
      <c r="AN1702" s="1058">
        <v>1909723</v>
      </c>
      <c r="AO1702" s="1058">
        <v>1909723</v>
      </c>
      <c r="AP1702" s="1058">
        <v>1909723</v>
      </c>
      <c r="AQ1702" s="1058">
        <v>1909723</v>
      </c>
      <c r="AR1702" s="1044"/>
      <c r="AS1702" s="1044"/>
    </row>
    <row r="1703" spans="2:45" hidden="1" outlineLevel="1">
      <c r="C1703" s="816" t="s">
        <v>16</v>
      </c>
      <c r="D1703" s="223" t="s">
        <v>1200</v>
      </c>
      <c r="E1703" s="25" t="s">
        <v>408</v>
      </c>
      <c r="F1703" s="6"/>
      <c r="G1703" s="6"/>
      <c r="H1703" s="6"/>
      <c r="I1703" s="6"/>
      <c r="J1703" s="6"/>
      <c r="K1703" s="6"/>
      <c r="L1703" s="6"/>
      <c r="M1703" s="6"/>
      <c r="N1703" s="6"/>
      <c r="O1703" s="6"/>
      <c r="P1703" s="6"/>
      <c r="Q1703" s="6"/>
      <c r="R1703" s="6"/>
      <c r="S1703" s="6"/>
      <c r="T1703" s="6"/>
      <c r="U1703" s="6"/>
      <c r="V1703" s="6"/>
      <c r="W1703" s="6"/>
      <c r="X1703" s="6"/>
      <c r="Y1703" s="6"/>
      <c r="Z1703" s="6"/>
      <c r="AA1703" s="6"/>
      <c r="AB1703" s="7">
        <v>5533869</v>
      </c>
      <c r="AC1703" s="7">
        <v>5533872</v>
      </c>
      <c r="AD1703" s="7">
        <v>9749378</v>
      </c>
      <c r="AE1703" s="7">
        <v>9749378</v>
      </c>
      <c r="AF1703" s="7">
        <f t="shared" ref="AF1703:AK1703" si="330">SUM(AF1695:AF1702)</f>
        <v>14285941</v>
      </c>
      <c r="AG1703" s="7">
        <f t="shared" si="330"/>
        <v>10987941</v>
      </c>
      <c r="AH1703" s="7">
        <f t="shared" si="330"/>
        <v>4811221</v>
      </c>
      <c r="AI1703" s="7">
        <f t="shared" si="330"/>
        <v>4811221</v>
      </c>
      <c r="AJ1703" s="7">
        <f t="shared" si="330"/>
        <v>5322221</v>
      </c>
      <c r="AK1703" s="7">
        <f t="shared" si="330"/>
        <v>5322221</v>
      </c>
      <c r="AL1703" s="60">
        <f t="shared" ref="AL1703:AQ1703" si="331">SUM(AL1696:AL1702)</f>
        <v>5322221</v>
      </c>
      <c r="AM1703" s="60">
        <f t="shared" si="331"/>
        <v>5322221</v>
      </c>
      <c r="AN1703" s="1074">
        <f t="shared" si="331"/>
        <v>3572226</v>
      </c>
      <c r="AO1703" s="1074">
        <f t="shared" si="331"/>
        <v>3572224</v>
      </c>
      <c r="AP1703" s="1074">
        <f t="shared" si="331"/>
        <v>3464993</v>
      </c>
      <c r="AQ1703" s="1074">
        <f t="shared" si="331"/>
        <v>3464992</v>
      </c>
      <c r="AR1703" s="1044"/>
      <c r="AS1703" s="1044"/>
    </row>
    <row r="1704" spans="2:45" hidden="1" outlineLevel="1">
      <c r="C1704" s="816" t="s">
        <v>16</v>
      </c>
      <c r="D1704" s="9"/>
      <c r="E1704" s="20" t="s">
        <v>409</v>
      </c>
      <c r="F1704" s="20"/>
      <c r="G1704" s="20"/>
      <c r="H1704" s="20"/>
      <c r="I1704" s="20"/>
      <c r="J1704" s="20"/>
      <c r="K1704" s="20"/>
      <c r="L1704" s="20"/>
      <c r="M1704" s="20"/>
      <c r="N1704" s="20"/>
      <c r="O1704" s="20"/>
      <c r="P1704" s="20"/>
      <c r="Q1704" s="20"/>
      <c r="R1704" s="20"/>
      <c r="S1704" s="20"/>
      <c r="T1704" s="20"/>
      <c r="U1704" s="20"/>
      <c r="V1704" s="20"/>
      <c r="W1704" s="20"/>
      <c r="X1704" s="20"/>
      <c r="Y1704" s="20"/>
      <c r="Z1704" s="20"/>
      <c r="AA1704" s="20"/>
      <c r="AB1704" s="12"/>
      <c r="AC1704" s="12"/>
      <c r="AD1704" s="12"/>
      <c r="AE1704" s="12"/>
      <c r="AF1704" s="12">
        <v>0</v>
      </c>
      <c r="AG1704" s="12">
        <v>0</v>
      </c>
      <c r="AH1704" s="12">
        <v>5710417</v>
      </c>
      <c r="AI1704" s="12">
        <v>5710417</v>
      </c>
      <c r="AJ1704" s="21">
        <v>5710417</v>
      </c>
      <c r="AK1704" s="21">
        <v>5710417</v>
      </c>
      <c r="AL1704" s="21">
        <v>5710417</v>
      </c>
      <c r="AM1704" s="21">
        <v>5710417</v>
      </c>
      <c r="AN1704" s="1058">
        <v>3867814</v>
      </c>
      <c r="AO1704" s="1058">
        <v>3867814</v>
      </c>
      <c r="AP1704" s="1058">
        <v>4981033</v>
      </c>
      <c r="AQ1704" s="1058">
        <v>4981033</v>
      </c>
      <c r="AR1704" s="1044"/>
      <c r="AS1704" s="1044"/>
    </row>
    <row r="1705" spans="2:45" hidden="1" outlineLevel="1">
      <c r="C1705" s="816" t="s">
        <v>16</v>
      </c>
      <c r="D1705" s="223" t="s">
        <v>1354</v>
      </c>
      <c r="E1705" s="20" t="s">
        <v>410</v>
      </c>
      <c r="F1705" s="20"/>
      <c r="G1705" s="20"/>
      <c r="H1705" s="20"/>
      <c r="I1705" s="20"/>
      <c r="J1705" s="20"/>
      <c r="K1705" s="20"/>
      <c r="L1705" s="20"/>
      <c r="M1705" s="20"/>
      <c r="N1705" s="20"/>
      <c r="O1705" s="20"/>
      <c r="P1705" s="20"/>
      <c r="Q1705" s="20"/>
      <c r="R1705" s="20"/>
      <c r="S1705" s="20"/>
      <c r="T1705" s="20"/>
      <c r="U1705" s="20"/>
      <c r="V1705" s="20"/>
      <c r="W1705" s="20"/>
      <c r="X1705" s="20"/>
      <c r="Y1705" s="20"/>
      <c r="Z1705" s="20"/>
      <c r="AA1705" s="20"/>
      <c r="AB1705" s="12"/>
      <c r="AC1705" s="12"/>
      <c r="AD1705" s="12"/>
      <c r="AE1705" s="12"/>
      <c r="AF1705" s="12"/>
      <c r="AG1705" s="12"/>
      <c r="AH1705" s="12"/>
      <c r="AI1705" s="12"/>
      <c r="AJ1705" s="21">
        <v>500000</v>
      </c>
      <c r="AK1705" s="21">
        <v>500000</v>
      </c>
      <c r="AL1705" s="21">
        <v>500000</v>
      </c>
      <c r="AM1705" s="21">
        <v>500000</v>
      </c>
      <c r="AN1705" s="1058">
        <v>365413</v>
      </c>
      <c r="AO1705" s="1058">
        <v>365413</v>
      </c>
      <c r="AP1705" s="1058">
        <v>740035</v>
      </c>
      <c r="AQ1705" s="1058">
        <v>740035</v>
      </c>
      <c r="AR1705" s="1044"/>
      <c r="AS1705" s="1044"/>
    </row>
    <row r="1706" spans="2:45" hidden="1" outlineLevel="1">
      <c r="C1706" s="816" t="s">
        <v>16</v>
      </c>
      <c r="D1706" s="223"/>
      <c r="E1706" s="224" t="s">
        <v>1723</v>
      </c>
      <c r="F1706" s="20"/>
      <c r="G1706" s="20"/>
      <c r="H1706" s="20"/>
      <c r="I1706" s="20"/>
      <c r="J1706" s="20"/>
      <c r="K1706" s="20"/>
      <c r="L1706" s="20"/>
      <c r="M1706" s="20"/>
      <c r="N1706" s="20"/>
      <c r="O1706" s="20"/>
      <c r="P1706" s="20"/>
      <c r="Q1706" s="20"/>
      <c r="R1706" s="20"/>
      <c r="S1706" s="20"/>
      <c r="T1706" s="20"/>
      <c r="U1706" s="20"/>
      <c r="V1706" s="20"/>
      <c r="W1706" s="20"/>
      <c r="X1706" s="20"/>
      <c r="Y1706" s="20"/>
      <c r="Z1706" s="20"/>
      <c r="AA1706" s="20"/>
      <c r="AB1706" s="12"/>
      <c r="AC1706" s="12"/>
      <c r="AD1706" s="12"/>
      <c r="AE1706" s="12"/>
      <c r="AF1706" s="12"/>
      <c r="AG1706" s="12"/>
      <c r="AH1706" s="12"/>
      <c r="AI1706" s="12"/>
      <c r="AJ1706" s="21"/>
      <c r="AK1706" s="21"/>
      <c r="AL1706" s="21">
        <v>750000</v>
      </c>
      <c r="AM1706" s="21">
        <v>750000</v>
      </c>
      <c r="AN1706" s="1058">
        <v>401563</v>
      </c>
      <c r="AO1706" s="1058">
        <v>401563</v>
      </c>
      <c r="AP1706" s="1058">
        <v>361407</v>
      </c>
      <c r="AQ1706" s="1058">
        <v>361407</v>
      </c>
      <c r="AR1706" s="1044"/>
      <c r="AS1706" s="1044"/>
    </row>
    <row r="1707" spans="2:45" ht="13.5" hidden="1" outlineLevel="1" thickBot="1">
      <c r="C1707" s="816" t="s">
        <v>16</v>
      </c>
      <c r="D1707" s="223" t="s">
        <v>1200</v>
      </c>
      <c r="E1707" s="1115" t="s">
        <v>411</v>
      </c>
      <c r="F1707" s="6"/>
      <c r="G1707" s="6"/>
      <c r="H1707" s="6"/>
      <c r="I1707" s="6"/>
      <c r="J1707" s="6"/>
      <c r="K1707" s="6"/>
      <c r="L1707" s="6"/>
      <c r="M1707" s="6"/>
      <c r="N1707" s="6"/>
      <c r="O1707" s="6"/>
      <c r="P1707" s="6"/>
      <c r="Q1707" s="6"/>
      <c r="R1707" s="6"/>
      <c r="S1707" s="6"/>
      <c r="T1707" s="6"/>
      <c r="U1707" s="6"/>
      <c r="V1707" s="6"/>
      <c r="W1707" s="6"/>
      <c r="X1707" s="6"/>
      <c r="Y1707" s="6"/>
      <c r="Z1707" s="6"/>
      <c r="AA1707" s="6"/>
      <c r="AB1707" s="7"/>
      <c r="AC1707" s="7"/>
      <c r="AD1707" s="7"/>
      <c r="AE1707" s="7"/>
      <c r="AF1707" s="7">
        <f>SUM(AF1704)</f>
        <v>0</v>
      </c>
      <c r="AG1707" s="7">
        <f t="shared" ref="AG1707:AI1707" si="332">SUM(AG1704)</f>
        <v>0</v>
      </c>
      <c r="AH1707" s="7">
        <f t="shared" si="332"/>
        <v>5710417</v>
      </c>
      <c r="AI1707" s="7">
        <f t="shared" si="332"/>
        <v>5710417</v>
      </c>
      <c r="AJ1707" s="7">
        <f>SUM(AJ1704:AJ1705)</f>
        <v>6210417</v>
      </c>
      <c r="AK1707" s="7">
        <f>SUM(AK1704:AK1705)</f>
        <v>6210417</v>
      </c>
      <c r="AL1707" s="60">
        <f>SUM(AL1704:AL1706)</f>
        <v>6960417</v>
      </c>
      <c r="AM1707" s="60">
        <f>SUM(AM1704:AM1706)</f>
        <v>6960417</v>
      </c>
      <c r="AN1707" s="1074">
        <f t="shared" ref="AN1707:AO1707" si="333">SUM(AN1704:AN1706)</f>
        <v>4634790</v>
      </c>
      <c r="AO1707" s="1074">
        <f t="shared" si="333"/>
        <v>4634790</v>
      </c>
      <c r="AP1707" s="1074">
        <f t="shared" ref="AP1707:AQ1707" si="334">SUM(AP1704:AP1706)</f>
        <v>6082475</v>
      </c>
      <c r="AQ1707" s="1074">
        <f t="shared" si="334"/>
        <v>6082475</v>
      </c>
      <c r="AR1707" s="1044"/>
      <c r="AS1707" s="1044"/>
    </row>
    <row r="1708" spans="2:45" hidden="1" outlineLevel="1">
      <c r="C1708" s="816" t="s">
        <v>16</v>
      </c>
      <c r="D1708" s="1112"/>
      <c r="E1708" s="1117" t="s">
        <v>412</v>
      </c>
      <c r="F1708" s="638"/>
      <c r="G1708" s="20"/>
      <c r="H1708" s="20"/>
      <c r="I1708" s="20"/>
      <c r="J1708" s="20"/>
      <c r="K1708" s="20"/>
      <c r="L1708" s="20"/>
      <c r="M1708" s="20"/>
      <c r="N1708" s="20"/>
      <c r="O1708" s="20"/>
      <c r="P1708" s="20"/>
      <c r="Q1708" s="20"/>
      <c r="R1708" s="20"/>
      <c r="S1708" s="20"/>
      <c r="T1708" s="20"/>
      <c r="U1708" s="20"/>
      <c r="V1708" s="20"/>
      <c r="W1708" s="20"/>
      <c r="X1708" s="20"/>
      <c r="Y1708" s="20"/>
      <c r="Z1708" s="20"/>
      <c r="AA1708" s="20"/>
      <c r="AB1708" s="12"/>
      <c r="AC1708" s="12"/>
      <c r="AD1708" s="12"/>
      <c r="AE1708" s="12"/>
      <c r="AF1708" s="12">
        <v>2000000</v>
      </c>
      <c r="AG1708" s="12">
        <v>2000000</v>
      </c>
      <c r="AH1708" s="12">
        <v>1925000</v>
      </c>
      <c r="AI1708" s="12">
        <v>1425000</v>
      </c>
      <c r="AJ1708" s="21">
        <v>2725000</v>
      </c>
      <c r="AK1708" s="21">
        <v>2725000</v>
      </c>
      <c r="AL1708" s="21">
        <v>3725000</v>
      </c>
      <c r="AM1708" s="21">
        <v>3225000</v>
      </c>
      <c r="AN1708" s="1058">
        <v>2310157</v>
      </c>
      <c r="AO1708" s="1058">
        <v>2310157</v>
      </c>
      <c r="AP1708" s="1058">
        <v>2079141</v>
      </c>
      <c r="AQ1708" s="1058">
        <v>2079141</v>
      </c>
      <c r="AR1708" s="1044"/>
      <c r="AS1708" s="1044"/>
    </row>
    <row r="1709" spans="2:45" hidden="1" outlineLevel="1">
      <c r="C1709" s="816" t="s">
        <v>16</v>
      </c>
      <c r="D1709" s="1112"/>
      <c r="E1709" s="1118" t="s">
        <v>413</v>
      </c>
      <c r="F1709" s="638"/>
      <c r="G1709" s="20"/>
      <c r="H1709" s="20"/>
      <c r="I1709" s="20"/>
      <c r="J1709" s="20"/>
      <c r="K1709" s="20"/>
      <c r="L1709" s="20"/>
      <c r="M1709" s="20"/>
      <c r="N1709" s="20"/>
      <c r="O1709" s="20"/>
      <c r="P1709" s="20"/>
      <c r="Q1709" s="20"/>
      <c r="R1709" s="20"/>
      <c r="S1709" s="20"/>
      <c r="T1709" s="20"/>
      <c r="U1709" s="20"/>
      <c r="V1709" s="20"/>
      <c r="W1709" s="20"/>
      <c r="X1709" s="20"/>
      <c r="Y1709" s="20"/>
      <c r="Z1709" s="20"/>
      <c r="AA1709" s="20"/>
      <c r="AB1709" s="12">
        <v>290938</v>
      </c>
      <c r="AC1709" s="12">
        <v>290938</v>
      </c>
      <c r="AD1709" s="12">
        <v>290938</v>
      </c>
      <c r="AE1709" s="12">
        <v>290938</v>
      </c>
      <c r="AF1709" s="12">
        <v>290938</v>
      </c>
      <c r="AG1709" s="12">
        <v>290938</v>
      </c>
      <c r="AH1709" s="12">
        <v>207293</v>
      </c>
      <c r="AI1709" s="12">
        <v>207293</v>
      </c>
      <c r="AJ1709" s="21">
        <v>207293</v>
      </c>
      <c r="AK1709" s="21">
        <v>207293</v>
      </c>
      <c r="AL1709" s="21">
        <v>207293</v>
      </c>
      <c r="AM1709" s="21">
        <v>207293</v>
      </c>
      <c r="AN1709" s="1058">
        <v>137807</v>
      </c>
      <c r="AO1709" s="1058">
        <v>137807</v>
      </c>
      <c r="AP1709" s="1058">
        <v>137807</v>
      </c>
      <c r="AQ1709" s="1058">
        <v>137807</v>
      </c>
      <c r="AR1709" s="1044"/>
      <c r="AS1709" s="1044"/>
    </row>
    <row r="1710" spans="2:45" hidden="1" outlineLevel="1">
      <c r="C1710" s="816" t="s">
        <v>16</v>
      </c>
      <c r="D1710" s="1112"/>
      <c r="E1710" s="1118" t="s">
        <v>414</v>
      </c>
      <c r="F1710" s="638"/>
      <c r="G1710" s="20"/>
      <c r="H1710" s="20"/>
      <c r="I1710" s="20"/>
      <c r="J1710" s="20"/>
      <c r="K1710" s="20"/>
      <c r="L1710" s="20"/>
      <c r="M1710" s="20"/>
      <c r="N1710" s="20"/>
      <c r="O1710" s="20"/>
      <c r="P1710" s="20"/>
      <c r="Q1710" s="20"/>
      <c r="R1710" s="20"/>
      <c r="S1710" s="20"/>
      <c r="T1710" s="20"/>
      <c r="U1710" s="20"/>
      <c r="V1710" s="20"/>
      <c r="W1710" s="20"/>
      <c r="X1710" s="20"/>
      <c r="Y1710" s="20"/>
      <c r="Z1710" s="20"/>
      <c r="AA1710" s="20"/>
      <c r="AB1710" s="12">
        <v>166250</v>
      </c>
      <c r="AC1710" s="12">
        <v>166250</v>
      </c>
      <c r="AD1710" s="12">
        <v>166250</v>
      </c>
      <c r="AE1710" s="12">
        <v>166250</v>
      </c>
      <c r="AF1710" s="12">
        <v>166250</v>
      </c>
      <c r="AG1710" s="12">
        <v>166250</v>
      </c>
      <c r="AH1710" s="12">
        <v>118454</v>
      </c>
      <c r="AI1710" s="12">
        <v>118454</v>
      </c>
      <c r="AJ1710" s="12">
        <v>118454</v>
      </c>
      <c r="AK1710" s="12">
        <v>118454</v>
      </c>
      <c r="AL1710" s="12">
        <v>118454</v>
      </c>
      <c r="AM1710" s="12">
        <v>118454</v>
      </c>
      <c r="AN1710" s="1070">
        <v>78748</v>
      </c>
      <c r="AO1710" s="1070">
        <v>78747</v>
      </c>
      <c r="AP1710" s="1070">
        <v>78748</v>
      </c>
      <c r="AQ1710" s="1070">
        <v>78747</v>
      </c>
      <c r="AR1710" s="1044"/>
      <c r="AS1710" s="1044"/>
    </row>
    <row r="1711" spans="2:45" s="1044" customFormat="1" hidden="1" outlineLevel="1">
      <c r="B1711" s="1045"/>
      <c r="C1711" s="1053" t="s">
        <v>16</v>
      </c>
      <c r="D1711" s="1112"/>
      <c r="E1711" s="1119" t="s">
        <v>1942</v>
      </c>
      <c r="F1711" s="638"/>
      <c r="G1711" s="1047"/>
      <c r="H1711" s="1047"/>
      <c r="I1711" s="1047"/>
      <c r="J1711" s="1047"/>
      <c r="K1711" s="1047"/>
      <c r="L1711" s="1047"/>
      <c r="M1711" s="1047"/>
      <c r="N1711" s="1047"/>
      <c r="O1711" s="1047"/>
      <c r="P1711" s="1047"/>
      <c r="Q1711" s="1047"/>
      <c r="R1711" s="1047"/>
      <c r="S1711" s="1047"/>
      <c r="T1711" s="1047"/>
      <c r="U1711" s="1047"/>
      <c r="V1711" s="1047"/>
      <c r="W1711" s="1047"/>
      <c r="X1711" s="1047"/>
      <c r="Y1711" s="1047"/>
      <c r="Z1711" s="1047"/>
      <c r="AA1711" s="1047"/>
      <c r="AB1711" s="1070"/>
      <c r="AC1711" s="1070"/>
      <c r="AD1711" s="1070"/>
      <c r="AE1711" s="1070"/>
      <c r="AF1711" s="1070"/>
      <c r="AG1711" s="1070"/>
      <c r="AH1711" s="1070"/>
      <c r="AI1711" s="1070"/>
      <c r="AJ1711" s="1070"/>
      <c r="AK1711" s="1070"/>
      <c r="AL1711" s="1070"/>
      <c r="AM1711" s="1070"/>
      <c r="AN1711" s="1070"/>
      <c r="AO1711" s="1070"/>
      <c r="AP1711" s="1070">
        <v>1150000</v>
      </c>
      <c r="AQ1711" s="1070">
        <v>1150000</v>
      </c>
    </row>
    <row r="1712" spans="2:45" s="992" customFormat="1" hidden="1" outlineLevel="1">
      <c r="B1712" s="993"/>
      <c r="C1712" s="999" t="s">
        <v>16</v>
      </c>
      <c r="D1712" s="1113" t="s">
        <v>1254</v>
      </c>
      <c r="E1712" s="1121" t="s">
        <v>1877</v>
      </c>
      <c r="F1712" s="638"/>
      <c r="G1712" s="995"/>
      <c r="H1712" s="995"/>
      <c r="I1712" s="995"/>
      <c r="J1712" s="995"/>
      <c r="K1712" s="995"/>
      <c r="L1712" s="995"/>
      <c r="M1712" s="995"/>
      <c r="N1712" s="995"/>
      <c r="O1712" s="995"/>
      <c r="P1712" s="995"/>
      <c r="Q1712" s="995"/>
      <c r="R1712" s="995"/>
      <c r="S1712" s="995"/>
      <c r="T1712" s="995"/>
      <c r="U1712" s="995"/>
      <c r="V1712" s="995"/>
      <c r="W1712" s="995"/>
      <c r="X1712" s="995"/>
      <c r="Y1712" s="995"/>
      <c r="Z1712" s="995"/>
      <c r="AA1712" s="995"/>
      <c r="AB1712" s="994"/>
      <c r="AC1712" s="994"/>
      <c r="AD1712" s="994"/>
      <c r="AE1712" s="994"/>
      <c r="AF1712" s="994"/>
      <c r="AG1712" s="994"/>
      <c r="AH1712" s="994"/>
      <c r="AI1712" s="994"/>
      <c r="AJ1712" s="994"/>
      <c r="AK1712" s="994"/>
      <c r="AL1712" s="994"/>
      <c r="AM1712" s="994"/>
      <c r="AN1712" s="1070">
        <v>3500000</v>
      </c>
      <c r="AO1712" s="1070">
        <v>3500000</v>
      </c>
      <c r="AP1712" s="1070">
        <v>3500000</v>
      </c>
      <c r="AQ1712" s="1070">
        <v>3500000</v>
      </c>
      <c r="AR1712" s="1044"/>
      <c r="AS1712" s="1044"/>
    </row>
    <row r="1713" spans="3:45" hidden="1" outlineLevel="1">
      <c r="C1713" s="816" t="s">
        <v>16</v>
      </c>
      <c r="D1713" s="1113" t="s">
        <v>1254</v>
      </c>
      <c r="E1713" s="1120" t="s">
        <v>415</v>
      </c>
      <c r="F1713" s="638"/>
      <c r="G1713" s="20"/>
      <c r="H1713" s="20"/>
      <c r="I1713" s="20"/>
      <c r="J1713" s="20"/>
      <c r="K1713" s="20"/>
      <c r="L1713" s="20"/>
      <c r="M1713" s="20"/>
      <c r="N1713" s="20"/>
      <c r="O1713" s="20"/>
      <c r="P1713" s="20"/>
      <c r="Q1713" s="20"/>
      <c r="R1713" s="20"/>
      <c r="S1713" s="20"/>
      <c r="T1713" s="20"/>
      <c r="U1713" s="20"/>
      <c r="V1713" s="20"/>
      <c r="W1713" s="20"/>
      <c r="X1713" s="20"/>
      <c r="Y1713" s="20"/>
      <c r="Z1713" s="20"/>
      <c r="AA1713" s="20"/>
      <c r="AB1713" s="12">
        <v>252671</v>
      </c>
      <c r="AC1713" s="12">
        <v>252671</v>
      </c>
      <c r="AD1713" s="12">
        <v>252671</v>
      </c>
      <c r="AE1713" s="12">
        <v>252671</v>
      </c>
      <c r="AF1713" s="12">
        <v>252671</v>
      </c>
      <c r="AG1713" s="12">
        <v>252671</v>
      </c>
      <c r="AH1713" s="12">
        <v>180028</v>
      </c>
      <c r="AI1713" s="12">
        <v>180028</v>
      </c>
      <c r="AJ1713" s="21">
        <v>180028</v>
      </c>
      <c r="AK1713" s="21">
        <v>180028</v>
      </c>
      <c r="AL1713" s="21">
        <v>180028</v>
      </c>
      <c r="AM1713" s="21">
        <v>180028</v>
      </c>
      <c r="AN1713" s="1058">
        <v>82093</v>
      </c>
      <c r="AO1713" s="1058">
        <v>82093</v>
      </c>
      <c r="AP1713" s="1058">
        <v>73884</v>
      </c>
      <c r="AQ1713" s="1058">
        <v>73884</v>
      </c>
      <c r="AR1713" s="1044"/>
      <c r="AS1713" s="1044"/>
    </row>
    <row r="1714" spans="3:45" hidden="1" outlineLevel="1">
      <c r="C1714" s="816" t="s">
        <v>16</v>
      </c>
      <c r="D1714" s="1113" t="s">
        <v>1254</v>
      </c>
      <c r="E1714" s="1120" t="s">
        <v>416</v>
      </c>
      <c r="F1714" s="638"/>
      <c r="G1714" s="20"/>
      <c r="H1714" s="20"/>
      <c r="I1714" s="20"/>
      <c r="J1714" s="20"/>
      <c r="K1714" s="20"/>
      <c r="L1714" s="20"/>
      <c r="M1714" s="20"/>
      <c r="N1714" s="20"/>
      <c r="O1714" s="20"/>
      <c r="P1714" s="20"/>
      <c r="Q1714" s="20"/>
      <c r="R1714" s="20"/>
      <c r="S1714" s="20"/>
      <c r="T1714" s="20"/>
      <c r="U1714" s="20"/>
      <c r="V1714" s="20"/>
      <c r="W1714" s="20"/>
      <c r="X1714" s="20"/>
      <c r="Y1714" s="20"/>
      <c r="Z1714" s="20"/>
      <c r="AA1714" s="20"/>
      <c r="AB1714" s="12">
        <v>249375</v>
      </c>
      <c r="AC1714" s="12">
        <v>249375</v>
      </c>
      <c r="AD1714" s="12">
        <v>249376</v>
      </c>
      <c r="AE1714" s="12">
        <v>249376</v>
      </c>
      <c r="AF1714" s="12">
        <v>249376</v>
      </c>
      <c r="AG1714" s="12">
        <v>249376</v>
      </c>
      <c r="AH1714" s="12">
        <v>177680</v>
      </c>
      <c r="AI1714" s="12">
        <v>177680</v>
      </c>
      <c r="AJ1714" s="12">
        <v>177680</v>
      </c>
      <c r="AK1714" s="12">
        <v>177680</v>
      </c>
      <c r="AL1714" s="12">
        <v>177680</v>
      </c>
      <c r="AM1714" s="12">
        <v>177680</v>
      </c>
      <c r="AN1714" s="1070">
        <v>118121</v>
      </c>
      <c r="AO1714" s="1070">
        <v>118120</v>
      </c>
      <c r="AP1714" s="1070">
        <v>118121</v>
      </c>
      <c r="AQ1714" s="1070">
        <v>118120</v>
      </c>
      <c r="AR1714" s="1044"/>
      <c r="AS1714" s="1044"/>
    </row>
    <row r="1715" spans="3:45" hidden="1" outlineLevel="1">
      <c r="C1715" s="816" t="s">
        <v>16</v>
      </c>
      <c r="D1715" s="1112"/>
      <c r="E1715" s="1118" t="s">
        <v>417</v>
      </c>
      <c r="F1715" s="638"/>
      <c r="G1715" s="20"/>
      <c r="H1715" s="20"/>
      <c r="I1715" s="20"/>
      <c r="J1715" s="20"/>
      <c r="K1715" s="20"/>
      <c r="L1715" s="20"/>
      <c r="M1715" s="20"/>
      <c r="N1715" s="20"/>
      <c r="O1715" s="20"/>
      <c r="P1715" s="20"/>
      <c r="Q1715" s="20"/>
      <c r="R1715" s="20"/>
      <c r="S1715" s="20"/>
      <c r="T1715" s="20"/>
      <c r="U1715" s="20"/>
      <c r="V1715" s="20"/>
      <c r="W1715" s="20"/>
      <c r="X1715" s="20"/>
      <c r="Y1715" s="20"/>
      <c r="Z1715" s="20"/>
      <c r="AA1715" s="20"/>
      <c r="AB1715" s="12">
        <v>62547</v>
      </c>
      <c r="AC1715" s="12">
        <v>62547</v>
      </c>
      <c r="AD1715" s="12">
        <v>62546</v>
      </c>
      <c r="AE1715" s="12">
        <v>62546</v>
      </c>
      <c r="AF1715" s="12">
        <v>62546</v>
      </c>
      <c r="AG1715" s="12">
        <v>62546</v>
      </c>
      <c r="AH1715" s="12">
        <v>44564</v>
      </c>
      <c r="AI1715" s="12">
        <v>44564</v>
      </c>
      <c r="AJ1715" s="12">
        <v>44564</v>
      </c>
      <c r="AK1715" s="12">
        <v>44564</v>
      </c>
      <c r="AL1715" s="12">
        <v>44564</v>
      </c>
      <c r="AM1715" s="12">
        <v>44564</v>
      </c>
      <c r="AN1715" s="1070">
        <v>29626</v>
      </c>
      <c r="AO1715" s="1070">
        <v>29625</v>
      </c>
      <c r="AP1715" s="1070">
        <v>29626</v>
      </c>
      <c r="AQ1715" s="1070">
        <v>29625</v>
      </c>
      <c r="AR1715" s="1044"/>
      <c r="AS1715" s="1044"/>
    </row>
    <row r="1716" spans="3:45" hidden="1" outlineLevel="1">
      <c r="C1716" s="816" t="s">
        <v>16</v>
      </c>
      <c r="D1716" s="1112"/>
      <c r="E1716" s="1118" t="s">
        <v>418</v>
      </c>
      <c r="F1716" s="638"/>
      <c r="G1716" s="20"/>
      <c r="H1716" s="20"/>
      <c r="I1716" s="20"/>
      <c r="J1716" s="20"/>
      <c r="K1716" s="20"/>
      <c r="L1716" s="20"/>
      <c r="M1716" s="20"/>
      <c r="N1716" s="20"/>
      <c r="O1716" s="20"/>
      <c r="P1716" s="20"/>
      <c r="Q1716" s="20"/>
      <c r="R1716" s="20"/>
      <c r="S1716" s="20"/>
      <c r="T1716" s="20"/>
      <c r="U1716" s="20"/>
      <c r="V1716" s="20"/>
      <c r="W1716" s="20"/>
      <c r="X1716" s="20"/>
      <c r="Y1716" s="20"/>
      <c r="Z1716" s="20"/>
      <c r="AA1716" s="20"/>
      <c r="AB1716" s="12">
        <v>329324</v>
      </c>
      <c r="AC1716" s="12">
        <v>329324</v>
      </c>
      <c r="AD1716" s="12">
        <v>329324</v>
      </c>
      <c r="AE1716" s="12">
        <v>329324</v>
      </c>
      <c r="AF1716" s="12">
        <v>329324</v>
      </c>
      <c r="AG1716" s="12">
        <v>329324</v>
      </c>
      <c r="AH1716" s="12">
        <v>234644</v>
      </c>
      <c r="AI1716" s="12">
        <v>234644</v>
      </c>
      <c r="AJ1716" s="12">
        <v>234644</v>
      </c>
      <c r="AK1716" s="12">
        <v>234644</v>
      </c>
      <c r="AL1716" s="12">
        <v>234644</v>
      </c>
      <c r="AM1716" s="12">
        <v>234644</v>
      </c>
      <c r="AN1716" s="1070">
        <v>155990</v>
      </c>
      <c r="AO1716" s="1070">
        <v>155990</v>
      </c>
      <c r="AP1716" s="1070">
        <v>155990</v>
      </c>
      <c r="AQ1716" s="1070">
        <v>155989</v>
      </c>
      <c r="AR1716" s="1044"/>
      <c r="AS1716" s="1044"/>
    </row>
    <row r="1717" spans="3:45" hidden="1" outlineLevel="1">
      <c r="C1717" s="816" t="s">
        <v>16</v>
      </c>
      <c r="D1717" s="1112"/>
      <c r="E1717" s="1118" t="s">
        <v>419</v>
      </c>
      <c r="F1717" s="638"/>
      <c r="G1717" s="20"/>
      <c r="H1717" s="20"/>
      <c r="I1717" s="20"/>
      <c r="J1717" s="20"/>
      <c r="K1717" s="20"/>
      <c r="L1717" s="20"/>
      <c r="M1717" s="20"/>
      <c r="N1717" s="20"/>
      <c r="O1717" s="20"/>
      <c r="P1717" s="20"/>
      <c r="Q1717" s="20"/>
      <c r="R1717" s="20"/>
      <c r="S1717" s="20"/>
      <c r="T1717" s="20"/>
      <c r="U1717" s="20"/>
      <c r="V1717" s="20"/>
      <c r="W1717" s="20"/>
      <c r="X1717" s="20"/>
      <c r="Y1717" s="20"/>
      <c r="Z1717" s="20"/>
      <c r="AA1717" s="20"/>
      <c r="AB1717" s="12"/>
      <c r="AC1717" s="12"/>
      <c r="AD1717" s="12"/>
      <c r="AE1717" s="12"/>
      <c r="AF1717" s="12">
        <v>500000</v>
      </c>
      <c r="AG1717" s="12">
        <v>500000</v>
      </c>
      <c r="AH1717" s="12">
        <v>500000</v>
      </c>
      <c r="AI1717" s="12">
        <v>500000</v>
      </c>
      <c r="AJ1717" s="12">
        <v>550000</v>
      </c>
      <c r="AK1717" s="12">
        <v>550000</v>
      </c>
      <c r="AL1717" s="12">
        <v>550000</v>
      </c>
      <c r="AM1717" s="12">
        <v>550000</v>
      </c>
      <c r="AN1717" s="1070">
        <v>360826</v>
      </c>
      <c r="AO1717" s="1070">
        <v>360825</v>
      </c>
      <c r="AP1717" s="1070">
        <v>360826</v>
      </c>
      <c r="AQ1717" s="1070">
        <v>360825</v>
      </c>
      <c r="AR1717" s="1044"/>
      <c r="AS1717" s="1044"/>
    </row>
    <row r="1718" spans="3:45" hidden="1" outlineLevel="1">
      <c r="C1718" s="816" t="s">
        <v>16</v>
      </c>
      <c r="D1718" s="1113" t="s">
        <v>1354</v>
      </c>
      <c r="E1718" s="1118" t="s">
        <v>420</v>
      </c>
      <c r="F1718" s="638"/>
      <c r="G1718" s="20"/>
      <c r="H1718" s="20"/>
      <c r="I1718" s="20"/>
      <c r="J1718" s="20"/>
      <c r="K1718" s="20"/>
      <c r="L1718" s="20"/>
      <c r="M1718" s="20"/>
      <c r="N1718" s="20"/>
      <c r="O1718" s="20"/>
      <c r="P1718" s="20"/>
      <c r="Q1718" s="20"/>
      <c r="R1718" s="20"/>
      <c r="S1718" s="20"/>
      <c r="T1718" s="20"/>
      <c r="U1718" s="20"/>
      <c r="V1718" s="20"/>
      <c r="W1718" s="20"/>
      <c r="X1718" s="20"/>
      <c r="Y1718" s="20"/>
      <c r="Z1718" s="20"/>
      <c r="AA1718" s="20"/>
      <c r="AB1718" s="12">
        <v>9998948</v>
      </c>
      <c r="AC1718" s="12">
        <v>9998948</v>
      </c>
      <c r="AD1718" s="12">
        <v>9998948</v>
      </c>
      <c r="AE1718" s="12">
        <v>9998948</v>
      </c>
      <c r="AF1718" s="12">
        <v>10025921</v>
      </c>
      <c r="AG1718" s="12">
        <v>10025921</v>
      </c>
      <c r="AH1718" s="12">
        <v>7143469</v>
      </c>
      <c r="AI1718" s="12">
        <v>7143469</v>
      </c>
      <c r="AJ1718" s="21">
        <v>7643469</v>
      </c>
      <c r="AK1718" s="21">
        <v>7643469</v>
      </c>
      <c r="AL1718" s="21">
        <v>7643469</v>
      </c>
      <c r="AM1718" s="21">
        <v>7643469</v>
      </c>
      <c r="AN1718" s="1058">
        <v>5348766</v>
      </c>
      <c r="AO1718" s="1058">
        <v>5348763</v>
      </c>
      <c r="AP1718" s="1058">
        <v>5348766</v>
      </c>
      <c r="AQ1718" s="1058">
        <v>5348764</v>
      </c>
      <c r="AR1718" s="1044"/>
      <c r="AS1718" s="1044"/>
    </row>
    <row r="1719" spans="3:45" ht="13.5" hidden="1" outlineLevel="1" thickBot="1">
      <c r="C1719" s="816" t="s">
        <v>16</v>
      </c>
      <c r="D1719" s="1113" t="s">
        <v>1200</v>
      </c>
      <c r="E1719" s="1122" t="s">
        <v>2219</v>
      </c>
      <c r="F1719" s="1114"/>
      <c r="G1719" s="6"/>
      <c r="H1719" s="6"/>
      <c r="I1719" s="6"/>
      <c r="J1719" s="6"/>
      <c r="K1719" s="6"/>
      <c r="L1719" s="6"/>
      <c r="M1719" s="6"/>
      <c r="N1719" s="6"/>
      <c r="O1719" s="6"/>
      <c r="P1719" s="6"/>
      <c r="Q1719" s="6"/>
      <c r="R1719" s="6"/>
      <c r="S1719" s="6"/>
      <c r="T1719" s="6"/>
      <c r="U1719" s="6"/>
      <c r="V1719" s="6"/>
      <c r="W1719" s="6"/>
      <c r="X1719" s="6"/>
      <c r="Y1719" s="6"/>
      <c r="Z1719" s="6"/>
      <c r="AA1719" s="6"/>
      <c r="AB1719" s="7">
        <v>11350053</v>
      </c>
      <c r="AC1719" s="7">
        <v>11350053</v>
      </c>
      <c r="AD1719" s="7">
        <v>11350053</v>
      </c>
      <c r="AE1719" s="7">
        <v>11350053</v>
      </c>
      <c r="AF1719" s="7">
        <f t="shared" ref="AF1719:AQ1719" si="335">SUM(AF1708:AF1718)</f>
        <v>13877026</v>
      </c>
      <c r="AG1719" s="7">
        <f t="shared" si="335"/>
        <v>13877026</v>
      </c>
      <c r="AH1719" s="7">
        <f t="shared" si="335"/>
        <v>10531132</v>
      </c>
      <c r="AI1719" s="7">
        <f t="shared" si="335"/>
        <v>10031132</v>
      </c>
      <c r="AJ1719" s="7">
        <f t="shared" si="335"/>
        <v>11881132</v>
      </c>
      <c r="AK1719" s="7">
        <f t="shared" si="335"/>
        <v>11881132</v>
      </c>
      <c r="AL1719" s="60">
        <f t="shared" si="335"/>
        <v>12881132</v>
      </c>
      <c r="AM1719" s="60">
        <f t="shared" si="335"/>
        <v>12381132</v>
      </c>
      <c r="AN1719" s="1074">
        <f t="shared" si="335"/>
        <v>12122134</v>
      </c>
      <c r="AO1719" s="1074">
        <f t="shared" si="335"/>
        <v>12122127</v>
      </c>
      <c r="AP1719" s="1074">
        <f t="shared" si="335"/>
        <v>13032909</v>
      </c>
      <c r="AQ1719" s="1074">
        <f t="shared" si="335"/>
        <v>13032902</v>
      </c>
      <c r="AR1719" s="1044"/>
      <c r="AS1719" s="1044"/>
    </row>
    <row r="1720" spans="3:45" hidden="1" outlineLevel="1">
      <c r="C1720" s="816" t="s">
        <v>16</v>
      </c>
      <c r="D1720" s="1112"/>
      <c r="E1720" s="1117" t="s">
        <v>421</v>
      </c>
      <c r="F1720" s="638"/>
      <c r="G1720" s="20"/>
      <c r="H1720" s="20"/>
      <c r="I1720" s="20"/>
      <c r="J1720" s="20"/>
      <c r="K1720" s="20"/>
      <c r="L1720" s="20"/>
      <c r="M1720" s="20"/>
      <c r="N1720" s="20"/>
      <c r="O1720" s="20"/>
      <c r="P1720" s="20"/>
      <c r="Q1720" s="20"/>
      <c r="R1720" s="20"/>
      <c r="S1720" s="20"/>
      <c r="T1720" s="20"/>
      <c r="U1720" s="20"/>
      <c r="V1720" s="20"/>
      <c r="W1720" s="20"/>
      <c r="X1720" s="20"/>
      <c r="Y1720" s="20"/>
      <c r="Z1720" s="20"/>
      <c r="AA1720" s="20"/>
      <c r="AB1720" s="12">
        <v>216613</v>
      </c>
      <c r="AC1720" s="12">
        <v>0</v>
      </c>
      <c r="AD1720" s="12">
        <v>108307</v>
      </c>
      <c r="AE1720" s="12">
        <v>108306</v>
      </c>
      <c r="AF1720" s="12">
        <v>108307</v>
      </c>
      <c r="AG1720" s="12">
        <v>108306</v>
      </c>
      <c r="AH1720" s="12">
        <v>81230</v>
      </c>
      <c r="AI1720" s="12">
        <v>81230</v>
      </c>
      <c r="AJ1720" s="12">
        <v>81230</v>
      </c>
      <c r="AK1720" s="12">
        <v>81230</v>
      </c>
      <c r="AL1720" s="12">
        <v>81230</v>
      </c>
      <c r="AM1720" s="12">
        <v>81230</v>
      </c>
      <c r="AN1720" s="1070">
        <v>37041</v>
      </c>
      <c r="AO1720" s="1070">
        <v>37040</v>
      </c>
      <c r="AP1720" s="1070">
        <v>33336</v>
      </c>
      <c r="AQ1720" s="1070">
        <v>33336</v>
      </c>
      <c r="AR1720" s="1044"/>
      <c r="AS1720" s="1044"/>
    </row>
    <row r="1721" spans="3:45" hidden="1" outlineLevel="1">
      <c r="C1721" s="816" t="s">
        <v>16</v>
      </c>
      <c r="D1721" s="1112"/>
      <c r="E1721" s="1119" t="s">
        <v>1482</v>
      </c>
      <c r="F1721" s="638"/>
      <c r="G1721" s="20"/>
      <c r="H1721" s="20"/>
      <c r="I1721" s="20"/>
      <c r="J1721" s="20"/>
      <c r="K1721" s="20"/>
      <c r="L1721" s="20"/>
      <c r="M1721" s="20"/>
      <c r="N1721" s="20"/>
      <c r="O1721" s="20"/>
      <c r="P1721" s="20"/>
      <c r="Q1721" s="20"/>
      <c r="R1721" s="20"/>
      <c r="S1721" s="20"/>
      <c r="T1721" s="20"/>
      <c r="U1721" s="20"/>
      <c r="V1721" s="20"/>
      <c r="W1721" s="20"/>
      <c r="X1721" s="20"/>
      <c r="Y1721" s="20"/>
      <c r="Z1721" s="20"/>
      <c r="AA1721" s="20"/>
      <c r="AB1721" s="12">
        <v>275689</v>
      </c>
      <c r="AC1721" s="12">
        <v>0</v>
      </c>
      <c r="AD1721" s="12">
        <v>0</v>
      </c>
      <c r="AE1721" s="12">
        <v>0</v>
      </c>
      <c r="AF1721" s="12"/>
      <c r="AG1721" s="12"/>
      <c r="AH1721" s="12"/>
      <c r="AI1721" s="12"/>
      <c r="AJ1721" s="12"/>
      <c r="AK1721" s="12"/>
      <c r="AL1721" s="12"/>
      <c r="AM1721" s="12"/>
      <c r="AN1721" s="1070"/>
      <c r="AO1721" s="1070"/>
      <c r="AP1721" s="1070"/>
      <c r="AQ1721" s="1070"/>
      <c r="AR1721" s="1044"/>
      <c r="AS1721" s="1044"/>
    </row>
    <row r="1722" spans="3:45" hidden="1" outlineLevel="1">
      <c r="C1722" s="816" t="s">
        <v>16</v>
      </c>
      <c r="D1722" s="1112"/>
      <c r="E1722" s="1118" t="s">
        <v>422</v>
      </c>
      <c r="F1722" s="638"/>
      <c r="G1722" s="20"/>
      <c r="H1722" s="20"/>
      <c r="I1722" s="20"/>
      <c r="J1722" s="20"/>
      <c r="K1722" s="20"/>
      <c r="L1722" s="20"/>
      <c r="M1722" s="20"/>
      <c r="N1722" s="20"/>
      <c r="O1722" s="20"/>
      <c r="P1722" s="20"/>
      <c r="Q1722" s="20"/>
      <c r="R1722" s="20"/>
      <c r="S1722" s="20"/>
      <c r="T1722" s="20"/>
      <c r="U1722" s="20"/>
      <c r="V1722" s="20"/>
      <c r="W1722" s="20"/>
      <c r="X1722" s="20"/>
      <c r="Y1722" s="20"/>
      <c r="Z1722" s="20"/>
      <c r="AA1722" s="20"/>
      <c r="AB1722" s="12">
        <v>2047975</v>
      </c>
      <c r="AC1722" s="12">
        <v>1255245</v>
      </c>
      <c r="AD1722" s="12">
        <v>5000000</v>
      </c>
      <c r="AE1722" s="12">
        <v>5000000</v>
      </c>
      <c r="AF1722" s="12">
        <v>8138652</v>
      </c>
      <c r="AG1722" s="12">
        <v>8138652</v>
      </c>
      <c r="AH1722" s="12"/>
      <c r="AI1722" s="12"/>
      <c r="AJ1722" s="22"/>
      <c r="AK1722" s="22"/>
      <c r="AL1722" s="22"/>
      <c r="AM1722" s="22"/>
      <c r="AN1722" s="1059"/>
      <c r="AO1722" s="1059"/>
      <c r="AP1722" s="1059"/>
      <c r="AQ1722" s="1059"/>
      <c r="AR1722" s="1044"/>
      <c r="AS1722" s="1044"/>
    </row>
    <row r="1723" spans="3:45" hidden="1" outlineLevel="1">
      <c r="C1723" s="816" t="s">
        <v>16</v>
      </c>
      <c r="D1723" s="1112"/>
      <c r="E1723" s="1118" t="s">
        <v>423</v>
      </c>
      <c r="F1723" s="638"/>
      <c r="G1723" s="20"/>
      <c r="H1723" s="20"/>
      <c r="I1723" s="20"/>
      <c r="J1723" s="20"/>
      <c r="K1723" s="20"/>
      <c r="L1723" s="20"/>
      <c r="M1723" s="20"/>
      <c r="N1723" s="20"/>
      <c r="O1723" s="20"/>
      <c r="P1723" s="20"/>
      <c r="Q1723" s="20"/>
      <c r="R1723" s="20"/>
      <c r="S1723" s="20"/>
      <c r="T1723" s="20"/>
      <c r="U1723" s="20"/>
      <c r="V1723" s="20"/>
      <c r="W1723" s="20"/>
      <c r="X1723" s="20"/>
      <c r="Y1723" s="20"/>
      <c r="Z1723" s="20"/>
      <c r="AA1723" s="20"/>
      <c r="AB1723" s="12"/>
      <c r="AC1723" s="12"/>
      <c r="AD1723" s="12"/>
      <c r="AE1723" s="12"/>
      <c r="AF1723" s="12"/>
      <c r="AG1723" s="12"/>
      <c r="AH1723" s="12"/>
      <c r="AI1723" s="12"/>
      <c r="AJ1723" s="21">
        <v>750000</v>
      </c>
      <c r="AK1723" s="21">
        <v>750000</v>
      </c>
      <c r="AL1723" s="21">
        <v>750000</v>
      </c>
      <c r="AM1723" s="21">
        <v>750000</v>
      </c>
      <c r="AN1723" s="1058">
        <v>515667</v>
      </c>
      <c r="AO1723" s="1058">
        <v>515667</v>
      </c>
      <c r="AP1723" s="1058">
        <v>464100</v>
      </c>
      <c r="AQ1723" s="1058">
        <v>464100</v>
      </c>
      <c r="AR1723" s="1044"/>
      <c r="AS1723" s="1044"/>
    </row>
    <row r="1724" spans="3:45" hidden="1" outlineLevel="1">
      <c r="C1724" s="816" t="s">
        <v>16</v>
      </c>
      <c r="D1724" s="1113" t="s">
        <v>1254</v>
      </c>
      <c r="E1724" s="1120" t="s">
        <v>424</v>
      </c>
      <c r="F1724" s="638"/>
      <c r="G1724" s="20"/>
      <c r="H1724" s="20"/>
      <c r="I1724" s="20"/>
      <c r="J1724" s="20"/>
      <c r="K1724" s="20"/>
      <c r="L1724" s="20"/>
      <c r="M1724" s="20"/>
      <c r="N1724" s="20"/>
      <c r="O1724" s="20"/>
      <c r="P1724" s="20"/>
      <c r="Q1724" s="20"/>
      <c r="R1724" s="20"/>
      <c r="S1724" s="20"/>
      <c r="T1724" s="20"/>
      <c r="U1724" s="20"/>
      <c r="V1724" s="20"/>
      <c r="W1724" s="20"/>
      <c r="X1724" s="20"/>
      <c r="Y1724" s="20"/>
      <c r="Z1724" s="20"/>
      <c r="AA1724" s="20"/>
      <c r="AB1724" s="12">
        <v>667045</v>
      </c>
      <c r="AC1724" s="12">
        <v>664373</v>
      </c>
      <c r="AD1724" s="12">
        <v>667045</v>
      </c>
      <c r="AE1724" s="12">
        <v>664373</v>
      </c>
      <c r="AF1724" s="12">
        <v>667045</v>
      </c>
      <c r="AG1724" s="12">
        <v>664373</v>
      </c>
      <c r="AH1724" s="12">
        <v>500284</v>
      </c>
      <c r="AI1724" s="12">
        <v>498280</v>
      </c>
      <c r="AJ1724" s="21">
        <v>600284</v>
      </c>
      <c r="AK1724" s="21">
        <v>598280</v>
      </c>
      <c r="AL1724" s="21">
        <v>600284</v>
      </c>
      <c r="AM1724" s="1224">
        <v>598280</v>
      </c>
      <c r="AN1724" s="1058">
        <v>395559</v>
      </c>
      <c r="AO1724" s="1058">
        <v>395559</v>
      </c>
      <c r="AP1724" s="1058">
        <v>595559</v>
      </c>
      <c r="AQ1724" s="1058">
        <v>595559</v>
      </c>
      <c r="AR1724" s="1044"/>
      <c r="AS1724" s="1044"/>
    </row>
    <row r="1725" spans="3:45" hidden="1" outlineLevel="1">
      <c r="C1725" s="816" t="s">
        <v>16</v>
      </c>
      <c r="D1725" s="1113" t="s">
        <v>1254</v>
      </c>
      <c r="E1725" s="1120" t="s">
        <v>425</v>
      </c>
      <c r="F1725" s="638"/>
      <c r="G1725" s="20"/>
      <c r="H1725" s="20"/>
      <c r="I1725" s="20"/>
      <c r="J1725" s="20"/>
      <c r="K1725" s="20"/>
      <c r="L1725" s="20"/>
      <c r="M1725" s="20"/>
      <c r="N1725" s="20"/>
      <c r="O1725" s="20"/>
      <c r="P1725" s="20"/>
      <c r="Q1725" s="20"/>
      <c r="R1725" s="20"/>
      <c r="S1725" s="20"/>
      <c r="T1725" s="20"/>
      <c r="U1725" s="20"/>
      <c r="V1725" s="20"/>
      <c r="W1725" s="20"/>
      <c r="X1725" s="20"/>
      <c r="Y1725" s="20"/>
      <c r="Z1725" s="20"/>
      <c r="AA1725" s="20"/>
      <c r="AB1725" s="12">
        <v>279000</v>
      </c>
      <c r="AC1725" s="12">
        <v>279000</v>
      </c>
      <c r="AD1725" s="12">
        <v>341080</v>
      </c>
      <c r="AE1725" s="12">
        <v>279000</v>
      </c>
      <c r="AF1725" s="12">
        <v>341080</v>
      </c>
      <c r="AG1725" s="12">
        <v>279000</v>
      </c>
      <c r="AH1725" s="12">
        <v>240298</v>
      </c>
      <c r="AI1725" s="12">
        <v>240298</v>
      </c>
      <c r="AJ1725" s="21">
        <v>243402</v>
      </c>
      <c r="AK1725" s="21">
        <v>243402</v>
      </c>
      <c r="AL1725" s="21">
        <v>243402</v>
      </c>
      <c r="AM1725" s="21">
        <v>243402</v>
      </c>
      <c r="AN1725" s="1058">
        <v>144404</v>
      </c>
      <c r="AO1725" s="1058">
        <v>144403</v>
      </c>
      <c r="AP1725" s="1058">
        <v>144404</v>
      </c>
      <c r="AQ1725" s="1058">
        <v>144403</v>
      </c>
      <c r="AR1725" s="1044"/>
      <c r="AS1725" s="1044"/>
    </row>
    <row r="1726" spans="3:45" hidden="1" outlineLevel="1">
      <c r="C1726" s="816" t="s">
        <v>16</v>
      </c>
      <c r="D1726" s="1113" t="s">
        <v>1254</v>
      </c>
      <c r="E1726" s="1120" t="s">
        <v>426</v>
      </c>
      <c r="F1726" s="638"/>
      <c r="G1726" s="20"/>
      <c r="H1726" s="20"/>
      <c r="I1726" s="20"/>
      <c r="J1726" s="20"/>
      <c r="K1726" s="20"/>
      <c r="L1726" s="20"/>
      <c r="M1726" s="20"/>
      <c r="N1726" s="20"/>
      <c r="O1726" s="20"/>
      <c r="P1726" s="20"/>
      <c r="Q1726" s="20"/>
      <c r="R1726" s="20"/>
      <c r="S1726" s="20"/>
      <c r="T1726" s="20"/>
      <c r="U1726" s="20"/>
      <c r="V1726" s="20"/>
      <c r="W1726" s="20"/>
      <c r="X1726" s="20"/>
      <c r="Y1726" s="20"/>
      <c r="Z1726" s="20"/>
      <c r="AA1726" s="20"/>
      <c r="AB1726" s="12">
        <v>255000</v>
      </c>
      <c r="AC1726" s="12">
        <v>255000</v>
      </c>
      <c r="AD1726" s="12">
        <v>255000</v>
      </c>
      <c r="AE1726" s="12">
        <v>255000</v>
      </c>
      <c r="AF1726" s="12">
        <v>255000</v>
      </c>
      <c r="AG1726" s="12">
        <v>255000</v>
      </c>
      <c r="AH1726" s="12">
        <v>255000</v>
      </c>
      <c r="AI1726" s="12">
        <v>255000</v>
      </c>
      <c r="AJ1726" s="21">
        <v>280500</v>
      </c>
      <c r="AK1726" s="21">
        <v>280500</v>
      </c>
      <c r="AL1726" s="21">
        <v>280500</v>
      </c>
      <c r="AM1726" s="21">
        <v>280500</v>
      </c>
      <c r="AN1726" s="1058">
        <v>141590</v>
      </c>
      <c r="AO1726" s="1058">
        <v>141590</v>
      </c>
      <c r="AP1726" s="1058">
        <v>127431</v>
      </c>
      <c r="AQ1726" s="1058">
        <v>127431</v>
      </c>
      <c r="AR1726" s="1044"/>
      <c r="AS1726" s="1044"/>
    </row>
    <row r="1727" spans="3:45" hidden="1" outlineLevel="1">
      <c r="C1727" s="816" t="s">
        <v>16</v>
      </c>
      <c r="D1727" s="1112"/>
      <c r="E1727" s="1118" t="s">
        <v>427</v>
      </c>
      <c r="F1727" s="638"/>
      <c r="G1727" s="20"/>
      <c r="H1727" s="20"/>
      <c r="I1727" s="20"/>
      <c r="J1727" s="20"/>
      <c r="K1727" s="20"/>
      <c r="L1727" s="20"/>
      <c r="M1727" s="20"/>
      <c r="N1727" s="20"/>
      <c r="O1727" s="20"/>
      <c r="P1727" s="20"/>
      <c r="Q1727" s="20"/>
      <c r="R1727" s="20"/>
      <c r="S1727" s="20"/>
      <c r="T1727" s="20"/>
      <c r="U1727" s="20"/>
      <c r="V1727" s="20"/>
      <c r="W1727" s="20"/>
      <c r="X1727" s="20"/>
      <c r="Y1727" s="20"/>
      <c r="Z1727" s="20"/>
      <c r="AA1727" s="20"/>
      <c r="AB1727" s="12">
        <v>24514</v>
      </c>
      <c r="AC1727" s="12">
        <v>24415</v>
      </c>
      <c r="AD1727" s="12">
        <v>24514</v>
      </c>
      <c r="AE1727" s="12">
        <v>24415</v>
      </c>
      <c r="AF1727" s="12">
        <v>24514</v>
      </c>
      <c r="AG1727" s="12">
        <v>24415</v>
      </c>
      <c r="AH1727" s="12">
        <v>18386</v>
      </c>
      <c r="AI1727" s="12">
        <v>18311</v>
      </c>
      <c r="AJ1727" s="21">
        <v>18386</v>
      </c>
      <c r="AK1727" s="21">
        <v>18311</v>
      </c>
      <c r="AL1727" s="21">
        <v>18311</v>
      </c>
      <c r="AM1727" s="21">
        <v>18311</v>
      </c>
      <c r="AN1727" s="1058">
        <v>12110</v>
      </c>
      <c r="AO1727" s="1058">
        <v>12110</v>
      </c>
      <c r="AP1727" s="1058">
        <v>12110</v>
      </c>
      <c r="AQ1727" s="1058">
        <v>12110</v>
      </c>
      <c r="AR1727" s="1044"/>
      <c r="AS1727" s="1044"/>
    </row>
    <row r="1728" spans="3:45" hidden="1" outlineLevel="1">
      <c r="C1728" s="816" t="s">
        <v>16</v>
      </c>
      <c r="D1728" s="1112"/>
      <c r="E1728" s="1118" t="s">
        <v>428</v>
      </c>
      <c r="F1728" s="638"/>
      <c r="G1728" s="20"/>
      <c r="H1728" s="20"/>
      <c r="I1728" s="20"/>
      <c r="J1728" s="20"/>
      <c r="K1728" s="20"/>
      <c r="L1728" s="20"/>
      <c r="M1728" s="20"/>
      <c r="N1728" s="20"/>
      <c r="O1728" s="20"/>
      <c r="P1728" s="20"/>
      <c r="Q1728" s="20"/>
      <c r="R1728" s="20"/>
      <c r="S1728" s="20"/>
      <c r="T1728" s="20"/>
      <c r="U1728" s="20"/>
      <c r="V1728" s="20"/>
      <c r="W1728" s="20"/>
      <c r="X1728" s="20"/>
      <c r="Y1728" s="20"/>
      <c r="Z1728" s="20"/>
      <c r="AA1728" s="20"/>
      <c r="AB1728" s="12">
        <v>98460</v>
      </c>
      <c r="AC1728" s="12">
        <v>98066</v>
      </c>
      <c r="AD1728" s="12">
        <v>98460</v>
      </c>
      <c r="AE1728" s="12">
        <v>98066</v>
      </c>
      <c r="AF1728" s="12">
        <v>98460</v>
      </c>
      <c r="AG1728" s="12">
        <v>98066</v>
      </c>
      <c r="AH1728" s="12">
        <v>73845</v>
      </c>
      <c r="AI1728" s="12">
        <v>73550</v>
      </c>
      <c r="AJ1728" s="21">
        <v>73845</v>
      </c>
      <c r="AK1728" s="21">
        <v>73550</v>
      </c>
      <c r="AL1728" s="21">
        <v>73550</v>
      </c>
      <c r="AM1728" s="21">
        <v>73550</v>
      </c>
      <c r="AN1728" s="1058">
        <v>48645</v>
      </c>
      <c r="AO1728" s="1058">
        <v>48644</v>
      </c>
      <c r="AP1728" s="1058">
        <v>48645</v>
      </c>
      <c r="AQ1728" s="1058">
        <v>48644</v>
      </c>
      <c r="AR1728" s="1044"/>
      <c r="AS1728" s="1044"/>
    </row>
    <row r="1729" spans="2:45" hidden="1" outlineLevel="1">
      <c r="C1729" s="816" t="s">
        <v>16</v>
      </c>
      <c r="D1729" s="1113" t="s">
        <v>1354</v>
      </c>
      <c r="E1729" s="1118" t="s">
        <v>429</v>
      </c>
      <c r="F1729" s="638"/>
      <c r="G1729" s="20"/>
      <c r="H1729" s="20"/>
      <c r="I1729" s="20"/>
      <c r="J1729" s="20"/>
      <c r="K1729" s="20"/>
      <c r="L1729" s="20"/>
      <c r="M1729" s="20"/>
      <c r="N1729" s="20"/>
      <c r="O1729" s="20"/>
      <c r="P1729" s="20"/>
      <c r="Q1729" s="20"/>
      <c r="R1729" s="20"/>
      <c r="S1729" s="20"/>
      <c r="T1729" s="20"/>
      <c r="U1729" s="20"/>
      <c r="V1729" s="20"/>
      <c r="W1729" s="20"/>
      <c r="X1729" s="20"/>
      <c r="Y1729" s="20"/>
      <c r="Z1729" s="20"/>
      <c r="AA1729" s="20"/>
      <c r="AB1729" s="12">
        <v>7078723</v>
      </c>
      <c r="AC1729" s="12">
        <v>7054611</v>
      </c>
      <c r="AD1729" s="12">
        <v>7077218</v>
      </c>
      <c r="AE1729" s="12">
        <v>7056116</v>
      </c>
      <c r="AF1729" s="12">
        <v>7129989</v>
      </c>
      <c r="AG1729" s="12">
        <v>7109989</v>
      </c>
      <c r="AH1729" s="12">
        <v>5012738</v>
      </c>
      <c r="AI1729" s="12">
        <v>5012813</v>
      </c>
      <c r="AJ1729" s="21">
        <v>5549738</v>
      </c>
      <c r="AK1729" s="21">
        <v>5515813</v>
      </c>
      <c r="AL1729" s="21">
        <v>5515813</v>
      </c>
      <c r="AM1729" s="21">
        <v>5515813</v>
      </c>
      <c r="AN1729" s="1058">
        <v>3796451</v>
      </c>
      <c r="AO1729" s="1058">
        <v>3796451</v>
      </c>
      <c r="AP1729" s="1058">
        <v>10537974</v>
      </c>
      <c r="AQ1729" s="1058">
        <v>10537973</v>
      </c>
      <c r="AR1729" s="1044"/>
      <c r="AS1729" s="1044"/>
    </row>
    <row r="1730" spans="2:45" ht="13.5" hidden="1" outlineLevel="1" thickBot="1">
      <c r="C1730" s="816" t="s">
        <v>16</v>
      </c>
      <c r="D1730" s="1113" t="s">
        <v>1200</v>
      </c>
      <c r="E1730" s="1122" t="s">
        <v>2220</v>
      </c>
      <c r="F1730" s="1114"/>
      <c r="G1730" s="6"/>
      <c r="H1730" s="6"/>
      <c r="I1730" s="6"/>
      <c r="J1730" s="6"/>
      <c r="K1730" s="6"/>
      <c r="L1730" s="6"/>
      <c r="M1730" s="6"/>
      <c r="N1730" s="6"/>
      <c r="O1730" s="6"/>
      <c r="P1730" s="6"/>
      <c r="Q1730" s="6"/>
      <c r="R1730" s="6"/>
      <c r="S1730" s="6"/>
      <c r="T1730" s="6"/>
      <c r="U1730" s="6"/>
      <c r="V1730" s="6"/>
      <c r="W1730" s="6"/>
      <c r="X1730" s="6"/>
      <c r="Y1730" s="6"/>
      <c r="Z1730" s="6"/>
      <c r="AA1730" s="6"/>
      <c r="AB1730" s="7">
        <v>10943019</v>
      </c>
      <c r="AC1730" s="7">
        <v>9630710</v>
      </c>
      <c r="AD1730" s="7">
        <v>13571624</v>
      </c>
      <c r="AE1730" s="7">
        <v>13485276</v>
      </c>
      <c r="AF1730" s="7">
        <f t="shared" ref="AF1730:AQ1730" si="336">SUM(AF1720:AF1729)</f>
        <v>16763047</v>
      </c>
      <c r="AG1730" s="7">
        <f t="shared" si="336"/>
        <v>16677801</v>
      </c>
      <c r="AH1730" s="7">
        <f t="shared" si="336"/>
        <v>6181781</v>
      </c>
      <c r="AI1730" s="7">
        <f t="shared" si="336"/>
        <v>6179482</v>
      </c>
      <c r="AJ1730" s="7">
        <f t="shared" si="336"/>
        <v>7597385</v>
      </c>
      <c r="AK1730" s="7">
        <f t="shared" si="336"/>
        <v>7561086</v>
      </c>
      <c r="AL1730" s="60">
        <f t="shared" si="336"/>
        <v>7563090</v>
      </c>
      <c r="AM1730" s="60">
        <f t="shared" si="336"/>
        <v>7561086</v>
      </c>
      <c r="AN1730" s="1074">
        <f t="shared" si="336"/>
        <v>5091467</v>
      </c>
      <c r="AO1730" s="1074">
        <f t="shared" si="336"/>
        <v>5091464</v>
      </c>
      <c r="AP1730" s="1074">
        <f t="shared" si="336"/>
        <v>11963559</v>
      </c>
      <c r="AQ1730" s="1074">
        <f t="shared" si="336"/>
        <v>11963556</v>
      </c>
      <c r="AR1730" s="1044"/>
      <c r="AS1730" s="1044"/>
    </row>
    <row r="1731" spans="2:45" hidden="1" outlineLevel="1">
      <c r="C1731" s="816" t="s">
        <v>16</v>
      </c>
      <c r="D1731" s="1112"/>
      <c r="E1731" s="1123" t="s">
        <v>1943</v>
      </c>
      <c r="F1731" s="638"/>
      <c r="G1731" s="20"/>
      <c r="H1731" s="20"/>
      <c r="I1731" s="20"/>
      <c r="J1731" s="20"/>
      <c r="K1731" s="20"/>
      <c r="L1731" s="20"/>
      <c r="M1731" s="20"/>
      <c r="N1731" s="20"/>
      <c r="O1731" s="20"/>
      <c r="P1731" s="20"/>
      <c r="Q1731" s="20"/>
      <c r="R1731" s="20"/>
      <c r="S1731" s="20"/>
      <c r="T1731" s="20"/>
      <c r="U1731" s="20"/>
      <c r="V1731" s="20"/>
      <c r="W1731" s="20"/>
      <c r="X1731" s="20"/>
      <c r="Y1731" s="20"/>
      <c r="Z1731" s="20"/>
      <c r="AA1731" s="20"/>
      <c r="AB1731" s="12"/>
      <c r="AC1731" s="12"/>
      <c r="AD1731" s="12"/>
      <c r="AE1731" s="12"/>
      <c r="AF1731" s="12">
        <v>0</v>
      </c>
      <c r="AG1731" s="12">
        <v>0</v>
      </c>
      <c r="AH1731" s="12">
        <v>5798825</v>
      </c>
      <c r="AI1731" s="12">
        <v>5798825</v>
      </c>
      <c r="AJ1731" s="21">
        <v>5798825</v>
      </c>
      <c r="AK1731" s="21">
        <v>5798825</v>
      </c>
      <c r="AL1731" s="21">
        <v>5798825</v>
      </c>
      <c r="AM1731" s="21">
        <v>5798825</v>
      </c>
      <c r="AN1731" s="1058">
        <v>4026037</v>
      </c>
      <c r="AO1731" s="1058">
        <v>4026036</v>
      </c>
      <c r="AP1731" s="1058">
        <v>6599405</v>
      </c>
      <c r="AQ1731" s="1058">
        <v>6599405</v>
      </c>
      <c r="AR1731" s="1044"/>
      <c r="AS1731" s="1044"/>
    </row>
    <row r="1732" spans="2:45" hidden="1" outlineLevel="1">
      <c r="C1732" s="816" t="s">
        <v>16</v>
      </c>
      <c r="D1732" s="1112"/>
      <c r="E1732" s="1119" t="s">
        <v>1727</v>
      </c>
      <c r="F1732" s="638"/>
      <c r="G1732" s="20"/>
      <c r="H1732" s="20"/>
      <c r="I1732" s="20"/>
      <c r="J1732" s="20"/>
      <c r="K1732" s="20"/>
      <c r="L1732" s="20"/>
      <c r="M1732" s="20"/>
      <c r="N1732" s="20"/>
      <c r="O1732" s="20"/>
      <c r="P1732" s="20"/>
      <c r="Q1732" s="20"/>
      <c r="R1732" s="20"/>
      <c r="S1732" s="20"/>
      <c r="T1732" s="20"/>
      <c r="U1732" s="20"/>
      <c r="V1732" s="20"/>
      <c r="W1732" s="20"/>
      <c r="X1732" s="20"/>
      <c r="Y1732" s="20"/>
      <c r="Z1732" s="20"/>
      <c r="AA1732" s="20"/>
      <c r="AB1732" s="12"/>
      <c r="AC1732" s="12"/>
      <c r="AD1732" s="12"/>
      <c r="AE1732" s="12"/>
      <c r="AF1732" s="12"/>
      <c r="AG1732" s="12"/>
      <c r="AH1732" s="12"/>
      <c r="AI1732" s="12"/>
      <c r="AJ1732" s="21"/>
      <c r="AK1732" s="21"/>
      <c r="AL1732" s="21">
        <v>5500000</v>
      </c>
      <c r="AM1732" s="21">
        <v>5500000</v>
      </c>
      <c r="AN1732" s="1058">
        <v>3306636</v>
      </c>
      <c r="AO1732" s="1058">
        <v>3306635</v>
      </c>
      <c r="AP1732" s="1058"/>
      <c r="AQ1732" s="1058"/>
      <c r="AR1732" s="1044"/>
      <c r="AS1732" s="1044"/>
    </row>
    <row r="1733" spans="2:45" hidden="1" outlineLevel="1">
      <c r="C1733" s="816" t="s">
        <v>16</v>
      </c>
      <c r="D1733" s="1113" t="s">
        <v>1354</v>
      </c>
      <c r="E1733" s="1118" t="s">
        <v>431</v>
      </c>
      <c r="F1733" s="638"/>
      <c r="G1733" s="20"/>
      <c r="H1733" s="20"/>
      <c r="I1733" s="20"/>
      <c r="J1733" s="20"/>
      <c r="K1733" s="20"/>
      <c r="L1733" s="20"/>
      <c r="M1733" s="20"/>
      <c r="N1733" s="20"/>
      <c r="O1733" s="20"/>
      <c r="P1733" s="20"/>
      <c r="Q1733" s="20"/>
      <c r="R1733" s="20"/>
      <c r="S1733" s="20"/>
      <c r="T1733" s="20"/>
      <c r="U1733" s="20"/>
      <c r="V1733" s="20"/>
      <c r="W1733" s="20"/>
      <c r="X1733" s="20"/>
      <c r="Y1733" s="20"/>
      <c r="Z1733" s="20"/>
      <c r="AA1733" s="20"/>
      <c r="AB1733" s="12"/>
      <c r="AC1733" s="12"/>
      <c r="AD1733" s="12"/>
      <c r="AE1733" s="12"/>
      <c r="AF1733" s="12"/>
      <c r="AG1733" s="12"/>
      <c r="AH1733" s="12"/>
      <c r="AI1733" s="12"/>
      <c r="AJ1733" s="21">
        <v>500000</v>
      </c>
      <c r="AK1733" s="21">
        <v>500000</v>
      </c>
      <c r="AL1733" s="21">
        <v>500000</v>
      </c>
      <c r="AM1733" s="21">
        <v>500000</v>
      </c>
      <c r="AN1733" s="1058">
        <v>365413</v>
      </c>
      <c r="AO1733" s="1058">
        <v>365413</v>
      </c>
      <c r="AP1733" s="1058">
        <v>3516344</v>
      </c>
      <c r="AQ1733" s="1058">
        <v>3516344</v>
      </c>
      <c r="AR1733" s="1044"/>
      <c r="AS1733" s="1044"/>
    </row>
    <row r="1734" spans="2:45" ht="13.5" hidden="1" outlineLevel="1" thickBot="1">
      <c r="C1734" s="816" t="s">
        <v>16</v>
      </c>
      <c r="D1734" s="1113" t="s">
        <v>1200</v>
      </c>
      <c r="E1734" s="1122" t="s">
        <v>2221</v>
      </c>
      <c r="F1734" s="1114"/>
      <c r="G1734" s="6"/>
      <c r="H1734" s="6"/>
      <c r="I1734" s="6"/>
      <c r="J1734" s="6"/>
      <c r="K1734" s="6"/>
      <c r="L1734" s="6"/>
      <c r="M1734" s="6"/>
      <c r="N1734" s="6"/>
      <c r="O1734" s="6"/>
      <c r="P1734" s="6"/>
      <c r="Q1734" s="6"/>
      <c r="R1734" s="6"/>
      <c r="S1734" s="6"/>
      <c r="T1734" s="6"/>
      <c r="U1734" s="6"/>
      <c r="V1734" s="6"/>
      <c r="W1734" s="6"/>
      <c r="X1734" s="6"/>
      <c r="Y1734" s="6"/>
      <c r="Z1734" s="6"/>
      <c r="AA1734" s="6"/>
      <c r="AB1734" s="7"/>
      <c r="AC1734" s="7"/>
      <c r="AD1734" s="7"/>
      <c r="AE1734" s="7"/>
      <c r="AF1734" s="7">
        <f>SUM(AF1731)</f>
        <v>0</v>
      </c>
      <c r="AG1734" s="7">
        <f>SUM(AG1731)</f>
        <v>0</v>
      </c>
      <c r="AH1734" s="7">
        <f>SUM(AH1731)</f>
        <v>5798825</v>
      </c>
      <c r="AI1734" s="7">
        <f>SUM(AI1731)</f>
        <v>5798825</v>
      </c>
      <c r="AJ1734" s="54">
        <f t="shared" ref="AJ1734:AQ1734" si="337">SUM(AJ1731:AJ1733)</f>
        <v>6298825</v>
      </c>
      <c r="AK1734" s="54">
        <f t="shared" si="337"/>
        <v>6298825</v>
      </c>
      <c r="AL1734" s="686">
        <f t="shared" si="337"/>
        <v>11798825</v>
      </c>
      <c r="AM1734" s="686">
        <f t="shared" si="337"/>
        <v>11798825</v>
      </c>
      <c r="AN1734" s="1068">
        <f t="shared" si="337"/>
        <v>7698086</v>
      </c>
      <c r="AO1734" s="1068">
        <f t="shared" si="337"/>
        <v>7698084</v>
      </c>
      <c r="AP1734" s="1068">
        <f t="shared" si="337"/>
        <v>10115749</v>
      </c>
      <c r="AQ1734" s="1068">
        <f t="shared" si="337"/>
        <v>10115749</v>
      </c>
      <c r="AR1734" s="1044"/>
      <c r="AS1734" s="1044"/>
    </row>
    <row r="1735" spans="2:45" hidden="1" outlineLevel="1">
      <c r="C1735" s="816" t="s">
        <v>16</v>
      </c>
      <c r="D1735" s="1112"/>
      <c r="E1735" s="1117" t="s">
        <v>432</v>
      </c>
      <c r="F1735" s="638"/>
      <c r="G1735" s="20"/>
      <c r="H1735" s="20"/>
      <c r="I1735" s="20"/>
      <c r="J1735" s="20"/>
      <c r="K1735" s="20"/>
      <c r="L1735" s="20"/>
      <c r="M1735" s="20"/>
      <c r="N1735" s="20"/>
      <c r="O1735" s="20"/>
      <c r="P1735" s="20"/>
      <c r="Q1735" s="20"/>
      <c r="R1735" s="20"/>
      <c r="S1735" s="20"/>
      <c r="T1735" s="20"/>
      <c r="U1735" s="20"/>
      <c r="V1735" s="1132">
        <v>1000000</v>
      </c>
      <c r="W1735" s="1132">
        <v>1000000</v>
      </c>
      <c r="X1735" s="1132">
        <v>1750000</v>
      </c>
      <c r="Y1735" s="1132">
        <v>1750000</v>
      </c>
      <c r="Z1735" s="20"/>
      <c r="AA1735" s="20"/>
      <c r="AB1735" s="12">
        <v>1454687</v>
      </c>
      <c r="AC1735" s="12">
        <v>1454687</v>
      </c>
      <c r="AD1735" s="12">
        <v>1454687</v>
      </c>
      <c r="AE1735" s="12">
        <v>1454687</v>
      </c>
      <c r="AF1735" s="12">
        <v>1454687</v>
      </c>
      <c r="AG1735" s="12">
        <v>1454687</v>
      </c>
      <c r="AH1735" s="12">
        <v>1091015</v>
      </c>
      <c r="AI1735" s="12">
        <v>1091015</v>
      </c>
      <c r="AJ1735" s="22"/>
      <c r="AK1735" s="22"/>
      <c r="AL1735" s="22"/>
      <c r="AM1735" s="22"/>
      <c r="AN1735" s="1059"/>
      <c r="AO1735" s="1059"/>
      <c r="AP1735" s="1059"/>
      <c r="AQ1735" s="1059"/>
      <c r="AR1735" s="1044"/>
      <c r="AS1735" s="1044"/>
    </row>
    <row r="1736" spans="2:45" hidden="1" outlineLevel="1">
      <c r="C1736" s="816" t="s">
        <v>16</v>
      </c>
      <c r="D1736" s="1112"/>
      <c r="E1736" s="1118" t="s">
        <v>433</v>
      </c>
      <c r="F1736" s="638"/>
      <c r="G1736" s="20"/>
      <c r="H1736" s="20"/>
      <c r="I1736" s="20"/>
      <c r="J1736" s="20"/>
      <c r="K1736" s="20"/>
      <c r="L1736" s="20"/>
      <c r="M1736" s="20"/>
      <c r="N1736" s="20"/>
      <c r="O1736" s="20"/>
      <c r="P1736" s="20"/>
      <c r="Q1736" s="20"/>
      <c r="R1736" s="20"/>
      <c r="S1736" s="20"/>
      <c r="T1736" s="20"/>
      <c r="U1736" s="20"/>
      <c r="V1736" s="20"/>
      <c r="W1736" s="20"/>
      <c r="X1736" s="20"/>
      <c r="Y1736" s="20"/>
      <c r="Z1736" s="20"/>
      <c r="AA1736" s="20"/>
      <c r="AB1736" s="12"/>
      <c r="AC1736" s="12"/>
      <c r="AD1736" s="12"/>
      <c r="AE1736" s="12"/>
      <c r="AF1736" s="12"/>
      <c r="AG1736" s="12"/>
      <c r="AH1736" s="12"/>
      <c r="AI1736" s="12"/>
      <c r="AJ1736" s="21">
        <v>1841015</v>
      </c>
      <c r="AK1736" s="21">
        <v>1841015</v>
      </c>
      <c r="AL1736" s="21">
        <v>1841015</v>
      </c>
      <c r="AM1736" s="21">
        <v>1841015</v>
      </c>
      <c r="AN1736" s="1058">
        <v>1034274</v>
      </c>
      <c r="AO1736" s="1058">
        <v>1034273</v>
      </c>
      <c r="AP1736" s="1058">
        <v>1034274</v>
      </c>
      <c r="AQ1736" s="1058">
        <v>1034273</v>
      </c>
      <c r="AR1736" s="1044"/>
      <c r="AS1736" s="1044"/>
    </row>
    <row r="1737" spans="2:45" hidden="1" outlineLevel="1">
      <c r="C1737" s="816" t="s">
        <v>16</v>
      </c>
      <c r="D1737" s="1112"/>
      <c r="E1737" s="1118" t="s">
        <v>434</v>
      </c>
      <c r="F1737" s="638"/>
      <c r="G1737" s="20"/>
      <c r="H1737" s="20"/>
      <c r="I1737" s="20"/>
      <c r="J1737" s="20"/>
      <c r="K1737" s="20"/>
      <c r="L1737" s="20"/>
      <c r="M1737" s="20"/>
      <c r="N1737" s="20"/>
      <c r="O1737" s="20"/>
      <c r="P1737" s="20"/>
      <c r="Q1737" s="20"/>
      <c r="R1737" s="20"/>
      <c r="S1737" s="20"/>
      <c r="T1737" s="20"/>
      <c r="U1737" s="20"/>
      <c r="V1737" s="20"/>
      <c r="W1737" s="20"/>
      <c r="X1737" s="20"/>
      <c r="Y1737" s="20"/>
      <c r="Z1737" s="20"/>
      <c r="AA1737" s="20"/>
      <c r="AB1737" s="12">
        <v>269712</v>
      </c>
      <c r="AC1737" s="12">
        <v>269712</v>
      </c>
      <c r="AD1737" s="12">
        <v>269712</v>
      </c>
      <c r="AE1737" s="12">
        <v>269712</v>
      </c>
      <c r="AF1737" s="12">
        <v>269712</v>
      </c>
      <c r="AG1737" s="12">
        <v>269712</v>
      </c>
      <c r="AH1737" s="12">
        <v>195027</v>
      </c>
      <c r="AI1737" s="12">
        <v>195027</v>
      </c>
      <c r="AJ1737" s="21">
        <v>195027</v>
      </c>
      <c r="AK1737" s="21">
        <v>195027</v>
      </c>
      <c r="AL1737" s="21">
        <v>195027</v>
      </c>
      <c r="AM1737" s="21">
        <v>195027</v>
      </c>
      <c r="AN1737" s="1058">
        <v>131459</v>
      </c>
      <c r="AO1737" s="1058">
        <v>131458</v>
      </c>
      <c r="AP1737" s="1058">
        <v>131459</v>
      </c>
      <c r="AQ1737" s="1058">
        <v>131458</v>
      </c>
      <c r="AR1737" s="1044"/>
      <c r="AS1737" s="1044"/>
    </row>
    <row r="1738" spans="2:45" hidden="1" outlineLevel="1">
      <c r="C1738" s="816" t="s">
        <v>16</v>
      </c>
      <c r="D1738" s="1112"/>
      <c r="E1738" s="1118" t="s">
        <v>435</v>
      </c>
      <c r="F1738" s="638"/>
      <c r="G1738" s="20"/>
      <c r="H1738" s="20"/>
      <c r="I1738" s="20"/>
      <c r="J1738" s="20"/>
      <c r="K1738" s="20"/>
      <c r="L1738" s="20"/>
      <c r="M1738" s="20"/>
      <c r="N1738" s="20"/>
      <c r="O1738" s="20"/>
      <c r="P1738" s="20"/>
      <c r="Q1738" s="20"/>
      <c r="R1738" s="20"/>
      <c r="S1738" s="20"/>
      <c r="T1738" s="20"/>
      <c r="U1738" s="20"/>
      <c r="V1738" s="20"/>
      <c r="W1738" s="20"/>
      <c r="X1738" s="20"/>
      <c r="Y1738" s="20"/>
      <c r="Z1738" s="20"/>
      <c r="AA1738" s="20"/>
      <c r="AB1738" s="12"/>
      <c r="AC1738" s="12"/>
      <c r="AD1738" s="12">
        <v>150000</v>
      </c>
      <c r="AE1738" s="12">
        <v>150000</v>
      </c>
      <c r="AF1738" s="12">
        <v>165000</v>
      </c>
      <c r="AG1738" s="12">
        <v>165000</v>
      </c>
      <c r="AH1738" s="12">
        <v>165000</v>
      </c>
      <c r="AI1738" s="12">
        <v>165000</v>
      </c>
      <c r="AJ1738" s="21">
        <v>181500</v>
      </c>
      <c r="AK1738" s="21">
        <v>181500</v>
      </c>
      <c r="AL1738" s="21">
        <v>181500</v>
      </c>
      <c r="AM1738" s="21">
        <v>181500</v>
      </c>
      <c r="AN1738" s="1058">
        <v>119381</v>
      </c>
      <c r="AO1738" s="1058">
        <v>119380</v>
      </c>
      <c r="AP1738" s="1058">
        <v>119381</v>
      </c>
      <c r="AQ1738" s="1058">
        <v>119380</v>
      </c>
      <c r="AR1738" s="1044"/>
      <c r="AS1738" s="1044"/>
    </row>
    <row r="1739" spans="2:45" hidden="1" outlineLevel="1">
      <c r="C1739" s="816" t="s">
        <v>16</v>
      </c>
      <c r="D1739" s="1113" t="s">
        <v>1354</v>
      </c>
      <c r="E1739" s="1118" t="s">
        <v>436</v>
      </c>
      <c r="F1739" s="638"/>
      <c r="G1739" s="20"/>
      <c r="H1739" s="20"/>
      <c r="I1739" s="20"/>
      <c r="J1739" s="20"/>
      <c r="K1739" s="20"/>
      <c r="L1739" s="20"/>
      <c r="M1739" s="20"/>
      <c r="N1739" s="20"/>
      <c r="O1739" s="20"/>
      <c r="P1739" s="20"/>
      <c r="Q1739" s="20"/>
      <c r="R1739" s="20"/>
      <c r="S1739" s="20"/>
      <c r="T1739" s="20"/>
      <c r="U1739" s="20"/>
      <c r="V1739" s="1132">
        <v>5872337</v>
      </c>
      <c r="W1739" s="1132">
        <v>5872337</v>
      </c>
      <c r="X1739" s="1132">
        <v>7372337</v>
      </c>
      <c r="Y1739" s="1132">
        <v>7372337</v>
      </c>
      <c r="Z1739" s="20"/>
      <c r="AA1739" s="20"/>
      <c r="AB1739" s="12">
        <v>7813300</v>
      </c>
      <c r="AC1739" s="12">
        <v>7813300</v>
      </c>
      <c r="AD1739" s="12">
        <v>7813300</v>
      </c>
      <c r="AE1739" s="12">
        <v>7813300</v>
      </c>
      <c r="AF1739" s="12">
        <v>7804159</v>
      </c>
      <c r="AG1739" s="12">
        <v>7804159</v>
      </c>
      <c r="AH1739" s="12">
        <v>5426726</v>
      </c>
      <c r="AI1739" s="12">
        <v>5426726</v>
      </c>
      <c r="AJ1739" s="21">
        <v>5926726</v>
      </c>
      <c r="AK1739" s="21">
        <v>5926726</v>
      </c>
      <c r="AL1739" s="21">
        <v>5926726</v>
      </c>
      <c r="AM1739" s="21">
        <v>5926726</v>
      </c>
      <c r="AN1739" s="1058">
        <v>4331407</v>
      </c>
      <c r="AO1739" s="1058">
        <v>4331406</v>
      </c>
      <c r="AP1739" s="1058">
        <v>4331407</v>
      </c>
      <c r="AQ1739" s="1058">
        <v>4331406</v>
      </c>
      <c r="AR1739" s="1044"/>
      <c r="AS1739" s="1044"/>
    </row>
    <row r="1740" spans="2:45" hidden="1" outlineLevel="1">
      <c r="C1740" s="816" t="s">
        <v>16</v>
      </c>
      <c r="D1740" s="1112"/>
      <c r="E1740" s="1118" t="s">
        <v>437</v>
      </c>
      <c r="F1740" s="638"/>
      <c r="G1740" s="20"/>
      <c r="H1740" s="20"/>
      <c r="I1740" s="20"/>
      <c r="J1740" s="20"/>
      <c r="K1740" s="20"/>
      <c r="L1740" s="20"/>
      <c r="M1740" s="20"/>
      <c r="N1740" s="20"/>
      <c r="O1740" s="20"/>
      <c r="P1740" s="20"/>
      <c r="Q1740" s="20"/>
      <c r="R1740" s="20"/>
      <c r="S1740" s="20"/>
      <c r="T1740" s="20"/>
      <c r="U1740" s="20"/>
      <c r="V1740" s="20"/>
      <c r="W1740" s="20"/>
      <c r="X1740" s="20"/>
      <c r="Y1740" s="20"/>
      <c r="Z1740" s="20"/>
      <c r="AA1740" s="20"/>
      <c r="AB1740" s="12"/>
      <c r="AC1740" s="12"/>
      <c r="AD1740" s="12">
        <v>1000000</v>
      </c>
      <c r="AE1740" s="12">
        <v>1000000</v>
      </c>
      <c r="AF1740" s="12">
        <v>1000000</v>
      </c>
      <c r="AG1740" s="12">
        <v>1000000</v>
      </c>
      <c r="AH1740" s="12">
        <v>750000</v>
      </c>
      <c r="AI1740" s="12">
        <v>750000</v>
      </c>
      <c r="AJ1740" s="12"/>
      <c r="AK1740" s="12"/>
      <c r="AL1740" s="12"/>
      <c r="AM1740" s="12"/>
      <c r="AN1740" s="1070"/>
      <c r="AO1740" s="1070"/>
      <c r="AP1740" s="1070"/>
      <c r="AQ1740" s="1070"/>
      <c r="AR1740" s="1044"/>
      <c r="AS1740" s="1044"/>
    </row>
    <row r="1741" spans="2:45" hidden="1" outlineLevel="1">
      <c r="C1741" s="816" t="s">
        <v>16</v>
      </c>
      <c r="D1741" s="1112"/>
      <c r="E1741" s="1118" t="s">
        <v>438</v>
      </c>
      <c r="F1741" s="638"/>
      <c r="G1741" s="20"/>
      <c r="H1741" s="20"/>
      <c r="I1741" s="20"/>
      <c r="J1741" s="20"/>
      <c r="K1741" s="20"/>
      <c r="L1741" s="20"/>
      <c r="M1741" s="20"/>
      <c r="N1741" s="20"/>
      <c r="O1741" s="20"/>
      <c r="P1741" s="20"/>
      <c r="Q1741" s="20"/>
      <c r="R1741" s="20"/>
      <c r="S1741" s="20"/>
      <c r="T1741" s="20"/>
      <c r="U1741" s="20"/>
      <c r="V1741" s="20"/>
      <c r="W1741" s="20"/>
      <c r="X1741" s="20"/>
      <c r="Y1741" s="20"/>
      <c r="Z1741" s="20"/>
      <c r="AA1741" s="20"/>
      <c r="AB1741" s="12"/>
      <c r="AC1741" s="12"/>
      <c r="AD1741" s="12"/>
      <c r="AE1741" s="12"/>
      <c r="AF1741" s="12">
        <v>1000000</v>
      </c>
      <c r="AG1741" s="12">
        <v>1000000</v>
      </c>
      <c r="AH1741" s="12">
        <v>750000</v>
      </c>
      <c r="AI1741" s="12">
        <v>750000</v>
      </c>
      <c r="AJ1741" s="12">
        <v>750000</v>
      </c>
      <c r="AK1741" s="12">
        <v>750000</v>
      </c>
      <c r="AL1741" s="12">
        <v>750000</v>
      </c>
      <c r="AM1741" s="12">
        <v>750000</v>
      </c>
      <c r="AN1741" s="1070">
        <v>520714</v>
      </c>
      <c r="AO1741" s="1070">
        <v>520713</v>
      </c>
      <c r="AP1741" s="1070">
        <v>520714</v>
      </c>
      <c r="AQ1741" s="1070">
        <v>520713</v>
      </c>
      <c r="AR1741" s="1044"/>
      <c r="AS1741" s="1044"/>
    </row>
    <row r="1742" spans="2:45" ht="13.5" hidden="1" outlineLevel="1" thickBot="1">
      <c r="C1742" s="816" t="s">
        <v>16</v>
      </c>
      <c r="D1742" s="1113" t="s">
        <v>1200</v>
      </c>
      <c r="E1742" s="1122" t="s">
        <v>2222</v>
      </c>
      <c r="F1742" s="1114"/>
      <c r="G1742" s="6"/>
      <c r="H1742" s="6"/>
      <c r="I1742" s="6"/>
      <c r="J1742" s="6"/>
      <c r="K1742" s="6"/>
      <c r="L1742" s="6"/>
      <c r="M1742" s="6"/>
      <c r="N1742" s="6"/>
      <c r="O1742" s="6"/>
      <c r="P1742" s="6"/>
      <c r="Q1742" s="6"/>
      <c r="R1742" s="6"/>
      <c r="S1742" s="6"/>
      <c r="T1742" s="6"/>
      <c r="U1742" s="6"/>
      <c r="V1742" s="6"/>
      <c r="W1742" s="6"/>
      <c r="X1742" s="6"/>
      <c r="Y1742" s="6"/>
      <c r="Z1742" s="6"/>
      <c r="AA1742" s="6"/>
      <c r="AB1742" s="7">
        <v>9537699</v>
      </c>
      <c r="AC1742" s="7">
        <v>9537699</v>
      </c>
      <c r="AD1742" s="7">
        <v>10687699</v>
      </c>
      <c r="AE1742" s="7">
        <v>10687699</v>
      </c>
      <c r="AF1742" s="7">
        <f t="shared" ref="AF1742:AK1742" si="338">SUM(AF1735:AF1741)</f>
        <v>11693558</v>
      </c>
      <c r="AG1742" s="7">
        <f t="shared" si="338"/>
        <v>11693558</v>
      </c>
      <c r="AH1742" s="7">
        <f t="shared" si="338"/>
        <v>8377768</v>
      </c>
      <c r="AI1742" s="7">
        <f t="shared" si="338"/>
        <v>8377768</v>
      </c>
      <c r="AJ1742" s="7">
        <f t="shared" si="338"/>
        <v>8894268</v>
      </c>
      <c r="AK1742" s="7">
        <f t="shared" si="338"/>
        <v>8894268</v>
      </c>
      <c r="AL1742" s="60">
        <f t="shared" ref="AL1742:AQ1742" si="339">SUM(AL1736:AL1741)</f>
        <v>8894268</v>
      </c>
      <c r="AM1742" s="60">
        <f t="shared" si="339"/>
        <v>8894268</v>
      </c>
      <c r="AN1742" s="1074">
        <f t="shared" si="339"/>
        <v>6137235</v>
      </c>
      <c r="AO1742" s="1074">
        <f t="shared" si="339"/>
        <v>6137230</v>
      </c>
      <c r="AP1742" s="1074">
        <f t="shared" si="339"/>
        <v>6137235</v>
      </c>
      <c r="AQ1742" s="1074">
        <f t="shared" si="339"/>
        <v>6137230</v>
      </c>
      <c r="AR1742" s="1044"/>
      <c r="AS1742" s="1044"/>
    </row>
    <row r="1743" spans="2:45" s="173" customFormat="1" hidden="1" outlineLevel="1">
      <c r="B1743" s="566"/>
      <c r="C1743" s="816" t="s">
        <v>16</v>
      </c>
      <c r="D1743" s="244"/>
      <c r="E1743" s="1124" t="s">
        <v>1732</v>
      </c>
      <c r="F1743" s="23"/>
      <c r="G1743" s="23"/>
      <c r="H1743" s="23"/>
      <c r="I1743" s="23"/>
      <c r="J1743" s="23"/>
      <c r="K1743" s="23"/>
      <c r="L1743" s="23"/>
      <c r="M1743" s="23"/>
      <c r="N1743" s="23"/>
      <c r="O1743" s="23"/>
      <c r="P1743" s="23"/>
      <c r="Q1743" s="23"/>
      <c r="R1743" s="23"/>
      <c r="S1743" s="23"/>
      <c r="T1743" s="23"/>
      <c r="U1743" s="23"/>
      <c r="V1743" s="23"/>
      <c r="W1743" s="23"/>
      <c r="X1743" s="23"/>
      <c r="Y1743" s="23"/>
      <c r="Z1743" s="23"/>
      <c r="AA1743" s="23"/>
      <c r="AB1743" s="14"/>
      <c r="AC1743" s="14"/>
      <c r="AD1743" s="14"/>
      <c r="AE1743" s="14"/>
      <c r="AF1743" s="14"/>
      <c r="AG1743" s="14"/>
      <c r="AH1743" s="14"/>
      <c r="AI1743" s="14"/>
      <c r="AJ1743" s="14"/>
      <c r="AK1743" s="14"/>
      <c r="AL1743" s="12">
        <v>650000</v>
      </c>
      <c r="AM1743" s="12">
        <v>480000</v>
      </c>
      <c r="AN1743" s="1070">
        <v>292083</v>
      </c>
      <c r="AO1743" s="1070">
        <v>292082</v>
      </c>
      <c r="AP1743" s="1070">
        <v>262874</v>
      </c>
      <c r="AQ1743" s="1070">
        <v>262874</v>
      </c>
      <c r="AR1743" s="1044"/>
      <c r="AS1743" s="1044"/>
    </row>
    <row r="1744" spans="2:45" hidden="1" outlineLevel="1">
      <c r="C1744" s="816" t="s">
        <v>16</v>
      </c>
      <c r="D1744" s="223" t="s">
        <v>1254</v>
      </c>
      <c r="E1744" s="279" t="s">
        <v>1467</v>
      </c>
      <c r="F1744" s="20"/>
      <c r="G1744" s="20"/>
      <c r="H1744" s="20"/>
      <c r="I1744" s="20"/>
      <c r="J1744" s="20"/>
      <c r="K1744" s="20"/>
      <c r="L1744" s="20"/>
      <c r="M1744" s="20"/>
      <c r="N1744" s="20"/>
      <c r="O1744" s="20"/>
      <c r="P1744" s="20"/>
      <c r="Q1744" s="20"/>
      <c r="R1744" s="20"/>
      <c r="S1744" s="20"/>
      <c r="T1744" s="20"/>
      <c r="U1744" s="20"/>
      <c r="V1744" s="20"/>
      <c r="W1744" s="20"/>
      <c r="X1744" s="20"/>
      <c r="Y1744" s="20"/>
      <c r="Z1744" s="20"/>
      <c r="AA1744" s="20"/>
      <c r="AB1744" s="12">
        <v>41591</v>
      </c>
      <c r="AC1744" s="12">
        <v>41591</v>
      </c>
      <c r="AD1744" s="12">
        <v>41591</v>
      </c>
      <c r="AE1744" s="12">
        <v>41591</v>
      </c>
      <c r="AF1744" s="12">
        <v>41591</v>
      </c>
      <c r="AG1744" s="12">
        <v>41591</v>
      </c>
      <c r="AH1744" s="12">
        <v>31193</v>
      </c>
      <c r="AI1744" s="12">
        <v>31193</v>
      </c>
      <c r="AJ1744" s="12">
        <v>31194</v>
      </c>
      <c r="AK1744" s="12">
        <v>31194</v>
      </c>
      <c r="AL1744" s="12">
        <v>31194</v>
      </c>
      <c r="AM1744" s="12">
        <v>31194</v>
      </c>
      <c r="AN1744" s="1070">
        <v>21658</v>
      </c>
      <c r="AO1744" s="1070">
        <v>21657</v>
      </c>
      <c r="AP1744" s="1070">
        <v>21658</v>
      </c>
      <c r="AQ1744" s="1070">
        <v>21657</v>
      </c>
      <c r="AR1744" s="1044"/>
      <c r="AS1744" s="1044"/>
    </row>
    <row r="1745" spans="2:45" hidden="1" outlineLevel="1">
      <c r="C1745" s="816" t="s">
        <v>16</v>
      </c>
      <c r="D1745" s="223" t="s">
        <v>1254</v>
      </c>
      <c r="E1745" s="278" t="s">
        <v>440</v>
      </c>
      <c r="F1745" s="20"/>
      <c r="G1745" s="20"/>
      <c r="H1745" s="20"/>
      <c r="I1745" s="20"/>
      <c r="J1745" s="20"/>
      <c r="K1745" s="20"/>
      <c r="L1745" s="20"/>
      <c r="M1745" s="20"/>
      <c r="N1745" s="20"/>
      <c r="O1745" s="20"/>
      <c r="P1745" s="20"/>
      <c r="Q1745" s="20"/>
      <c r="R1745" s="20"/>
      <c r="S1745" s="20"/>
      <c r="T1745" s="20"/>
      <c r="U1745" s="20"/>
      <c r="V1745" s="20"/>
      <c r="W1745" s="20"/>
      <c r="X1745" s="20"/>
      <c r="Y1745" s="20"/>
      <c r="Z1745" s="20"/>
      <c r="AA1745" s="20"/>
      <c r="AB1745" s="12">
        <v>91438</v>
      </c>
      <c r="AC1745" s="12">
        <v>99750</v>
      </c>
      <c r="AD1745" s="12">
        <v>91854</v>
      </c>
      <c r="AE1745" s="12">
        <v>99334</v>
      </c>
      <c r="AF1745" s="12">
        <v>91854</v>
      </c>
      <c r="AG1745" s="12">
        <v>99334</v>
      </c>
      <c r="AH1745" s="12">
        <v>68890</v>
      </c>
      <c r="AI1745" s="12">
        <v>74500</v>
      </c>
      <c r="AJ1745" s="12">
        <v>68890</v>
      </c>
      <c r="AK1745" s="12">
        <v>74500</v>
      </c>
      <c r="AL1745" s="12">
        <v>68890</v>
      </c>
      <c r="AM1745" s="12">
        <v>74500</v>
      </c>
      <c r="AN1745" s="1070"/>
      <c r="AO1745" s="1070"/>
      <c r="AP1745" s="1070"/>
      <c r="AQ1745" s="1070"/>
      <c r="AR1745" s="1044"/>
      <c r="AS1745" s="1044"/>
    </row>
    <row r="1746" spans="2:45" hidden="1" outlineLevel="1">
      <c r="C1746" s="816" t="s">
        <v>16</v>
      </c>
      <c r="D1746" s="223" t="s">
        <v>1254</v>
      </c>
      <c r="E1746" s="278" t="s">
        <v>441</v>
      </c>
      <c r="F1746" s="20"/>
      <c r="G1746" s="20"/>
      <c r="H1746" s="20"/>
      <c r="I1746" s="20"/>
      <c r="J1746" s="20"/>
      <c r="K1746" s="20"/>
      <c r="L1746" s="20"/>
      <c r="M1746" s="20"/>
      <c r="N1746" s="20"/>
      <c r="O1746" s="20"/>
      <c r="P1746" s="20"/>
      <c r="Q1746" s="20"/>
      <c r="R1746" s="20"/>
      <c r="S1746" s="20"/>
      <c r="T1746" s="20"/>
      <c r="U1746" s="20"/>
      <c r="V1746" s="20"/>
      <c r="W1746" s="20"/>
      <c r="X1746" s="20"/>
      <c r="Y1746" s="20"/>
      <c r="Z1746" s="20"/>
      <c r="AA1746" s="20"/>
      <c r="AB1746" s="12">
        <v>831250</v>
      </c>
      <c r="AC1746" s="12">
        <v>831250</v>
      </c>
      <c r="AD1746" s="12">
        <v>831250</v>
      </c>
      <c r="AE1746" s="12">
        <v>831250</v>
      </c>
      <c r="AF1746" s="12">
        <v>831250</v>
      </c>
      <c r="AG1746" s="12">
        <v>831250</v>
      </c>
      <c r="AH1746" s="12">
        <v>623438</v>
      </c>
      <c r="AI1746" s="12">
        <v>623438</v>
      </c>
      <c r="AJ1746" s="12">
        <v>623439</v>
      </c>
      <c r="AK1746" s="12">
        <v>623439</v>
      </c>
      <c r="AL1746" s="12">
        <v>623439</v>
      </c>
      <c r="AM1746" s="12">
        <v>623439</v>
      </c>
      <c r="AN1746" s="1070">
        <v>432845</v>
      </c>
      <c r="AO1746" s="1070">
        <v>432844</v>
      </c>
      <c r="AP1746" s="1070">
        <v>432845</v>
      </c>
      <c r="AQ1746" s="1070">
        <v>432844</v>
      </c>
      <c r="AR1746" s="1044"/>
      <c r="AS1746" s="1044"/>
    </row>
    <row r="1747" spans="2:45" hidden="1" outlineLevel="1">
      <c r="C1747" s="816" t="s">
        <v>16</v>
      </c>
      <c r="D1747" s="223" t="s">
        <v>1254</v>
      </c>
      <c r="E1747" s="278" t="s">
        <v>442</v>
      </c>
      <c r="F1747" s="20"/>
      <c r="G1747" s="20"/>
      <c r="H1747" s="20"/>
      <c r="I1747" s="20"/>
      <c r="J1747" s="20"/>
      <c r="K1747" s="20"/>
      <c r="L1747" s="20"/>
      <c r="M1747" s="20"/>
      <c r="N1747" s="20"/>
      <c r="O1747" s="20"/>
      <c r="P1747" s="20"/>
      <c r="Q1747" s="20"/>
      <c r="R1747" s="20"/>
      <c r="S1747" s="20"/>
      <c r="T1747" s="20"/>
      <c r="U1747" s="20"/>
      <c r="V1747" s="20"/>
      <c r="W1747" s="20"/>
      <c r="X1747" s="20"/>
      <c r="Y1747" s="20"/>
      <c r="Z1747" s="20"/>
      <c r="AA1747" s="20"/>
      <c r="AB1747" s="12">
        <v>124687</v>
      </c>
      <c r="AC1747" s="12">
        <v>124687</v>
      </c>
      <c r="AD1747" s="12">
        <v>124686</v>
      </c>
      <c r="AE1747" s="12">
        <v>124686</v>
      </c>
      <c r="AF1747" s="12">
        <v>124686</v>
      </c>
      <c r="AG1747" s="12">
        <v>124686</v>
      </c>
      <c r="AH1747" s="12">
        <v>93515</v>
      </c>
      <c r="AI1747" s="12">
        <v>93514</v>
      </c>
      <c r="AJ1747" s="12">
        <v>93514</v>
      </c>
      <c r="AK1747" s="12">
        <v>93514</v>
      </c>
      <c r="AL1747" s="12">
        <v>93514</v>
      </c>
      <c r="AM1747" s="12">
        <v>93514</v>
      </c>
      <c r="AN1747" s="1070">
        <v>64925</v>
      </c>
      <c r="AO1747" s="1070">
        <v>64925</v>
      </c>
      <c r="AP1747" s="1070">
        <v>64925</v>
      </c>
      <c r="AQ1747" s="1070">
        <v>64925</v>
      </c>
      <c r="AR1747" s="1044"/>
      <c r="AS1747" s="1044"/>
    </row>
    <row r="1748" spans="2:45" s="1044" customFormat="1" hidden="1" outlineLevel="1">
      <c r="B1748" s="1045"/>
      <c r="C1748" s="1053" t="s">
        <v>16</v>
      </c>
      <c r="D1748" s="1243" t="s">
        <v>1254</v>
      </c>
      <c r="E1748" s="1052" t="s">
        <v>2049</v>
      </c>
      <c r="F1748" s="1047"/>
      <c r="G1748" s="1047"/>
      <c r="H1748" s="1047"/>
      <c r="I1748" s="1047"/>
      <c r="J1748" s="1047"/>
      <c r="K1748" s="1047"/>
      <c r="L1748" s="1047"/>
      <c r="M1748" s="1047"/>
      <c r="N1748" s="1047"/>
      <c r="O1748" s="1047"/>
      <c r="P1748" s="1047"/>
      <c r="Q1748" s="1047"/>
      <c r="R1748" s="1047"/>
      <c r="S1748" s="1047"/>
      <c r="T1748" s="1047"/>
      <c r="U1748" s="1047"/>
      <c r="V1748" s="1047"/>
      <c r="W1748" s="1047"/>
      <c r="X1748" s="1047"/>
      <c r="Y1748" s="1047"/>
      <c r="Z1748" s="1047"/>
      <c r="AA1748" s="1047"/>
      <c r="AB1748" s="1070"/>
      <c r="AC1748" s="1070"/>
      <c r="AD1748" s="1070"/>
      <c r="AE1748" s="1070"/>
      <c r="AF1748" s="1070"/>
      <c r="AG1748" s="1070"/>
      <c r="AH1748" s="1070"/>
      <c r="AI1748" s="1070"/>
      <c r="AJ1748" s="1070"/>
      <c r="AK1748" s="1070"/>
      <c r="AL1748" s="1070"/>
      <c r="AM1748" s="1070"/>
      <c r="AN1748" s="1070"/>
      <c r="AO1748" s="1070"/>
      <c r="AP1748" s="1070">
        <v>2000000</v>
      </c>
      <c r="AQ1748" s="1070">
        <v>2000000</v>
      </c>
    </row>
    <row r="1749" spans="2:45" hidden="1" outlineLevel="1">
      <c r="C1749" s="816" t="s">
        <v>16</v>
      </c>
      <c r="D1749" s="9"/>
      <c r="E1749" s="20" t="s">
        <v>443</v>
      </c>
      <c r="F1749" s="20"/>
      <c r="G1749" s="20"/>
      <c r="H1749" s="20"/>
      <c r="I1749" s="20"/>
      <c r="J1749" s="20"/>
      <c r="K1749" s="20"/>
      <c r="L1749" s="20"/>
      <c r="M1749" s="20"/>
      <c r="N1749" s="20"/>
      <c r="O1749" s="20"/>
      <c r="P1749" s="20"/>
      <c r="Q1749" s="20"/>
      <c r="R1749" s="20"/>
      <c r="S1749" s="20"/>
      <c r="T1749" s="20"/>
      <c r="U1749" s="20"/>
      <c r="V1749" s="20"/>
      <c r="W1749" s="20"/>
      <c r="X1749" s="20"/>
      <c r="Y1749" s="20"/>
      <c r="Z1749" s="20"/>
      <c r="AA1749" s="20"/>
      <c r="AB1749" s="12">
        <v>523464</v>
      </c>
      <c r="AC1749" s="12">
        <v>500272</v>
      </c>
      <c r="AD1749" s="12">
        <v>522305</v>
      </c>
      <c r="AE1749" s="12">
        <v>501432</v>
      </c>
      <c r="AF1749" s="12">
        <v>522305</v>
      </c>
      <c r="AG1749" s="12">
        <v>501432</v>
      </c>
      <c r="AH1749" s="12">
        <v>391729</v>
      </c>
      <c r="AI1749" s="12">
        <v>376074</v>
      </c>
      <c r="AJ1749" s="21">
        <v>391729</v>
      </c>
      <c r="AK1749" s="21">
        <v>376074</v>
      </c>
      <c r="AL1749" s="21">
        <v>391729</v>
      </c>
      <c r="AM1749" s="21">
        <v>376074</v>
      </c>
      <c r="AN1749" s="1058">
        <v>266537</v>
      </c>
      <c r="AO1749" s="1058">
        <v>266537</v>
      </c>
      <c r="AP1749" s="1058">
        <v>266537</v>
      </c>
      <c r="AQ1749" s="1058">
        <v>266537</v>
      </c>
      <c r="AR1749" s="1044"/>
      <c r="AS1749" s="1044"/>
    </row>
    <row r="1750" spans="2:45" hidden="1" outlineLevel="1">
      <c r="C1750" s="816" t="s">
        <v>16</v>
      </c>
      <c r="D1750" s="9"/>
      <c r="E1750" s="20" t="s">
        <v>444</v>
      </c>
      <c r="F1750" s="20"/>
      <c r="G1750" s="20"/>
      <c r="H1750" s="20"/>
      <c r="I1750" s="20"/>
      <c r="J1750" s="20"/>
      <c r="K1750" s="20"/>
      <c r="L1750" s="20"/>
      <c r="M1750" s="20"/>
      <c r="N1750" s="20"/>
      <c r="O1750" s="20"/>
      <c r="P1750" s="20"/>
      <c r="Q1750" s="20"/>
      <c r="R1750" s="20"/>
      <c r="S1750" s="20"/>
      <c r="T1750" s="20"/>
      <c r="U1750" s="20"/>
      <c r="V1750" s="20"/>
      <c r="W1750" s="20"/>
      <c r="X1750" s="20"/>
      <c r="Y1750" s="20"/>
      <c r="Z1750" s="20"/>
      <c r="AA1750" s="20"/>
      <c r="AB1750" s="12">
        <v>750000</v>
      </c>
      <c r="AC1750" s="12">
        <v>750000</v>
      </c>
      <c r="AD1750" s="12">
        <v>750000</v>
      </c>
      <c r="AE1750" s="12">
        <v>750000</v>
      </c>
      <c r="AF1750" s="12">
        <v>750000</v>
      </c>
      <c r="AG1750" s="12">
        <v>750000</v>
      </c>
      <c r="AH1750" s="12">
        <v>750000</v>
      </c>
      <c r="AI1750" s="12">
        <v>750000</v>
      </c>
      <c r="AJ1750" s="21">
        <v>825000</v>
      </c>
      <c r="AK1750" s="21">
        <v>825000</v>
      </c>
      <c r="AL1750" s="21">
        <v>825000</v>
      </c>
      <c r="AM1750" s="21">
        <v>825000</v>
      </c>
      <c r="AN1750" s="1058">
        <v>542639</v>
      </c>
      <c r="AO1750" s="1058">
        <v>542638</v>
      </c>
      <c r="AP1750" s="1058">
        <v>542639</v>
      </c>
      <c r="AQ1750" s="1058">
        <v>542638</v>
      </c>
      <c r="AR1750" s="1044"/>
      <c r="AS1750" s="1044"/>
    </row>
    <row r="1751" spans="2:45" hidden="1" outlineLevel="1">
      <c r="C1751" s="816" t="s">
        <v>16</v>
      </c>
      <c r="D1751" s="9"/>
      <c r="E1751" s="20" t="s">
        <v>445</v>
      </c>
      <c r="F1751" s="20"/>
      <c r="G1751" s="20"/>
      <c r="H1751" s="20"/>
      <c r="I1751" s="20"/>
      <c r="J1751" s="20"/>
      <c r="K1751" s="20"/>
      <c r="L1751" s="20"/>
      <c r="M1751" s="20"/>
      <c r="N1751" s="20"/>
      <c r="O1751" s="20"/>
      <c r="P1751" s="20"/>
      <c r="Q1751" s="20"/>
      <c r="R1751" s="20"/>
      <c r="S1751" s="20"/>
      <c r="T1751" s="20"/>
      <c r="U1751" s="20"/>
      <c r="V1751" s="20"/>
      <c r="W1751" s="20"/>
      <c r="X1751" s="20"/>
      <c r="Y1751" s="20"/>
      <c r="Z1751" s="20"/>
      <c r="AA1751" s="20"/>
      <c r="AB1751" s="12">
        <v>170099</v>
      </c>
      <c r="AC1751" s="12">
        <v>170099</v>
      </c>
      <c r="AD1751" s="12">
        <v>170099</v>
      </c>
      <c r="AE1751" s="12">
        <v>170099</v>
      </c>
      <c r="AF1751" s="12">
        <v>187109</v>
      </c>
      <c r="AG1751" s="12">
        <v>187109</v>
      </c>
      <c r="AH1751" s="12">
        <v>187109</v>
      </c>
      <c r="AI1751" s="12">
        <v>187109</v>
      </c>
      <c r="AJ1751" s="21">
        <v>205820</v>
      </c>
      <c r="AK1751" s="21">
        <v>205820</v>
      </c>
      <c r="AL1751" s="21">
        <v>205820</v>
      </c>
      <c r="AM1751" s="21">
        <v>205820</v>
      </c>
      <c r="AN1751" s="1058">
        <v>135377</v>
      </c>
      <c r="AO1751" s="1058">
        <v>135377</v>
      </c>
      <c r="AP1751" s="1058">
        <v>135377</v>
      </c>
      <c r="AQ1751" s="1058">
        <v>135377</v>
      </c>
      <c r="AR1751" s="1044"/>
      <c r="AS1751" s="1044"/>
    </row>
    <row r="1752" spans="2:45" hidden="1" outlineLevel="1">
      <c r="C1752" s="816" t="s">
        <v>16</v>
      </c>
      <c r="D1752" s="223" t="s">
        <v>1354</v>
      </c>
      <c r="E1752" s="20" t="s">
        <v>446</v>
      </c>
      <c r="F1752" s="20"/>
      <c r="G1752" s="20"/>
      <c r="H1752" s="20"/>
      <c r="I1752" s="20"/>
      <c r="J1752" s="20"/>
      <c r="K1752" s="20"/>
      <c r="L1752" s="20"/>
      <c r="M1752" s="20"/>
      <c r="N1752" s="20"/>
      <c r="O1752" s="20"/>
      <c r="P1752" s="20"/>
      <c r="Q1752" s="20"/>
      <c r="R1752" s="20"/>
      <c r="S1752" s="20"/>
      <c r="T1752" s="20"/>
      <c r="U1752" s="20"/>
      <c r="V1752" s="20"/>
      <c r="W1752" s="20"/>
      <c r="X1752" s="20"/>
      <c r="Y1752" s="20"/>
      <c r="Z1752" s="20"/>
      <c r="AA1752" s="20"/>
      <c r="AB1752" s="12">
        <v>3866157</v>
      </c>
      <c r="AC1752" s="12">
        <v>3869134</v>
      </c>
      <c r="AD1752" s="12">
        <v>3866306</v>
      </c>
      <c r="AE1752" s="12">
        <v>3868986</v>
      </c>
      <c r="AF1752" s="12">
        <v>4033147</v>
      </c>
      <c r="AG1752" s="12">
        <v>4033147</v>
      </c>
      <c r="AH1752" s="12">
        <v>2873618</v>
      </c>
      <c r="AI1752" s="12">
        <v>2873618</v>
      </c>
      <c r="AJ1752" s="21">
        <v>3373618</v>
      </c>
      <c r="AK1752" s="21">
        <v>3373618</v>
      </c>
      <c r="AL1752" s="21">
        <v>3373618</v>
      </c>
      <c r="AM1752" s="21">
        <v>3373618</v>
      </c>
      <c r="AN1752" s="1058">
        <v>2465529</v>
      </c>
      <c r="AO1752" s="1058">
        <v>2465527</v>
      </c>
      <c r="AP1752" s="1058">
        <v>2465529</v>
      </c>
      <c r="AQ1752" s="1058">
        <v>2465527</v>
      </c>
      <c r="AR1752" s="1044"/>
      <c r="AS1752" s="1044"/>
    </row>
    <row r="1753" spans="2:45" hidden="1" outlineLevel="1">
      <c r="C1753" s="816" t="s">
        <v>16</v>
      </c>
      <c r="D1753" s="223" t="s">
        <v>1200</v>
      </c>
      <c r="E1753" s="25" t="s">
        <v>1483</v>
      </c>
      <c r="F1753" s="6"/>
      <c r="G1753" s="6"/>
      <c r="H1753" s="6"/>
      <c r="I1753" s="6"/>
      <c r="J1753" s="6"/>
      <c r="K1753" s="6"/>
      <c r="L1753" s="6"/>
      <c r="M1753" s="6"/>
      <c r="N1753" s="6"/>
      <c r="O1753" s="6"/>
      <c r="P1753" s="6"/>
      <c r="Q1753" s="6"/>
      <c r="R1753" s="6"/>
      <c r="S1753" s="6"/>
      <c r="T1753" s="6"/>
      <c r="U1753" s="6"/>
      <c r="V1753" s="6"/>
      <c r="W1753" s="6"/>
      <c r="X1753" s="6"/>
      <c r="Y1753" s="6"/>
      <c r="Z1753" s="6"/>
      <c r="AA1753" s="6"/>
      <c r="AB1753" s="7">
        <v>6398686</v>
      </c>
      <c r="AC1753" s="7">
        <v>6386783</v>
      </c>
      <c r="AD1753" s="7">
        <v>6398091</v>
      </c>
      <c r="AE1753" s="7">
        <v>6387378</v>
      </c>
      <c r="AF1753" s="7">
        <f t="shared" ref="AF1753:AK1753" si="340">SUM(AF1744:AF1752)</f>
        <v>6581942</v>
      </c>
      <c r="AG1753" s="7">
        <f t="shared" si="340"/>
        <v>6568549</v>
      </c>
      <c r="AH1753" s="7">
        <f t="shared" si="340"/>
        <v>5019492</v>
      </c>
      <c r="AI1753" s="7">
        <f t="shared" si="340"/>
        <v>5009446</v>
      </c>
      <c r="AJ1753" s="7">
        <f t="shared" si="340"/>
        <v>5613204</v>
      </c>
      <c r="AK1753" s="7">
        <f t="shared" si="340"/>
        <v>5603159</v>
      </c>
      <c r="AL1753" s="60">
        <f t="shared" ref="AL1753:AQ1753" si="341">SUM(AL1743:AL1752)</f>
        <v>6263204</v>
      </c>
      <c r="AM1753" s="60">
        <f t="shared" si="341"/>
        <v>6083159</v>
      </c>
      <c r="AN1753" s="1074">
        <f t="shared" si="341"/>
        <v>4221593</v>
      </c>
      <c r="AO1753" s="1074">
        <f t="shared" si="341"/>
        <v>4221587</v>
      </c>
      <c r="AP1753" s="1074">
        <f t="shared" si="341"/>
        <v>6192384</v>
      </c>
      <c r="AQ1753" s="1074">
        <f t="shared" si="341"/>
        <v>6192379</v>
      </c>
      <c r="AR1753" s="1044"/>
      <c r="AS1753" s="1044"/>
    </row>
    <row r="1754" spans="2:45" hidden="1" outlineLevel="1">
      <c r="C1754" s="816" t="s">
        <v>16</v>
      </c>
      <c r="D1754" s="9"/>
      <c r="E1754" s="224" t="s">
        <v>1484</v>
      </c>
      <c r="F1754" s="20"/>
      <c r="G1754" s="20"/>
      <c r="H1754" s="20"/>
      <c r="I1754" s="20"/>
      <c r="J1754" s="20"/>
      <c r="K1754" s="20"/>
      <c r="L1754" s="20"/>
      <c r="M1754" s="20"/>
      <c r="N1754" s="20"/>
      <c r="O1754" s="20"/>
      <c r="P1754" s="20"/>
      <c r="Q1754" s="20"/>
      <c r="R1754" s="20"/>
      <c r="S1754" s="20"/>
      <c r="T1754" s="20"/>
      <c r="U1754" s="20"/>
      <c r="V1754" s="20"/>
      <c r="W1754" s="20"/>
      <c r="X1754" s="20"/>
      <c r="Y1754" s="20"/>
      <c r="Z1754" s="20"/>
      <c r="AA1754" s="20"/>
      <c r="AB1754" s="12">
        <v>426716</v>
      </c>
      <c r="AC1754" s="12">
        <v>426716</v>
      </c>
      <c r="AD1754" s="12">
        <v>426716</v>
      </c>
      <c r="AE1754" s="12">
        <v>426716</v>
      </c>
      <c r="AF1754" s="12">
        <v>426716</v>
      </c>
      <c r="AG1754" s="12">
        <v>426716</v>
      </c>
      <c r="AH1754" s="12">
        <v>181421</v>
      </c>
      <c r="AI1754" s="12">
        <v>181419</v>
      </c>
      <c r="AJ1754" s="21">
        <v>181420</v>
      </c>
      <c r="AK1754" s="21">
        <v>181419</v>
      </c>
      <c r="AL1754" s="21">
        <v>181419</v>
      </c>
      <c r="AM1754" s="21">
        <v>181420</v>
      </c>
      <c r="AN1754" s="1058">
        <v>72706</v>
      </c>
      <c r="AO1754" s="1058">
        <v>72705</v>
      </c>
      <c r="AP1754" s="1058">
        <v>65435</v>
      </c>
      <c r="AQ1754" s="1058">
        <v>65435</v>
      </c>
      <c r="AR1754" s="1044"/>
      <c r="AS1754" s="1044"/>
    </row>
    <row r="1755" spans="2:45" hidden="1" outlineLevel="1">
      <c r="C1755" s="816" t="s">
        <v>16</v>
      </c>
      <c r="D1755" s="9"/>
      <c r="E1755" s="20" t="s">
        <v>448</v>
      </c>
      <c r="F1755" s="20"/>
      <c r="G1755" s="20"/>
      <c r="H1755" s="20"/>
      <c r="I1755" s="20"/>
      <c r="J1755" s="20"/>
      <c r="K1755" s="20"/>
      <c r="L1755" s="20"/>
      <c r="M1755" s="20"/>
      <c r="N1755" s="20"/>
      <c r="O1755" s="20"/>
      <c r="P1755" s="20"/>
      <c r="Q1755" s="20"/>
      <c r="R1755" s="20"/>
      <c r="S1755" s="20"/>
      <c r="T1755" s="20"/>
      <c r="U1755" s="20"/>
      <c r="V1755" s="20"/>
      <c r="W1755" s="20"/>
      <c r="X1755" s="20"/>
      <c r="Y1755" s="20"/>
      <c r="Z1755" s="20"/>
      <c r="AA1755" s="20"/>
      <c r="AB1755" s="12">
        <v>656475</v>
      </c>
      <c r="AC1755" s="12">
        <v>656475</v>
      </c>
      <c r="AD1755" s="12">
        <v>656476</v>
      </c>
      <c r="AE1755" s="12">
        <v>656476</v>
      </c>
      <c r="AF1755" s="12">
        <v>656476</v>
      </c>
      <c r="AG1755" s="12">
        <v>656475</v>
      </c>
      <c r="AH1755" s="12">
        <v>492357</v>
      </c>
      <c r="AI1755" s="12">
        <v>492357</v>
      </c>
      <c r="AJ1755" s="21">
        <v>492357</v>
      </c>
      <c r="AK1755" s="21">
        <v>492357</v>
      </c>
      <c r="AL1755" s="21">
        <v>492357</v>
      </c>
      <c r="AM1755" s="21">
        <v>492357</v>
      </c>
      <c r="AN1755" s="1058">
        <v>302031</v>
      </c>
      <c r="AO1755" s="1058">
        <v>302031</v>
      </c>
      <c r="AP1755" s="1058">
        <v>302031</v>
      </c>
      <c r="AQ1755" s="1058">
        <v>302031</v>
      </c>
      <c r="AR1755" s="1044"/>
      <c r="AS1755" s="1044"/>
    </row>
    <row r="1756" spans="2:45" hidden="1" outlineLevel="1">
      <c r="C1756" s="816" t="s">
        <v>16</v>
      </c>
      <c r="D1756" s="9"/>
      <c r="E1756" s="20" t="s">
        <v>445</v>
      </c>
      <c r="F1756" s="20"/>
      <c r="G1756" s="20"/>
      <c r="H1756" s="20"/>
      <c r="I1756" s="20"/>
      <c r="J1756" s="20"/>
      <c r="K1756" s="20"/>
      <c r="L1756" s="20"/>
      <c r="M1756" s="20"/>
      <c r="N1756" s="20"/>
      <c r="O1756" s="20"/>
      <c r="P1756" s="20"/>
      <c r="Q1756" s="20"/>
      <c r="R1756" s="20"/>
      <c r="S1756" s="20"/>
      <c r="T1756" s="20"/>
      <c r="U1756" s="20"/>
      <c r="V1756" s="20"/>
      <c r="W1756" s="20"/>
      <c r="X1756" s="20"/>
      <c r="Y1756" s="20"/>
      <c r="Z1756" s="20"/>
      <c r="AA1756" s="20"/>
      <c r="AB1756" s="12"/>
      <c r="AC1756" s="12"/>
      <c r="AD1756" s="12"/>
      <c r="AE1756" s="12"/>
      <c r="AF1756" s="12"/>
      <c r="AG1756" s="12"/>
      <c r="AH1756" s="12"/>
      <c r="AI1756" s="12"/>
      <c r="AJ1756" s="21"/>
      <c r="AK1756" s="21"/>
      <c r="AL1756" s="21">
        <v>743500</v>
      </c>
      <c r="AM1756" s="21">
        <v>743500</v>
      </c>
      <c r="AN1756" s="1058">
        <v>456093</v>
      </c>
      <c r="AO1756" s="1058">
        <v>456093</v>
      </c>
      <c r="AP1756" s="1058">
        <v>456093</v>
      </c>
      <c r="AQ1756" s="1058">
        <v>456093</v>
      </c>
      <c r="AR1756" s="1044"/>
      <c r="AS1756" s="1044"/>
    </row>
    <row r="1757" spans="2:45" hidden="1" outlineLevel="1">
      <c r="C1757" s="816" t="s">
        <v>16</v>
      </c>
      <c r="D1757" s="223" t="s">
        <v>1354</v>
      </c>
      <c r="E1757" s="20" t="s">
        <v>449</v>
      </c>
      <c r="F1757" s="20"/>
      <c r="G1757" s="20"/>
      <c r="H1757" s="20"/>
      <c r="I1757" s="20"/>
      <c r="J1757" s="20"/>
      <c r="K1757" s="20"/>
      <c r="L1757" s="20"/>
      <c r="M1757" s="20"/>
      <c r="N1757" s="20"/>
      <c r="O1757" s="20"/>
      <c r="P1757" s="20"/>
      <c r="Q1757" s="20"/>
      <c r="R1757" s="20"/>
      <c r="S1757" s="20"/>
      <c r="T1757" s="20"/>
      <c r="U1757" s="20"/>
      <c r="V1757" s="20"/>
      <c r="W1757" s="20"/>
      <c r="X1757" s="20"/>
      <c r="Y1757" s="20"/>
      <c r="Z1757" s="20"/>
      <c r="AA1757" s="20"/>
      <c r="AB1757" s="12">
        <v>2507318</v>
      </c>
      <c r="AC1757" s="12">
        <v>2507318</v>
      </c>
      <c r="AD1757" s="12">
        <v>2507318</v>
      </c>
      <c r="AE1757" s="12">
        <v>2507318</v>
      </c>
      <c r="AF1757" s="12">
        <v>2471402</v>
      </c>
      <c r="AG1757" s="12">
        <v>2471402</v>
      </c>
      <c r="AH1757" s="12">
        <v>1853552</v>
      </c>
      <c r="AI1757" s="12">
        <v>1853552</v>
      </c>
      <c r="AJ1757" s="21">
        <v>2353552</v>
      </c>
      <c r="AK1757" s="21">
        <v>2353552</v>
      </c>
      <c r="AL1757" s="21">
        <v>2353552</v>
      </c>
      <c r="AM1757" s="21">
        <v>2353552</v>
      </c>
      <c r="AN1757" s="1058">
        <v>1706487</v>
      </c>
      <c r="AO1757" s="1058">
        <v>1706487</v>
      </c>
      <c r="AP1757" s="1058">
        <v>1706487</v>
      </c>
      <c r="AQ1757" s="1058">
        <v>1706487</v>
      </c>
      <c r="AR1757" s="1044"/>
      <c r="AS1757" s="1044"/>
    </row>
    <row r="1758" spans="2:45" hidden="1" outlineLevel="1">
      <c r="C1758" s="816" t="s">
        <v>16</v>
      </c>
      <c r="D1758" s="9"/>
      <c r="E1758" s="20" t="s">
        <v>451</v>
      </c>
      <c r="F1758" s="20"/>
      <c r="G1758" s="20"/>
      <c r="H1758" s="20"/>
      <c r="I1758" s="20"/>
      <c r="J1758" s="20"/>
      <c r="K1758" s="20"/>
      <c r="L1758" s="20"/>
      <c r="M1758" s="20"/>
      <c r="N1758" s="20"/>
      <c r="O1758" s="20"/>
      <c r="P1758" s="20"/>
      <c r="Q1758" s="20"/>
      <c r="R1758" s="20"/>
      <c r="S1758" s="20"/>
      <c r="T1758" s="20"/>
      <c r="U1758" s="20"/>
      <c r="V1758" s="20"/>
      <c r="W1758" s="20"/>
      <c r="X1758" s="20"/>
      <c r="Y1758" s="20"/>
      <c r="Z1758" s="20"/>
      <c r="AA1758" s="20"/>
      <c r="AB1758" s="12"/>
      <c r="AC1758" s="12"/>
      <c r="AD1758" s="12"/>
      <c r="AE1758" s="12"/>
      <c r="AF1758" s="12">
        <v>1000000</v>
      </c>
      <c r="AG1758" s="12">
        <v>0</v>
      </c>
      <c r="AH1758" s="12">
        <v>0</v>
      </c>
      <c r="AI1758" s="12">
        <v>0</v>
      </c>
      <c r="AJ1758" s="22"/>
      <c r="AK1758" s="22"/>
      <c r="AL1758" s="22"/>
      <c r="AM1758" s="22"/>
      <c r="AN1758" s="1059"/>
      <c r="AO1758" s="1059"/>
      <c r="AP1758" s="1059"/>
      <c r="AQ1758" s="1059"/>
      <c r="AR1758" s="1044"/>
      <c r="AS1758" s="1044"/>
    </row>
    <row r="1759" spans="2:45" hidden="1" outlineLevel="1">
      <c r="C1759" s="816" t="s">
        <v>16</v>
      </c>
      <c r="D1759" s="223" t="s">
        <v>1200</v>
      </c>
      <c r="E1759" s="25" t="s">
        <v>452</v>
      </c>
      <c r="F1759" s="6"/>
      <c r="G1759" s="6"/>
      <c r="H1759" s="6"/>
      <c r="I1759" s="6"/>
      <c r="J1759" s="6"/>
      <c r="K1759" s="6"/>
      <c r="L1759" s="6"/>
      <c r="M1759" s="6"/>
      <c r="N1759" s="6"/>
      <c r="O1759" s="6"/>
      <c r="P1759" s="6"/>
      <c r="Q1759" s="6"/>
      <c r="R1759" s="6"/>
      <c r="S1759" s="6"/>
      <c r="T1759" s="6"/>
      <c r="U1759" s="6"/>
      <c r="V1759" s="6"/>
      <c r="W1759" s="6"/>
      <c r="X1759" s="6"/>
      <c r="Y1759" s="6"/>
      <c r="Z1759" s="6"/>
      <c r="AA1759" s="6"/>
      <c r="AB1759" s="7">
        <v>3590509</v>
      </c>
      <c r="AC1759" s="7">
        <v>3590509</v>
      </c>
      <c r="AD1759" s="7">
        <v>3590510</v>
      </c>
      <c r="AE1759" s="7">
        <v>3590510</v>
      </c>
      <c r="AF1759" s="7">
        <f t="shared" ref="AF1759:AQ1759" si="342">SUM(AF1754:AF1758)</f>
        <v>4554594</v>
      </c>
      <c r="AG1759" s="7">
        <f t="shared" si="342"/>
        <v>3554593</v>
      </c>
      <c r="AH1759" s="7">
        <f t="shared" si="342"/>
        <v>2527330</v>
      </c>
      <c r="AI1759" s="7">
        <f t="shared" si="342"/>
        <v>2527328</v>
      </c>
      <c r="AJ1759" s="7">
        <f t="shared" si="342"/>
        <v>3027329</v>
      </c>
      <c r="AK1759" s="7">
        <f t="shared" si="342"/>
        <v>3027328</v>
      </c>
      <c r="AL1759" s="60">
        <f t="shared" si="342"/>
        <v>3770828</v>
      </c>
      <c r="AM1759" s="60">
        <f t="shared" si="342"/>
        <v>3770829</v>
      </c>
      <c r="AN1759" s="1074">
        <f t="shared" si="342"/>
        <v>2537317</v>
      </c>
      <c r="AO1759" s="1074">
        <f t="shared" si="342"/>
        <v>2537316</v>
      </c>
      <c r="AP1759" s="1074">
        <f t="shared" si="342"/>
        <v>2530046</v>
      </c>
      <c r="AQ1759" s="1074">
        <f t="shared" si="342"/>
        <v>2530046</v>
      </c>
      <c r="AR1759" s="1044"/>
      <c r="AS1759" s="1044"/>
    </row>
    <row r="1760" spans="2:45" hidden="1" outlineLevel="1">
      <c r="C1760" s="816" t="s">
        <v>16</v>
      </c>
      <c r="D1760" s="9"/>
      <c r="E1760" s="224" t="s">
        <v>1485</v>
      </c>
      <c r="F1760" s="20"/>
      <c r="G1760" s="20"/>
      <c r="H1760" s="20"/>
      <c r="I1760" s="20"/>
      <c r="J1760" s="20"/>
      <c r="K1760" s="20"/>
      <c r="L1760" s="20"/>
      <c r="M1760" s="20"/>
      <c r="N1760" s="20"/>
      <c r="O1760" s="20"/>
      <c r="P1760" s="20"/>
      <c r="Q1760" s="20"/>
      <c r="R1760" s="20"/>
      <c r="S1760" s="20"/>
      <c r="T1760" s="20"/>
      <c r="U1760" s="20"/>
      <c r="V1760" s="20"/>
      <c r="W1760" s="20"/>
      <c r="X1760" s="20"/>
      <c r="Y1760" s="20"/>
      <c r="Z1760" s="20"/>
      <c r="AA1760" s="20"/>
      <c r="AB1760" s="12">
        <v>1058991</v>
      </c>
      <c r="AC1760" s="12">
        <v>1059168</v>
      </c>
      <c r="AD1760" s="12">
        <v>953172</v>
      </c>
      <c r="AE1760" s="12">
        <v>953172</v>
      </c>
      <c r="AF1760" s="12">
        <v>953172</v>
      </c>
      <c r="AG1760" s="12">
        <v>953172</v>
      </c>
      <c r="AH1760" s="12">
        <v>714879</v>
      </c>
      <c r="AI1760" s="12">
        <v>714879</v>
      </c>
      <c r="AJ1760" s="12">
        <v>714879</v>
      </c>
      <c r="AK1760" s="12">
        <v>714879</v>
      </c>
      <c r="AL1760" s="12">
        <v>714879</v>
      </c>
      <c r="AM1760" s="12">
        <v>714875</v>
      </c>
      <c r="AN1760" s="1070">
        <v>387891</v>
      </c>
      <c r="AO1760" s="1070">
        <v>387891</v>
      </c>
      <c r="AP1760" s="1070">
        <v>349102</v>
      </c>
      <c r="AQ1760" s="1070">
        <v>349102</v>
      </c>
      <c r="AR1760" s="1044"/>
      <c r="AS1760" s="1044"/>
    </row>
    <row r="1761" spans="2:45" hidden="1" outlineLevel="1">
      <c r="C1761" s="816" t="s">
        <v>16</v>
      </c>
      <c r="D1761" s="9"/>
      <c r="E1761" s="224" t="s">
        <v>1733</v>
      </c>
      <c r="F1761" s="20"/>
      <c r="G1761" s="20"/>
      <c r="H1761" s="20"/>
      <c r="I1761" s="20"/>
      <c r="J1761" s="20"/>
      <c r="K1761" s="20"/>
      <c r="L1761" s="20"/>
      <c r="M1761" s="20"/>
      <c r="N1761" s="20"/>
      <c r="O1761" s="20"/>
      <c r="P1761" s="20"/>
      <c r="Q1761" s="20"/>
      <c r="R1761" s="20"/>
      <c r="S1761" s="20"/>
      <c r="T1761" s="20"/>
      <c r="U1761" s="20"/>
      <c r="V1761" s="20"/>
      <c r="W1761" s="20"/>
      <c r="X1761" s="20"/>
      <c r="Y1761" s="20"/>
      <c r="Z1761" s="20"/>
      <c r="AA1761" s="20"/>
      <c r="AB1761" s="12"/>
      <c r="AC1761" s="12"/>
      <c r="AD1761" s="12"/>
      <c r="AE1761" s="12"/>
      <c r="AF1761" s="12"/>
      <c r="AG1761" s="12"/>
      <c r="AH1761" s="12"/>
      <c r="AI1761" s="12"/>
      <c r="AJ1761" s="12"/>
      <c r="AK1761" s="12"/>
      <c r="AL1761" s="12">
        <v>900000</v>
      </c>
      <c r="AM1761" s="12">
        <v>900000</v>
      </c>
      <c r="AN1761" s="1070">
        <v>577011</v>
      </c>
      <c r="AO1761" s="1070">
        <v>577011</v>
      </c>
      <c r="AP1761" s="1070">
        <v>519310</v>
      </c>
      <c r="AQ1761" s="1070">
        <v>519310</v>
      </c>
      <c r="AR1761" s="1044"/>
      <c r="AS1761" s="1044"/>
    </row>
    <row r="1762" spans="2:45" hidden="1" outlineLevel="1">
      <c r="C1762" s="816" t="s">
        <v>16</v>
      </c>
      <c r="D1762" s="9"/>
      <c r="E1762" s="20" t="s">
        <v>453</v>
      </c>
      <c r="F1762" s="20"/>
      <c r="G1762" s="20"/>
      <c r="H1762" s="20"/>
      <c r="I1762" s="20"/>
      <c r="J1762" s="20"/>
      <c r="K1762" s="20"/>
      <c r="L1762" s="20"/>
      <c r="M1762" s="20"/>
      <c r="N1762" s="20"/>
      <c r="O1762" s="20"/>
      <c r="P1762" s="20"/>
      <c r="Q1762" s="20"/>
      <c r="R1762" s="20"/>
      <c r="S1762" s="20"/>
      <c r="T1762" s="20"/>
      <c r="U1762" s="20"/>
      <c r="V1762" s="20"/>
      <c r="W1762" s="20"/>
      <c r="X1762" s="20"/>
      <c r="Y1762" s="20"/>
      <c r="Z1762" s="20"/>
      <c r="AA1762" s="20"/>
      <c r="AB1762" s="12">
        <v>54315</v>
      </c>
      <c r="AC1762" s="12">
        <v>54324</v>
      </c>
      <c r="AD1762" s="12">
        <v>48888</v>
      </c>
      <c r="AE1762" s="12">
        <v>48888</v>
      </c>
      <c r="AF1762" s="12">
        <v>48888</v>
      </c>
      <c r="AG1762" s="12">
        <v>48888</v>
      </c>
      <c r="AH1762" s="12">
        <v>36666</v>
      </c>
      <c r="AI1762" s="12">
        <v>36666</v>
      </c>
      <c r="AJ1762" s="12">
        <v>36666</v>
      </c>
      <c r="AK1762" s="12">
        <v>36666</v>
      </c>
      <c r="AL1762" s="12">
        <v>36666</v>
      </c>
      <c r="AM1762" s="12">
        <v>36666</v>
      </c>
      <c r="AN1762" s="1070">
        <v>34555</v>
      </c>
      <c r="AO1762" s="1070">
        <v>34555</v>
      </c>
      <c r="AP1762" s="1070">
        <v>34555</v>
      </c>
      <c r="AQ1762" s="1070">
        <v>34555</v>
      </c>
      <c r="AR1762" s="1044"/>
      <c r="AS1762" s="1044"/>
    </row>
    <row r="1763" spans="2:45" hidden="1" outlineLevel="1">
      <c r="C1763" s="816" t="s">
        <v>16</v>
      </c>
      <c r="D1763" s="9"/>
      <c r="E1763" s="20" t="s">
        <v>454</v>
      </c>
      <c r="F1763" s="20"/>
      <c r="G1763" s="20"/>
      <c r="H1763" s="20"/>
      <c r="I1763" s="20"/>
      <c r="J1763" s="20"/>
      <c r="K1763" s="20"/>
      <c r="L1763" s="20"/>
      <c r="M1763" s="20"/>
      <c r="N1763" s="20"/>
      <c r="O1763" s="20"/>
      <c r="P1763" s="20"/>
      <c r="Q1763" s="20"/>
      <c r="R1763" s="20"/>
      <c r="S1763" s="20"/>
      <c r="T1763" s="20"/>
      <c r="U1763" s="20"/>
      <c r="V1763" s="20"/>
      <c r="W1763" s="20"/>
      <c r="X1763" s="20"/>
      <c r="Y1763" s="20"/>
      <c r="Z1763" s="20"/>
      <c r="AA1763" s="20"/>
      <c r="AB1763" s="12">
        <v>108930</v>
      </c>
      <c r="AC1763" s="12">
        <v>108948</v>
      </c>
      <c r="AD1763" s="12">
        <v>98045</v>
      </c>
      <c r="AE1763" s="12">
        <v>98045</v>
      </c>
      <c r="AF1763" s="12">
        <v>98045</v>
      </c>
      <c r="AG1763" s="12">
        <v>98045</v>
      </c>
      <c r="AH1763" s="12">
        <v>73534</v>
      </c>
      <c r="AI1763" s="12">
        <v>73534</v>
      </c>
      <c r="AJ1763" s="22"/>
      <c r="AK1763" s="22"/>
      <c r="AL1763" s="22"/>
      <c r="AM1763" s="22"/>
      <c r="AN1763" s="1059"/>
      <c r="AO1763" s="1059"/>
      <c r="AP1763" s="1059"/>
      <c r="AQ1763" s="1059"/>
      <c r="AR1763" s="1044"/>
      <c r="AS1763" s="1044"/>
    </row>
    <row r="1764" spans="2:45" hidden="1" outlineLevel="1">
      <c r="C1764" s="816" t="s">
        <v>16</v>
      </c>
      <c r="D1764" s="9"/>
      <c r="E1764" s="224" t="s">
        <v>1734</v>
      </c>
      <c r="F1764" s="20"/>
      <c r="G1764" s="20"/>
      <c r="H1764" s="20"/>
      <c r="I1764" s="20"/>
      <c r="J1764" s="20"/>
      <c r="K1764" s="20"/>
      <c r="L1764" s="20"/>
      <c r="M1764" s="20"/>
      <c r="N1764" s="20"/>
      <c r="O1764" s="20"/>
      <c r="P1764" s="20"/>
      <c r="Q1764" s="20"/>
      <c r="R1764" s="20"/>
      <c r="S1764" s="20"/>
      <c r="T1764" s="20"/>
      <c r="U1764" s="20"/>
      <c r="V1764" s="20"/>
      <c r="W1764" s="20"/>
      <c r="X1764" s="20"/>
      <c r="Y1764" s="20"/>
      <c r="Z1764" s="20"/>
      <c r="AA1764" s="20"/>
      <c r="AB1764" s="12"/>
      <c r="AC1764" s="12"/>
      <c r="AD1764" s="12"/>
      <c r="AE1764" s="12"/>
      <c r="AF1764" s="12"/>
      <c r="AG1764" s="12"/>
      <c r="AH1764" s="12"/>
      <c r="AI1764" s="12"/>
      <c r="AJ1764" s="22"/>
      <c r="AK1764" s="22"/>
      <c r="AL1764" s="22">
        <v>890000</v>
      </c>
      <c r="AM1764" s="22">
        <v>760000</v>
      </c>
      <c r="AN1764" s="1070">
        <v>523735</v>
      </c>
      <c r="AO1764" s="1070">
        <v>523735</v>
      </c>
      <c r="AP1764" s="1070">
        <v>523735</v>
      </c>
      <c r="AQ1764" s="1070">
        <v>523735</v>
      </c>
      <c r="AR1764" s="1044"/>
      <c r="AS1764" s="1044"/>
    </row>
    <row r="1765" spans="2:45" s="1044" customFormat="1" hidden="1" outlineLevel="1">
      <c r="B1765" s="1045"/>
      <c r="C1765" s="1053" t="s">
        <v>16</v>
      </c>
      <c r="D1765" s="1030"/>
      <c r="E1765" s="1054" t="s">
        <v>1948</v>
      </c>
      <c r="F1765" s="1047"/>
      <c r="G1765" s="1047"/>
      <c r="H1765" s="1047"/>
      <c r="I1765" s="1047"/>
      <c r="J1765" s="1047"/>
      <c r="K1765" s="1047"/>
      <c r="L1765" s="1047"/>
      <c r="M1765" s="1047"/>
      <c r="N1765" s="1047"/>
      <c r="O1765" s="1047"/>
      <c r="P1765" s="1047"/>
      <c r="Q1765" s="1047"/>
      <c r="R1765" s="1047"/>
      <c r="S1765" s="1047"/>
      <c r="T1765" s="1047"/>
      <c r="U1765" s="1047"/>
      <c r="V1765" s="1047"/>
      <c r="W1765" s="1047"/>
      <c r="X1765" s="1047"/>
      <c r="Y1765" s="1047"/>
      <c r="Z1765" s="1047"/>
      <c r="AA1765" s="1047"/>
      <c r="AB1765" s="1070"/>
      <c r="AC1765" s="1070"/>
      <c r="AD1765" s="1070"/>
      <c r="AE1765" s="1070"/>
      <c r="AF1765" s="1070"/>
      <c r="AG1765" s="1070"/>
      <c r="AH1765" s="1070"/>
      <c r="AI1765" s="1070"/>
      <c r="AJ1765" s="1059"/>
      <c r="AK1765" s="1059"/>
      <c r="AL1765" s="1059"/>
      <c r="AM1765" s="1059"/>
      <c r="AN1765" s="1070"/>
      <c r="AO1765" s="1070"/>
      <c r="AP1765" s="1070">
        <v>1800000</v>
      </c>
      <c r="AQ1765" s="1070">
        <v>1800000</v>
      </c>
    </row>
    <row r="1766" spans="2:45" hidden="1" outlineLevel="1">
      <c r="C1766" s="816" t="s">
        <v>16</v>
      </c>
      <c r="D1766" s="223" t="s">
        <v>1354</v>
      </c>
      <c r="E1766" s="20" t="s">
        <v>455</v>
      </c>
      <c r="F1766" s="20"/>
      <c r="G1766" s="20"/>
      <c r="H1766" s="20"/>
      <c r="I1766" s="20"/>
      <c r="J1766" s="20"/>
      <c r="K1766" s="20"/>
      <c r="L1766" s="20"/>
      <c r="M1766" s="20"/>
      <c r="N1766" s="20"/>
      <c r="O1766" s="20"/>
      <c r="P1766" s="20"/>
      <c r="Q1766" s="20"/>
      <c r="R1766" s="20"/>
      <c r="S1766" s="20"/>
      <c r="T1766" s="20"/>
      <c r="U1766" s="20"/>
      <c r="V1766" s="20"/>
      <c r="W1766" s="20"/>
      <c r="X1766" s="20"/>
      <c r="Y1766" s="20"/>
      <c r="Z1766" s="20"/>
      <c r="AA1766" s="20"/>
      <c r="AB1766" s="12">
        <v>2701090</v>
      </c>
      <c r="AC1766" s="12">
        <v>2701344</v>
      </c>
      <c r="AD1766" s="12">
        <v>2823448</v>
      </c>
      <c r="AE1766" s="12">
        <v>2823450</v>
      </c>
      <c r="AF1766" s="12">
        <v>2828644</v>
      </c>
      <c r="AG1766" s="12">
        <v>2828644</v>
      </c>
      <c r="AH1766" s="12">
        <v>1974115</v>
      </c>
      <c r="AI1766" s="12">
        <v>1974110</v>
      </c>
      <c r="AJ1766" s="21">
        <v>2474115</v>
      </c>
      <c r="AK1766" s="21">
        <v>2474115</v>
      </c>
      <c r="AL1766" s="21">
        <v>2474115</v>
      </c>
      <c r="AM1766" s="21">
        <v>2474110</v>
      </c>
      <c r="AN1766" s="1058">
        <v>1608613</v>
      </c>
      <c r="AO1766" s="1058">
        <v>1608613</v>
      </c>
      <c r="AP1766" s="1058">
        <v>4666198</v>
      </c>
      <c r="AQ1766" s="1058">
        <v>4666197</v>
      </c>
      <c r="AR1766" s="1044"/>
      <c r="AS1766" s="1044"/>
    </row>
    <row r="1767" spans="2:45" hidden="1" outlineLevel="1">
      <c r="C1767" s="816" t="s">
        <v>16</v>
      </c>
      <c r="D1767" s="9"/>
      <c r="E1767" s="20" t="s">
        <v>456</v>
      </c>
      <c r="F1767" s="20"/>
      <c r="G1767" s="20"/>
      <c r="H1767" s="20"/>
      <c r="I1767" s="20"/>
      <c r="J1767" s="20"/>
      <c r="K1767" s="20"/>
      <c r="L1767" s="20"/>
      <c r="M1767" s="20"/>
      <c r="N1767" s="20"/>
      <c r="O1767" s="20"/>
      <c r="P1767" s="20"/>
      <c r="Q1767" s="20"/>
      <c r="R1767" s="20"/>
      <c r="S1767" s="20"/>
      <c r="T1767" s="20"/>
      <c r="U1767" s="20"/>
      <c r="V1767" s="20"/>
      <c r="W1767" s="20"/>
      <c r="X1767" s="20"/>
      <c r="Y1767" s="20"/>
      <c r="Z1767" s="20"/>
      <c r="AA1767" s="20"/>
      <c r="AB1767" s="12"/>
      <c r="AC1767" s="12"/>
      <c r="AD1767" s="12"/>
      <c r="AE1767" s="12"/>
      <c r="AF1767" s="12">
        <v>0</v>
      </c>
      <c r="AG1767" s="12">
        <v>0</v>
      </c>
      <c r="AH1767" s="12">
        <v>2100000</v>
      </c>
      <c r="AI1767" s="12">
        <v>2100000</v>
      </c>
      <c r="AJ1767" s="21">
        <v>2173534</v>
      </c>
      <c r="AK1767" s="21">
        <v>2173534</v>
      </c>
      <c r="AL1767" s="21">
        <v>2173534</v>
      </c>
      <c r="AM1767" s="21">
        <v>2173534</v>
      </c>
      <c r="AN1767" s="1058">
        <v>1243510</v>
      </c>
      <c r="AO1767" s="1058">
        <v>1243510</v>
      </c>
      <c r="AP1767" s="1058">
        <v>1119159</v>
      </c>
      <c r="AQ1767" s="1058">
        <v>1119159</v>
      </c>
      <c r="AR1767" s="1044"/>
      <c r="AS1767" s="1044"/>
    </row>
    <row r="1768" spans="2:45" hidden="1" outlineLevel="1">
      <c r="C1768" s="816" t="s">
        <v>16</v>
      </c>
      <c r="D1768" s="223" t="s">
        <v>1200</v>
      </c>
      <c r="E1768" s="25" t="s">
        <v>458</v>
      </c>
      <c r="F1768" s="6"/>
      <c r="G1768" s="6"/>
      <c r="H1768" s="6"/>
      <c r="I1768" s="6"/>
      <c r="J1768" s="6"/>
      <c r="K1768" s="6"/>
      <c r="L1768" s="6"/>
      <c r="M1768" s="6"/>
      <c r="N1768" s="6"/>
      <c r="O1768" s="6"/>
      <c r="P1768" s="6"/>
      <c r="Q1768" s="6"/>
      <c r="R1768" s="6"/>
      <c r="S1768" s="6"/>
      <c r="T1768" s="6"/>
      <c r="U1768" s="6"/>
      <c r="V1768" s="6"/>
      <c r="W1768" s="6"/>
      <c r="X1768" s="6"/>
      <c r="Y1768" s="6"/>
      <c r="Z1768" s="6"/>
      <c r="AA1768" s="6"/>
      <c r="AB1768" s="7">
        <v>3923326</v>
      </c>
      <c r="AC1768" s="7">
        <v>3923784</v>
      </c>
      <c r="AD1768" s="7">
        <v>3923553</v>
      </c>
      <c r="AE1768" s="7">
        <v>3923555</v>
      </c>
      <c r="AF1768" s="7">
        <f t="shared" ref="AF1768:AQ1768" si="343">SUM(AF1760:AF1767)</f>
        <v>3928749</v>
      </c>
      <c r="AG1768" s="7">
        <f t="shared" si="343"/>
        <v>3928749</v>
      </c>
      <c r="AH1768" s="7">
        <f t="shared" si="343"/>
        <v>4899194</v>
      </c>
      <c r="AI1768" s="7">
        <f t="shared" si="343"/>
        <v>4899189</v>
      </c>
      <c r="AJ1768" s="7">
        <f t="shared" si="343"/>
        <v>5399194</v>
      </c>
      <c r="AK1768" s="7">
        <f t="shared" si="343"/>
        <v>5399194</v>
      </c>
      <c r="AL1768" s="60">
        <f t="shared" si="343"/>
        <v>7189194</v>
      </c>
      <c r="AM1768" s="60">
        <f t="shared" si="343"/>
        <v>7059185</v>
      </c>
      <c r="AN1768" s="1074">
        <f t="shared" si="343"/>
        <v>4375315</v>
      </c>
      <c r="AO1768" s="1074">
        <f t="shared" si="343"/>
        <v>4375315</v>
      </c>
      <c r="AP1768" s="1074">
        <f t="shared" si="343"/>
        <v>9012059</v>
      </c>
      <c r="AQ1768" s="1074">
        <f t="shared" si="343"/>
        <v>9012058</v>
      </c>
      <c r="AR1768" s="1044"/>
      <c r="AS1768" s="1044"/>
    </row>
    <row r="1769" spans="2:45" hidden="1" outlineLevel="1">
      <c r="C1769" s="816" t="s">
        <v>16</v>
      </c>
      <c r="D1769" s="223" t="s">
        <v>1254</v>
      </c>
      <c r="E1769" s="278" t="s">
        <v>459</v>
      </c>
      <c r="F1769" s="20"/>
      <c r="G1769" s="20"/>
      <c r="H1769" s="20"/>
      <c r="I1769" s="20"/>
      <c r="J1769" s="20"/>
      <c r="K1769" s="20"/>
      <c r="L1769" s="20"/>
      <c r="M1769" s="20"/>
      <c r="N1769" s="20"/>
      <c r="O1769" s="20"/>
      <c r="P1769" s="20"/>
      <c r="Q1769" s="20"/>
      <c r="R1769" s="20"/>
      <c r="S1769" s="20"/>
      <c r="T1769" s="20"/>
      <c r="U1769" s="20"/>
      <c r="V1769" s="20"/>
      <c r="W1769" s="20"/>
      <c r="X1769" s="20"/>
      <c r="Y1769" s="20"/>
      <c r="Z1769" s="20"/>
      <c r="AA1769" s="20"/>
      <c r="AB1769" s="12"/>
      <c r="AC1769" s="12"/>
      <c r="AD1769" s="12"/>
      <c r="AE1769" s="12"/>
      <c r="AF1769" s="12">
        <v>0</v>
      </c>
      <c r="AG1769" s="12">
        <v>0</v>
      </c>
      <c r="AH1769" s="12">
        <v>690000</v>
      </c>
      <c r="AI1769" s="12">
        <v>690000</v>
      </c>
      <c r="AJ1769" s="12">
        <v>690000</v>
      </c>
      <c r="AK1769" s="12">
        <v>690000</v>
      </c>
      <c r="AL1769" s="12">
        <v>690000</v>
      </c>
      <c r="AM1769" s="12">
        <v>690000</v>
      </c>
      <c r="AN1769" s="1070">
        <v>449664</v>
      </c>
      <c r="AO1769" s="1070">
        <v>449663</v>
      </c>
      <c r="AP1769" s="1070">
        <v>449664</v>
      </c>
      <c r="AQ1769" s="1070">
        <v>449663</v>
      </c>
      <c r="AR1769" s="1044"/>
      <c r="AS1769" s="1044"/>
    </row>
    <row r="1770" spans="2:45" hidden="1" outlineLevel="1">
      <c r="C1770" s="816" t="s">
        <v>16</v>
      </c>
      <c r="D1770" s="9"/>
      <c r="E1770" s="20" t="s">
        <v>460</v>
      </c>
      <c r="F1770" s="20"/>
      <c r="G1770" s="20"/>
      <c r="H1770" s="20"/>
      <c r="I1770" s="20"/>
      <c r="J1770" s="20"/>
      <c r="K1770" s="20"/>
      <c r="L1770" s="20"/>
      <c r="M1770" s="20"/>
      <c r="N1770" s="20"/>
      <c r="O1770" s="20"/>
      <c r="P1770" s="20"/>
      <c r="Q1770" s="20"/>
      <c r="R1770" s="20"/>
      <c r="S1770" s="20"/>
      <c r="T1770" s="20"/>
      <c r="U1770" s="20"/>
      <c r="V1770" s="20"/>
      <c r="W1770" s="20"/>
      <c r="X1770" s="20"/>
      <c r="Y1770" s="20"/>
      <c r="Z1770" s="20"/>
      <c r="AA1770" s="20"/>
      <c r="AB1770" s="12"/>
      <c r="AC1770" s="12"/>
      <c r="AD1770" s="12"/>
      <c r="AE1770" s="12"/>
      <c r="AF1770" s="12"/>
      <c r="AG1770" s="12"/>
      <c r="AH1770" s="12"/>
      <c r="AI1770" s="12"/>
      <c r="AJ1770" s="21">
        <v>2000000</v>
      </c>
      <c r="AK1770" s="21">
        <v>2000000</v>
      </c>
      <c r="AL1770" s="1222">
        <v>0</v>
      </c>
      <c r="AM1770" s="1222">
        <v>0</v>
      </c>
      <c r="AN1770" s="1058">
        <v>5000000</v>
      </c>
      <c r="AO1770" s="1058">
        <v>5000000</v>
      </c>
      <c r="AP1770" s="1058">
        <v>4500000</v>
      </c>
      <c r="AQ1770" s="1058">
        <v>4500000</v>
      </c>
      <c r="AR1770" s="1044"/>
      <c r="AS1770" s="1044"/>
    </row>
    <row r="1771" spans="2:45" s="1044" customFormat="1" hidden="1" outlineLevel="1">
      <c r="B1771" s="1045"/>
      <c r="C1771" s="1053" t="s">
        <v>16</v>
      </c>
      <c r="D1771" s="1030"/>
      <c r="E1771" s="1054" t="s">
        <v>1949</v>
      </c>
      <c r="F1771" s="1047"/>
      <c r="G1771" s="1047"/>
      <c r="H1771" s="1047"/>
      <c r="I1771" s="1047"/>
      <c r="J1771" s="1047"/>
      <c r="K1771" s="1047"/>
      <c r="L1771" s="1047"/>
      <c r="M1771" s="1047"/>
      <c r="N1771" s="1047"/>
      <c r="O1771" s="1047"/>
      <c r="P1771" s="1047"/>
      <c r="Q1771" s="1047"/>
      <c r="R1771" s="1047"/>
      <c r="S1771" s="1047"/>
      <c r="T1771" s="1047"/>
      <c r="U1771" s="1047"/>
      <c r="V1771" s="1047"/>
      <c r="W1771" s="1047"/>
      <c r="X1771" s="1047"/>
      <c r="Y1771" s="1047"/>
      <c r="Z1771" s="1047"/>
      <c r="AA1771" s="1047"/>
      <c r="AB1771" s="1070"/>
      <c r="AC1771" s="1070"/>
      <c r="AD1771" s="1070"/>
      <c r="AE1771" s="1070"/>
      <c r="AF1771" s="1070"/>
      <c r="AG1771" s="1070"/>
      <c r="AH1771" s="1070"/>
      <c r="AI1771" s="1070"/>
      <c r="AJ1771" s="1058"/>
      <c r="AK1771" s="1058"/>
      <c r="AL1771" s="1058"/>
      <c r="AM1771" s="1058"/>
      <c r="AN1771" s="1058"/>
      <c r="AO1771" s="1058"/>
      <c r="AP1771" s="1058">
        <v>10000000</v>
      </c>
      <c r="AQ1771" s="1058">
        <v>10000000</v>
      </c>
    </row>
    <row r="1772" spans="2:45" hidden="1" outlineLevel="1">
      <c r="C1772" s="816" t="s">
        <v>16</v>
      </c>
      <c r="D1772" s="223" t="s">
        <v>1254</v>
      </c>
      <c r="E1772" s="278" t="s">
        <v>461</v>
      </c>
      <c r="F1772" s="20"/>
      <c r="G1772" s="20"/>
      <c r="H1772" s="20"/>
      <c r="I1772" s="20"/>
      <c r="J1772" s="20"/>
      <c r="K1772" s="20"/>
      <c r="L1772" s="20"/>
      <c r="M1772" s="20"/>
      <c r="N1772" s="20"/>
      <c r="O1772" s="20"/>
      <c r="P1772" s="20"/>
      <c r="Q1772" s="20"/>
      <c r="R1772" s="20"/>
      <c r="S1772" s="20"/>
      <c r="T1772" s="20"/>
      <c r="U1772" s="20"/>
      <c r="V1772" s="20"/>
      <c r="W1772" s="20"/>
      <c r="X1772" s="20"/>
      <c r="Y1772" s="20"/>
      <c r="Z1772" s="20"/>
      <c r="AA1772" s="20"/>
      <c r="AB1772" s="12"/>
      <c r="AC1772" s="12"/>
      <c r="AD1772" s="12"/>
      <c r="AE1772" s="12"/>
      <c r="AF1772" s="12">
        <v>0</v>
      </c>
      <c r="AG1772" s="12">
        <v>0</v>
      </c>
      <c r="AH1772" s="12">
        <v>3567500</v>
      </c>
      <c r="AI1772" s="12">
        <v>3567500</v>
      </c>
      <c r="AJ1772" s="12">
        <v>3567500</v>
      </c>
      <c r="AK1772" s="12">
        <v>3567500</v>
      </c>
      <c r="AL1772" s="12">
        <v>3567500</v>
      </c>
      <c r="AM1772" s="12">
        <v>3567500</v>
      </c>
      <c r="AN1772" s="1070">
        <v>2324892</v>
      </c>
      <c r="AO1772" s="1070">
        <v>2324892</v>
      </c>
      <c r="AP1772" s="1070">
        <v>2324892</v>
      </c>
      <c r="AQ1772" s="1070">
        <v>2324892</v>
      </c>
      <c r="AR1772" s="1044"/>
      <c r="AS1772" s="1044"/>
    </row>
    <row r="1773" spans="2:45" hidden="1" outlineLevel="1">
      <c r="C1773" s="816" t="s">
        <v>16</v>
      </c>
      <c r="D1773" s="9"/>
      <c r="E1773" s="20" t="s">
        <v>462</v>
      </c>
      <c r="F1773" s="20"/>
      <c r="G1773" s="20"/>
      <c r="H1773" s="20"/>
      <c r="I1773" s="20"/>
      <c r="J1773" s="20"/>
      <c r="K1773" s="20"/>
      <c r="L1773" s="20"/>
      <c r="M1773" s="20"/>
      <c r="N1773" s="20"/>
      <c r="O1773" s="20"/>
      <c r="P1773" s="20"/>
      <c r="Q1773" s="20"/>
      <c r="R1773" s="20"/>
      <c r="S1773" s="20"/>
      <c r="T1773" s="20"/>
      <c r="U1773" s="20"/>
      <c r="V1773" s="20"/>
      <c r="W1773" s="20"/>
      <c r="X1773" s="20"/>
      <c r="Y1773" s="20"/>
      <c r="Z1773" s="20"/>
      <c r="AA1773" s="20"/>
      <c r="AB1773" s="12">
        <v>1935805</v>
      </c>
      <c r="AC1773" s="12">
        <v>1935805</v>
      </c>
      <c r="AD1773" s="12">
        <v>1935804</v>
      </c>
      <c r="AE1773" s="12">
        <v>1935806</v>
      </c>
      <c r="AF1773" s="12">
        <v>1935805</v>
      </c>
      <c r="AG1773" s="12">
        <v>1935805</v>
      </c>
      <c r="AH1773" s="12">
        <v>0</v>
      </c>
      <c r="AI1773" s="12">
        <v>0</v>
      </c>
      <c r="AJ1773" s="22"/>
      <c r="AK1773" s="22"/>
      <c r="AL1773" s="22"/>
      <c r="AM1773" s="22"/>
      <c r="AN1773" s="1059"/>
      <c r="AO1773" s="1059"/>
      <c r="AP1773" s="1059"/>
      <c r="AQ1773" s="1059"/>
      <c r="AR1773" s="1044"/>
      <c r="AS1773" s="1044"/>
    </row>
    <row r="1774" spans="2:45" hidden="1" outlineLevel="1">
      <c r="C1774" s="816" t="s">
        <v>16</v>
      </c>
      <c r="D1774" s="9"/>
      <c r="E1774" s="20" t="s">
        <v>463</v>
      </c>
      <c r="F1774" s="20"/>
      <c r="G1774" s="20"/>
      <c r="H1774" s="20"/>
      <c r="I1774" s="20"/>
      <c r="J1774" s="20"/>
      <c r="K1774" s="20"/>
      <c r="L1774" s="20"/>
      <c r="M1774" s="20"/>
      <c r="N1774" s="20"/>
      <c r="O1774" s="20"/>
      <c r="P1774" s="20"/>
      <c r="Q1774" s="20"/>
      <c r="R1774" s="20"/>
      <c r="S1774" s="20"/>
      <c r="T1774" s="20"/>
      <c r="U1774" s="20"/>
      <c r="V1774" s="20"/>
      <c r="W1774" s="20"/>
      <c r="X1774" s="20"/>
      <c r="Y1774" s="20"/>
      <c r="Z1774" s="20"/>
      <c r="AA1774" s="20"/>
      <c r="AB1774" s="12">
        <v>349986</v>
      </c>
      <c r="AC1774" s="12">
        <v>349986</v>
      </c>
      <c r="AD1774" s="12">
        <v>349986</v>
      </c>
      <c r="AE1774" s="12">
        <v>349986</v>
      </c>
      <c r="AF1774" s="12">
        <v>349986</v>
      </c>
      <c r="AG1774" s="12">
        <v>349986</v>
      </c>
      <c r="AH1774" s="12">
        <v>0</v>
      </c>
      <c r="AI1774" s="12">
        <v>0</v>
      </c>
      <c r="AJ1774" s="22"/>
      <c r="AK1774" s="22"/>
      <c r="AL1774" s="22"/>
      <c r="AM1774" s="22"/>
      <c r="AN1774" s="1059"/>
      <c r="AO1774" s="1059"/>
      <c r="AP1774" s="1059"/>
      <c r="AQ1774" s="1059"/>
      <c r="AR1774" s="1044"/>
      <c r="AS1774" s="1044"/>
    </row>
    <row r="1775" spans="2:45" hidden="1" outlineLevel="1">
      <c r="C1775" s="816" t="s">
        <v>16</v>
      </c>
      <c r="D1775" s="9"/>
      <c r="E1775" s="20" t="s">
        <v>464</v>
      </c>
      <c r="F1775" s="20"/>
      <c r="G1775" s="20"/>
      <c r="H1775" s="20"/>
      <c r="I1775" s="20"/>
      <c r="J1775" s="20"/>
      <c r="K1775" s="20"/>
      <c r="L1775" s="20"/>
      <c r="M1775" s="20"/>
      <c r="N1775" s="20"/>
      <c r="O1775" s="20"/>
      <c r="P1775" s="20"/>
      <c r="Q1775" s="20"/>
      <c r="R1775" s="20"/>
      <c r="S1775" s="20"/>
      <c r="T1775" s="20"/>
      <c r="U1775" s="20"/>
      <c r="V1775" s="20"/>
      <c r="W1775" s="20"/>
      <c r="X1775" s="20"/>
      <c r="Y1775" s="20"/>
      <c r="Z1775" s="20"/>
      <c r="AA1775" s="20"/>
      <c r="AB1775" s="12">
        <v>400901</v>
      </c>
      <c r="AC1775" s="12">
        <v>400901</v>
      </c>
      <c r="AD1775" s="12">
        <v>400900</v>
      </c>
      <c r="AE1775" s="12">
        <v>400902</v>
      </c>
      <c r="AF1775" s="12">
        <v>400901</v>
      </c>
      <c r="AG1775" s="12">
        <v>400901</v>
      </c>
      <c r="AH1775" s="12">
        <v>0</v>
      </c>
      <c r="AI1775" s="12">
        <v>0</v>
      </c>
      <c r="AJ1775" s="22"/>
      <c r="AK1775" s="22"/>
      <c r="AL1775" s="22"/>
      <c r="AM1775" s="22"/>
      <c r="AN1775" s="1059"/>
      <c r="AO1775" s="1059"/>
      <c r="AP1775" s="1059"/>
      <c r="AQ1775" s="1059"/>
      <c r="AR1775" s="1044"/>
      <c r="AS1775" s="1044"/>
    </row>
    <row r="1776" spans="2:45" hidden="1" outlineLevel="1">
      <c r="C1776" s="816" t="s">
        <v>16</v>
      </c>
      <c r="D1776" s="9"/>
      <c r="E1776" s="20" t="s">
        <v>465</v>
      </c>
      <c r="F1776" s="20"/>
      <c r="G1776" s="20"/>
      <c r="H1776" s="20"/>
      <c r="I1776" s="20"/>
      <c r="J1776" s="20"/>
      <c r="K1776" s="20"/>
      <c r="L1776" s="20"/>
      <c r="M1776" s="20"/>
      <c r="N1776" s="20"/>
      <c r="O1776" s="20"/>
      <c r="P1776" s="20"/>
      <c r="Q1776" s="20"/>
      <c r="R1776" s="20"/>
      <c r="S1776" s="20"/>
      <c r="T1776" s="20"/>
      <c r="U1776" s="20"/>
      <c r="V1776" s="20"/>
      <c r="W1776" s="20"/>
      <c r="X1776" s="20"/>
      <c r="Y1776" s="20"/>
      <c r="Z1776" s="20"/>
      <c r="AA1776" s="20"/>
      <c r="AB1776" s="12">
        <v>3607625</v>
      </c>
      <c r="AC1776" s="12">
        <v>3607625</v>
      </c>
      <c r="AD1776" s="12">
        <v>3607624</v>
      </c>
      <c r="AE1776" s="12">
        <v>3607626</v>
      </c>
      <c r="AF1776" s="12">
        <v>3607625</v>
      </c>
      <c r="AG1776" s="12">
        <v>3607625</v>
      </c>
      <c r="AH1776" s="12">
        <v>0</v>
      </c>
      <c r="AI1776" s="12">
        <v>0</v>
      </c>
      <c r="AJ1776" s="22"/>
      <c r="AK1776" s="22"/>
      <c r="AL1776" s="22"/>
      <c r="AM1776" s="22"/>
      <c r="AN1776" s="1059"/>
      <c r="AO1776" s="1059"/>
      <c r="AP1776" s="1059"/>
      <c r="AQ1776" s="1059"/>
      <c r="AR1776" s="1044"/>
      <c r="AS1776" s="1044"/>
    </row>
    <row r="1777" spans="2:45" hidden="1" outlineLevel="1">
      <c r="C1777" s="816" t="s">
        <v>16</v>
      </c>
      <c r="D1777" s="9"/>
      <c r="E1777" s="20" t="s">
        <v>466</v>
      </c>
      <c r="F1777" s="20"/>
      <c r="G1777" s="20"/>
      <c r="H1777" s="20"/>
      <c r="I1777" s="20"/>
      <c r="J1777" s="20"/>
      <c r="K1777" s="20"/>
      <c r="L1777" s="20"/>
      <c r="M1777" s="20"/>
      <c r="N1777" s="20"/>
      <c r="O1777" s="20"/>
      <c r="P1777" s="20"/>
      <c r="Q1777" s="20"/>
      <c r="R1777" s="20"/>
      <c r="S1777" s="20"/>
      <c r="T1777" s="20"/>
      <c r="U1777" s="20"/>
      <c r="V1777" s="20"/>
      <c r="W1777" s="20"/>
      <c r="X1777" s="20"/>
      <c r="Y1777" s="20"/>
      <c r="Z1777" s="20"/>
      <c r="AA1777" s="20"/>
      <c r="AB1777" s="12"/>
      <c r="AC1777" s="12"/>
      <c r="AD1777" s="12">
        <v>5000000</v>
      </c>
      <c r="AE1777" s="12"/>
      <c r="AF1777" s="12">
        <v>2500000</v>
      </c>
      <c r="AG1777" s="12">
        <v>2500000</v>
      </c>
      <c r="AH1777" s="12">
        <v>0</v>
      </c>
      <c r="AI1777" s="12">
        <v>0</v>
      </c>
      <c r="AJ1777" s="22"/>
      <c r="AK1777" s="22"/>
      <c r="AL1777" s="22"/>
      <c r="AM1777" s="22"/>
      <c r="AN1777" s="1059"/>
      <c r="AO1777" s="1059"/>
      <c r="AP1777" s="1059"/>
      <c r="AQ1777" s="1059"/>
      <c r="AR1777" s="1044"/>
      <c r="AS1777" s="1044"/>
    </row>
    <row r="1778" spans="2:45" hidden="1" outlineLevel="1">
      <c r="C1778" s="816" t="s">
        <v>16</v>
      </c>
      <c r="D1778" s="1243" t="s">
        <v>1254</v>
      </c>
      <c r="E1778" s="278" t="s">
        <v>467</v>
      </c>
      <c r="F1778" s="20"/>
      <c r="G1778" s="20"/>
      <c r="H1778" s="20"/>
      <c r="I1778" s="20"/>
      <c r="J1778" s="20"/>
      <c r="K1778" s="20"/>
      <c r="L1778" s="20"/>
      <c r="M1778" s="20"/>
      <c r="N1778" s="20"/>
      <c r="O1778" s="20"/>
      <c r="P1778" s="20"/>
      <c r="Q1778" s="20"/>
      <c r="R1778" s="20"/>
      <c r="S1778" s="20"/>
      <c r="T1778" s="20"/>
      <c r="U1778" s="20"/>
      <c r="V1778" s="20"/>
      <c r="W1778" s="20"/>
      <c r="X1778" s="20"/>
      <c r="Y1778" s="20"/>
      <c r="Z1778" s="20"/>
      <c r="AA1778" s="20"/>
      <c r="AB1778" s="12"/>
      <c r="AC1778" s="12"/>
      <c r="AD1778" s="12"/>
      <c r="AE1778" s="12"/>
      <c r="AF1778" s="12"/>
      <c r="AG1778" s="12"/>
      <c r="AH1778" s="12"/>
      <c r="AI1778" s="12"/>
      <c r="AJ1778" s="21">
        <v>200000</v>
      </c>
      <c r="AK1778" s="21">
        <v>200000</v>
      </c>
      <c r="AL1778" s="1242">
        <v>2200000</v>
      </c>
      <c r="AM1778" s="1242">
        <v>2200000</v>
      </c>
      <c r="AN1778" s="1058">
        <v>1433711</v>
      </c>
      <c r="AO1778" s="1058">
        <v>1433710</v>
      </c>
      <c r="AP1778" s="1058">
        <v>1290339</v>
      </c>
      <c r="AQ1778" s="1058">
        <v>1290339</v>
      </c>
      <c r="AR1778" s="1044"/>
      <c r="AS1778" s="1044"/>
    </row>
    <row r="1779" spans="2:45" hidden="1" outlineLevel="1">
      <c r="C1779" s="816" t="s">
        <v>16</v>
      </c>
      <c r="D1779" s="9"/>
      <c r="E1779" s="20" t="s">
        <v>468</v>
      </c>
      <c r="F1779" s="20"/>
      <c r="G1779" s="20"/>
      <c r="H1779" s="20"/>
      <c r="I1779" s="20"/>
      <c r="J1779" s="20"/>
      <c r="K1779" s="20"/>
      <c r="L1779" s="20"/>
      <c r="M1779" s="20"/>
      <c r="N1779" s="20"/>
      <c r="O1779" s="20"/>
      <c r="P1779" s="20"/>
      <c r="Q1779" s="20"/>
      <c r="R1779" s="20"/>
      <c r="S1779" s="20"/>
      <c r="T1779" s="20"/>
      <c r="U1779" s="20"/>
      <c r="V1779" s="20"/>
      <c r="W1779" s="20"/>
      <c r="X1779" s="20"/>
      <c r="Y1779" s="20"/>
      <c r="Z1779" s="20"/>
      <c r="AA1779" s="20"/>
      <c r="AB1779" s="12">
        <v>2581459</v>
      </c>
      <c r="AC1779" s="12">
        <v>2581549</v>
      </c>
      <c r="AD1779" s="12">
        <v>2811134</v>
      </c>
      <c r="AE1779" s="12">
        <v>2811134</v>
      </c>
      <c r="AF1779" s="12">
        <v>3070697</v>
      </c>
      <c r="AG1779" s="12">
        <v>3070697</v>
      </c>
      <c r="AH1779" s="12">
        <v>3070697</v>
      </c>
      <c r="AI1779" s="12">
        <v>3070697</v>
      </c>
      <c r="AJ1779" s="21">
        <v>3377767</v>
      </c>
      <c r="AK1779" s="21">
        <v>3377767</v>
      </c>
      <c r="AL1779" s="21">
        <v>3377767</v>
      </c>
      <c r="AM1779" s="21">
        <v>3377767</v>
      </c>
      <c r="AN1779" s="1058">
        <v>2221705</v>
      </c>
      <c r="AO1779" s="1058">
        <v>2221704</v>
      </c>
      <c r="AP1779" s="1058">
        <v>2221705</v>
      </c>
      <c r="AQ1779" s="1058">
        <v>2221704</v>
      </c>
      <c r="AR1779" s="1044"/>
      <c r="AS1779" s="1044"/>
    </row>
    <row r="1780" spans="2:45" hidden="1" outlineLevel="1">
      <c r="C1780" s="816" t="s">
        <v>16</v>
      </c>
      <c r="D1780" s="1030"/>
      <c r="E1780" s="1047" t="s">
        <v>469</v>
      </c>
      <c r="F1780" s="20"/>
      <c r="G1780" s="20"/>
      <c r="H1780" s="20"/>
      <c r="I1780" s="20"/>
      <c r="J1780" s="20"/>
      <c r="K1780" s="20"/>
      <c r="L1780" s="20"/>
      <c r="M1780" s="20"/>
      <c r="N1780" s="20"/>
      <c r="O1780" s="20"/>
      <c r="P1780" s="20"/>
      <c r="Q1780" s="20"/>
      <c r="R1780" s="20"/>
      <c r="S1780" s="20"/>
      <c r="T1780" s="20"/>
      <c r="U1780" s="20"/>
      <c r="V1780" s="20"/>
      <c r="W1780" s="20"/>
      <c r="X1780" s="20"/>
      <c r="Y1780" s="20"/>
      <c r="Z1780" s="20"/>
      <c r="AA1780" s="20"/>
      <c r="AB1780" s="12"/>
      <c r="AC1780" s="12"/>
      <c r="AD1780" s="12"/>
      <c r="AE1780" s="12"/>
      <c r="AF1780" s="12">
        <v>0</v>
      </c>
      <c r="AG1780" s="12">
        <v>0</v>
      </c>
      <c r="AH1780" s="12">
        <v>2217500</v>
      </c>
      <c r="AI1780" s="12">
        <v>2217500</v>
      </c>
      <c r="AJ1780" s="12">
        <v>2217500</v>
      </c>
      <c r="AK1780" s="12">
        <v>2217500</v>
      </c>
      <c r="AL1780" s="12">
        <v>2217500</v>
      </c>
      <c r="AM1780" s="12">
        <v>2217500</v>
      </c>
      <c r="AN1780" s="1070">
        <v>1445115</v>
      </c>
      <c r="AO1780" s="1070">
        <v>1445114</v>
      </c>
      <c r="AP1780" s="1070">
        <v>1445115</v>
      </c>
      <c r="AQ1780" s="1070">
        <v>1445114</v>
      </c>
      <c r="AR1780" s="1044"/>
      <c r="AS1780" s="1044"/>
    </row>
    <row r="1781" spans="2:45" hidden="1" outlineLevel="1">
      <c r="C1781" s="816" t="s">
        <v>16</v>
      </c>
      <c r="D1781" s="9"/>
      <c r="E1781" s="20" t="s">
        <v>470</v>
      </c>
      <c r="F1781" s="20"/>
      <c r="G1781" s="20"/>
      <c r="H1781" s="20"/>
      <c r="I1781" s="20"/>
      <c r="J1781" s="20"/>
      <c r="K1781" s="20"/>
      <c r="L1781" s="20"/>
      <c r="M1781" s="20"/>
      <c r="N1781" s="20"/>
      <c r="O1781" s="20"/>
      <c r="P1781" s="20"/>
      <c r="Q1781" s="20"/>
      <c r="R1781" s="20"/>
      <c r="S1781" s="20"/>
      <c r="T1781" s="20"/>
      <c r="U1781" s="20"/>
      <c r="V1781" s="20"/>
      <c r="W1781" s="20"/>
      <c r="X1781" s="20"/>
      <c r="Y1781" s="20"/>
      <c r="Z1781" s="20"/>
      <c r="AA1781" s="20"/>
      <c r="AB1781" s="12"/>
      <c r="AC1781" s="12"/>
      <c r="AD1781" s="12"/>
      <c r="AE1781" s="12"/>
      <c r="AF1781" s="12">
        <v>0</v>
      </c>
      <c r="AG1781" s="12">
        <v>0</v>
      </c>
      <c r="AH1781" s="12">
        <v>1151509</v>
      </c>
      <c r="AI1781" s="12">
        <v>1151509</v>
      </c>
      <c r="AJ1781" s="12">
        <v>1151509</v>
      </c>
      <c r="AK1781" s="12">
        <v>1151509</v>
      </c>
      <c r="AL1781" s="12">
        <v>1151509</v>
      </c>
      <c r="AM1781" s="12">
        <v>1151509</v>
      </c>
      <c r="AN1781" s="1070">
        <v>750423</v>
      </c>
      <c r="AO1781" s="1070">
        <v>750422</v>
      </c>
      <c r="AP1781" s="1070">
        <v>750423</v>
      </c>
      <c r="AQ1781" s="1070">
        <v>750422</v>
      </c>
      <c r="AR1781" s="1044"/>
      <c r="AS1781" s="1044"/>
    </row>
    <row r="1782" spans="2:45" s="1044" customFormat="1" hidden="1" outlineLevel="1">
      <c r="B1782" s="1045"/>
      <c r="C1782" s="1053" t="s">
        <v>16</v>
      </c>
      <c r="D1782" s="1030"/>
      <c r="E1782" s="1054" t="s">
        <v>1950</v>
      </c>
      <c r="F1782" s="1047"/>
      <c r="G1782" s="1047"/>
      <c r="H1782" s="1047"/>
      <c r="I1782" s="1047"/>
      <c r="J1782" s="1047"/>
      <c r="K1782" s="1047"/>
      <c r="L1782" s="1047"/>
      <c r="M1782" s="1047"/>
      <c r="N1782" s="1047"/>
      <c r="O1782" s="1047"/>
      <c r="P1782" s="1047"/>
      <c r="Q1782" s="1047"/>
      <c r="R1782" s="1047"/>
      <c r="S1782" s="1047"/>
      <c r="T1782" s="1047"/>
      <c r="U1782" s="1047"/>
      <c r="V1782" s="1047"/>
      <c r="W1782" s="1047"/>
      <c r="X1782" s="1047"/>
      <c r="Y1782" s="1047"/>
      <c r="Z1782" s="1047"/>
      <c r="AA1782" s="1047"/>
      <c r="AB1782" s="1070"/>
      <c r="AC1782" s="1070"/>
      <c r="AD1782" s="1070"/>
      <c r="AE1782" s="1070"/>
      <c r="AF1782" s="1070"/>
      <c r="AG1782" s="1070"/>
      <c r="AH1782" s="1070"/>
      <c r="AI1782" s="1070"/>
      <c r="AJ1782" s="1070"/>
      <c r="AK1782" s="1070"/>
      <c r="AL1782" s="1070"/>
      <c r="AM1782" s="1070"/>
      <c r="AN1782" s="1070"/>
      <c r="AO1782" s="1070"/>
      <c r="AP1782" s="1070">
        <v>1250000</v>
      </c>
      <c r="AQ1782" s="1070">
        <v>1250000</v>
      </c>
    </row>
    <row r="1783" spans="2:45" hidden="1" outlineLevel="1">
      <c r="C1783" s="816" t="s">
        <v>16</v>
      </c>
      <c r="D1783" s="9"/>
      <c r="E1783" s="20" t="s">
        <v>471</v>
      </c>
      <c r="F1783" s="20"/>
      <c r="G1783" s="20"/>
      <c r="H1783" s="20"/>
      <c r="I1783" s="20"/>
      <c r="J1783" s="20"/>
      <c r="K1783" s="20"/>
      <c r="L1783" s="20"/>
      <c r="M1783" s="20"/>
      <c r="N1783" s="20"/>
      <c r="O1783" s="20"/>
      <c r="P1783" s="20"/>
      <c r="Q1783" s="20"/>
      <c r="R1783" s="20"/>
      <c r="S1783" s="20"/>
      <c r="T1783" s="20"/>
      <c r="U1783" s="20"/>
      <c r="V1783" s="20"/>
      <c r="W1783" s="20"/>
      <c r="X1783" s="20"/>
      <c r="Y1783" s="20"/>
      <c r="Z1783" s="20"/>
      <c r="AA1783" s="20"/>
      <c r="AB1783" s="12">
        <v>290937</v>
      </c>
      <c r="AC1783" s="12">
        <v>290937</v>
      </c>
      <c r="AD1783" s="12">
        <v>290937</v>
      </c>
      <c r="AE1783" s="12">
        <v>290937</v>
      </c>
      <c r="AF1783" s="12">
        <v>290937</v>
      </c>
      <c r="AG1783" s="12">
        <v>290937</v>
      </c>
      <c r="AH1783" s="12">
        <v>0</v>
      </c>
      <c r="AI1783" s="12">
        <v>0</v>
      </c>
      <c r="AJ1783" s="22"/>
      <c r="AK1783" s="22"/>
      <c r="AL1783" s="22"/>
      <c r="AM1783" s="22"/>
      <c r="AN1783" s="1059"/>
      <c r="AO1783" s="1059"/>
      <c r="AP1783" s="1059"/>
      <c r="AQ1783" s="1059"/>
      <c r="AR1783" s="1044"/>
      <c r="AS1783" s="1044"/>
    </row>
    <row r="1784" spans="2:45" hidden="1" outlineLevel="1">
      <c r="C1784" s="816" t="s">
        <v>16</v>
      </c>
      <c r="D1784" s="9"/>
      <c r="E1784" s="20" t="s">
        <v>472</v>
      </c>
      <c r="F1784" s="20"/>
      <c r="G1784" s="20"/>
      <c r="H1784" s="20"/>
      <c r="I1784" s="20"/>
      <c r="J1784" s="20"/>
      <c r="K1784" s="20"/>
      <c r="L1784" s="20"/>
      <c r="M1784" s="20"/>
      <c r="N1784" s="20"/>
      <c r="O1784" s="20"/>
      <c r="P1784" s="20"/>
      <c r="Q1784" s="20"/>
      <c r="R1784" s="20"/>
      <c r="S1784" s="20"/>
      <c r="T1784" s="20"/>
      <c r="U1784" s="20"/>
      <c r="V1784" s="20"/>
      <c r="W1784" s="20"/>
      <c r="X1784" s="20"/>
      <c r="Y1784" s="20"/>
      <c r="Z1784" s="20"/>
      <c r="AA1784" s="20"/>
      <c r="AB1784" s="12">
        <v>249375</v>
      </c>
      <c r="AC1784" s="12">
        <v>249375</v>
      </c>
      <c r="AD1784" s="12">
        <v>249374</v>
      </c>
      <c r="AE1784" s="12">
        <v>249376</v>
      </c>
      <c r="AF1784" s="12">
        <v>249375</v>
      </c>
      <c r="AG1784" s="12">
        <v>249375</v>
      </c>
      <c r="AH1784" s="12">
        <v>0</v>
      </c>
      <c r="AI1784" s="12">
        <v>0</v>
      </c>
      <c r="AJ1784" s="22"/>
      <c r="AK1784" s="22"/>
      <c r="AL1784" s="22"/>
      <c r="AM1784" s="22"/>
      <c r="AN1784" s="1059"/>
      <c r="AO1784" s="1059"/>
      <c r="AP1784" s="1059"/>
      <c r="AQ1784" s="1059"/>
      <c r="AR1784" s="1044"/>
      <c r="AS1784" s="1044"/>
    </row>
    <row r="1785" spans="2:45" hidden="1" outlineLevel="1">
      <c r="C1785" s="816" t="s">
        <v>16</v>
      </c>
      <c r="D1785" s="9"/>
      <c r="E1785" s="20" t="s">
        <v>473</v>
      </c>
      <c r="F1785" s="20"/>
      <c r="G1785" s="20"/>
      <c r="H1785" s="20"/>
      <c r="I1785" s="20"/>
      <c r="J1785" s="20"/>
      <c r="K1785" s="20"/>
      <c r="L1785" s="20"/>
      <c r="M1785" s="20"/>
      <c r="N1785" s="20"/>
      <c r="O1785" s="20"/>
      <c r="P1785" s="20"/>
      <c r="Q1785" s="20"/>
      <c r="R1785" s="20"/>
      <c r="S1785" s="20"/>
      <c r="T1785" s="20"/>
      <c r="U1785" s="20"/>
      <c r="V1785" s="20"/>
      <c r="W1785" s="20"/>
      <c r="X1785" s="20"/>
      <c r="Y1785" s="20"/>
      <c r="Z1785" s="20"/>
      <c r="AA1785" s="20"/>
      <c r="AB1785" s="12">
        <v>1369247</v>
      </c>
      <c r="AC1785" s="12">
        <v>1369247</v>
      </c>
      <c r="AD1785" s="12">
        <v>1369247</v>
      </c>
      <c r="AE1785" s="12">
        <v>1369247</v>
      </c>
      <c r="AF1785" s="12">
        <v>1369247</v>
      </c>
      <c r="AG1785" s="12">
        <v>1369247</v>
      </c>
      <c r="AH1785" s="12">
        <v>0</v>
      </c>
      <c r="AI1785" s="12">
        <v>0</v>
      </c>
      <c r="AJ1785" s="22"/>
      <c r="AK1785" s="22"/>
      <c r="AL1785" s="22"/>
      <c r="AM1785" s="22"/>
      <c r="AN1785" s="1059"/>
      <c r="AO1785" s="1059"/>
      <c r="AP1785" s="1059"/>
      <c r="AQ1785" s="1059"/>
      <c r="AR1785" s="1044"/>
      <c r="AS1785" s="1044"/>
    </row>
    <row r="1786" spans="2:45" hidden="1" outlineLevel="1">
      <c r="C1786" s="816" t="s">
        <v>16</v>
      </c>
      <c r="D1786" s="223" t="s">
        <v>1354</v>
      </c>
      <c r="E1786" s="20" t="s">
        <v>474</v>
      </c>
      <c r="F1786" s="20"/>
      <c r="G1786" s="20"/>
      <c r="H1786" s="20"/>
      <c r="I1786" s="20"/>
      <c r="J1786" s="20"/>
      <c r="K1786" s="20"/>
      <c r="L1786" s="20"/>
      <c r="M1786" s="20"/>
      <c r="N1786" s="20"/>
      <c r="O1786" s="20"/>
      <c r="P1786" s="20"/>
      <c r="Q1786" s="20"/>
      <c r="R1786" s="20"/>
      <c r="S1786" s="20"/>
      <c r="T1786" s="20"/>
      <c r="U1786" s="20"/>
      <c r="V1786" s="20"/>
      <c r="W1786" s="20"/>
      <c r="X1786" s="20"/>
      <c r="Y1786" s="20"/>
      <c r="Z1786" s="20"/>
      <c r="AA1786" s="20"/>
      <c r="AB1786" s="12">
        <v>3204306</v>
      </c>
      <c r="AC1786" s="12">
        <v>3204306</v>
      </c>
      <c r="AD1786" s="12">
        <v>3204306</v>
      </c>
      <c r="AE1786" s="12">
        <v>3204306</v>
      </c>
      <c r="AF1786" s="12">
        <v>4753967</v>
      </c>
      <c r="AG1786" s="12">
        <v>4753967</v>
      </c>
      <c r="AH1786" s="12">
        <v>3387201</v>
      </c>
      <c r="AI1786" s="12">
        <v>3387201</v>
      </c>
      <c r="AJ1786" s="12">
        <v>3387201</v>
      </c>
      <c r="AK1786" s="12">
        <v>3387201</v>
      </c>
      <c r="AL1786" s="1225">
        <v>3390550</v>
      </c>
      <c r="AM1786" s="1225">
        <v>3390550</v>
      </c>
      <c r="AN1786" s="1070">
        <v>2429295</v>
      </c>
      <c r="AO1786" s="1070">
        <v>2429295</v>
      </c>
      <c r="AP1786" s="1070">
        <v>7729295</v>
      </c>
      <c r="AQ1786" s="1070">
        <v>7729295</v>
      </c>
      <c r="AR1786" s="1044"/>
      <c r="AS1786" s="1044"/>
    </row>
    <row r="1787" spans="2:45" s="1044" customFormat="1" hidden="1" outlineLevel="1">
      <c r="B1787" s="1045"/>
      <c r="C1787" s="1053" t="s">
        <v>16</v>
      </c>
      <c r="D1787" s="1051"/>
      <c r="E1787" s="1054" t="s">
        <v>2050</v>
      </c>
      <c r="F1787" s="1047"/>
      <c r="G1787" s="1047"/>
      <c r="H1787" s="1047"/>
      <c r="I1787" s="1047"/>
      <c r="J1787" s="1047"/>
      <c r="K1787" s="1047"/>
      <c r="L1787" s="1047"/>
      <c r="M1787" s="1047"/>
      <c r="N1787" s="1047"/>
      <c r="O1787" s="1047"/>
      <c r="P1787" s="1047"/>
      <c r="Q1787" s="1047"/>
      <c r="R1787" s="1047"/>
      <c r="S1787" s="1047"/>
      <c r="T1787" s="1047"/>
      <c r="U1787" s="1047"/>
      <c r="V1787" s="1047"/>
      <c r="W1787" s="1047"/>
      <c r="X1787" s="1047"/>
      <c r="Y1787" s="1047"/>
      <c r="Z1787" s="1047"/>
      <c r="AA1787" s="1047"/>
      <c r="AB1787" s="1070"/>
      <c r="AC1787" s="1070"/>
      <c r="AD1787" s="1070"/>
      <c r="AE1787" s="1070"/>
      <c r="AF1787" s="1070"/>
      <c r="AG1787" s="1070"/>
      <c r="AH1787" s="1070"/>
      <c r="AI1787" s="1070"/>
      <c r="AJ1787" s="1070"/>
      <c r="AK1787" s="1070"/>
      <c r="AL1787" s="1070"/>
      <c r="AM1787" s="1070"/>
      <c r="AN1787" s="1070"/>
      <c r="AO1787" s="1070"/>
      <c r="AP1787" s="1070">
        <v>45000000</v>
      </c>
      <c r="AQ1787" s="1172" t="s">
        <v>1771</v>
      </c>
    </row>
    <row r="1788" spans="2:45" s="173" customFormat="1" hidden="1" outlineLevel="1">
      <c r="B1788" s="566"/>
      <c r="C1788" s="816" t="s">
        <v>16</v>
      </c>
      <c r="D1788" s="244"/>
      <c r="E1788" s="375" t="s">
        <v>1664</v>
      </c>
      <c r="F1788" s="23"/>
      <c r="G1788" s="23"/>
      <c r="H1788" s="23"/>
      <c r="I1788" s="23"/>
      <c r="J1788" s="23"/>
      <c r="K1788" s="23"/>
      <c r="L1788" s="23"/>
      <c r="M1788" s="23"/>
      <c r="N1788" s="23"/>
      <c r="O1788" s="23"/>
      <c r="P1788" s="23"/>
      <c r="Q1788" s="23"/>
      <c r="R1788" s="23"/>
      <c r="S1788" s="23"/>
      <c r="T1788" s="23"/>
      <c r="U1788" s="23"/>
      <c r="V1788" s="23"/>
      <c r="W1788" s="23"/>
      <c r="X1788" s="23"/>
      <c r="Y1788" s="23"/>
      <c r="Z1788" s="23"/>
      <c r="AA1788" s="23"/>
      <c r="AB1788" s="14">
        <v>2500000</v>
      </c>
      <c r="AC1788" s="14">
        <v>2500000</v>
      </c>
      <c r="AD1788" s="14"/>
      <c r="AE1788" s="14"/>
      <c r="AF1788" s="14"/>
      <c r="AG1788" s="14"/>
      <c r="AH1788" s="14"/>
      <c r="AI1788" s="14"/>
      <c r="AJ1788" s="14"/>
      <c r="AK1788" s="14"/>
      <c r="AL1788" s="14"/>
      <c r="AM1788" s="14"/>
      <c r="AN1788" s="1071"/>
      <c r="AO1788" s="1071"/>
      <c r="AP1788" s="1071"/>
      <c r="AQ1788" s="1071"/>
      <c r="AR1788" s="1044"/>
      <c r="AS1788" s="1044"/>
    </row>
    <row r="1789" spans="2:45" hidden="1" outlineLevel="1">
      <c r="C1789" s="816" t="s">
        <v>16</v>
      </c>
      <c r="D1789" s="223" t="s">
        <v>1200</v>
      </c>
      <c r="E1789" s="25" t="s">
        <v>476</v>
      </c>
      <c r="F1789" s="6"/>
      <c r="G1789" s="6"/>
      <c r="H1789" s="6"/>
      <c r="I1789" s="6"/>
      <c r="J1789" s="6"/>
      <c r="K1789" s="6"/>
      <c r="L1789" s="6"/>
      <c r="M1789" s="6"/>
      <c r="N1789" s="6"/>
      <c r="O1789" s="6"/>
      <c r="P1789" s="6"/>
      <c r="Q1789" s="6"/>
      <c r="R1789" s="6"/>
      <c r="S1789" s="6"/>
      <c r="T1789" s="6"/>
      <c r="U1789" s="6"/>
      <c r="V1789" s="6"/>
      <c r="W1789" s="6"/>
      <c r="X1789" s="6"/>
      <c r="Y1789" s="6"/>
      <c r="Z1789" s="6"/>
      <c r="AA1789" s="6"/>
      <c r="AB1789" s="7">
        <v>16489641</v>
      </c>
      <c r="AC1789" s="7">
        <v>16489731</v>
      </c>
      <c r="AD1789" s="7">
        <v>23319123</v>
      </c>
      <c r="AE1789" s="7">
        <v>18319130</v>
      </c>
      <c r="AF1789" s="7">
        <f t="shared" ref="AF1789:AQ1789" si="344">SUM(AF1769:AF1788)</f>
        <v>18528540</v>
      </c>
      <c r="AG1789" s="7">
        <f t="shared" si="344"/>
        <v>18528540</v>
      </c>
      <c r="AH1789" s="7">
        <f t="shared" si="344"/>
        <v>14084407</v>
      </c>
      <c r="AI1789" s="7">
        <f t="shared" si="344"/>
        <v>14084407</v>
      </c>
      <c r="AJ1789" s="7">
        <f t="shared" si="344"/>
        <v>16591477</v>
      </c>
      <c r="AK1789" s="7">
        <f t="shared" si="344"/>
        <v>16591477</v>
      </c>
      <c r="AL1789" s="60">
        <f t="shared" si="344"/>
        <v>16594826</v>
      </c>
      <c r="AM1789" s="60">
        <f t="shared" si="344"/>
        <v>16594826</v>
      </c>
      <c r="AN1789" s="1074">
        <f t="shared" si="344"/>
        <v>16054805</v>
      </c>
      <c r="AO1789" s="1074">
        <f t="shared" si="344"/>
        <v>16054800</v>
      </c>
      <c r="AP1789" s="1074">
        <f t="shared" si="344"/>
        <v>76961433</v>
      </c>
      <c r="AQ1789" s="1074">
        <f t="shared" si="344"/>
        <v>31961429</v>
      </c>
      <c r="AR1789" s="1044"/>
      <c r="AS1789" s="1044"/>
    </row>
    <row r="1790" spans="2:45" s="600" customFormat="1" hidden="1" outlineLevel="1">
      <c r="B1790" s="601"/>
      <c r="C1790" s="816" t="s">
        <v>16</v>
      </c>
      <c r="D1790" s="244"/>
      <c r="E1790" s="375" t="s">
        <v>1736</v>
      </c>
      <c r="F1790" s="375"/>
      <c r="G1790" s="375"/>
      <c r="H1790" s="375"/>
      <c r="I1790" s="375"/>
      <c r="J1790" s="375"/>
      <c r="K1790" s="375"/>
      <c r="L1790" s="375"/>
      <c r="M1790" s="375"/>
      <c r="N1790" s="375"/>
      <c r="O1790" s="375"/>
      <c r="P1790" s="375"/>
      <c r="Q1790" s="375"/>
      <c r="R1790" s="375"/>
      <c r="S1790" s="375"/>
      <c r="T1790" s="375"/>
      <c r="U1790" s="375"/>
      <c r="V1790" s="375"/>
      <c r="W1790" s="375"/>
      <c r="X1790" s="375"/>
      <c r="Y1790" s="375"/>
      <c r="Z1790" s="375"/>
      <c r="AA1790" s="375"/>
      <c r="AB1790" s="14"/>
      <c r="AC1790" s="14"/>
      <c r="AD1790" s="14"/>
      <c r="AE1790" s="14"/>
      <c r="AF1790" s="14"/>
      <c r="AG1790" s="14"/>
      <c r="AH1790" s="14"/>
      <c r="AI1790" s="14"/>
      <c r="AJ1790" s="14"/>
      <c r="AK1790" s="14"/>
      <c r="AL1790" s="12">
        <v>3250000</v>
      </c>
      <c r="AM1790" s="12">
        <v>3250000</v>
      </c>
      <c r="AN1790" s="1070">
        <v>2137666</v>
      </c>
      <c r="AO1790" s="1070">
        <v>2137666</v>
      </c>
      <c r="AP1790" s="1070">
        <v>2725000</v>
      </c>
      <c r="AQ1790" s="1070">
        <v>2725000</v>
      </c>
      <c r="AR1790" s="1044"/>
      <c r="AS1790" s="1044"/>
    </row>
    <row r="1791" spans="2:45" hidden="1" outlineLevel="1">
      <c r="C1791" s="816" t="s">
        <v>16</v>
      </c>
      <c r="D1791" s="223" t="s">
        <v>1254</v>
      </c>
      <c r="E1791" s="278" t="s">
        <v>477</v>
      </c>
      <c r="F1791" s="20"/>
      <c r="G1791" s="20"/>
      <c r="H1791" s="20"/>
      <c r="I1791" s="20"/>
      <c r="J1791" s="20"/>
      <c r="K1791" s="20"/>
      <c r="L1791" s="20"/>
      <c r="M1791" s="20"/>
      <c r="N1791" s="20"/>
      <c r="O1791" s="20"/>
      <c r="P1791" s="20"/>
      <c r="Q1791" s="20"/>
      <c r="R1791" s="20"/>
      <c r="S1791" s="20"/>
      <c r="T1791" s="20"/>
      <c r="U1791" s="20"/>
      <c r="V1791" s="20"/>
      <c r="W1791" s="20"/>
      <c r="X1791" s="20"/>
      <c r="Y1791" s="20"/>
      <c r="Z1791" s="20"/>
      <c r="AA1791" s="20"/>
      <c r="AB1791" s="12">
        <v>57546</v>
      </c>
      <c r="AC1791" s="12">
        <v>57546</v>
      </c>
      <c r="AD1791" s="12">
        <v>57546</v>
      </c>
      <c r="AE1791" s="12">
        <v>57546</v>
      </c>
      <c r="AF1791" s="12">
        <v>57546</v>
      </c>
      <c r="AG1791" s="12">
        <v>57546</v>
      </c>
      <c r="AH1791" s="12">
        <v>41864</v>
      </c>
      <c r="AI1791" s="12">
        <v>41864</v>
      </c>
      <c r="AJ1791" s="12">
        <v>41864</v>
      </c>
      <c r="AK1791" s="12">
        <v>41864</v>
      </c>
      <c r="AL1791" s="12">
        <v>41864</v>
      </c>
      <c r="AM1791" s="12">
        <v>41864</v>
      </c>
      <c r="AN1791" s="1070">
        <v>29066</v>
      </c>
      <c r="AO1791" s="1070">
        <v>29065</v>
      </c>
      <c r="AP1791" s="1070">
        <v>29066</v>
      </c>
      <c r="AQ1791" s="1070">
        <v>29065</v>
      </c>
      <c r="AR1791" s="1044"/>
      <c r="AS1791" s="1044"/>
    </row>
    <row r="1792" spans="2:45" hidden="1" outlineLevel="1">
      <c r="C1792" s="816" t="s">
        <v>16</v>
      </c>
      <c r="D1792" s="223" t="s">
        <v>1254</v>
      </c>
      <c r="E1792" s="278" t="s">
        <v>478</v>
      </c>
      <c r="F1792" s="20"/>
      <c r="G1792" s="20"/>
      <c r="H1792" s="20"/>
      <c r="I1792" s="20"/>
      <c r="J1792" s="20"/>
      <c r="K1792" s="20"/>
      <c r="L1792" s="20"/>
      <c r="M1792" s="20"/>
      <c r="N1792" s="20"/>
      <c r="O1792" s="20"/>
      <c r="P1792" s="20"/>
      <c r="Q1792" s="20"/>
      <c r="R1792" s="20"/>
      <c r="S1792" s="20"/>
      <c r="T1792" s="20"/>
      <c r="U1792" s="20"/>
      <c r="V1792" s="20"/>
      <c r="W1792" s="20"/>
      <c r="X1792" s="20"/>
      <c r="Y1792" s="20"/>
      <c r="Z1792" s="20"/>
      <c r="AA1792" s="20"/>
      <c r="AB1792" s="12">
        <v>415626</v>
      </c>
      <c r="AC1792" s="12">
        <v>415626</v>
      </c>
      <c r="AD1792" s="12">
        <v>415626</v>
      </c>
      <c r="AE1792" s="12">
        <v>415626</v>
      </c>
      <c r="AF1792" s="12">
        <v>415626</v>
      </c>
      <c r="AG1792" s="12">
        <v>415626</v>
      </c>
      <c r="AH1792" s="12">
        <v>302368</v>
      </c>
      <c r="AI1792" s="12">
        <v>302368</v>
      </c>
      <c r="AJ1792" s="12">
        <v>302368</v>
      </c>
      <c r="AK1792" s="12">
        <v>302368</v>
      </c>
      <c r="AL1792" s="12">
        <v>302368</v>
      </c>
      <c r="AM1792" s="12">
        <v>302368</v>
      </c>
      <c r="AN1792" s="1070">
        <v>209930</v>
      </c>
      <c r="AO1792" s="1070">
        <v>209930</v>
      </c>
      <c r="AP1792" s="1070">
        <v>209930</v>
      </c>
      <c r="AQ1792" s="1070">
        <v>209930</v>
      </c>
      <c r="AR1792" s="1044"/>
      <c r="AS1792" s="1044"/>
    </row>
    <row r="1793" spans="2:45" hidden="1" outlineLevel="1">
      <c r="C1793" s="1053" t="s">
        <v>16</v>
      </c>
      <c r="D1793" s="223" t="s">
        <v>1254</v>
      </c>
      <c r="E1793" s="1052" t="s">
        <v>1737</v>
      </c>
      <c r="F1793" s="20"/>
      <c r="G1793" s="20"/>
      <c r="H1793" s="20"/>
      <c r="I1793" s="20"/>
      <c r="J1793" s="20"/>
      <c r="K1793" s="20"/>
      <c r="L1793" s="20"/>
      <c r="M1793" s="20"/>
      <c r="N1793" s="20"/>
      <c r="O1793" s="20"/>
      <c r="P1793" s="20"/>
      <c r="Q1793" s="20"/>
      <c r="R1793" s="20"/>
      <c r="S1793" s="20"/>
      <c r="T1793" s="20"/>
      <c r="U1793" s="20"/>
      <c r="V1793" s="20"/>
      <c r="W1793" s="20"/>
      <c r="X1793" s="20"/>
      <c r="Y1793" s="20"/>
      <c r="Z1793" s="20"/>
      <c r="AA1793" s="20"/>
      <c r="AB1793" s="12"/>
      <c r="AC1793" s="12"/>
      <c r="AD1793" s="12"/>
      <c r="AE1793" s="12"/>
      <c r="AF1793" s="12"/>
      <c r="AG1793" s="12"/>
      <c r="AH1793" s="12"/>
      <c r="AI1793" s="12"/>
      <c r="AJ1793" s="12"/>
      <c r="AK1793" s="12"/>
      <c r="AL1793" s="12">
        <v>200000</v>
      </c>
      <c r="AM1793" s="12">
        <v>200000</v>
      </c>
      <c r="AN1793" s="1070">
        <v>138857</v>
      </c>
      <c r="AO1793" s="1070">
        <v>138857</v>
      </c>
      <c r="AP1793" s="1070">
        <v>138857</v>
      </c>
      <c r="AQ1793" s="1070">
        <v>138857</v>
      </c>
      <c r="AR1793" s="1044"/>
      <c r="AS1793" s="1044"/>
    </row>
    <row r="1794" spans="2:45" hidden="1" outlineLevel="1">
      <c r="C1794" s="816" t="s">
        <v>16</v>
      </c>
      <c r="D1794" s="223" t="s">
        <v>1354</v>
      </c>
      <c r="E1794" s="20" t="s">
        <v>479</v>
      </c>
      <c r="F1794" s="20"/>
      <c r="G1794" s="20"/>
      <c r="H1794" s="20"/>
      <c r="I1794" s="20"/>
      <c r="J1794" s="20"/>
      <c r="K1794" s="20"/>
      <c r="L1794" s="20"/>
      <c r="M1794" s="20"/>
      <c r="N1794" s="20"/>
      <c r="O1794" s="20"/>
      <c r="P1794" s="20"/>
      <c r="Q1794" s="20"/>
      <c r="R1794" s="20"/>
      <c r="S1794" s="20"/>
      <c r="T1794" s="20"/>
      <c r="U1794" s="20"/>
      <c r="V1794" s="20"/>
      <c r="W1794" s="20"/>
      <c r="X1794" s="20"/>
      <c r="Y1794" s="20"/>
      <c r="Z1794" s="20"/>
      <c r="AA1794" s="20"/>
      <c r="AB1794" s="12">
        <v>2138888</v>
      </c>
      <c r="AC1794" s="12">
        <v>2138191</v>
      </c>
      <c r="AD1794" s="12">
        <v>2138853</v>
      </c>
      <c r="AE1794" s="12">
        <v>2138226</v>
      </c>
      <c r="AF1794" s="12">
        <v>2511005</v>
      </c>
      <c r="AG1794" s="12">
        <v>2511005</v>
      </c>
      <c r="AH1794" s="12">
        <v>1774966</v>
      </c>
      <c r="AI1794" s="12">
        <v>1774966</v>
      </c>
      <c r="AJ1794" s="21">
        <v>2274966</v>
      </c>
      <c r="AK1794" s="21">
        <v>2274966</v>
      </c>
      <c r="AL1794" s="1225">
        <v>2277483</v>
      </c>
      <c r="AM1794" s="1225">
        <v>2277483</v>
      </c>
      <c r="AN1794" s="1058">
        <v>1482071</v>
      </c>
      <c r="AO1794" s="1058">
        <v>1482070</v>
      </c>
      <c r="AP1794" s="1058">
        <v>5118057</v>
      </c>
      <c r="AQ1794" s="1058">
        <v>5118056</v>
      </c>
      <c r="AR1794" s="1044"/>
      <c r="AS1794" s="1044"/>
    </row>
    <row r="1795" spans="2:45" hidden="1" outlineLevel="1">
      <c r="C1795" s="816" t="s">
        <v>16</v>
      </c>
      <c r="D1795" s="223" t="s">
        <v>1200</v>
      </c>
      <c r="E1795" s="25" t="s">
        <v>481</v>
      </c>
      <c r="F1795" s="6"/>
      <c r="G1795" s="6"/>
      <c r="H1795" s="6"/>
      <c r="I1795" s="6"/>
      <c r="J1795" s="6"/>
      <c r="K1795" s="6"/>
      <c r="L1795" s="6"/>
      <c r="M1795" s="6"/>
      <c r="N1795" s="6"/>
      <c r="O1795" s="6"/>
      <c r="P1795" s="6"/>
      <c r="Q1795" s="6"/>
      <c r="R1795" s="6"/>
      <c r="S1795" s="6"/>
      <c r="T1795" s="6"/>
      <c r="U1795" s="6"/>
      <c r="V1795" s="6"/>
      <c r="W1795" s="6"/>
      <c r="X1795" s="6"/>
      <c r="Y1795" s="6"/>
      <c r="Z1795" s="6"/>
      <c r="AA1795" s="6"/>
      <c r="AB1795" s="7">
        <v>2612060</v>
      </c>
      <c r="AC1795" s="7">
        <v>2611363</v>
      </c>
      <c r="AD1795" s="7">
        <v>2612025</v>
      </c>
      <c r="AE1795" s="7">
        <v>2611398</v>
      </c>
      <c r="AF1795" s="7">
        <f t="shared" ref="AF1795:AK1795" si="345">SUM(AF1791:AF1794)</f>
        <v>2984177</v>
      </c>
      <c r="AG1795" s="7">
        <f t="shared" si="345"/>
        <v>2984177</v>
      </c>
      <c r="AH1795" s="7">
        <f t="shared" si="345"/>
        <v>2119198</v>
      </c>
      <c r="AI1795" s="7">
        <f t="shared" si="345"/>
        <v>2119198</v>
      </c>
      <c r="AJ1795" s="7">
        <f t="shared" si="345"/>
        <v>2619198</v>
      </c>
      <c r="AK1795" s="7">
        <f t="shared" si="345"/>
        <v>2619198</v>
      </c>
      <c r="AL1795" s="60">
        <f t="shared" ref="AL1795:AQ1795" si="346">SUM(AL1790:AL1794)</f>
        <v>6071715</v>
      </c>
      <c r="AM1795" s="60">
        <f t="shared" si="346"/>
        <v>6071715</v>
      </c>
      <c r="AN1795" s="1074">
        <f t="shared" si="346"/>
        <v>3997590</v>
      </c>
      <c r="AO1795" s="1074">
        <f t="shared" si="346"/>
        <v>3997588</v>
      </c>
      <c r="AP1795" s="1074">
        <f t="shared" si="346"/>
        <v>8220910</v>
      </c>
      <c r="AQ1795" s="1074">
        <f t="shared" si="346"/>
        <v>8220908</v>
      </c>
      <c r="AR1795" s="1044"/>
      <c r="AS1795" s="1044"/>
    </row>
    <row r="1796" spans="2:45" hidden="1" outlineLevel="1">
      <c r="C1796" s="816" t="s">
        <v>16</v>
      </c>
      <c r="D1796" s="9"/>
      <c r="E1796" s="20" t="s">
        <v>482</v>
      </c>
      <c r="F1796" s="20"/>
      <c r="G1796" s="20"/>
      <c r="H1796" s="20"/>
      <c r="I1796" s="20"/>
      <c r="J1796" s="20"/>
      <c r="K1796" s="20"/>
      <c r="L1796" s="20"/>
      <c r="M1796" s="20"/>
      <c r="N1796" s="20"/>
      <c r="O1796" s="20"/>
      <c r="P1796" s="20"/>
      <c r="Q1796" s="20"/>
      <c r="R1796" s="20"/>
      <c r="S1796" s="20"/>
      <c r="T1796" s="20"/>
      <c r="U1796" s="20"/>
      <c r="V1796" s="20"/>
      <c r="W1796" s="20"/>
      <c r="X1796" s="20"/>
      <c r="Y1796" s="20"/>
      <c r="Z1796" s="20"/>
      <c r="AA1796" s="20"/>
      <c r="AB1796" s="12">
        <v>332500</v>
      </c>
      <c r="AC1796" s="12">
        <v>332500</v>
      </c>
      <c r="AD1796" s="12">
        <v>332500</v>
      </c>
      <c r="AE1796" s="12">
        <v>332500</v>
      </c>
      <c r="AF1796" s="12">
        <v>382500</v>
      </c>
      <c r="AG1796" s="12">
        <v>382500</v>
      </c>
      <c r="AH1796" s="12">
        <v>397531</v>
      </c>
      <c r="AI1796" s="12">
        <v>397531</v>
      </c>
      <c r="AJ1796" s="21">
        <v>397531</v>
      </c>
      <c r="AK1796" s="21">
        <v>397531</v>
      </c>
      <c r="AL1796" s="21">
        <v>397531</v>
      </c>
      <c r="AM1796" s="21">
        <v>397531</v>
      </c>
      <c r="AN1796" s="1058">
        <v>264961</v>
      </c>
      <c r="AO1796" s="1058">
        <v>264960</v>
      </c>
      <c r="AP1796" s="1058">
        <v>264961</v>
      </c>
      <c r="AQ1796" s="1058">
        <v>264960</v>
      </c>
      <c r="AR1796" s="1044"/>
      <c r="AS1796" s="1044"/>
    </row>
    <row r="1797" spans="2:45" s="1044" customFormat="1" hidden="1" outlineLevel="1">
      <c r="B1797" s="1045"/>
      <c r="C1797" s="1053" t="s">
        <v>16</v>
      </c>
      <c r="D1797" s="1030"/>
      <c r="E1797" s="1054" t="s">
        <v>1951</v>
      </c>
      <c r="F1797" s="1047"/>
      <c r="G1797" s="1047"/>
      <c r="H1797" s="1047"/>
      <c r="I1797" s="1047"/>
      <c r="J1797" s="1047"/>
      <c r="K1797" s="1047"/>
      <c r="L1797" s="1047"/>
      <c r="M1797" s="1047"/>
      <c r="N1797" s="1047"/>
      <c r="O1797" s="1047"/>
      <c r="P1797" s="1047"/>
      <c r="Q1797" s="1047"/>
      <c r="R1797" s="1047"/>
      <c r="S1797" s="1047"/>
      <c r="T1797" s="1047"/>
      <c r="U1797" s="1047"/>
      <c r="V1797" s="1047"/>
      <c r="W1797" s="1047"/>
      <c r="X1797" s="1047"/>
      <c r="Y1797" s="1047"/>
      <c r="Z1797" s="1047"/>
      <c r="AA1797" s="1047"/>
      <c r="AB1797" s="1070"/>
      <c r="AC1797" s="1070"/>
      <c r="AD1797" s="1070"/>
      <c r="AE1797" s="1070"/>
      <c r="AF1797" s="1070"/>
      <c r="AG1797" s="1070"/>
      <c r="AH1797" s="1070"/>
      <c r="AI1797" s="1070"/>
      <c r="AJ1797" s="1058"/>
      <c r="AK1797" s="1058"/>
      <c r="AL1797" s="1058"/>
      <c r="AM1797" s="1058"/>
      <c r="AN1797" s="1058"/>
      <c r="AO1797" s="1058"/>
      <c r="AP1797" s="1058">
        <v>50000</v>
      </c>
      <c r="AQ1797" s="1058">
        <v>50000</v>
      </c>
    </row>
    <row r="1798" spans="2:45" hidden="1" outlineLevel="1">
      <c r="C1798" s="816" t="s">
        <v>16</v>
      </c>
      <c r="D1798" s="9"/>
      <c r="E1798" s="20" t="s">
        <v>483</v>
      </c>
      <c r="F1798" s="20"/>
      <c r="G1798" s="20"/>
      <c r="H1798" s="20"/>
      <c r="I1798" s="20"/>
      <c r="J1798" s="20"/>
      <c r="K1798" s="20"/>
      <c r="L1798" s="20"/>
      <c r="M1798" s="20"/>
      <c r="N1798" s="20"/>
      <c r="O1798" s="20"/>
      <c r="P1798" s="20"/>
      <c r="Q1798" s="20"/>
      <c r="R1798" s="20"/>
      <c r="S1798" s="20"/>
      <c r="T1798" s="20"/>
      <c r="U1798" s="20"/>
      <c r="V1798" s="20"/>
      <c r="W1798" s="20"/>
      <c r="X1798" s="20"/>
      <c r="Y1798" s="20"/>
      <c r="Z1798" s="20"/>
      <c r="AA1798" s="20"/>
      <c r="AB1798" s="12">
        <v>2136825</v>
      </c>
      <c r="AC1798" s="12">
        <v>2102726</v>
      </c>
      <c r="AD1798" s="12">
        <v>2119775</v>
      </c>
      <c r="AE1798" s="12">
        <v>2119776</v>
      </c>
      <c r="AF1798" s="12">
        <v>2510067</v>
      </c>
      <c r="AG1798" s="12">
        <v>2510067</v>
      </c>
      <c r="AH1798" s="12">
        <v>1788423</v>
      </c>
      <c r="AI1798" s="12">
        <v>1788423</v>
      </c>
      <c r="AJ1798" s="21">
        <v>2288423</v>
      </c>
      <c r="AK1798" s="21">
        <v>2288423</v>
      </c>
      <c r="AL1798" s="1225">
        <v>2296609</v>
      </c>
      <c r="AM1798" s="1225">
        <v>2296609</v>
      </c>
      <c r="AN1798" s="1058">
        <v>1613728</v>
      </c>
      <c r="AO1798" s="1058">
        <v>1613727</v>
      </c>
      <c r="AP1798" s="1058">
        <v>1613728</v>
      </c>
      <c r="AQ1798" s="1058">
        <v>1613727</v>
      </c>
      <c r="AR1798" s="1044"/>
      <c r="AS1798" s="1044"/>
    </row>
    <row r="1799" spans="2:45" hidden="1" outlineLevel="1">
      <c r="C1799" s="816" t="s">
        <v>16</v>
      </c>
      <c r="D1799" s="223" t="s">
        <v>1200</v>
      </c>
      <c r="E1799" s="25" t="s">
        <v>485</v>
      </c>
      <c r="F1799" s="6"/>
      <c r="G1799" s="6"/>
      <c r="H1799" s="6"/>
      <c r="I1799" s="6"/>
      <c r="J1799" s="6"/>
      <c r="K1799" s="6"/>
      <c r="L1799" s="6"/>
      <c r="M1799" s="6"/>
      <c r="N1799" s="6"/>
      <c r="O1799" s="6"/>
      <c r="P1799" s="6"/>
      <c r="Q1799" s="6"/>
      <c r="R1799" s="6"/>
      <c r="S1799" s="6"/>
      <c r="T1799" s="6"/>
      <c r="U1799" s="6"/>
      <c r="V1799" s="6"/>
      <c r="W1799" s="6"/>
      <c r="X1799" s="6"/>
      <c r="Y1799" s="6"/>
      <c r="Z1799" s="6"/>
      <c r="AA1799" s="6"/>
      <c r="AB1799" s="7">
        <v>2469325</v>
      </c>
      <c r="AC1799" s="7">
        <v>2435226</v>
      </c>
      <c r="AD1799" s="599">
        <v>2502275</v>
      </c>
      <c r="AE1799" s="7">
        <v>2502276</v>
      </c>
      <c r="AF1799" s="7">
        <f t="shared" ref="AF1799:AQ1799" si="347">SUM(AF1796:AF1798)</f>
        <v>2892567</v>
      </c>
      <c r="AG1799" s="7">
        <f t="shared" si="347"/>
        <v>2892567</v>
      </c>
      <c r="AH1799" s="7">
        <f t="shared" si="347"/>
        <v>2185954</v>
      </c>
      <c r="AI1799" s="7">
        <f t="shared" si="347"/>
        <v>2185954</v>
      </c>
      <c r="AJ1799" s="7">
        <f t="shared" si="347"/>
        <v>2685954</v>
      </c>
      <c r="AK1799" s="7">
        <f t="shared" si="347"/>
        <v>2685954</v>
      </c>
      <c r="AL1799" s="60">
        <f t="shared" si="347"/>
        <v>2694140</v>
      </c>
      <c r="AM1799" s="60">
        <f t="shared" si="347"/>
        <v>2694140</v>
      </c>
      <c r="AN1799" s="1074">
        <f t="shared" si="347"/>
        <v>1878689</v>
      </c>
      <c r="AO1799" s="1074">
        <f t="shared" si="347"/>
        <v>1878687</v>
      </c>
      <c r="AP1799" s="1074">
        <f t="shared" si="347"/>
        <v>1928689</v>
      </c>
      <c r="AQ1799" s="1074">
        <f t="shared" si="347"/>
        <v>1928687</v>
      </c>
      <c r="AR1799" s="1044"/>
      <c r="AS1799" s="1044"/>
    </row>
    <row r="1800" spans="2:45" hidden="1" outlineLevel="1">
      <c r="C1800" s="816" t="s">
        <v>16</v>
      </c>
      <c r="D1800" s="9"/>
      <c r="E1800" s="20" t="s">
        <v>486</v>
      </c>
      <c r="F1800" s="20"/>
      <c r="G1800" s="20"/>
      <c r="H1800" s="20"/>
      <c r="I1800" s="20"/>
      <c r="J1800" s="20"/>
      <c r="K1800" s="20"/>
      <c r="L1800" s="20"/>
      <c r="M1800" s="20"/>
      <c r="N1800" s="20"/>
      <c r="O1800" s="20"/>
      <c r="P1800" s="20"/>
      <c r="Q1800" s="20"/>
      <c r="R1800" s="20"/>
      <c r="S1800" s="20"/>
      <c r="T1800" s="20"/>
      <c r="U1800" s="20"/>
      <c r="V1800" s="20"/>
      <c r="W1800" s="20"/>
      <c r="X1800" s="20"/>
      <c r="Y1800" s="20"/>
      <c r="Z1800" s="20"/>
      <c r="AA1800" s="20"/>
      <c r="AB1800" s="12"/>
      <c r="AC1800" s="12"/>
      <c r="AD1800" s="12">
        <v>1100000</v>
      </c>
      <c r="AE1800" s="12"/>
      <c r="AF1800" s="12">
        <v>550000</v>
      </c>
      <c r="AG1800" s="12">
        <v>550000</v>
      </c>
      <c r="AH1800" s="12">
        <v>371250</v>
      </c>
      <c r="AI1800" s="12">
        <v>371250</v>
      </c>
      <c r="AJ1800" s="12">
        <v>371250</v>
      </c>
      <c r="AK1800" s="12">
        <v>371250</v>
      </c>
      <c r="AL1800" s="12">
        <v>371250</v>
      </c>
      <c r="AM1800" s="12">
        <v>371250</v>
      </c>
      <c r="AN1800" s="1070">
        <v>176344</v>
      </c>
      <c r="AO1800" s="1070">
        <v>176344</v>
      </c>
      <c r="AP1800" s="1070">
        <v>158710</v>
      </c>
      <c r="AQ1800" s="1070">
        <v>158710</v>
      </c>
      <c r="AR1800" s="1044"/>
      <c r="AS1800" s="1044"/>
    </row>
    <row r="1801" spans="2:45" hidden="1" outlineLevel="1">
      <c r="C1801" s="816" t="s">
        <v>16</v>
      </c>
      <c r="D1801" s="9"/>
      <c r="E1801" s="20" t="s">
        <v>487</v>
      </c>
      <c r="F1801" s="20"/>
      <c r="G1801" s="20"/>
      <c r="H1801" s="20"/>
      <c r="I1801" s="20"/>
      <c r="J1801" s="20"/>
      <c r="K1801" s="20"/>
      <c r="L1801" s="20"/>
      <c r="M1801" s="20"/>
      <c r="N1801" s="20"/>
      <c r="O1801" s="20"/>
      <c r="P1801" s="20"/>
      <c r="Q1801" s="20"/>
      <c r="R1801" s="20"/>
      <c r="S1801" s="20"/>
      <c r="T1801" s="20"/>
      <c r="U1801" s="20"/>
      <c r="V1801" s="20"/>
      <c r="W1801" s="20"/>
      <c r="X1801" s="20"/>
      <c r="Y1801" s="20"/>
      <c r="Z1801" s="20"/>
      <c r="AA1801" s="20"/>
      <c r="AB1801" s="12"/>
      <c r="AC1801" s="12"/>
      <c r="AD1801" s="12"/>
      <c r="AE1801" s="12"/>
      <c r="AF1801" s="12"/>
      <c r="AG1801" s="12"/>
      <c r="AH1801" s="12">
        <v>2100000</v>
      </c>
      <c r="AI1801" s="12">
        <v>2100000</v>
      </c>
      <c r="AJ1801" s="12">
        <v>2100000</v>
      </c>
      <c r="AK1801" s="12">
        <v>2100000</v>
      </c>
      <c r="AL1801" s="12">
        <v>2100000</v>
      </c>
      <c r="AM1801" s="12">
        <v>2100000</v>
      </c>
      <c r="AN1801" s="1070">
        <v>1359810</v>
      </c>
      <c r="AO1801" s="1070">
        <v>1359810</v>
      </c>
      <c r="AP1801" s="1070">
        <v>1223829</v>
      </c>
      <c r="AQ1801" s="1070">
        <v>1223829</v>
      </c>
      <c r="AR1801" s="1044"/>
      <c r="AS1801" s="1044"/>
    </row>
    <row r="1802" spans="2:45" hidden="1" outlineLevel="1">
      <c r="C1802" s="816" t="s">
        <v>16</v>
      </c>
      <c r="D1802" s="9"/>
      <c r="E1802" s="20" t="s">
        <v>488</v>
      </c>
      <c r="F1802" s="20"/>
      <c r="G1802" s="20"/>
      <c r="H1802" s="20"/>
      <c r="I1802" s="20"/>
      <c r="J1802" s="20"/>
      <c r="K1802" s="20"/>
      <c r="L1802" s="20"/>
      <c r="M1802" s="20"/>
      <c r="N1802" s="20"/>
      <c r="O1802" s="20"/>
      <c r="P1802" s="20"/>
      <c r="Q1802" s="20"/>
      <c r="R1802" s="20"/>
      <c r="S1802" s="20"/>
      <c r="T1802" s="20"/>
      <c r="U1802" s="20"/>
      <c r="V1802" s="20"/>
      <c r="W1802" s="20"/>
      <c r="X1802" s="20"/>
      <c r="Y1802" s="20"/>
      <c r="Z1802" s="20"/>
      <c r="AA1802" s="20"/>
      <c r="AB1802" s="12">
        <v>249375</v>
      </c>
      <c r="AC1802" s="12">
        <v>249375</v>
      </c>
      <c r="AD1802" s="12">
        <v>249375</v>
      </c>
      <c r="AE1802" s="12">
        <v>249375</v>
      </c>
      <c r="AF1802" s="12">
        <v>249375</v>
      </c>
      <c r="AG1802" s="12">
        <v>249375</v>
      </c>
      <c r="AH1802" s="12">
        <v>168328</v>
      </c>
      <c r="AI1802" s="12">
        <v>168328</v>
      </c>
      <c r="AJ1802" s="12">
        <v>168328</v>
      </c>
      <c r="AK1802" s="12">
        <v>168328</v>
      </c>
      <c r="AL1802" s="12">
        <v>168328</v>
      </c>
      <c r="AM1802" s="12">
        <v>168328</v>
      </c>
      <c r="AN1802" s="1070">
        <v>63279</v>
      </c>
      <c r="AO1802" s="1070">
        <v>63278</v>
      </c>
      <c r="AP1802" s="1070">
        <v>63279</v>
      </c>
      <c r="AQ1802" s="1070">
        <v>63278</v>
      </c>
      <c r="AR1802" s="1044"/>
      <c r="AS1802" s="1044"/>
    </row>
    <row r="1803" spans="2:45" hidden="1" outlineLevel="1">
      <c r="C1803" s="816" t="s">
        <v>16</v>
      </c>
      <c r="D1803" s="9"/>
      <c r="E1803" s="20" t="s">
        <v>489</v>
      </c>
      <c r="F1803" s="20"/>
      <c r="G1803" s="20"/>
      <c r="H1803" s="20"/>
      <c r="I1803" s="20"/>
      <c r="J1803" s="20"/>
      <c r="K1803" s="20"/>
      <c r="L1803" s="20"/>
      <c r="M1803" s="20"/>
      <c r="N1803" s="20"/>
      <c r="O1803" s="20"/>
      <c r="P1803" s="20"/>
      <c r="Q1803" s="20"/>
      <c r="R1803" s="20"/>
      <c r="S1803" s="20"/>
      <c r="T1803" s="20"/>
      <c r="U1803" s="20"/>
      <c r="V1803" s="20"/>
      <c r="W1803" s="20"/>
      <c r="X1803" s="20"/>
      <c r="Y1803" s="20"/>
      <c r="Z1803" s="20"/>
      <c r="AA1803" s="20"/>
      <c r="AB1803" s="12">
        <v>195500</v>
      </c>
      <c r="AC1803" s="12">
        <v>195500</v>
      </c>
      <c r="AD1803" s="12">
        <v>195500</v>
      </c>
      <c r="AE1803" s="12">
        <v>195500</v>
      </c>
      <c r="AF1803" s="12">
        <v>215050</v>
      </c>
      <c r="AG1803" s="12">
        <v>215050</v>
      </c>
      <c r="AH1803" s="12">
        <v>215050</v>
      </c>
      <c r="AI1803" s="12">
        <v>215050</v>
      </c>
      <c r="AJ1803" s="21">
        <v>236555</v>
      </c>
      <c r="AK1803" s="21">
        <v>236555</v>
      </c>
      <c r="AL1803" s="21">
        <v>236555</v>
      </c>
      <c r="AM1803" s="21">
        <v>236555</v>
      </c>
      <c r="AN1803" s="1058">
        <v>153177</v>
      </c>
      <c r="AO1803" s="1058">
        <v>153176</v>
      </c>
      <c r="AP1803" s="1058">
        <v>153177</v>
      </c>
      <c r="AQ1803" s="1058">
        <v>153176</v>
      </c>
      <c r="AR1803" s="1044"/>
      <c r="AS1803" s="1044"/>
    </row>
    <row r="1804" spans="2:45" hidden="1" outlineLevel="1">
      <c r="C1804" s="816" t="s">
        <v>16</v>
      </c>
      <c r="D1804" s="223" t="s">
        <v>1354</v>
      </c>
      <c r="E1804" s="20" t="s">
        <v>490</v>
      </c>
      <c r="F1804" s="20"/>
      <c r="G1804" s="20"/>
      <c r="H1804" s="20"/>
      <c r="I1804" s="20"/>
      <c r="J1804" s="20"/>
      <c r="K1804" s="20"/>
      <c r="L1804" s="20"/>
      <c r="M1804" s="20"/>
      <c r="N1804" s="20"/>
      <c r="O1804" s="20"/>
      <c r="P1804" s="20"/>
      <c r="Q1804" s="20"/>
      <c r="R1804" s="20"/>
      <c r="S1804" s="20"/>
      <c r="T1804" s="20"/>
      <c r="U1804" s="20"/>
      <c r="V1804" s="20"/>
      <c r="W1804" s="20"/>
      <c r="X1804" s="20"/>
      <c r="Y1804" s="20"/>
      <c r="Z1804" s="20"/>
      <c r="AA1804" s="20"/>
      <c r="AB1804" s="12">
        <v>1728386</v>
      </c>
      <c r="AC1804" s="12">
        <v>1726614</v>
      </c>
      <c r="AD1804" s="12">
        <v>1727500</v>
      </c>
      <c r="AE1804" s="12">
        <v>1727500</v>
      </c>
      <c r="AF1804" s="12">
        <v>2046851</v>
      </c>
      <c r="AG1804" s="12">
        <v>2046851</v>
      </c>
      <c r="AH1804" s="12">
        <v>1491261</v>
      </c>
      <c r="AI1804" s="12">
        <v>1491261</v>
      </c>
      <c r="AJ1804" s="21">
        <v>1991261</v>
      </c>
      <c r="AK1804" s="21">
        <v>1991261</v>
      </c>
      <c r="AL1804" s="1224">
        <v>1992160</v>
      </c>
      <c r="AM1804" s="1224">
        <v>1992160</v>
      </c>
      <c r="AN1804" s="1058">
        <v>1433564</v>
      </c>
      <c r="AO1804" s="1058">
        <v>1433563</v>
      </c>
      <c r="AP1804" s="1058">
        <v>2517935</v>
      </c>
      <c r="AQ1804" s="1058">
        <v>2517933</v>
      </c>
      <c r="AR1804" s="1044"/>
      <c r="AS1804" s="1044"/>
    </row>
    <row r="1805" spans="2:45" hidden="1" outlineLevel="1">
      <c r="C1805" s="816" t="s">
        <v>16</v>
      </c>
      <c r="D1805" s="223" t="s">
        <v>1200</v>
      </c>
      <c r="E1805" s="25" t="s">
        <v>492</v>
      </c>
      <c r="F1805" s="6"/>
      <c r="G1805" s="6"/>
      <c r="H1805" s="6"/>
      <c r="I1805" s="6"/>
      <c r="J1805" s="6"/>
      <c r="K1805" s="6"/>
      <c r="L1805" s="6"/>
      <c r="M1805" s="6"/>
      <c r="N1805" s="6"/>
      <c r="O1805" s="6"/>
      <c r="P1805" s="6"/>
      <c r="Q1805" s="6"/>
      <c r="R1805" s="6"/>
      <c r="S1805" s="6"/>
      <c r="T1805" s="6"/>
      <c r="U1805" s="6"/>
      <c r="V1805" s="6"/>
      <c r="W1805" s="6"/>
      <c r="X1805" s="6"/>
      <c r="Y1805" s="6"/>
      <c r="Z1805" s="6"/>
      <c r="AA1805" s="6"/>
      <c r="AB1805" s="7">
        <v>2173261</v>
      </c>
      <c r="AC1805" s="7">
        <v>2171489</v>
      </c>
      <c r="AD1805" s="7">
        <v>3272375</v>
      </c>
      <c r="AE1805" s="7">
        <v>2172375</v>
      </c>
      <c r="AF1805" s="7">
        <f t="shared" ref="AF1805:AQ1805" si="348">SUM(AF1800:AF1804)</f>
        <v>3061276</v>
      </c>
      <c r="AG1805" s="7">
        <f t="shared" si="348"/>
        <v>3061276</v>
      </c>
      <c r="AH1805" s="7">
        <f t="shared" si="348"/>
        <v>4345889</v>
      </c>
      <c r="AI1805" s="7">
        <f t="shared" si="348"/>
        <v>4345889</v>
      </c>
      <c r="AJ1805" s="7">
        <f t="shared" si="348"/>
        <v>4867394</v>
      </c>
      <c r="AK1805" s="7">
        <f t="shared" si="348"/>
        <v>4867394</v>
      </c>
      <c r="AL1805" s="60">
        <f t="shared" si="348"/>
        <v>4868293</v>
      </c>
      <c r="AM1805" s="60">
        <f t="shared" si="348"/>
        <v>4868293</v>
      </c>
      <c r="AN1805" s="1074">
        <f t="shared" si="348"/>
        <v>3186174</v>
      </c>
      <c r="AO1805" s="1074">
        <f t="shared" si="348"/>
        <v>3186171</v>
      </c>
      <c r="AP1805" s="1074">
        <f t="shared" si="348"/>
        <v>4116930</v>
      </c>
      <c r="AQ1805" s="1074">
        <f t="shared" si="348"/>
        <v>4116926</v>
      </c>
      <c r="AR1805" s="1044"/>
      <c r="AS1805" s="1044"/>
    </row>
    <row r="1806" spans="2:45" hidden="1" outlineLevel="1">
      <c r="C1806" s="816" t="s">
        <v>16</v>
      </c>
      <c r="D1806" s="9"/>
      <c r="E1806" s="20" t="s">
        <v>493</v>
      </c>
      <c r="F1806" s="20"/>
      <c r="G1806" s="20"/>
      <c r="H1806" s="20"/>
      <c r="I1806" s="20"/>
      <c r="J1806" s="20"/>
      <c r="K1806" s="20"/>
      <c r="L1806" s="20"/>
      <c r="M1806" s="20"/>
      <c r="N1806" s="20"/>
      <c r="O1806" s="20"/>
      <c r="P1806" s="20"/>
      <c r="Q1806" s="20"/>
      <c r="R1806" s="20"/>
      <c r="S1806" s="20"/>
      <c r="T1806" s="20"/>
      <c r="U1806" s="20"/>
      <c r="V1806" s="20"/>
      <c r="W1806" s="20"/>
      <c r="X1806" s="20"/>
      <c r="Y1806" s="20"/>
      <c r="Z1806" s="20"/>
      <c r="AA1806" s="20"/>
      <c r="AB1806" s="12">
        <v>113399</v>
      </c>
      <c r="AC1806" s="12">
        <v>113399</v>
      </c>
      <c r="AD1806" s="12">
        <v>123399</v>
      </c>
      <c r="AE1806" s="12">
        <v>123399</v>
      </c>
      <c r="AF1806" s="12">
        <v>135739</v>
      </c>
      <c r="AG1806" s="12">
        <v>135739</v>
      </c>
      <c r="AH1806" s="12">
        <v>135739</v>
      </c>
      <c r="AI1806" s="12">
        <v>135739</v>
      </c>
      <c r="AJ1806" s="21">
        <v>149313</v>
      </c>
      <c r="AK1806" s="21">
        <v>149313</v>
      </c>
      <c r="AL1806" s="21">
        <v>149313</v>
      </c>
      <c r="AM1806" s="21">
        <v>149313</v>
      </c>
      <c r="AN1806" s="1058">
        <v>98210</v>
      </c>
      <c r="AO1806" s="1058">
        <v>98209</v>
      </c>
      <c r="AP1806" s="1058">
        <v>98210</v>
      </c>
      <c r="AQ1806" s="1058">
        <v>98209</v>
      </c>
      <c r="AR1806" s="1044"/>
      <c r="AS1806" s="1044"/>
    </row>
    <row r="1807" spans="2:45" hidden="1" outlineLevel="1">
      <c r="C1807" s="816" t="s">
        <v>16</v>
      </c>
      <c r="D1807" s="223" t="s">
        <v>1354</v>
      </c>
      <c r="E1807" s="20" t="s">
        <v>494</v>
      </c>
      <c r="F1807" s="20"/>
      <c r="G1807" s="20"/>
      <c r="H1807" s="20"/>
      <c r="I1807" s="20"/>
      <c r="J1807" s="20"/>
      <c r="K1807" s="20"/>
      <c r="L1807" s="20"/>
      <c r="M1807" s="20"/>
      <c r="N1807" s="20"/>
      <c r="O1807" s="20"/>
      <c r="P1807" s="20"/>
      <c r="Q1807" s="20"/>
      <c r="R1807" s="20"/>
      <c r="S1807" s="20"/>
      <c r="T1807" s="20"/>
      <c r="U1807" s="20"/>
      <c r="V1807" s="20"/>
      <c r="W1807" s="20"/>
      <c r="X1807" s="20"/>
      <c r="Y1807" s="20"/>
      <c r="Z1807" s="20"/>
      <c r="AA1807" s="20"/>
      <c r="AB1807" s="12">
        <v>2474402</v>
      </c>
      <c r="AC1807" s="12">
        <v>2338402</v>
      </c>
      <c r="AD1807" s="12">
        <v>2448430</v>
      </c>
      <c r="AE1807" s="12">
        <v>2346375</v>
      </c>
      <c r="AF1807" s="12">
        <v>2553605</v>
      </c>
      <c r="AG1807" s="12">
        <v>2553605</v>
      </c>
      <c r="AH1807" s="12">
        <v>1849772</v>
      </c>
      <c r="AI1807" s="12">
        <v>1849772</v>
      </c>
      <c r="AJ1807" s="21">
        <v>2351772</v>
      </c>
      <c r="AK1807" s="21">
        <v>2351772</v>
      </c>
      <c r="AL1807" s="21">
        <v>2346997</v>
      </c>
      <c r="AM1807" s="21">
        <v>2346997</v>
      </c>
      <c r="AN1807" s="1058">
        <v>1637899</v>
      </c>
      <c r="AO1807" s="1058">
        <v>1637899</v>
      </c>
      <c r="AP1807" s="1058">
        <v>1817845</v>
      </c>
      <c r="AQ1807" s="1058">
        <v>1817845</v>
      </c>
      <c r="AR1807" s="1044"/>
      <c r="AS1807" s="1044"/>
    </row>
    <row r="1808" spans="2:45" hidden="1" outlineLevel="1">
      <c r="C1808" s="816" t="s">
        <v>16</v>
      </c>
      <c r="D1808" s="9"/>
      <c r="E1808" s="224" t="s">
        <v>1267</v>
      </c>
      <c r="F1808" s="20"/>
      <c r="G1808" s="20"/>
      <c r="H1808" s="20"/>
      <c r="I1808" s="20"/>
      <c r="J1808" s="20"/>
      <c r="K1808" s="20"/>
      <c r="L1808" s="20"/>
      <c r="M1808" s="20"/>
      <c r="N1808" s="20"/>
      <c r="O1808" s="20"/>
      <c r="P1808" s="20"/>
      <c r="Q1808" s="20"/>
      <c r="R1808" s="20"/>
      <c r="S1808" s="20"/>
      <c r="T1808" s="20"/>
      <c r="U1808" s="20"/>
      <c r="V1808" s="20"/>
      <c r="W1808" s="20"/>
      <c r="X1808" s="20"/>
      <c r="Y1808" s="20"/>
      <c r="Z1808" s="20"/>
      <c r="AA1808" s="20"/>
      <c r="AB1808" s="12"/>
      <c r="AC1808" s="12"/>
      <c r="AD1808" s="12"/>
      <c r="AE1808" s="12"/>
      <c r="AF1808" s="12">
        <v>220000</v>
      </c>
      <c r="AG1808" s="12">
        <v>0</v>
      </c>
      <c r="AH1808" s="12">
        <v>0</v>
      </c>
      <c r="AI1808" s="12">
        <v>0</v>
      </c>
      <c r="AJ1808" s="22"/>
      <c r="AK1808" s="22"/>
      <c r="AL1808" s="22"/>
      <c r="AM1808" s="22"/>
      <c r="AN1808" s="1059"/>
      <c r="AO1808" s="1059"/>
      <c r="AP1808" s="1059"/>
      <c r="AQ1808" s="1059"/>
      <c r="AR1808" s="1044"/>
      <c r="AS1808" s="1044"/>
    </row>
    <row r="1809" spans="2:45" hidden="1" outlineLevel="1">
      <c r="C1809" s="816" t="s">
        <v>16</v>
      </c>
      <c r="D1809" s="223" t="s">
        <v>1200</v>
      </c>
      <c r="E1809" s="25" t="s">
        <v>496</v>
      </c>
      <c r="F1809" s="6"/>
      <c r="G1809" s="6"/>
      <c r="H1809" s="6"/>
      <c r="I1809" s="6"/>
      <c r="J1809" s="6"/>
      <c r="K1809" s="6"/>
      <c r="L1809" s="6"/>
      <c r="M1809" s="6"/>
      <c r="N1809" s="6"/>
      <c r="O1809" s="6"/>
      <c r="P1809" s="6"/>
      <c r="Q1809" s="6"/>
      <c r="R1809" s="6"/>
      <c r="S1809" s="6"/>
      <c r="T1809" s="6"/>
      <c r="U1809" s="6"/>
      <c r="V1809" s="6"/>
      <c r="W1809" s="6"/>
      <c r="X1809" s="6"/>
      <c r="Y1809" s="6"/>
      <c r="Z1809" s="6"/>
      <c r="AA1809" s="6"/>
      <c r="AB1809" s="7">
        <v>2587801</v>
      </c>
      <c r="AC1809" s="7">
        <v>2451801</v>
      </c>
      <c r="AD1809" s="7">
        <v>2571829</v>
      </c>
      <c r="AE1809" s="7">
        <v>2469774</v>
      </c>
      <c r="AF1809" s="7">
        <f t="shared" ref="AF1809:AQ1809" si="349">SUM(AF1806:AF1808)</f>
        <v>2909344</v>
      </c>
      <c r="AG1809" s="7">
        <f t="shared" si="349"/>
        <v>2689344</v>
      </c>
      <c r="AH1809" s="7">
        <f t="shared" si="349"/>
        <v>1985511</v>
      </c>
      <c r="AI1809" s="7">
        <f t="shared" si="349"/>
        <v>1985511</v>
      </c>
      <c r="AJ1809" s="7">
        <f t="shared" si="349"/>
        <v>2501085</v>
      </c>
      <c r="AK1809" s="7">
        <f t="shared" si="349"/>
        <v>2501085</v>
      </c>
      <c r="AL1809" s="60">
        <f t="shared" si="349"/>
        <v>2496310</v>
      </c>
      <c r="AM1809" s="60">
        <f t="shared" si="349"/>
        <v>2496310</v>
      </c>
      <c r="AN1809" s="1074">
        <f t="shared" si="349"/>
        <v>1736109</v>
      </c>
      <c r="AO1809" s="1074">
        <f t="shared" si="349"/>
        <v>1736108</v>
      </c>
      <c r="AP1809" s="1074">
        <f t="shared" si="349"/>
        <v>1916055</v>
      </c>
      <c r="AQ1809" s="1074">
        <f t="shared" si="349"/>
        <v>1916054</v>
      </c>
      <c r="AR1809" s="1044"/>
      <c r="AS1809" s="1044"/>
    </row>
    <row r="1810" spans="2:45" hidden="1" outlineLevel="1">
      <c r="C1810" s="816" t="s">
        <v>16</v>
      </c>
      <c r="D1810" s="9"/>
      <c r="E1810" s="20" t="s">
        <v>497</v>
      </c>
      <c r="F1810" s="20"/>
      <c r="G1810" s="20"/>
      <c r="H1810" s="20"/>
      <c r="I1810" s="20"/>
      <c r="J1810" s="20"/>
      <c r="K1810" s="20"/>
      <c r="L1810" s="20"/>
      <c r="M1810" s="20"/>
      <c r="N1810" s="20"/>
      <c r="O1810" s="20"/>
      <c r="P1810" s="20"/>
      <c r="Q1810" s="20"/>
      <c r="R1810" s="20"/>
      <c r="S1810" s="20"/>
      <c r="T1810" s="20"/>
      <c r="U1810" s="20"/>
      <c r="V1810" s="20"/>
      <c r="W1810" s="20"/>
      <c r="X1810" s="20"/>
      <c r="Y1810" s="20"/>
      <c r="Z1810" s="20"/>
      <c r="AA1810" s="20"/>
      <c r="AB1810" s="12">
        <v>1420324</v>
      </c>
      <c r="AC1810" s="12">
        <v>1420323</v>
      </c>
      <c r="AD1810" s="12">
        <v>1420324</v>
      </c>
      <c r="AE1810" s="12">
        <v>1420323</v>
      </c>
      <c r="AF1810" s="12">
        <v>1420323</v>
      </c>
      <c r="AG1810" s="12">
        <v>1420324</v>
      </c>
      <c r="AH1810" s="12">
        <v>1065242</v>
      </c>
      <c r="AI1810" s="12">
        <v>1065243</v>
      </c>
      <c r="AJ1810" s="21">
        <v>1065242</v>
      </c>
      <c r="AK1810" s="21">
        <v>1065243</v>
      </c>
      <c r="AL1810" s="21">
        <v>1865242</v>
      </c>
      <c r="AM1810" s="21">
        <v>1865243</v>
      </c>
      <c r="AN1810" s="1058">
        <v>885991</v>
      </c>
      <c r="AO1810" s="1058">
        <v>885990</v>
      </c>
      <c r="AP1810" s="1058">
        <v>1297391</v>
      </c>
      <c r="AQ1810" s="1058">
        <v>1297391</v>
      </c>
      <c r="AR1810" s="1044"/>
      <c r="AS1810" s="1044"/>
    </row>
    <row r="1811" spans="2:45" s="1044" customFormat="1" hidden="1" outlineLevel="1">
      <c r="B1811" s="1045"/>
      <c r="C1811" s="1053" t="s">
        <v>16</v>
      </c>
      <c r="D1811" s="1030"/>
      <c r="E1811" s="1054" t="s">
        <v>1952</v>
      </c>
      <c r="F1811" s="1047"/>
      <c r="G1811" s="1047"/>
      <c r="H1811" s="1047"/>
      <c r="I1811" s="1047"/>
      <c r="J1811" s="1047"/>
      <c r="K1811" s="1047"/>
      <c r="L1811" s="1047"/>
      <c r="M1811" s="1047"/>
      <c r="N1811" s="1047"/>
      <c r="O1811" s="1047"/>
      <c r="P1811" s="1047"/>
      <c r="Q1811" s="1047"/>
      <c r="R1811" s="1047"/>
      <c r="S1811" s="1047"/>
      <c r="T1811" s="1047"/>
      <c r="U1811" s="1047"/>
      <c r="V1811" s="1047"/>
      <c r="W1811" s="1047"/>
      <c r="X1811" s="1047"/>
      <c r="Y1811" s="1047"/>
      <c r="Z1811" s="1047"/>
      <c r="AA1811" s="1047"/>
      <c r="AB1811" s="1070"/>
      <c r="AC1811" s="1070"/>
      <c r="AD1811" s="1070"/>
      <c r="AE1811" s="1070"/>
      <c r="AF1811" s="1070"/>
      <c r="AG1811" s="1070"/>
      <c r="AH1811" s="1070"/>
      <c r="AI1811" s="1070"/>
      <c r="AJ1811" s="1058"/>
      <c r="AK1811" s="1058"/>
      <c r="AL1811" s="1058"/>
      <c r="AM1811" s="1058"/>
      <c r="AN1811" s="1058"/>
      <c r="AO1811" s="1058"/>
      <c r="AP1811" s="1058">
        <v>5000000</v>
      </c>
      <c r="AQ1811" s="1058">
        <v>5000000</v>
      </c>
    </row>
    <row r="1812" spans="2:45" hidden="1" outlineLevel="1">
      <c r="C1812" s="816" t="s">
        <v>16</v>
      </c>
      <c r="D1812" s="223" t="s">
        <v>1254</v>
      </c>
      <c r="E1812" s="278" t="s">
        <v>498</v>
      </c>
      <c r="F1812" s="20"/>
      <c r="G1812" s="20"/>
      <c r="H1812" s="20"/>
      <c r="I1812" s="20"/>
      <c r="J1812" s="20"/>
      <c r="K1812" s="20"/>
      <c r="L1812" s="20"/>
      <c r="M1812" s="20"/>
      <c r="N1812" s="20"/>
      <c r="O1812" s="20"/>
      <c r="P1812" s="20"/>
      <c r="Q1812" s="20"/>
      <c r="R1812" s="20"/>
      <c r="S1812" s="20"/>
      <c r="T1812" s="20"/>
      <c r="U1812" s="20"/>
      <c r="V1812" s="20"/>
      <c r="W1812" s="20"/>
      <c r="X1812" s="20"/>
      <c r="Y1812" s="20"/>
      <c r="Z1812" s="20"/>
      <c r="AA1812" s="20"/>
      <c r="AB1812" s="12">
        <v>58428</v>
      </c>
      <c r="AC1812" s="12">
        <v>58427</v>
      </c>
      <c r="AD1812" s="12">
        <v>58428</v>
      </c>
      <c r="AE1812" s="12">
        <v>58426</v>
      </c>
      <c r="AF1812" s="12">
        <v>58428</v>
      </c>
      <c r="AG1812" s="12">
        <v>58428</v>
      </c>
      <c r="AH1812" s="12">
        <v>43821</v>
      </c>
      <c r="AI1812" s="12">
        <v>43821</v>
      </c>
      <c r="AJ1812" s="12">
        <v>43821</v>
      </c>
      <c r="AK1812" s="12">
        <v>43821</v>
      </c>
      <c r="AL1812" s="12">
        <v>43821</v>
      </c>
      <c r="AM1812" s="12">
        <v>43821</v>
      </c>
      <c r="AN1812" s="1070">
        <v>25284</v>
      </c>
      <c r="AO1812" s="1070">
        <v>25283</v>
      </c>
      <c r="AP1812" s="1070">
        <v>25284</v>
      </c>
      <c r="AQ1812" s="1070">
        <v>25283</v>
      </c>
      <c r="AR1812" s="1044"/>
      <c r="AS1812" s="1044"/>
    </row>
    <row r="1813" spans="2:45" hidden="1" outlineLevel="1">
      <c r="C1813" s="816" t="s">
        <v>16</v>
      </c>
      <c r="D1813" s="1050"/>
      <c r="E1813" s="1060" t="s">
        <v>499</v>
      </c>
      <c r="F1813" s="20"/>
      <c r="G1813" s="20"/>
      <c r="H1813" s="20"/>
      <c r="I1813" s="20"/>
      <c r="J1813" s="20"/>
      <c r="K1813" s="20"/>
      <c r="L1813" s="20"/>
      <c r="M1813" s="20"/>
      <c r="N1813" s="20"/>
      <c r="O1813" s="20"/>
      <c r="P1813" s="20"/>
      <c r="Q1813" s="20"/>
      <c r="R1813" s="20"/>
      <c r="S1813" s="20"/>
      <c r="T1813" s="20"/>
      <c r="U1813" s="20"/>
      <c r="V1813" s="20"/>
      <c r="W1813" s="20"/>
      <c r="X1813" s="20"/>
      <c r="Y1813" s="20"/>
      <c r="Z1813" s="20"/>
      <c r="AA1813" s="20"/>
      <c r="AB1813" s="12">
        <v>46923</v>
      </c>
      <c r="AC1813" s="12">
        <v>46922</v>
      </c>
      <c r="AD1813" s="12">
        <v>46923</v>
      </c>
      <c r="AE1813" s="12">
        <v>46922</v>
      </c>
      <c r="AF1813" s="12">
        <v>46923</v>
      </c>
      <c r="AG1813" s="12">
        <v>46923</v>
      </c>
      <c r="AH1813" s="12">
        <v>35192</v>
      </c>
      <c r="AI1813" s="12">
        <v>35192</v>
      </c>
      <c r="AJ1813" s="12">
        <v>35192</v>
      </c>
      <c r="AK1813" s="12">
        <v>35192</v>
      </c>
      <c r="AL1813" s="12">
        <v>35192</v>
      </c>
      <c r="AM1813" s="12">
        <v>35192</v>
      </c>
      <c r="AN1813" s="1070">
        <v>20305</v>
      </c>
      <c r="AO1813" s="1070">
        <v>20304</v>
      </c>
      <c r="AP1813" s="1070">
        <v>20305</v>
      </c>
      <c r="AQ1813" s="1070">
        <v>20304</v>
      </c>
      <c r="AR1813" s="1044"/>
      <c r="AS1813" s="1044"/>
    </row>
    <row r="1814" spans="2:45" hidden="1" outlineLevel="1">
      <c r="C1814" s="816" t="s">
        <v>16</v>
      </c>
      <c r="D1814" s="1050"/>
      <c r="E1814" s="1060" t="s">
        <v>500</v>
      </c>
      <c r="F1814" s="20"/>
      <c r="G1814" s="20"/>
      <c r="H1814" s="20"/>
      <c r="I1814" s="20"/>
      <c r="J1814" s="20"/>
      <c r="K1814" s="20"/>
      <c r="L1814" s="20"/>
      <c r="M1814" s="20"/>
      <c r="N1814" s="20"/>
      <c r="O1814" s="20"/>
      <c r="P1814" s="20"/>
      <c r="Q1814" s="20"/>
      <c r="R1814" s="20"/>
      <c r="S1814" s="20"/>
      <c r="T1814" s="20"/>
      <c r="U1814" s="20"/>
      <c r="V1814" s="20"/>
      <c r="W1814" s="20"/>
      <c r="X1814" s="20"/>
      <c r="Y1814" s="20"/>
      <c r="Z1814" s="20"/>
      <c r="AA1814" s="20"/>
      <c r="AB1814" s="12">
        <v>80820</v>
      </c>
      <c r="AC1814" s="12">
        <v>80820</v>
      </c>
      <c r="AD1814" s="12">
        <v>80820</v>
      </c>
      <c r="AE1814" s="12">
        <v>80820</v>
      </c>
      <c r="AF1814" s="12">
        <v>80820</v>
      </c>
      <c r="AG1814" s="12">
        <v>80820</v>
      </c>
      <c r="AH1814" s="12">
        <v>60615</v>
      </c>
      <c r="AI1814" s="12">
        <v>60615</v>
      </c>
      <c r="AJ1814" s="12">
        <v>60615</v>
      </c>
      <c r="AK1814" s="12">
        <v>60615</v>
      </c>
      <c r="AL1814" s="12">
        <v>60615</v>
      </c>
      <c r="AM1814" s="12">
        <v>60615</v>
      </c>
      <c r="AN1814" s="1070">
        <v>34973</v>
      </c>
      <c r="AO1814" s="1070">
        <v>34972</v>
      </c>
      <c r="AP1814" s="1070">
        <v>34973</v>
      </c>
      <c r="AQ1814" s="1070">
        <v>34972</v>
      </c>
      <c r="AR1814" s="1044"/>
      <c r="AS1814" s="1044"/>
    </row>
    <row r="1815" spans="2:45" hidden="1" outlineLevel="1">
      <c r="C1815" s="816" t="s">
        <v>16</v>
      </c>
      <c r="D1815" s="223" t="s">
        <v>1354</v>
      </c>
      <c r="E1815" s="20" t="s">
        <v>501</v>
      </c>
      <c r="F1815" s="20"/>
      <c r="G1815" s="20"/>
      <c r="H1815" s="20"/>
      <c r="I1815" s="20"/>
      <c r="J1815" s="20"/>
      <c r="K1815" s="20"/>
      <c r="L1815" s="20"/>
      <c r="M1815" s="20"/>
      <c r="N1815" s="20"/>
      <c r="O1815" s="20"/>
      <c r="P1815" s="20"/>
      <c r="Q1815" s="20"/>
      <c r="R1815" s="20"/>
      <c r="S1815" s="20"/>
      <c r="T1815" s="20"/>
      <c r="U1815" s="20"/>
      <c r="V1815" s="20"/>
      <c r="W1815" s="20"/>
      <c r="X1815" s="20"/>
      <c r="Y1815" s="20"/>
      <c r="Z1815" s="20"/>
      <c r="AA1815" s="20"/>
      <c r="AB1815" s="12">
        <v>4019582</v>
      </c>
      <c r="AC1815" s="12">
        <v>4019581</v>
      </c>
      <c r="AD1815" s="12">
        <v>4019582</v>
      </c>
      <c r="AE1815" s="12">
        <v>4019580</v>
      </c>
      <c r="AF1815" s="12">
        <v>2869681</v>
      </c>
      <c r="AG1815" s="12">
        <v>2869681</v>
      </c>
      <c r="AH1815" s="12">
        <v>1969448</v>
      </c>
      <c r="AI1815" s="12">
        <v>1969448</v>
      </c>
      <c r="AJ1815" s="12">
        <v>1969448</v>
      </c>
      <c r="AK1815" s="12">
        <v>1969448</v>
      </c>
      <c r="AL1815" s="1225">
        <v>1977269</v>
      </c>
      <c r="AM1815" s="1225">
        <v>1977269</v>
      </c>
      <c r="AN1815" s="1070">
        <v>1100114</v>
      </c>
      <c r="AO1815" s="1070">
        <v>1100114</v>
      </c>
      <c r="AP1815" s="1070">
        <v>1987793</v>
      </c>
      <c r="AQ1815" s="1070">
        <v>1987793</v>
      </c>
      <c r="AR1815" s="1044"/>
      <c r="AS1815" s="1044"/>
    </row>
    <row r="1816" spans="2:45" hidden="1" outlineLevel="1">
      <c r="C1816" s="816" t="s">
        <v>16</v>
      </c>
      <c r="D1816" s="9"/>
      <c r="E1816" s="20" t="s">
        <v>502</v>
      </c>
      <c r="F1816" s="20"/>
      <c r="G1816" s="20"/>
      <c r="H1816" s="20"/>
      <c r="I1816" s="20"/>
      <c r="J1816" s="20"/>
      <c r="K1816" s="20"/>
      <c r="L1816" s="20"/>
      <c r="M1816" s="20"/>
      <c r="N1816" s="20"/>
      <c r="O1816" s="20"/>
      <c r="P1816" s="20"/>
      <c r="Q1816" s="20"/>
      <c r="R1816" s="20"/>
      <c r="S1816" s="20"/>
      <c r="T1816" s="20"/>
      <c r="U1816" s="20"/>
      <c r="V1816" s="20"/>
      <c r="W1816" s="20"/>
      <c r="X1816" s="20"/>
      <c r="Y1816" s="20"/>
      <c r="Z1816" s="20"/>
      <c r="AA1816" s="20"/>
      <c r="AB1816" s="12"/>
      <c r="AC1816" s="12"/>
      <c r="AD1816" s="12"/>
      <c r="AE1816" s="12"/>
      <c r="AF1816" s="12">
        <v>2075000</v>
      </c>
      <c r="AG1816" s="12">
        <v>75000</v>
      </c>
      <c r="AH1816" s="12">
        <v>0</v>
      </c>
      <c r="AI1816" s="12">
        <v>0</v>
      </c>
      <c r="AJ1816" s="22"/>
      <c r="AK1816" s="22"/>
      <c r="AL1816" s="22"/>
      <c r="AM1816" s="22"/>
      <c r="AN1816" s="1059"/>
      <c r="AO1816" s="1059"/>
      <c r="AP1816" s="1059"/>
      <c r="AQ1816" s="1059"/>
      <c r="AR1816" s="1044"/>
      <c r="AS1816" s="1044"/>
    </row>
    <row r="1817" spans="2:45" hidden="1" outlineLevel="1">
      <c r="C1817" s="816" t="s">
        <v>16</v>
      </c>
      <c r="D1817" s="223" t="s">
        <v>1200</v>
      </c>
      <c r="E1817" s="25" t="s">
        <v>503</v>
      </c>
      <c r="F1817" s="6"/>
      <c r="G1817" s="6"/>
      <c r="H1817" s="6"/>
      <c r="I1817" s="6"/>
      <c r="J1817" s="6"/>
      <c r="K1817" s="6"/>
      <c r="L1817" s="6"/>
      <c r="M1817" s="6"/>
      <c r="N1817" s="6"/>
      <c r="O1817" s="6"/>
      <c r="P1817" s="6"/>
      <c r="Q1817" s="6"/>
      <c r="R1817" s="6"/>
      <c r="S1817" s="6"/>
      <c r="T1817" s="6"/>
      <c r="U1817" s="6"/>
      <c r="V1817" s="6"/>
      <c r="W1817" s="6"/>
      <c r="X1817" s="6"/>
      <c r="Y1817" s="6"/>
      <c r="Z1817" s="6"/>
      <c r="AA1817" s="6"/>
      <c r="AB1817" s="7">
        <v>5626077</v>
      </c>
      <c r="AC1817" s="7">
        <v>5626073</v>
      </c>
      <c r="AD1817" s="7">
        <v>5626077</v>
      </c>
      <c r="AE1817" s="7">
        <v>5626071</v>
      </c>
      <c r="AF1817" s="7">
        <f t="shared" ref="AF1817:AQ1817" si="350">SUM(AF1810:AF1816)</f>
        <v>6551175</v>
      </c>
      <c r="AG1817" s="7">
        <f t="shared" si="350"/>
        <v>4551176</v>
      </c>
      <c r="AH1817" s="7">
        <f t="shared" si="350"/>
        <v>3174318</v>
      </c>
      <c r="AI1817" s="7">
        <f t="shared" si="350"/>
        <v>3174319</v>
      </c>
      <c r="AJ1817" s="7">
        <f t="shared" si="350"/>
        <v>3174318</v>
      </c>
      <c r="AK1817" s="7">
        <f t="shared" si="350"/>
        <v>3174319</v>
      </c>
      <c r="AL1817" s="60">
        <f t="shared" si="350"/>
        <v>3982139</v>
      </c>
      <c r="AM1817" s="60">
        <f t="shared" si="350"/>
        <v>3982140</v>
      </c>
      <c r="AN1817" s="1074">
        <f t="shared" si="350"/>
        <v>2066667</v>
      </c>
      <c r="AO1817" s="1074">
        <f t="shared" si="350"/>
        <v>2066663</v>
      </c>
      <c r="AP1817" s="1074">
        <f t="shared" si="350"/>
        <v>8365746</v>
      </c>
      <c r="AQ1817" s="1074">
        <f t="shared" si="350"/>
        <v>8365743</v>
      </c>
      <c r="AR1817" s="1044"/>
      <c r="AS1817" s="1044"/>
    </row>
    <row r="1818" spans="2:45" hidden="1" outlineLevel="1">
      <c r="C1818" s="816" t="s">
        <v>16</v>
      </c>
      <c r="D1818" s="9"/>
      <c r="E1818" s="20" t="s">
        <v>504</v>
      </c>
      <c r="F1818" s="20"/>
      <c r="G1818" s="20"/>
      <c r="H1818" s="20"/>
      <c r="I1818" s="20"/>
      <c r="J1818" s="20"/>
      <c r="K1818" s="20"/>
      <c r="L1818" s="20"/>
      <c r="M1818" s="20"/>
      <c r="N1818" s="20"/>
      <c r="O1818" s="20"/>
      <c r="P1818" s="20"/>
      <c r="Q1818" s="20"/>
      <c r="R1818" s="20"/>
      <c r="S1818" s="20"/>
      <c r="T1818" s="20"/>
      <c r="U1818" s="20"/>
      <c r="V1818" s="20"/>
      <c r="W1818" s="20"/>
      <c r="X1818" s="20"/>
      <c r="Y1818" s="20"/>
      <c r="Z1818" s="20"/>
      <c r="AA1818" s="20"/>
      <c r="AB1818" s="12"/>
      <c r="AC1818" s="12"/>
      <c r="AD1818" s="12"/>
      <c r="AE1818" s="12"/>
      <c r="AF1818" s="12">
        <v>0</v>
      </c>
      <c r="AG1818" s="12">
        <v>0</v>
      </c>
      <c r="AH1818" s="12">
        <v>5906182</v>
      </c>
      <c r="AI1818" s="12">
        <v>5906181</v>
      </c>
      <c r="AJ1818" s="21">
        <v>5906181</v>
      </c>
      <c r="AK1818" s="21">
        <v>5906181</v>
      </c>
      <c r="AL1818" s="21">
        <v>5906181</v>
      </c>
      <c r="AM1818" s="21">
        <v>5906181</v>
      </c>
      <c r="AN1818" s="1058">
        <v>3936549</v>
      </c>
      <c r="AO1818" s="1058">
        <v>3936548</v>
      </c>
      <c r="AP1818" s="1058">
        <v>3542894</v>
      </c>
      <c r="AQ1818" s="1058">
        <v>3542894</v>
      </c>
      <c r="AR1818" s="1044"/>
      <c r="AS1818" s="1044"/>
    </row>
    <row r="1819" spans="2:45" s="997" customFormat="1" hidden="1" outlineLevel="1">
      <c r="B1819" s="998"/>
      <c r="C1819" s="1006" t="s">
        <v>16</v>
      </c>
      <c r="D1819" s="1000"/>
      <c r="E1819" s="1010" t="s">
        <v>1878</v>
      </c>
      <c r="F1819" s="1002"/>
      <c r="G1819" s="1002"/>
      <c r="H1819" s="1002"/>
      <c r="I1819" s="1002"/>
      <c r="J1819" s="1002"/>
      <c r="K1819" s="1002"/>
      <c r="L1819" s="1002"/>
      <c r="M1819" s="1002"/>
      <c r="N1819" s="1002"/>
      <c r="O1819" s="1002"/>
      <c r="P1819" s="1002"/>
      <c r="Q1819" s="1002"/>
      <c r="R1819" s="1002"/>
      <c r="S1819" s="1002"/>
      <c r="T1819" s="1002"/>
      <c r="U1819" s="1002"/>
      <c r="V1819" s="1002"/>
      <c r="W1819" s="1002"/>
      <c r="X1819" s="1002"/>
      <c r="Y1819" s="1002"/>
      <c r="Z1819" s="1002"/>
      <c r="AA1819" s="1002"/>
      <c r="AB1819" s="1001"/>
      <c r="AC1819" s="1001"/>
      <c r="AD1819" s="1001"/>
      <c r="AE1819" s="1001"/>
      <c r="AF1819" s="1001"/>
      <c r="AG1819" s="1001"/>
      <c r="AH1819" s="1001"/>
      <c r="AI1819" s="1001"/>
      <c r="AJ1819" s="1003"/>
      <c r="AK1819" s="1003"/>
      <c r="AL1819" s="1003"/>
      <c r="AM1819" s="1003"/>
      <c r="AN1819" s="1058">
        <v>1699999</v>
      </c>
      <c r="AO1819" s="1058">
        <v>1699999</v>
      </c>
      <c r="AP1819" s="1058">
        <v>1529999</v>
      </c>
      <c r="AQ1819" s="1058">
        <v>1529999</v>
      </c>
      <c r="AR1819" s="1044"/>
      <c r="AS1819" s="1044"/>
    </row>
    <row r="1820" spans="2:45" s="1044" customFormat="1" hidden="1" outlineLevel="1">
      <c r="B1820" s="1045"/>
      <c r="C1820" s="1053" t="s">
        <v>16</v>
      </c>
      <c r="D1820" s="1030"/>
      <c r="E1820" s="1054" t="s">
        <v>1953</v>
      </c>
      <c r="F1820" s="1047"/>
      <c r="G1820" s="1047"/>
      <c r="H1820" s="1047"/>
      <c r="I1820" s="1047"/>
      <c r="J1820" s="1047"/>
      <c r="K1820" s="1047"/>
      <c r="L1820" s="1047"/>
      <c r="M1820" s="1047"/>
      <c r="N1820" s="1047"/>
      <c r="O1820" s="1047"/>
      <c r="P1820" s="1047"/>
      <c r="Q1820" s="1047"/>
      <c r="R1820" s="1047"/>
      <c r="S1820" s="1047"/>
      <c r="T1820" s="1047"/>
      <c r="U1820" s="1047"/>
      <c r="V1820" s="1047"/>
      <c r="W1820" s="1047"/>
      <c r="X1820" s="1047"/>
      <c r="Y1820" s="1047"/>
      <c r="Z1820" s="1047"/>
      <c r="AA1820" s="1047"/>
      <c r="AB1820" s="1070"/>
      <c r="AC1820" s="1070"/>
      <c r="AD1820" s="1070"/>
      <c r="AE1820" s="1070"/>
      <c r="AF1820" s="1070"/>
      <c r="AG1820" s="1070"/>
      <c r="AH1820" s="1070"/>
      <c r="AI1820" s="1070"/>
      <c r="AJ1820" s="1058"/>
      <c r="AK1820" s="1058"/>
      <c r="AL1820" s="1058"/>
      <c r="AM1820" s="1058"/>
      <c r="AN1820" s="1058"/>
      <c r="AO1820" s="1058"/>
      <c r="AP1820" s="1058">
        <v>1000000</v>
      </c>
      <c r="AQ1820" s="1058">
        <v>1000000</v>
      </c>
    </row>
    <row r="1821" spans="2:45" hidden="1" outlineLevel="1">
      <c r="C1821" s="816" t="s">
        <v>16</v>
      </c>
      <c r="D1821" s="223" t="s">
        <v>1354</v>
      </c>
      <c r="E1821" s="20" t="s">
        <v>505</v>
      </c>
      <c r="F1821" s="20"/>
      <c r="G1821" s="20"/>
      <c r="H1821" s="20"/>
      <c r="I1821" s="20"/>
      <c r="J1821" s="20"/>
      <c r="K1821" s="20"/>
      <c r="L1821" s="20"/>
      <c r="M1821" s="20"/>
      <c r="N1821" s="20"/>
      <c r="O1821" s="20"/>
      <c r="P1821" s="20"/>
      <c r="Q1821" s="20"/>
      <c r="R1821" s="20"/>
      <c r="S1821" s="20"/>
      <c r="T1821" s="20"/>
      <c r="U1821" s="20"/>
      <c r="V1821" s="20"/>
      <c r="W1821" s="20"/>
      <c r="X1821" s="20"/>
      <c r="Y1821" s="20"/>
      <c r="Z1821" s="20"/>
      <c r="AA1821" s="20"/>
      <c r="AB1821" s="12"/>
      <c r="AC1821" s="12"/>
      <c r="AD1821" s="12"/>
      <c r="AE1821" s="12"/>
      <c r="AF1821" s="12"/>
      <c r="AG1821" s="12"/>
      <c r="AH1821" s="12"/>
      <c r="AI1821" s="12"/>
      <c r="AJ1821" s="21">
        <v>500000</v>
      </c>
      <c r="AK1821" s="21">
        <v>500000</v>
      </c>
      <c r="AL1821" s="21">
        <v>500000</v>
      </c>
      <c r="AM1821" s="21">
        <v>500000</v>
      </c>
      <c r="AN1821" s="1058">
        <v>350797</v>
      </c>
      <c r="AO1821" s="1058">
        <v>350796</v>
      </c>
      <c r="AP1821" s="1058">
        <v>350797</v>
      </c>
      <c r="AQ1821" s="1058">
        <v>350796</v>
      </c>
      <c r="AR1821" s="1044"/>
      <c r="AS1821" s="1044"/>
    </row>
    <row r="1822" spans="2:45" hidden="1" outlineLevel="1">
      <c r="C1822" s="816" t="s">
        <v>16</v>
      </c>
      <c r="D1822" s="223" t="s">
        <v>1200</v>
      </c>
      <c r="E1822" s="25" t="s">
        <v>507</v>
      </c>
      <c r="F1822" s="6"/>
      <c r="G1822" s="6"/>
      <c r="H1822" s="6"/>
      <c r="I1822" s="6"/>
      <c r="J1822" s="6"/>
      <c r="K1822" s="6"/>
      <c r="L1822" s="6"/>
      <c r="M1822" s="6"/>
      <c r="N1822" s="6"/>
      <c r="O1822" s="6"/>
      <c r="P1822" s="6"/>
      <c r="Q1822" s="6"/>
      <c r="R1822" s="6"/>
      <c r="S1822" s="6"/>
      <c r="T1822" s="6"/>
      <c r="U1822" s="6"/>
      <c r="V1822" s="6"/>
      <c r="W1822" s="6"/>
      <c r="X1822" s="6"/>
      <c r="Y1822" s="6"/>
      <c r="Z1822" s="6"/>
      <c r="AA1822" s="6"/>
      <c r="AB1822" s="7"/>
      <c r="AC1822" s="7"/>
      <c r="AD1822" s="7"/>
      <c r="AE1822" s="7"/>
      <c r="AF1822" s="1074">
        <f t="shared" ref="AF1822:AK1822" si="351">SUM(AF1818:AF1821)</f>
        <v>0</v>
      </c>
      <c r="AG1822" s="1074">
        <f t="shared" si="351"/>
        <v>0</v>
      </c>
      <c r="AH1822" s="1074">
        <f t="shared" si="351"/>
        <v>5906182</v>
      </c>
      <c r="AI1822" s="1074">
        <f t="shared" si="351"/>
        <v>5906181</v>
      </c>
      <c r="AJ1822" s="1074">
        <f t="shared" si="351"/>
        <v>6406181</v>
      </c>
      <c r="AK1822" s="1074">
        <f t="shared" si="351"/>
        <v>6406181</v>
      </c>
      <c r="AL1822" s="60">
        <f t="shared" ref="AL1822:AQ1822" si="352">SUM(AL1818:AL1821)</f>
        <v>6406181</v>
      </c>
      <c r="AM1822" s="60">
        <f t="shared" si="352"/>
        <v>6406181</v>
      </c>
      <c r="AN1822" s="1074">
        <f t="shared" si="352"/>
        <v>5987345</v>
      </c>
      <c r="AO1822" s="1074">
        <f t="shared" si="352"/>
        <v>5987343</v>
      </c>
      <c r="AP1822" s="1074">
        <f t="shared" si="352"/>
        <v>6423690</v>
      </c>
      <c r="AQ1822" s="1074">
        <f t="shared" si="352"/>
        <v>6423689</v>
      </c>
      <c r="AR1822" s="1044"/>
      <c r="AS1822" s="1044"/>
    </row>
    <row r="1823" spans="2:45" hidden="1" outlineLevel="1">
      <c r="C1823" s="816" t="s">
        <v>16</v>
      </c>
      <c r="D1823" s="9"/>
      <c r="E1823" s="20" t="s">
        <v>508</v>
      </c>
      <c r="F1823" s="20"/>
      <c r="G1823" s="20"/>
      <c r="H1823" s="20"/>
      <c r="I1823" s="20"/>
      <c r="J1823" s="20"/>
      <c r="K1823" s="20"/>
      <c r="L1823" s="20"/>
      <c r="M1823" s="20"/>
      <c r="N1823" s="20"/>
      <c r="O1823" s="20"/>
      <c r="P1823" s="20"/>
      <c r="Q1823" s="20"/>
      <c r="R1823" s="20"/>
      <c r="S1823" s="20"/>
      <c r="T1823" s="20"/>
      <c r="U1823" s="20"/>
      <c r="V1823" s="20"/>
      <c r="W1823" s="20"/>
      <c r="X1823" s="20"/>
      <c r="Y1823" s="20"/>
      <c r="Z1823" s="20"/>
      <c r="AA1823" s="20"/>
      <c r="AB1823" s="12">
        <v>843260</v>
      </c>
      <c r="AC1823" s="12">
        <v>843260</v>
      </c>
      <c r="AD1823" s="12">
        <v>843260</v>
      </c>
      <c r="AE1823" s="12">
        <v>843260</v>
      </c>
      <c r="AF1823" s="12">
        <v>843260</v>
      </c>
      <c r="AG1823" s="12">
        <v>843260</v>
      </c>
      <c r="AH1823" s="12">
        <v>632445</v>
      </c>
      <c r="AI1823" s="12">
        <v>632445</v>
      </c>
      <c r="AJ1823" s="12">
        <v>632445</v>
      </c>
      <c r="AK1823" s="12">
        <v>632445</v>
      </c>
      <c r="AL1823" s="12">
        <v>632445</v>
      </c>
      <c r="AM1823" s="12">
        <v>632445</v>
      </c>
      <c r="AN1823" s="1070">
        <v>300412</v>
      </c>
      <c r="AO1823" s="1070">
        <v>300411</v>
      </c>
      <c r="AP1823" s="1070">
        <v>270370</v>
      </c>
      <c r="AQ1823" s="1070">
        <v>270370</v>
      </c>
      <c r="AR1823" s="1044"/>
      <c r="AS1823" s="1044"/>
    </row>
    <row r="1824" spans="2:45" hidden="1" outlineLevel="1">
      <c r="C1824" s="816" t="s">
        <v>16</v>
      </c>
      <c r="D1824" s="223" t="s">
        <v>1254</v>
      </c>
      <c r="E1824" s="278" t="s">
        <v>509</v>
      </c>
      <c r="F1824" s="20"/>
      <c r="G1824" s="20"/>
      <c r="H1824" s="20"/>
      <c r="I1824" s="20"/>
      <c r="J1824" s="20"/>
      <c r="K1824" s="20"/>
      <c r="L1824" s="20"/>
      <c r="M1824" s="20"/>
      <c r="N1824" s="20"/>
      <c r="O1824" s="20"/>
      <c r="P1824" s="20"/>
      <c r="Q1824" s="20"/>
      <c r="R1824" s="20"/>
      <c r="S1824" s="20"/>
      <c r="T1824" s="20"/>
      <c r="U1824" s="20"/>
      <c r="V1824" s="20"/>
      <c r="W1824" s="20"/>
      <c r="X1824" s="20"/>
      <c r="Y1824" s="20"/>
      <c r="Z1824" s="20"/>
      <c r="AA1824" s="20"/>
      <c r="AB1824" s="12">
        <v>740604</v>
      </c>
      <c r="AC1824" s="12">
        <v>740604</v>
      </c>
      <c r="AD1824" s="12">
        <v>740606</v>
      </c>
      <c r="AE1824" s="12">
        <v>740606</v>
      </c>
      <c r="AF1824" s="12">
        <v>740605</v>
      </c>
      <c r="AG1824" s="12">
        <v>740605</v>
      </c>
      <c r="AH1824" s="12">
        <v>555454</v>
      </c>
      <c r="AI1824" s="12">
        <v>555454</v>
      </c>
      <c r="AJ1824" s="12">
        <v>555454</v>
      </c>
      <c r="AK1824" s="12">
        <v>555454</v>
      </c>
      <c r="AL1824" s="12">
        <v>555454</v>
      </c>
      <c r="AM1824" s="12">
        <v>555454</v>
      </c>
      <c r="AN1824" s="1070">
        <v>377523</v>
      </c>
      <c r="AO1824" s="1070">
        <v>377523</v>
      </c>
      <c r="AP1824" s="1070">
        <v>377523</v>
      </c>
      <c r="AQ1824" s="1070">
        <v>377523</v>
      </c>
      <c r="AR1824" s="1044"/>
      <c r="AS1824" s="1044"/>
    </row>
    <row r="1825" spans="3:45" hidden="1" outlineLevel="1">
      <c r="C1825" s="816" t="s">
        <v>16</v>
      </c>
      <c r="D1825" s="9"/>
      <c r="E1825" s="20" t="s">
        <v>510</v>
      </c>
      <c r="F1825" s="20"/>
      <c r="G1825" s="20"/>
      <c r="H1825" s="20"/>
      <c r="I1825" s="20"/>
      <c r="J1825" s="20"/>
      <c r="K1825" s="20"/>
      <c r="L1825" s="20"/>
      <c r="M1825" s="20"/>
      <c r="N1825" s="20"/>
      <c r="O1825" s="20"/>
      <c r="P1825" s="20"/>
      <c r="Q1825" s="20"/>
      <c r="R1825" s="20"/>
      <c r="S1825" s="20"/>
      <c r="T1825" s="20"/>
      <c r="U1825" s="20"/>
      <c r="V1825" s="20"/>
      <c r="W1825" s="20"/>
      <c r="X1825" s="20"/>
      <c r="Y1825" s="20"/>
      <c r="Z1825" s="20"/>
      <c r="AA1825" s="20"/>
      <c r="AB1825" s="12">
        <v>141166</v>
      </c>
      <c r="AC1825" s="12">
        <v>141166</v>
      </c>
      <c r="AD1825" s="12">
        <v>141166</v>
      </c>
      <c r="AE1825" s="12">
        <v>141166</v>
      </c>
      <c r="AF1825" s="12">
        <v>141166</v>
      </c>
      <c r="AG1825" s="12">
        <v>141166</v>
      </c>
      <c r="AH1825" s="12">
        <v>105874</v>
      </c>
      <c r="AI1825" s="12">
        <v>105874</v>
      </c>
      <c r="AJ1825" s="12">
        <v>105874</v>
      </c>
      <c r="AK1825" s="12">
        <v>105874</v>
      </c>
      <c r="AL1825" s="12">
        <v>105874</v>
      </c>
      <c r="AM1825" s="12">
        <v>105874</v>
      </c>
      <c r="AN1825" s="1070">
        <v>71959</v>
      </c>
      <c r="AO1825" s="1070">
        <v>71959</v>
      </c>
      <c r="AP1825" s="1070">
        <v>71959</v>
      </c>
      <c r="AQ1825" s="1070">
        <v>71959</v>
      </c>
      <c r="AR1825" s="1044"/>
      <c r="AS1825" s="1044"/>
    </row>
    <row r="1826" spans="3:45" hidden="1" outlineLevel="1">
      <c r="C1826" s="816" t="s">
        <v>16</v>
      </c>
      <c r="D1826" s="9"/>
      <c r="E1826" s="20" t="s">
        <v>511</v>
      </c>
      <c r="F1826" s="20"/>
      <c r="G1826" s="20"/>
      <c r="H1826" s="20"/>
      <c r="I1826" s="20"/>
      <c r="J1826" s="20"/>
      <c r="K1826" s="20"/>
      <c r="L1826" s="20"/>
      <c r="M1826" s="20"/>
      <c r="N1826" s="20"/>
      <c r="O1826" s="20"/>
      <c r="P1826" s="20"/>
      <c r="Q1826" s="20"/>
      <c r="R1826" s="20"/>
      <c r="S1826" s="20"/>
      <c r="T1826" s="20"/>
      <c r="U1826" s="20"/>
      <c r="V1826" s="20"/>
      <c r="W1826" s="20"/>
      <c r="X1826" s="20"/>
      <c r="Y1826" s="20"/>
      <c r="Z1826" s="20"/>
      <c r="AA1826" s="20"/>
      <c r="AB1826" s="12">
        <v>80527</v>
      </c>
      <c r="AC1826" s="12">
        <v>80527</v>
      </c>
      <c r="AD1826" s="12">
        <v>80526</v>
      </c>
      <c r="AE1826" s="12">
        <v>80526</v>
      </c>
      <c r="AF1826" s="12">
        <v>80526</v>
      </c>
      <c r="AG1826" s="12">
        <v>80526</v>
      </c>
      <c r="AH1826" s="12">
        <v>60394</v>
      </c>
      <c r="AI1826" s="12">
        <v>60394</v>
      </c>
      <c r="AJ1826" s="12">
        <v>60394</v>
      </c>
      <c r="AK1826" s="12">
        <v>60394</v>
      </c>
      <c r="AL1826" s="12">
        <v>60394</v>
      </c>
      <c r="AM1826" s="12">
        <v>60394</v>
      </c>
      <c r="AN1826" s="1070">
        <v>41048</v>
      </c>
      <c r="AO1826" s="1070">
        <v>41047</v>
      </c>
      <c r="AP1826" s="1070">
        <v>41048</v>
      </c>
      <c r="AQ1826" s="1070">
        <v>41047</v>
      </c>
      <c r="AR1826" s="1044"/>
      <c r="AS1826" s="1044"/>
    </row>
    <row r="1827" spans="3:45" hidden="1" outlineLevel="1">
      <c r="C1827" s="816" t="s">
        <v>16</v>
      </c>
      <c r="D1827" s="9"/>
      <c r="E1827" s="20" t="s">
        <v>512</v>
      </c>
      <c r="F1827" s="20"/>
      <c r="G1827" s="20"/>
      <c r="H1827" s="20"/>
      <c r="I1827" s="20"/>
      <c r="J1827" s="20"/>
      <c r="K1827" s="20"/>
      <c r="L1827" s="20"/>
      <c r="M1827" s="20"/>
      <c r="N1827" s="20"/>
      <c r="O1827" s="20"/>
      <c r="P1827" s="20"/>
      <c r="Q1827" s="20"/>
      <c r="R1827" s="20"/>
      <c r="S1827" s="20"/>
      <c r="T1827" s="20"/>
      <c r="U1827" s="20"/>
      <c r="V1827" s="20"/>
      <c r="W1827" s="20"/>
      <c r="X1827" s="20"/>
      <c r="Y1827" s="20"/>
      <c r="Z1827" s="20"/>
      <c r="AA1827" s="20"/>
      <c r="AB1827" s="12">
        <v>75946</v>
      </c>
      <c r="AC1827" s="12">
        <v>75946</v>
      </c>
      <c r="AD1827" s="12">
        <v>75946</v>
      </c>
      <c r="AE1827" s="12">
        <v>75946</v>
      </c>
      <c r="AF1827" s="12">
        <v>75946</v>
      </c>
      <c r="AG1827" s="12">
        <v>75946</v>
      </c>
      <c r="AH1827" s="12">
        <v>56960</v>
      </c>
      <c r="AI1827" s="12">
        <v>56960</v>
      </c>
      <c r="AJ1827" s="12">
        <v>56960</v>
      </c>
      <c r="AK1827" s="12">
        <v>56960</v>
      </c>
      <c r="AL1827" s="12">
        <v>56960</v>
      </c>
      <c r="AM1827" s="12">
        <v>56960</v>
      </c>
      <c r="AN1827" s="1070">
        <v>38714</v>
      </c>
      <c r="AO1827" s="1070">
        <v>38713</v>
      </c>
      <c r="AP1827" s="1070">
        <v>38714</v>
      </c>
      <c r="AQ1827" s="1070">
        <v>38713</v>
      </c>
      <c r="AR1827" s="1044"/>
      <c r="AS1827" s="1044"/>
    </row>
    <row r="1828" spans="3:45" hidden="1" outlineLevel="1">
      <c r="C1828" s="816" t="s">
        <v>16</v>
      </c>
      <c r="D1828" s="9"/>
      <c r="E1828" s="224" t="s">
        <v>1742</v>
      </c>
      <c r="F1828" s="20"/>
      <c r="G1828" s="20"/>
      <c r="H1828" s="20"/>
      <c r="I1828" s="20"/>
      <c r="J1828" s="20"/>
      <c r="K1828" s="20"/>
      <c r="L1828" s="20"/>
      <c r="M1828" s="20"/>
      <c r="N1828" s="20"/>
      <c r="O1828" s="20"/>
      <c r="P1828" s="20"/>
      <c r="Q1828" s="20"/>
      <c r="R1828" s="20"/>
      <c r="S1828" s="20"/>
      <c r="T1828" s="20"/>
      <c r="U1828" s="20"/>
      <c r="V1828" s="20"/>
      <c r="W1828" s="20"/>
      <c r="X1828" s="20"/>
      <c r="Y1828" s="20"/>
      <c r="Z1828" s="20"/>
      <c r="AA1828" s="20"/>
      <c r="AB1828" s="12"/>
      <c r="AC1828" s="12"/>
      <c r="AD1828" s="12"/>
      <c r="AE1828" s="12"/>
      <c r="AF1828" s="12"/>
      <c r="AG1828" s="12"/>
      <c r="AH1828" s="12"/>
      <c r="AI1828" s="12"/>
      <c r="AJ1828" s="12"/>
      <c r="AK1828" s="12"/>
      <c r="AL1828" s="1220">
        <v>0</v>
      </c>
      <c r="AM1828" s="1220">
        <v>0</v>
      </c>
      <c r="AN1828" s="1070"/>
      <c r="AO1828" s="1070"/>
      <c r="AP1828" s="1070"/>
      <c r="AQ1828" s="1070"/>
      <c r="AR1828" s="1044"/>
      <c r="AS1828" s="1044"/>
    </row>
    <row r="1829" spans="3:45" hidden="1" outlineLevel="1">
      <c r="C1829" s="816" t="s">
        <v>16</v>
      </c>
      <c r="D1829" s="223" t="s">
        <v>1354</v>
      </c>
      <c r="E1829" s="20" t="s">
        <v>513</v>
      </c>
      <c r="F1829" s="20"/>
      <c r="G1829" s="20"/>
      <c r="H1829" s="20"/>
      <c r="I1829" s="20"/>
      <c r="J1829" s="20"/>
      <c r="K1829" s="20"/>
      <c r="L1829" s="20"/>
      <c r="M1829" s="20"/>
      <c r="N1829" s="20"/>
      <c r="O1829" s="20"/>
      <c r="P1829" s="20"/>
      <c r="Q1829" s="20"/>
      <c r="R1829" s="20"/>
      <c r="S1829" s="20"/>
      <c r="T1829" s="20"/>
      <c r="U1829" s="20"/>
      <c r="V1829" s="20"/>
      <c r="W1829" s="20"/>
      <c r="X1829" s="20"/>
      <c r="Y1829" s="20"/>
      <c r="Z1829" s="20"/>
      <c r="AA1829" s="20"/>
      <c r="AB1829" s="12">
        <v>6390379</v>
      </c>
      <c r="AC1829" s="12">
        <v>6390379</v>
      </c>
      <c r="AD1829" s="12">
        <v>6390379</v>
      </c>
      <c r="AE1829" s="12">
        <v>6390379</v>
      </c>
      <c r="AF1829" s="12">
        <v>6080847</v>
      </c>
      <c r="AG1829" s="12">
        <v>6080847</v>
      </c>
      <c r="AH1829" s="12">
        <v>4262047</v>
      </c>
      <c r="AI1829" s="12">
        <v>4262047</v>
      </c>
      <c r="AJ1829" s="21">
        <v>4762047</v>
      </c>
      <c r="AK1829" s="21">
        <v>4762047</v>
      </c>
      <c r="AL1829" s="1224">
        <v>4769993</v>
      </c>
      <c r="AM1829" s="1224">
        <v>4769993</v>
      </c>
      <c r="AN1829" s="1058">
        <v>3238235</v>
      </c>
      <c r="AO1829" s="1058">
        <v>3238235</v>
      </c>
      <c r="AP1829" s="1058">
        <v>3238235</v>
      </c>
      <c r="AQ1829" s="1058">
        <v>3238235</v>
      </c>
      <c r="AR1829" s="1044"/>
      <c r="AS1829" s="1044"/>
    </row>
    <row r="1830" spans="3:45" hidden="1" outlineLevel="1">
      <c r="C1830" s="816" t="s">
        <v>16</v>
      </c>
      <c r="D1830" s="223" t="s">
        <v>1200</v>
      </c>
      <c r="E1830" s="25" t="s">
        <v>2234</v>
      </c>
      <c r="F1830" s="6"/>
      <c r="G1830" s="6"/>
      <c r="H1830" s="6"/>
      <c r="I1830" s="6"/>
      <c r="J1830" s="6"/>
      <c r="K1830" s="6"/>
      <c r="L1830" s="6"/>
      <c r="M1830" s="6"/>
      <c r="N1830" s="6"/>
      <c r="O1830" s="6"/>
      <c r="P1830" s="6"/>
      <c r="Q1830" s="6"/>
      <c r="R1830" s="6"/>
      <c r="S1830" s="6"/>
      <c r="T1830" s="6"/>
      <c r="U1830" s="6"/>
      <c r="V1830" s="6"/>
      <c r="W1830" s="6"/>
      <c r="X1830" s="6"/>
      <c r="Y1830" s="6"/>
      <c r="Z1830" s="6"/>
      <c r="AA1830" s="6"/>
      <c r="AB1830" s="7">
        <v>8271882</v>
      </c>
      <c r="AC1830" s="7">
        <v>8271882</v>
      </c>
      <c r="AD1830" s="7">
        <v>8271883</v>
      </c>
      <c r="AE1830" s="7">
        <v>8271883</v>
      </c>
      <c r="AF1830" s="7">
        <f t="shared" ref="AF1830:AQ1830" si="353">SUM(AF1823:AF1829)</f>
        <v>7962350</v>
      </c>
      <c r="AG1830" s="7">
        <f t="shared" si="353"/>
        <v>7962350</v>
      </c>
      <c r="AH1830" s="7">
        <f t="shared" si="353"/>
        <v>5673174</v>
      </c>
      <c r="AI1830" s="7">
        <f t="shared" si="353"/>
        <v>5673174</v>
      </c>
      <c r="AJ1830" s="7">
        <f t="shared" si="353"/>
        <v>6173174</v>
      </c>
      <c r="AK1830" s="7">
        <f t="shared" si="353"/>
        <v>6173174</v>
      </c>
      <c r="AL1830" s="60">
        <f t="shared" si="353"/>
        <v>6181120</v>
      </c>
      <c r="AM1830" s="60">
        <f t="shared" si="353"/>
        <v>6181120</v>
      </c>
      <c r="AN1830" s="1074">
        <f t="shared" si="353"/>
        <v>4067891</v>
      </c>
      <c r="AO1830" s="1074">
        <f t="shared" si="353"/>
        <v>4067888</v>
      </c>
      <c r="AP1830" s="1074">
        <f t="shared" si="353"/>
        <v>4037849</v>
      </c>
      <c r="AQ1830" s="1074">
        <f t="shared" si="353"/>
        <v>4037847</v>
      </c>
      <c r="AR1830" s="1044"/>
      <c r="AS1830" s="1044"/>
    </row>
    <row r="1831" spans="3:45" hidden="1" outlineLevel="1">
      <c r="C1831" s="816" t="s">
        <v>16</v>
      </c>
      <c r="D1831" s="9"/>
      <c r="E1831" s="20" t="s">
        <v>515</v>
      </c>
      <c r="F1831" s="20"/>
      <c r="G1831" s="20"/>
      <c r="H1831" s="20"/>
      <c r="I1831" s="20"/>
      <c r="J1831" s="20"/>
      <c r="K1831" s="20"/>
      <c r="L1831" s="20"/>
      <c r="M1831" s="20"/>
      <c r="N1831" s="20"/>
      <c r="O1831" s="20"/>
      <c r="P1831" s="20"/>
      <c r="Q1831" s="20"/>
      <c r="R1831" s="20"/>
      <c r="S1831" s="20"/>
      <c r="T1831" s="20"/>
      <c r="U1831" s="20"/>
      <c r="V1831" s="20"/>
      <c r="W1831" s="20"/>
      <c r="X1831" s="20"/>
      <c r="Y1831" s="20"/>
      <c r="Z1831" s="20"/>
      <c r="AA1831" s="20"/>
      <c r="AB1831" s="12">
        <v>484592</v>
      </c>
      <c r="AC1831" s="12">
        <v>484592</v>
      </c>
      <c r="AD1831" s="12">
        <v>484592</v>
      </c>
      <c r="AE1831" s="12">
        <v>484592</v>
      </c>
      <c r="AF1831" s="12">
        <v>484592</v>
      </c>
      <c r="AG1831" s="12">
        <v>484592</v>
      </c>
      <c r="AH1831" s="12">
        <v>363444</v>
      </c>
      <c r="AI1831" s="12">
        <v>363444</v>
      </c>
      <c r="AJ1831" s="12">
        <v>363444</v>
      </c>
      <c r="AK1831" s="12">
        <v>363444</v>
      </c>
      <c r="AL1831" s="12">
        <v>363444</v>
      </c>
      <c r="AM1831" s="12">
        <v>363444</v>
      </c>
      <c r="AN1831" s="1070">
        <v>172636</v>
      </c>
      <c r="AO1831" s="1070">
        <v>172636</v>
      </c>
      <c r="AP1831" s="1070">
        <v>155372</v>
      </c>
      <c r="AQ1831" s="1070">
        <v>155372</v>
      </c>
      <c r="AR1831" s="1044"/>
      <c r="AS1831" s="1044"/>
    </row>
    <row r="1832" spans="3:45" hidden="1" outlineLevel="1">
      <c r="C1832" s="816" t="s">
        <v>16</v>
      </c>
      <c r="D1832" s="9"/>
      <c r="E1832" s="20" t="s">
        <v>516</v>
      </c>
      <c r="F1832" s="20"/>
      <c r="G1832" s="20"/>
      <c r="H1832" s="20"/>
      <c r="I1832" s="20"/>
      <c r="J1832" s="20"/>
      <c r="K1832" s="20"/>
      <c r="L1832" s="20"/>
      <c r="M1832" s="20"/>
      <c r="N1832" s="20"/>
      <c r="O1832" s="20"/>
      <c r="P1832" s="20"/>
      <c r="Q1832" s="20"/>
      <c r="R1832" s="20"/>
      <c r="S1832" s="20"/>
      <c r="T1832" s="20"/>
      <c r="U1832" s="20"/>
      <c r="V1832" s="20"/>
      <c r="W1832" s="20"/>
      <c r="X1832" s="20"/>
      <c r="Y1832" s="20"/>
      <c r="Z1832" s="20"/>
      <c r="AA1832" s="20"/>
      <c r="AB1832" s="12">
        <v>72156</v>
      </c>
      <c r="AC1832" s="12">
        <v>72156</v>
      </c>
      <c r="AD1832" s="12">
        <v>72156</v>
      </c>
      <c r="AE1832" s="12">
        <v>72156</v>
      </c>
      <c r="AF1832" s="12">
        <v>72156</v>
      </c>
      <c r="AG1832" s="12">
        <v>72156</v>
      </c>
      <c r="AH1832" s="12">
        <v>54117</v>
      </c>
      <c r="AI1832" s="12">
        <v>54117</v>
      </c>
      <c r="AJ1832" s="12">
        <v>54117</v>
      </c>
      <c r="AK1832" s="12">
        <v>54117</v>
      </c>
      <c r="AL1832" s="12">
        <v>54117</v>
      </c>
      <c r="AM1832" s="12">
        <v>54117</v>
      </c>
      <c r="AN1832" s="1070">
        <v>25706</v>
      </c>
      <c r="AO1832" s="1070">
        <v>25705</v>
      </c>
      <c r="AP1832" s="1070">
        <v>25706</v>
      </c>
      <c r="AQ1832" s="1070">
        <v>25705</v>
      </c>
      <c r="AR1832" s="1044"/>
      <c r="AS1832" s="1044"/>
    </row>
    <row r="1833" spans="3:45" hidden="1" outlineLevel="1">
      <c r="C1833" s="816" t="s">
        <v>16</v>
      </c>
      <c r="D1833" s="9"/>
      <c r="E1833" s="20" t="s">
        <v>517</v>
      </c>
      <c r="F1833" s="20"/>
      <c r="G1833" s="20"/>
      <c r="H1833" s="20"/>
      <c r="I1833" s="20"/>
      <c r="J1833" s="20"/>
      <c r="K1833" s="20"/>
      <c r="L1833" s="20"/>
      <c r="M1833" s="20"/>
      <c r="N1833" s="20"/>
      <c r="O1833" s="20"/>
      <c r="P1833" s="20"/>
      <c r="Q1833" s="20"/>
      <c r="R1833" s="20"/>
      <c r="S1833" s="20"/>
      <c r="T1833" s="20"/>
      <c r="U1833" s="20"/>
      <c r="V1833" s="20"/>
      <c r="W1833" s="20"/>
      <c r="X1833" s="20"/>
      <c r="Y1833" s="20"/>
      <c r="Z1833" s="20"/>
      <c r="AA1833" s="20"/>
      <c r="AB1833" s="12">
        <v>72779</v>
      </c>
      <c r="AC1833" s="12">
        <v>72779</v>
      </c>
      <c r="AD1833" s="12">
        <v>72779</v>
      </c>
      <c r="AE1833" s="12">
        <v>72779</v>
      </c>
      <c r="AF1833" s="12">
        <v>72779</v>
      </c>
      <c r="AG1833" s="12">
        <v>72779</v>
      </c>
      <c r="AH1833" s="12">
        <v>54584</v>
      </c>
      <c r="AI1833" s="12">
        <v>54584</v>
      </c>
      <c r="AJ1833" s="12">
        <v>54584</v>
      </c>
      <c r="AK1833" s="12">
        <v>54584</v>
      </c>
      <c r="AL1833" s="12">
        <v>54584</v>
      </c>
      <c r="AM1833" s="12">
        <v>54584</v>
      </c>
      <c r="AN1833" s="1070">
        <v>25928</v>
      </c>
      <c r="AO1833" s="1070">
        <v>25927</v>
      </c>
      <c r="AP1833" s="1070">
        <v>25928</v>
      </c>
      <c r="AQ1833" s="1070">
        <v>25927</v>
      </c>
      <c r="AR1833" s="1044"/>
      <c r="AS1833" s="1044"/>
    </row>
    <row r="1834" spans="3:45" hidden="1" outlineLevel="1">
      <c r="C1834" s="816" t="s">
        <v>16</v>
      </c>
      <c r="D1834" s="9"/>
      <c r="E1834" s="20" t="s">
        <v>518</v>
      </c>
      <c r="F1834" s="20"/>
      <c r="G1834" s="20"/>
      <c r="H1834" s="20"/>
      <c r="I1834" s="20"/>
      <c r="J1834" s="20"/>
      <c r="K1834" s="20"/>
      <c r="L1834" s="20"/>
      <c r="M1834" s="20"/>
      <c r="N1834" s="20"/>
      <c r="O1834" s="20"/>
      <c r="P1834" s="20"/>
      <c r="Q1834" s="20"/>
      <c r="R1834" s="20"/>
      <c r="S1834" s="20"/>
      <c r="T1834" s="20"/>
      <c r="U1834" s="20"/>
      <c r="V1834" s="20"/>
      <c r="W1834" s="20"/>
      <c r="X1834" s="20"/>
      <c r="Y1834" s="20"/>
      <c r="Z1834" s="20"/>
      <c r="AA1834" s="20"/>
      <c r="AB1834" s="12">
        <v>91175</v>
      </c>
      <c r="AC1834" s="12">
        <v>91175</v>
      </c>
      <c r="AD1834" s="12">
        <v>91175</v>
      </c>
      <c r="AE1834" s="12">
        <v>91175</v>
      </c>
      <c r="AF1834" s="12">
        <v>91175</v>
      </c>
      <c r="AG1834" s="12">
        <v>91175</v>
      </c>
      <c r="AH1834" s="12">
        <v>68381</v>
      </c>
      <c r="AI1834" s="12">
        <v>68381</v>
      </c>
      <c r="AJ1834" s="12">
        <v>68381</v>
      </c>
      <c r="AK1834" s="12">
        <v>68381</v>
      </c>
      <c r="AL1834" s="12">
        <v>68381</v>
      </c>
      <c r="AM1834" s="12">
        <v>68381</v>
      </c>
      <c r="AN1834" s="1070">
        <v>32481</v>
      </c>
      <c r="AO1834" s="1070">
        <v>32481</v>
      </c>
      <c r="AP1834" s="1070">
        <v>32481</v>
      </c>
      <c r="AQ1834" s="1070">
        <v>32481</v>
      </c>
      <c r="AR1834" s="1044"/>
      <c r="AS1834" s="1044"/>
    </row>
    <row r="1835" spans="3:45" hidden="1" outlineLevel="1">
      <c r="C1835" s="816" t="s">
        <v>16</v>
      </c>
      <c r="D1835" s="9"/>
      <c r="E1835" s="20" t="s">
        <v>519</v>
      </c>
      <c r="F1835" s="20"/>
      <c r="G1835" s="20"/>
      <c r="H1835" s="20"/>
      <c r="I1835" s="20"/>
      <c r="J1835" s="20"/>
      <c r="K1835" s="20"/>
      <c r="L1835" s="20"/>
      <c r="M1835" s="20"/>
      <c r="N1835" s="20"/>
      <c r="O1835" s="20"/>
      <c r="P1835" s="20"/>
      <c r="Q1835" s="20"/>
      <c r="R1835" s="20"/>
      <c r="S1835" s="20"/>
      <c r="T1835" s="20"/>
      <c r="U1835" s="20"/>
      <c r="V1835" s="20"/>
      <c r="W1835" s="20"/>
      <c r="X1835" s="20"/>
      <c r="Y1835" s="20"/>
      <c r="Z1835" s="20"/>
      <c r="AA1835" s="20"/>
      <c r="AB1835" s="12">
        <v>70509</v>
      </c>
      <c r="AC1835" s="12">
        <v>70509</v>
      </c>
      <c r="AD1835" s="12">
        <v>70509</v>
      </c>
      <c r="AE1835" s="12">
        <v>70509</v>
      </c>
      <c r="AF1835" s="12">
        <v>70509</v>
      </c>
      <c r="AG1835" s="12">
        <v>70509</v>
      </c>
      <c r="AH1835" s="12">
        <v>52882</v>
      </c>
      <c r="AI1835" s="12">
        <v>52882</v>
      </c>
      <c r="AJ1835" s="12">
        <v>52882</v>
      </c>
      <c r="AK1835" s="12">
        <v>52882</v>
      </c>
      <c r="AL1835" s="12">
        <v>52882</v>
      </c>
      <c r="AM1835" s="12">
        <v>52882</v>
      </c>
      <c r="AN1835" s="1070">
        <v>36146</v>
      </c>
      <c r="AO1835" s="1070">
        <v>36146</v>
      </c>
      <c r="AP1835" s="1070">
        <v>36146</v>
      </c>
      <c r="AQ1835" s="1070">
        <v>36146</v>
      </c>
      <c r="AR1835" s="1044"/>
      <c r="AS1835" s="1044"/>
    </row>
    <row r="1836" spans="3:45" hidden="1" outlineLevel="1">
      <c r="C1836" s="816" t="s">
        <v>16</v>
      </c>
      <c r="D1836" s="9"/>
      <c r="E1836" s="20" t="s">
        <v>520</v>
      </c>
      <c r="F1836" s="20"/>
      <c r="G1836" s="20"/>
      <c r="H1836" s="20"/>
      <c r="I1836" s="20"/>
      <c r="J1836" s="20"/>
      <c r="K1836" s="20"/>
      <c r="L1836" s="20"/>
      <c r="M1836" s="20"/>
      <c r="N1836" s="20"/>
      <c r="O1836" s="20"/>
      <c r="P1836" s="20"/>
      <c r="Q1836" s="20"/>
      <c r="R1836" s="20"/>
      <c r="S1836" s="20"/>
      <c r="T1836" s="20"/>
      <c r="U1836" s="20"/>
      <c r="V1836" s="20"/>
      <c r="W1836" s="20"/>
      <c r="X1836" s="20"/>
      <c r="Y1836" s="20"/>
      <c r="Z1836" s="20"/>
      <c r="AA1836" s="20"/>
      <c r="AB1836" s="12">
        <v>87500</v>
      </c>
      <c r="AC1836" s="12">
        <v>87500</v>
      </c>
      <c r="AD1836" s="12">
        <v>87500</v>
      </c>
      <c r="AE1836" s="12">
        <v>87500</v>
      </c>
      <c r="AF1836" s="12">
        <v>87500</v>
      </c>
      <c r="AG1836" s="12">
        <v>87500</v>
      </c>
      <c r="AH1836" s="12">
        <v>65625</v>
      </c>
      <c r="AI1836" s="12">
        <v>65625</v>
      </c>
      <c r="AJ1836" s="12">
        <v>65625</v>
      </c>
      <c r="AK1836" s="12">
        <v>65625</v>
      </c>
      <c r="AL1836" s="12">
        <v>65625</v>
      </c>
      <c r="AM1836" s="12">
        <v>65625</v>
      </c>
      <c r="AN1836" s="1070">
        <v>44857</v>
      </c>
      <c r="AO1836" s="1070">
        <v>44857</v>
      </c>
      <c r="AP1836" s="1070">
        <v>44857</v>
      </c>
      <c r="AQ1836" s="1070">
        <v>44857</v>
      </c>
      <c r="AR1836" s="1044"/>
      <c r="AS1836" s="1044"/>
    </row>
    <row r="1837" spans="3:45" hidden="1" outlineLevel="1">
      <c r="C1837" s="816" t="s">
        <v>16</v>
      </c>
      <c r="D1837" s="9"/>
      <c r="E1837" s="20" t="s">
        <v>521</v>
      </c>
      <c r="F1837" s="20"/>
      <c r="G1837" s="20"/>
      <c r="H1837" s="20"/>
      <c r="I1837" s="20"/>
      <c r="J1837" s="20"/>
      <c r="K1837" s="20"/>
      <c r="L1837" s="20"/>
      <c r="M1837" s="20"/>
      <c r="N1837" s="20"/>
      <c r="O1837" s="20"/>
      <c r="P1837" s="20"/>
      <c r="Q1837" s="20"/>
      <c r="R1837" s="20"/>
      <c r="S1837" s="20"/>
      <c r="T1837" s="20"/>
      <c r="U1837" s="20"/>
      <c r="V1837" s="20"/>
      <c r="W1837" s="20"/>
      <c r="X1837" s="20"/>
      <c r="Y1837" s="20"/>
      <c r="Z1837" s="20"/>
      <c r="AA1837" s="20"/>
      <c r="AB1837" s="12">
        <v>437500</v>
      </c>
      <c r="AC1837" s="12">
        <v>437500</v>
      </c>
      <c r="AD1837" s="12">
        <v>437500</v>
      </c>
      <c r="AE1837" s="12">
        <v>437500</v>
      </c>
      <c r="AF1837" s="12">
        <v>437500</v>
      </c>
      <c r="AG1837" s="12">
        <v>437500</v>
      </c>
      <c r="AH1837" s="12">
        <v>328125</v>
      </c>
      <c r="AI1837" s="12">
        <v>328125</v>
      </c>
      <c r="AJ1837" s="12">
        <v>328125</v>
      </c>
      <c r="AK1837" s="12">
        <v>328125</v>
      </c>
      <c r="AL1837" s="12">
        <v>328125</v>
      </c>
      <c r="AM1837" s="12">
        <v>328125</v>
      </c>
      <c r="AN1837" s="1070">
        <v>224284</v>
      </c>
      <c r="AO1837" s="1070">
        <v>224283</v>
      </c>
      <c r="AP1837" s="1070">
        <v>224284</v>
      </c>
      <c r="AQ1837" s="1070">
        <v>224283</v>
      </c>
      <c r="AR1837" s="1044"/>
      <c r="AS1837" s="1044"/>
    </row>
    <row r="1838" spans="3:45" hidden="1" outlineLevel="1">
      <c r="C1838" s="816" t="s">
        <v>16</v>
      </c>
      <c r="D1838" s="223" t="s">
        <v>1354</v>
      </c>
      <c r="E1838" s="20" t="s">
        <v>522</v>
      </c>
      <c r="F1838" s="20"/>
      <c r="G1838" s="20"/>
      <c r="H1838" s="20"/>
      <c r="I1838" s="20"/>
      <c r="J1838" s="20"/>
      <c r="K1838" s="20"/>
      <c r="L1838" s="20"/>
      <c r="M1838" s="20"/>
      <c r="N1838" s="20"/>
      <c r="O1838" s="20"/>
      <c r="P1838" s="20"/>
      <c r="Q1838" s="20"/>
      <c r="R1838" s="20"/>
      <c r="S1838" s="20"/>
      <c r="T1838" s="20"/>
      <c r="U1838" s="20"/>
      <c r="V1838" s="20"/>
      <c r="W1838" s="20"/>
      <c r="X1838" s="20"/>
      <c r="Y1838" s="20"/>
      <c r="Z1838" s="20"/>
      <c r="AA1838" s="20"/>
      <c r="AB1838" s="12">
        <v>7412371</v>
      </c>
      <c r="AC1838" s="12">
        <v>7420074</v>
      </c>
      <c r="AD1838" s="12">
        <v>7412538</v>
      </c>
      <c r="AE1838" s="12">
        <v>7419908</v>
      </c>
      <c r="AF1838" s="12">
        <v>7844674</v>
      </c>
      <c r="AG1838" s="12">
        <v>7844674</v>
      </c>
      <c r="AH1838" s="12">
        <v>5885020</v>
      </c>
      <c r="AI1838" s="12">
        <v>5885020</v>
      </c>
      <c r="AJ1838" s="21">
        <v>6385020</v>
      </c>
      <c r="AK1838" s="21">
        <v>6385020</v>
      </c>
      <c r="AL1838" s="1224">
        <v>6388556</v>
      </c>
      <c r="AM1838" s="1224">
        <v>6388556</v>
      </c>
      <c r="AN1838" s="1058">
        <v>4016555</v>
      </c>
      <c r="AO1838" s="1058">
        <v>4015554</v>
      </c>
      <c r="AP1838" s="1058">
        <v>6867714</v>
      </c>
      <c r="AQ1838" s="1058">
        <v>6867713</v>
      </c>
      <c r="AR1838" s="1044"/>
      <c r="AS1838" s="1044"/>
    </row>
    <row r="1839" spans="3:45" hidden="1" outlineLevel="1">
      <c r="C1839" s="816" t="s">
        <v>16</v>
      </c>
      <c r="D1839" s="9"/>
      <c r="E1839" s="20" t="s">
        <v>523</v>
      </c>
      <c r="F1839" s="20"/>
      <c r="G1839" s="20"/>
      <c r="H1839" s="20"/>
      <c r="I1839" s="20"/>
      <c r="J1839" s="20"/>
      <c r="K1839" s="20"/>
      <c r="L1839" s="20"/>
      <c r="M1839" s="20"/>
      <c r="N1839" s="20"/>
      <c r="O1839" s="20"/>
      <c r="P1839" s="20"/>
      <c r="Q1839" s="20"/>
      <c r="R1839" s="20"/>
      <c r="S1839" s="20"/>
      <c r="T1839" s="20"/>
      <c r="U1839" s="20"/>
      <c r="V1839" s="20"/>
      <c r="W1839" s="20"/>
      <c r="X1839" s="20"/>
      <c r="Y1839" s="20"/>
      <c r="Z1839" s="20"/>
      <c r="AA1839" s="20"/>
      <c r="AB1839" s="12">
        <v>144279</v>
      </c>
      <c r="AC1839" s="12">
        <v>144279</v>
      </c>
      <c r="AD1839" s="12">
        <v>144279</v>
      </c>
      <c r="AE1839" s="12">
        <v>144279</v>
      </c>
      <c r="AF1839" s="12">
        <v>144279</v>
      </c>
      <c r="AG1839" s="12">
        <v>144279</v>
      </c>
      <c r="AH1839" s="12">
        <v>108209</v>
      </c>
      <c r="AI1839" s="12">
        <v>108209</v>
      </c>
      <c r="AJ1839" s="21">
        <v>108209</v>
      </c>
      <c r="AK1839" s="21">
        <v>108209</v>
      </c>
      <c r="AL1839" s="21">
        <v>108209</v>
      </c>
      <c r="AM1839" s="21">
        <v>108209</v>
      </c>
      <c r="AN1839" s="1058">
        <v>73965</v>
      </c>
      <c r="AO1839" s="1058">
        <v>73964</v>
      </c>
      <c r="AP1839" s="1058">
        <v>73965</v>
      </c>
      <c r="AQ1839" s="1058">
        <v>73964</v>
      </c>
      <c r="AR1839" s="1044"/>
      <c r="AS1839" s="1044"/>
    </row>
    <row r="1840" spans="3:45" hidden="1" outlineLevel="1">
      <c r="C1840" s="816" t="s">
        <v>16</v>
      </c>
      <c r="D1840" s="9"/>
      <c r="E1840" s="20" t="s">
        <v>524</v>
      </c>
      <c r="F1840" s="20"/>
      <c r="G1840" s="20"/>
      <c r="H1840" s="20"/>
      <c r="I1840" s="20"/>
      <c r="J1840" s="20"/>
      <c r="K1840" s="20"/>
      <c r="L1840" s="20"/>
      <c r="M1840" s="20"/>
      <c r="N1840" s="20"/>
      <c r="O1840" s="20"/>
      <c r="P1840" s="20"/>
      <c r="Q1840" s="20"/>
      <c r="R1840" s="20"/>
      <c r="S1840" s="20"/>
      <c r="T1840" s="20"/>
      <c r="U1840" s="20"/>
      <c r="V1840" s="20"/>
      <c r="W1840" s="20"/>
      <c r="X1840" s="20"/>
      <c r="Y1840" s="20"/>
      <c r="Z1840" s="20"/>
      <c r="AA1840" s="20"/>
      <c r="AB1840" s="12"/>
      <c r="AC1840" s="12"/>
      <c r="AD1840" s="12"/>
      <c r="AE1840" s="12"/>
      <c r="AF1840" s="12">
        <v>12500000</v>
      </c>
      <c r="AG1840" s="12">
        <v>12500000</v>
      </c>
      <c r="AH1840" s="12">
        <v>9375000</v>
      </c>
      <c r="AI1840" s="12">
        <v>9375000</v>
      </c>
      <c r="AJ1840" s="21">
        <v>10634766</v>
      </c>
      <c r="AK1840" s="21">
        <v>10634766</v>
      </c>
      <c r="AL1840" s="1224">
        <v>12500000</v>
      </c>
      <c r="AM1840" s="1224">
        <v>12500000</v>
      </c>
      <c r="AN1840" s="1058">
        <v>12500000</v>
      </c>
      <c r="AO1840" s="1058">
        <v>12500000</v>
      </c>
      <c r="AP1840" s="1058">
        <v>12500000</v>
      </c>
      <c r="AQ1840" s="1058">
        <v>12500000</v>
      </c>
      <c r="AR1840" s="1044"/>
      <c r="AS1840" s="1044"/>
    </row>
    <row r="1841" spans="2:45" hidden="1" outlineLevel="1">
      <c r="C1841" s="816" t="s">
        <v>16</v>
      </c>
      <c r="D1841" s="223" t="s">
        <v>1200</v>
      </c>
      <c r="E1841" s="25" t="s">
        <v>526</v>
      </c>
      <c r="F1841" s="6"/>
      <c r="G1841" s="6"/>
      <c r="H1841" s="6"/>
      <c r="I1841" s="6"/>
      <c r="J1841" s="6"/>
      <c r="K1841" s="6"/>
      <c r="L1841" s="6"/>
      <c r="M1841" s="6"/>
      <c r="N1841" s="6"/>
      <c r="O1841" s="6"/>
      <c r="P1841" s="6"/>
      <c r="Q1841" s="6"/>
      <c r="R1841" s="6"/>
      <c r="S1841" s="6"/>
      <c r="T1841" s="6"/>
      <c r="U1841" s="6"/>
      <c r="V1841" s="6"/>
      <c r="W1841" s="6"/>
      <c r="X1841" s="6"/>
      <c r="Y1841" s="6"/>
      <c r="Z1841" s="6"/>
      <c r="AA1841" s="6"/>
      <c r="AB1841" s="7">
        <v>8872861</v>
      </c>
      <c r="AC1841" s="7">
        <v>8880564</v>
      </c>
      <c r="AD1841" s="7">
        <v>8873028</v>
      </c>
      <c r="AE1841" s="7">
        <v>8880398</v>
      </c>
      <c r="AF1841" s="7">
        <f t="shared" ref="AF1841:AQ1841" si="354">SUM(AF1831:AF1840)</f>
        <v>21805164</v>
      </c>
      <c r="AG1841" s="7">
        <f t="shared" si="354"/>
        <v>21805164</v>
      </c>
      <c r="AH1841" s="7">
        <f t="shared" si="354"/>
        <v>16355387</v>
      </c>
      <c r="AI1841" s="7">
        <f t="shared" si="354"/>
        <v>16355387</v>
      </c>
      <c r="AJ1841" s="7">
        <f t="shared" si="354"/>
        <v>18115153</v>
      </c>
      <c r="AK1841" s="7">
        <f t="shared" si="354"/>
        <v>18115153</v>
      </c>
      <c r="AL1841" s="60">
        <f t="shared" si="354"/>
        <v>19983923</v>
      </c>
      <c r="AM1841" s="60">
        <f t="shared" si="354"/>
        <v>19983923</v>
      </c>
      <c r="AN1841" s="1074">
        <f t="shared" si="354"/>
        <v>17152558</v>
      </c>
      <c r="AO1841" s="1074">
        <f t="shared" si="354"/>
        <v>17151553</v>
      </c>
      <c r="AP1841" s="1074">
        <f t="shared" si="354"/>
        <v>19986453</v>
      </c>
      <c r="AQ1841" s="1074">
        <f t="shared" si="354"/>
        <v>19986448</v>
      </c>
      <c r="AR1841" s="1044"/>
      <c r="AS1841" s="1044"/>
    </row>
    <row r="1842" spans="2:45" hidden="1" outlineLevel="1">
      <c r="C1842" s="816" t="s">
        <v>16</v>
      </c>
      <c r="D1842" s="9"/>
      <c r="E1842" s="20" t="s">
        <v>527</v>
      </c>
      <c r="F1842" s="20"/>
      <c r="G1842" s="20"/>
      <c r="H1842" s="20"/>
      <c r="I1842" s="20"/>
      <c r="J1842" s="20"/>
      <c r="K1842" s="20"/>
      <c r="L1842" s="20"/>
      <c r="M1842" s="20"/>
      <c r="N1842" s="20"/>
      <c r="O1842" s="20"/>
      <c r="P1842" s="20"/>
      <c r="Q1842" s="20"/>
      <c r="R1842" s="20"/>
      <c r="S1842" s="20"/>
      <c r="T1842" s="20"/>
      <c r="U1842" s="20"/>
      <c r="V1842" s="20"/>
      <c r="W1842" s="20"/>
      <c r="X1842" s="20"/>
      <c r="Y1842" s="20"/>
      <c r="Z1842" s="20"/>
      <c r="AA1842" s="20"/>
      <c r="AB1842" s="12">
        <v>592399</v>
      </c>
      <c r="AC1842" s="12">
        <v>592398</v>
      </c>
      <c r="AD1842" s="12">
        <v>699132</v>
      </c>
      <c r="AE1842" s="12">
        <v>699132</v>
      </c>
      <c r="AF1842" s="12">
        <v>749132</v>
      </c>
      <c r="AG1842" s="12">
        <v>749132</v>
      </c>
      <c r="AH1842" s="12">
        <v>533756</v>
      </c>
      <c r="AI1842" s="12">
        <v>533756</v>
      </c>
      <c r="AJ1842" s="12">
        <v>533756</v>
      </c>
      <c r="AK1842" s="12">
        <v>533756</v>
      </c>
      <c r="AL1842" s="12">
        <v>533756</v>
      </c>
      <c r="AM1842" s="12">
        <v>533756</v>
      </c>
      <c r="AN1842" s="1070">
        <v>353048</v>
      </c>
      <c r="AO1842" s="1070">
        <v>353048</v>
      </c>
      <c r="AP1842" s="1070">
        <v>353048</v>
      </c>
      <c r="AQ1842" s="1070">
        <v>353048</v>
      </c>
      <c r="AR1842" s="1044"/>
      <c r="AS1842" s="1044"/>
    </row>
    <row r="1843" spans="2:45" s="1004" customFormat="1" hidden="1" outlineLevel="1">
      <c r="B1843" s="1005"/>
      <c r="C1843" s="1013" t="s">
        <v>16</v>
      </c>
      <c r="D1843" s="1007"/>
      <c r="E1843" s="1017" t="s">
        <v>1879</v>
      </c>
      <c r="F1843" s="1009"/>
      <c r="G1843" s="1009"/>
      <c r="H1843" s="1009"/>
      <c r="I1843" s="1009"/>
      <c r="J1843" s="1009"/>
      <c r="K1843" s="1009"/>
      <c r="L1843" s="1009"/>
      <c r="M1843" s="1009"/>
      <c r="N1843" s="1009"/>
      <c r="O1843" s="1009"/>
      <c r="P1843" s="1009"/>
      <c r="Q1843" s="1009"/>
      <c r="R1843" s="1009"/>
      <c r="S1843" s="1009"/>
      <c r="T1843" s="1009"/>
      <c r="U1843" s="1009"/>
      <c r="V1843" s="1009"/>
      <c r="W1843" s="1009"/>
      <c r="X1843" s="1009"/>
      <c r="Y1843" s="1009"/>
      <c r="Z1843" s="1009"/>
      <c r="AA1843" s="1009"/>
      <c r="AB1843" s="1008"/>
      <c r="AC1843" s="1008"/>
      <c r="AD1843" s="1008"/>
      <c r="AE1843" s="1008"/>
      <c r="AF1843" s="1008"/>
      <c r="AG1843" s="1008"/>
      <c r="AH1843" s="1008"/>
      <c r="AI1843" s="1008"/>
      <c r="AJ1843" s="1008"/>
      <c r="AK1843" s="1008"/>
      <c r="AL1843" s="1008"/>
      <c r="AM1843" s="1008"/>
      <c r="AN1843" s="1070">
        <v>543803</v>
      </c>
      <c r="AO1843" s="1070">
        <v>3626465</v>
      </c>
      <c r="AP1843" s="1070">
        <v>7500000</v>
      </c>
      <c r="AQ1843" s="1070">
        <v>9850000</v>
      </c>
      <c r="AR1843" s="1044"/>
      <c r="AS1843" s="1044"/>
    </row>
    <row r="1844" spans="2:45" hidden="1" outlineLevel="1">
      <c r="C1844" s="816" t="s">
        <v>16</v>
      </c>
      <c r="D1844" s="223" t="s">
        <v>1254</v>
      </c>
      <c r="E1844" s="278" t="s">
        <v>528</v>
      </c>
      <c r="F1844" s="20"/>
      <c r="G1844" s="20"/>
      <c r="H1844" s="20"/>
      <c r="I1844" s="20"/>
      <c r="J1844" s="20"/>
      <c r="K1844" s="20"/>
      <c r="L1844" s="20"/>
      <c r="M1844" s="20"/>
      <c r="N1844" s="20"/>
      <c r="O1844" s="20"/>
      <c r="P1844" s="20"/>
      <c r="Q1844" s="20"/>
      <c r="R1844" s="20"/>
      <c r="S1844" s="20"/>
      <c r="T1844" s="20"/>
      <c r="U1844" s="20"/>
      <c r="V1844" s="20"/>
      <c r="W1844" s="20"/>
      <c r="X1844" s="20"/>
      <c r="Y1844" s="20"/>
      <c r="Z1844" s="20"/>
      <c r="AA1844" s="20"/>
      <c r="AB1844" s="12">
        <v>1803958</v>
      </c>
      <c r="AC1844" s="12">
        <v>1803959</v>
      </c>
      <c r="AD1844" s="12">
        <v>2283884</v>
      </c>
      <c r="AE1844" s="12">
        <v>2283884</v>
      </c>
      <c r="AF1844" s="12">
        <v>2283884</v>
      </c>
      <c r="AG1844" s="12">
        <v>2283884</v>
      </c>
      <c r="AH1844" s="12">
        <v>1627268</v>
      </c>
      <c r="AI1844" s="12">
        <v>1627268</v>
      </c>
      <c r="AJ1844" s="12">
        <v>1627268</v>
      </c>
      <c r="AK1844" s="12">
        <v>1627268</v>
      </c>
      <c r="AL1844" s="12">
        <v>1627268</v>
      </c>
      <c r="AM1844" s="12">
        <v>1627268</v>
      </c>
      <c r="AN1844" s="1070">
        <v>1317767</v>
      </c>
      <c r="AO1844" s="1070">
        <v>1317767</v>
      </c>
      <c r="AP1844" s="1070">
        <v>1317767</v>
      </c>
      <c r="AQ1844" s="1070">
        <v>1317767</v>
      </c>
      <c r="AR1844" s="1044"/>
      <c r="AS1844" s="1044"/>
    </row>
    <row r="1845" spans="2:45" hidden="1" outlineLevel="1">
      <c r="C1845" s="816" t="s">
        <v>16</v>
      </c>
      <c r="D1845" s="223" t="s">
        <v>1254</v>
      </c>
      <c r="E1845" s="278" t="s">
        <v>529</v>
      </c>
      <c r="F1845" s="20"/>
      <c r="G1845" s="20"/>
      <c r="H1845" s="20"/>
      <c r="I1845" s="20"/>
      <c r="J1845" s="20"/>
      <c r="K1845" s="20"/>
      <c r="L1845" s="20"/>
      <c r="M1845" s="20"/>
      <c r="N1845" s="20"/>
      <c r="O1845" s="20"/>
      <c r="P1845" s="20"/>
      <c r="Q1845" s="20"/>
      <c r="R1845" s="20"/>
      <c r="S1845" s="20"/>
      <c r="T1845" s="20"/>
      <c r="U1845" s="20"/>
      <c r="V1845" s="20"/>
      <c r="W1845" s="20"/>
      <c r="X1845" s="20"/>
      <c r="Y1845" s="20"/>
      <c r="Z1845" s="20"/>
      <c r="AA1845" s="20"/>
      <c r="AB1845" s="12">
        <v>764422</v>
      </c>
      <c r="AC1845" s="12">
        <v>764422</v>
      </c>
      <c r="AD1845" s="12">
        <v>967789</v>
      </c>
      <c r="AE1845" s="12">
        <v>967789</v>
      </c>
      <c r="AF1845" s="12">
        <v>967789</v>
      </c>
      <c r="AG1845" s="12">
        <v>967789</v>
      </c>
      <c r="AH1845" s="12">
        <v>689550</v>
      </c>
      <c r="AI1845" s="12">
        <v>689550</v>
      </c>
      <c r="AJ1845" s="12">
        <v>689550</v>
      </c>
      <c r="AK1845" s="12">
        <v>689550</v>
      </c>
      <c r="AL1845" s="12">
        <v>689550</v>
      </c>
      <c r="AM1845" s="12">
        <v>689550</v>
      </c>
      <c r="AN1845" s="1070">
        <v>456096</v>
      </c>
      <c r="AO1845" s="1070">
        <v>146096</v>
      </c>
      <c r="AP1845" s="1070">
        <v>456096</v>
      </c>
      <c r="AQ1845" s="1070">
        <v>456096</v>
      </c>
      <c r="AR1845" s="1044"/>
      <c r="AS1845" s="1044"/>
    </row>
    <row r="1846" spans="2:45" hidden="1" outlineLevel="1">
      <c r="C1846" s="816" t="s">
        <v>16</v>
      </c>
      <c r="D1846" s="223" t="s">
        <v>1254</v>
      </c>
      <c r="E1846" s="278" t="s">
        <v>530</v>
      </c>
      <c r="F1846" s="20"/>
      <c r="G1846" s="20"/>
      <c r="H1846" s="20"/>
      <c r="I1846" s="20"/>
      <c r="J1846" s="20"/>
      <c r="K1846" s="20"/>
      <c r="L1846" s="20"/>
      <c r="M1846" s="20"/>
      <c r="N1846" s="20"/>
      <c r="O1846" s="20"/>
      <c r="P1846" s="20"/>
      <c r="Q1846" s="20"/>
      <c r="R1846" s="20"/>
      <c r="S1846" s="20"/>
      <c r="T1846" s="20"/>
      <c r="U1846" s="20"/>
      <c r="V1846" s="20"/>
      <c r="W1846" s="20"/>
      <c r="X1846" s="20"/>
      <c r="Y1846" s="20"/>
      <c r="Z1846" s="20"/>
      <c r="AA1846" s="20"/>
      <c r="AB1846" s="12">
        <v>495597</v>
      </c>
      <c r="AC1846" s="12">
        <v>495596</v>
      </c>
      <c r="AD1846" s="12">
        <v>333305</v>
      </c>
      <c r="AE1846" s="12">
        <v>333305</v>
      </c>
      <c r="AF1846" s="12">
        <v>333305</v>
      </c>
      <c r="AG1846" s="12">
        <v>333305</v>
      </c>
      <c r="AH1846" s="12">
        <v>237480</v>
      </c>
      <c r="AI1846" s="12">
        <v>237480</v>
      </c>
      <c r="AJ1846" s="12">
        <v>237480</v>
      </c>
      <c r="AK1846" s="12">
        <v>237480</v>
      </c>
      <c r="AL1846" s="12">
        <v>237480</v>
      </c>
      <c r="AM1846" s="12">
        <v>237480</v>
      </c>
      <c r="AN1846" s="1070">
        <v>256296</v>
      </c>
      <c r="AO1846" s="1070">
        <v>256295</v>
      </c>
      <c r="AP1846" s="1070">
        <v>256296</v>
      </c>
      <c r="AQ1846" s="1070">
        <v>256295</v>
      </c>
      <c r="AR1846" s="1044"/>
      <c r="AS1846" s="1044"/>
    </row>
    <row r="1847" spans="2:45" s="1044" customFormat="1" hidden="1" outlineLevel="1">
      <c r="B1847" s="1045"/>
      <c r="C1847" s="1053" t="s">
        <v>16</v>
      </c>
      <c r="D1847" s="1051" t="s">
        <v>1254</v>
      </c>
      <c r="E1847" s="1054" t="s">
        <v>2172</v>
      </c>
      <c r="F1847" s="1047"/>
      <c r="G1847" s="1047"/>
      <c r="H1847" s="1047"/>
      <c r="I1847" s="1047"/>
      <c r="J1847" s="1047"/>
      <c r="K1847" s="1047"/>
      <c r="L1847" s="1047"/>
      <c r="M1847" s="1047"/>
      <c r="N1847" s="1047"/>
      <c r="O1847" s="1047"/>
      <c r="P1847" s="1047"/>
      <c r="Q1847" s="1047"/>
      <c r="R1847" s="1047"/>
      <c r="S1847" s="1047"/>
      <c r="T1847" s="1047"/>
      <c r="U1847" s="1047"/>
      <c r="V1847" s="1047"/>
      <c r="W1847" s="1047"/>
      <c r="X1847" s="1047"/>
      <c r="Y1847" s="1047"/>
      <c r="Z1847" s="1047"/>
      <c r="AA1847" s="1047"/>
      <c r="AB1847" s="1070"/>
      <c r="AC1847" s="1070"/>
      <c r="AD1847" s="1070"/>
      <c r="AE1847" s="1070"/>
      <c r="AF1847" s="1070"/>
      <c r="AG1847" s="1070"/>
      <c r="AH1847" s="1070"/>
      <c r="AI1847" s="1070"/>
      <c r="AJ1847" s="1070"/>
      <c r="AK1847" s="1070"/>
      <c r="AL1847" s="1220">
        <v>150000</v>
      </c>
      <c r="AM1847" s="1220">
        <v>150000</v>
      </c>
      <c r="AN1847" s="1070"/>
      <c r="AO1847" s="1070"/>
      <c r="AP1847" s="1070"/>
      <c r="AQ1847" s="1070"/>
    </row>
    <row r="1848" spans="2:45" s="1044" customFormat="1" hidden="1" outlineLevel="1">
      <c r="B1848" s="1045"/>
      <c r="C1848" s="1053" t="s">
        <v>16</v>
      </c>
      <c r="D1848" s="1051"/>
      <c r="E1848" s="1054" t="s">
        <v>2173</v>
      </c>
      <c r="F1848" s="1047"/>
      <c r="G1848" s="1047"/>
      <c r="H1848" s="1047"/>
      <c r="I1848" s="1047"/>
      <c r="J1848" s="1047"/>
      <c r="K1848" s="1047"/>
      <c r="L1848" s="1047"/>
      <c r="M1848" s="1047"/>
      <c r="N1848" s="1047"/>
      <c r="O1848" s="1047"/>
      <c r="P1848" s="1047"/>
      <c r="Q1848" s="1047"/>
      <c r="R1848" s="1047"/>
      <c r="S1848" s="1047"/>
      <c r="T1848" s="1047"/>
      <c r="U1848" s="1047"/>
      <c r="V1848" s="1047"/>
      <c r="W1848" s="1047"/>
      <c r="X1848" s="1047"/>
      <c r="Y1848" s="1047"/>
      <c r="Z1848" s="1047"/>
      <c r="AA1848" s="1047"/>
      <c r="AB1848" s="1070"/>
      <c r="AC1848" s="1070"/>
      <c r="AD1848" s="1070"/>
      <c r="AE1848" s="1070"/>
      <c r="AF1848" s="1070"/>
      <c r="AG1848" s="1070"/>
      <c r="AH1848" s="1070"/>
      <c r="AI1848" s="1070"/>
      <c r="AJ1848" s="1070"/>
      <c r="AK1848" s="1070"/>
      <c r="AL1848" s="1220">
        <v>365000</v>
      </c>
      <c r="AM1848" s="1220">
        <v>365000</v>
      </c>
      <c r="AN1848" s="1070"/>
      <c r="AO1848" s="1070"/>
      <c r="AP1848" s="1070"/>
      <c r="AQ1848" s="1070"/>
    </row>
    <row r="1849" spans="2:45" hidden="1" outlineLevel="1">
      <c r="C1849" s="816" t="s">
        <v>16</v>
      </c>
      <c r="D1849" s="9"/>
      <c r="E1849" s="20" t="s">
        <v>531</v>
      </c>
      <c r="F1849" s="20"/>
      <c r="G1849" s="20"/>
      <c r="H1849" s="20"/>
      <c r="I1849" s="20"/>
      <c r="J1849" s="20"/>
      <c r="K1849" s="20"/>
      <c r="L1849" s="20"/>
      <c r="M1849" s="20"/>
      <c r="N1849" s="20"/>
      <c r="O1849" s="20"/>
      <c r="P1849" s="20"/>
      <c r="Q1849" s="20"/>
      <c r="R1849" s="20"/>
      <c r="S1849" s="20"/>
      <c r="T1849" s="20"/>
      <c r="U1849" s="20"/>
      <c r="V1849" s="20"/>
      <c r="W1849" s="20"/>
      <c r="X1849" s="20"/>
      <c r="Y1849" s="20"/>
      <c r="Z1849" s="20"/>
      <c r="AA1849" s="20"/>
      <c r="AB1849" s="12">
        <v>286398</v>
      </c>
      <c r="AC1849" s="12">
        <v>286399</v>
      </c>
      <c r="AD1849" s="12">
        <v>362592</v>
      </c>
      <c r="AE1849" s="12">
        <v>362592</v>
      </c>
      <c r="AF1849" s="12">
        <v>362592</v>
      </c>
      <c r="AG1849" s="12">
        <v>362592</v>
      </c>
      <c r="AH1849" s="12">
        <v>258346</v>
      </c>
      <c r="AI1849" s="12">
        <v>258346</v>
      </c>
      <c r="AJ1849" s="12">
        <v>258346</v>
      </c>
      <c r="AK1849" s="12">
        <v>258346</v>
      </c>
      <c r="AL1849" s="12">
        <v>258346</v>
      </c>
      <c r="AM1849" s="12">
        <v>258346</v>
      </c>
      <c r="AN1849" s="1070">
        <v>117806</v>
      </c>
      <c r="AO1849" s="1070">
        <v>117806</v>
      </c>
      <c r="AP1849" s="1070">
        <v>106025</v>
      </c>
      <c r="AQ1849" s="1070">
        <v>106025</v>
      </c>
      <c r="AR1849" s="1044"/>
      <c r="AS1849" s="1044"/>
    </row>
    <row r="1850" spans="2:45" hidden="1" outlineLevel="1">
      <c r="C1850" s="816" t="s">
        <v>16</v>
      </c>
      <c r="D1850" s="9"/>
      <c r="E1850" s="20" t="s">
        <v>532</v>
      </c>
      <c r="F1850" s="20"/>
      <c r="G1850" s="20"/>
      <c r="H1850" s="20"/>
      <c r="I1850" s="20"/>
      <c r="J1850" s="20"/>
      <c r="K1850" s="20"/>
      <c r="L1850" s="20"/>
      <c r="M1850" s="20"/>
      <c r="N1850" s="20"/>
      <c r="O1850" s="20"/>
      <c r="P1850" s="20"/>
      <c r="Q1850" s="20"/>
      <c r="R1850" s="20"/>
      <c r="S1850" s="20"/>
      <c r="T1850" s="20"/>
      <c r="U1850" s="20"/>
      <c r="V1850" s="20"/>
      <c r="W1850" s="20"/>
      <c r="X1850" s="20"/>
      <c r="Y1850" s="20"/>
      <c r="Z1850" s="20"/>
      <c r="AA1850" s="20"/>
      <c r="AB1850" s="12">
        <v>637500</v>
      </c>
      <c r="AC1850" s="12">
        <v>637500</v>
      </c>
      <c r="AD1850" s="12">
        <v>637500</v>
      </c>
      <c r="AE1850" s="12">
        <v>637500</v>
      </c>
      <c r="AF1850" s="12">
        <v>637500</v>
      </c>
      <c r="AG1850" s="12">
        <v>637500</v>
      </c>
      <c r="AH1850" s="12">
        <v>454219</v>
      </c>
      <c r="AI1850" s="12">
        <v>454219</v>
      </c>
      <c r="AJ1850" s="12">
        <v>454219</v>
      </c>
      <c r="AK1850" s="12">
        <v>454219</v>
      </c>
      <c r="AL1850" s="12">
        <v>454219</v>
      </c>
      <c r="AM1850" s="12">
        <v>454219</v>
      </c>
      <c r="AN1850" s="1070">
        <v>207124</v>
      </c>
      <c r="AO1850" s="1070">
        <v>207124</v>
      </c>
      <c r="AP1850" s="1070">
        <v>186412</v>
      </c>
      <c r="AQ1850" s="1070">
        <v>186412</v>
      </c>
      <c r="AR1850" s="1044"/>
      <c r="AS1850" s="1044"/>
    </row>
    <row r="1851" spans="2:45" hidden="1" outlineLevel="1">
      <c r="C1851" s="816" t="s">
        <v>16</v>
      </c>
      <c r="D1851" s="9"/>
      <c r="E1851" s="20" t="s">
        <v>533</v>
      </c>
      <c r="F1851" s="20"/>
      <c r="G1851" s="20"/>
      <c r="H1851" s="20"/>
      <c r="I1851" s="20"/>
      <c r="J1851" s="20"/>
      <c r="K1851" s="20"/>
      <c r="L1851" s="20"/>
      <c r="M1851" s="20"/>
      <c r="N1851" s="20"/>
      <c r="O1851" s="20"/>
      <c r="P1851" s="20"/>
      <c r="Q1851" s="20"/>
      <c r="R1851" s="20"/>
      <c r="S1851" s="20"/>
      <c r="T1851" s="20"/>
      <c r="U1851" s="20"/>
      <c r="V1851" s="20"/>
      <c r="W1851" s="20"/>
      <c r="X1851" s="20"/>
      <c r="Y1851" s="20"/>
      <c r="Z1851" s="20"/>
      <c r="AA1851" s="20"/>
      <c r="AB1851" s="12">
        <v>1077293</v>
      </c>
      <c r="AC1851" s="12">
        <v>1077293</v>
      </c>
      <c r="AD1851" s="12">
        <v>1116096</v>
      </c>
      <c r="AE1851" s="12">
        <v>1116096</v>
      </c>
      <c r="AF1851" s="12">
        <v>1227706</v>
      </c>
      <c r="AG1851" s="12">
        <v>1227706</v>
      </c>
      <c r="AH1851" s="12">
        <v>1227706</v>
      </c>
      <c r="AI1851" s="12">
        <v>1227706</v>
      </c>
      <c r="AJ1851" s="21">
        <v>1350477</v>
      </c>
      <c r="AK1851" s="21">
        <v>1350477</v>
      </c>
      <c r="AL1851" s="21">
        <v>1350477</v>
      </c>
      <c r="AM1851" s="21">
        <v>1350477</v>
      </c>
      <c r="AN1851" s="1058">
        <v>881507</v>
      </c>
      <c r="AO1851" s="1058">
        <v>881507</v>
      </c>
      <c r="AP1851" s="1058">
        <v>881507</v>
      </c>
      <c r="AQ1851" s="1058">
        <v>881507</v>
      </c>
      <c r="AR1851" s="1044"/>
      <c r="AS1851" s="1044"/>
    </row>
    <row r="1852" spans="2:45" hidden="1" outlineLevel="1">
      <c r="C1852" s="816" t="s">
        <v>16</v>
      </c>
      <c r="D1852" s="9"/>
      <c r="E1852" s="20" t="s">
        <v>534</v>
      </c>
      <c r="F1852" s="20"/>
      <c r="G1852" s="20"/>
      <c r="H1852" s="20"/>
      <c r="I1852" s="20"/>
      <c r="J1852" s="20"/>
      <c r="K1852" s="20"/>
      <c r="L1852" s="20"/>
      <c r="M1852" s="20"/>
      <c r="N1852" s="20"/>
      <c r="O1852" s="20"/>
      <c r="P1852" s="20"/>
      <c r="Q1852" s="20"/>
      <c r="R1852" s="20"/>
      <c r="S1852" s="20"/>
      <c r="T1852" s="20"/>
      <c r="U1852" s="20"/>
      <c r="V1852" s="20"/>
      <c r="W1852" s="20"/>
      <c r="X1852" s="20"/>
      <c r="Y1852" s="20"/>
      <c r="Z1852" s="20"/>
      <c r="AA1852" s="20"/>
      <c r="AB1852" s="12">
        <v>1530469</v>
      </c>
      <c r="AC1852" s="12">
        <v>1530469</v>
      </c>
      <c r="AD1852" s="12">
        <v>2087634</v>
      </c>
      <c r="AE1852" s="12">
        <v>2087634</v>
      </c>
      <c r="AF1852" s="12">
        <v>2137634</v>
      </c>
      <c r="AG1852" s="12">
        <v>2137634</v>
      </c>
      <c r="AH1852" s="12">
        <v>1523064</v>
      </c>
      <c r="AI1852" s="12">
        <v>1523064</v>
      </c>
      <c r="AJ1852" s="21">
        <v>1523064</v>
      </c>
      <c r="AK1852" s="21">
        <v>1523064</v>
      </c>
      <c r="AL1852" s="21">
        <v>1523064</v>
      </c>
      <c r="AM1852" s="21">
        <v>1523064</v>
      </c>
      <c r="AN1852" s="1058">
        <v>1007417</v>
      </c>
      <c r="AO1852" s="1058">
        <v>1007416</v>
      </c>
      <c r="AP1852" s="1058">
        <v>1007417</v>
      </c>
      <c r="AQ1852" s="1058">
        <v>1007416</v>
      </c>
      <c r="AR1852" s="1044"/>
      <c r="AS1852" s="1044"/>
    </row>
    <row r="1853" spans="2:45" hidden="1" outlineLevel="1">
      <c r="C1853" s="816" t="s">
        <v>16</v>
      </c>
      <c r="D1853" s="9"/>
      <c r="E1853" s="20" t="s">
        <v>535</v>
      </c>
      <c r="F1853" s="20"/>
      <c r="G1853" s="20"/>
      <c r="H1853" s="20"/>
      <c r="I1853" s="20"/>
      <c r="J1853" s="20"/>
      <c r="K1853" s="20"/>
      <c r="L1853" s="20"/>
      <c r="M1853" s="20"/>
      <c r="N1853" s="20"/>
      <c r="O1853" s="20"/>
      <c r="P1853" s="20"/>
      <c r="Q1853" s="20"/>
      <c r="R1853" s="20"/>
      <c r="S1853" s="20"/>
      <c r="T1853" s="20"/>
      <c r="U1853" s="20"/>
      <c r="V1853" s="20"/>
      <c r="W1853" s="20"/>
      <c r="X1853" s="20"/>
      <c r="Y1853" s="20"/>
      <c r="Z1853" s="20"/>
      <c r="AA1853" s="20"/>
      <c r="AB1853" s="12">
        <v>189567</v>
      </c>
      <c r="AC1853" s="12">
        <v>189568</v>
      </c>
      <c r="AD1853" s="12">
        <v>240001</v>
      </c>
      <c r="AE1853" s="12">
        <v>240001</v>
      </c>
      <c r="AF1853" s="12">
        <v>240001</v>
      </c>
      <c r="AG1853" s="12">
        <v>240001</v>
      </c>
      <c r="AH1853" s="12">
        <v>171000</v>
      </c>
      <c r="AI1853" s="12">
        <v>171000</v>
      </c>
      <c r="AJ1853" s="12">
        <v>171000</v>
      </c>
      <c r="AK1853" s="12">
        <v>171000</v>
      </c>
      <c r="AL1853" s="12">
        <v>171000</v>
      </c>
      <c r="AM1853" s="12">
        <v>171000</v>
      </c>
      <c r="AN1853" s="1070">
        <v>113107</v>
      </c>
      <c r="AO1853" s="1070">
        <v>113106</v>
      </c>
      <c r="AP1853" s="1070">
        <v>113107</v>
      </c>
      <c r="AQ1853" s="1070">
        <v>113106</v>
      </c>
      <c r="AR1853" s="1044"/>
      <c r="AS1853" s="1044"/>
    </row>
    <row r="1854" spans="2:45" hidden="1" outlineLevel="1">
      <c r="C1854" s="816" t="s">
        <v>16</v>
      </c>
      <c r="D1854" s="223" t="s">
        <v>1354</v>
      </c>
      <c r="E1854" s="20" t="s">
        <v>536</v>
      </c>
      <c r="F1854" s="20"/>
      <c r="G1854" s="20"/>
      <c r="H1854" s="20"/>
      <c r="I1854" s="20"/>
      <c r="J1854" s="20"/>
      <c r="K1854" s="20"/>
      <c r="L1854" s="20"/>
      <c r="M1854" s="20"/>
      <c r="N1854" s="20"/>
      <c r="O1854" s="20"/>
      <c r="P1854" s="20"/>
      <c r="Q1854" s="20"/>
      <c r="R1854" s="20"/>
      <c r="S1854" s="20"/>
      <c r="T1854" s="20"/>
      <c r="U1854" s="20"/>
      <c r="V1854" s="20"/>
      <c r="W1854" s="20"/>
      <c r="X1854" s="20"/>
      <c r="Y1854" s="20"/>
      <c r="Z1854" s="20"/>
      <c r="AA1854" s="20"/>
      <c r="AB1854" s="12">
        <v>7912372</v>
      </c>
      <c r="AC1854" s="12">
        <v>7851550</v>
      </c>
      <c r="AD1854" s="12">
        <v>10990530</v>
      </c>
      <c r="AE1854" s="12">
        <v>5790530</v>
      </c>
      <c r="AF1854" s="12">
        <v>10105770</v>
      </c>
      <c r="AG1854" s="12">
        <v>10105770</v>
      </c>
      <c r="AH1854" s="12">
        <v>7150360</v>
      </c>
      <c r="AI1854" s="12">
        <v>7150360</v>
      </c>
      <c r="AJ1854" s="21">
        <v>7086718</v>
      </c>
      <c r="AK1854" s="21">
        <v>7086718</v>
      </c>
      <c r="AL1854" s="21">
        <v>7157890</v>
      </c>
      <c r="AM1854" s="21">
        <v>7157890</v>
      </c>
      <c r="AN1854" s="1058">
        <v>4998476</v>
      </c>
      <c r="AO1854" s="1058">
        <v>4998475</v>
      </c>
      <c r="AP1854" s="1058">
        <v>4982351</v>
      </c>
      <c r="AQ1854" s="1058">
        <v>4982350</v>
      </c>
      <c r="AR1854" s="1044"/>
      <c r="AS1854" s="1044"/>
    </row>
    <row r="1855" spans="2:45" hidden="1" outlineLevel="1">
      <c r="C1855" s="816" t="s">
        <v>16</v>
      </c>
      <c r="D1855" s="223"/>
      <c r="E1855" s="224" t="s">
        <v>1486</v>
      </c>
      <c r="F1855" s="20"/>
      <c r="G1855" s="20"/>
      <c r="H1855" s="20"/>
      <c r="I1855" s="20"/>
      <c r="J1855" s="20"/>
      <c r="K1855" s="20"/>
      <c r="L1855" s="20"/>
      <c r="M1855" s="20"/>
      <c r="N1855" s="20"/>
      <c r="O1855" s="20"/>
      <c r="P1855" s="20"/>
      <c r="Q1855" s="20"/>
      <c r="R1855" s="20"/>
      <c r="S1855" s="20"/>
      <c r="T1855" s="20"/>
      <c r="U1855" s="20"/>
      <c r="V1855" s="20"/>
      <c r="W1855" s="20"/>
      <c r="X1855" s="20"/>
      <c r="Y1855" s="20"/>
      <c r="Z1855" s="20"/>
      <c r="AA1855" s="20"/>
      <c r="AB1855" s="12">
        <v>2500000</v>
      </c>
      <c r="AC1855" s="12">
        <v>2500000</v>
      </c>
      <c r="AD1855" s="12"/>
      <c r="AE1855" s="12"/>
      <c r="AF1855" s="12"/>
      <c r="AG1855" s="12"/>
      <c r="AH1855" s="12"/>
      <c r="AI1855" s="12"/>
      <c r="AJ1855" s="21"/>
      <c r="AK1855" s="21"/>
      <c r="AL1855" s="21"/>
      <c r="AM1855" s="21"/>
      <c r="AN1855" s="1058"/>
      <c r="AO1855" s="1058"/>
      <c r="AP1855" s="1058"/>
      <c r="AQ1855" s="1058"/>
      <c r="AR1855" s="1044"/>
      <c r="AS1855" s="1044"/>
    </row>
    <row r="1856" spans="2:45" hidden="1" outlineLevel="1">
      <c r="C1856" s="816" t="s">
        <v>16</v>
      </c>
      <c r="D1856" s="223" t="s">
        <v>1200</v>
      </c>
      <c r="E1856" s="25" t="s">
        <v>538</v>
      </c>
      <c r="F1856" s="6"/>
      <c r="G1856" s="6"/>
      <c r="H1856" s="6"/>
      <c r="I1856" s="6"/>
      <c r="J1856" s="6"/>
      <c r="K1856" s="6"/>
      <c r="L1856" s="6"/>
      <c r="M1856" s="6"/>
      <c r="N1856" s="6"/>
      <c r="O1856" s="6"/>
      <c r="P1856" s="6"/>
      <c r="Q1856" s="6"/>
      <c r="R1856" s="6"/>
      <c r="S1856" s="6"/>
      <c r="T1856" s="6"/>
      <c r="U1856" s="6"/>
      <c r="V1856" s="6"/>
      <c r="W1856" s="6"/>
      <c r="X1856" s="6"/>
      <c r="Y1856" s="6"/>
      <c r="Z1856" s="6"/>
      <c r="AA1856" s="6"/>
      <c r="AB1856" s="7">
        <v>17789975</v>
      </c>
      <c r="AC1856" s="7">
        <v>17729154</v>
      </c>
      <c r="AD1856" s="7">
        <v>22264342</v>
      </c>
      <c r="AE1856" s="7">
        <v>17064340</v>
      </c>
      <c r="AF1856" s="7">
        <f t="shared" ref="AF1856:AQ1856" si="355">SUM(AF1842:AF1855)</f>
        <v>19045313</v>
      </c>
      <c r="AG1856" s="7">
        <f t="shared" si="355"/>
        <v>19045313</v>
      </c>
      <c r="AH1856" s="7">
        <f t="shared" si="355"/>
        <v>13872749</v>
      </c>
      <c r="AI1856" s="7">
        <f t="shared" si="355"/>
        <v>13872749</v>
      </c>
      <c r="AJ1856" s="7">
        <f t="shared" si="355"/>
        <v>13931878</v>
      </c>
      <c r="AK1856" s="7">
        <f t="shared" si="355"/>
        <v>13931878</v>
      </c>
      <c r="AL1856" s="60">
        <f t="shared" si="355"/>
        <v>14518050</v>
      </c>
      <c r="AM1856" s="60">
        <f t="shared" si="355"/>
        <v>14518050</v>
      </c>
      <c r="AN1856" s="1074">
        <f t="shared" si="355"/>
        <v>10252447</v>
      </c>
      <c r="AO1856" s="1074">
        <f t="shared" si="355"/>
        <v>13025105</v>
      </c>
      <c r="AP1856" s="1074">
        <f t="shared" si="355"/>
        <v>17160026</v>
      </c>
      <c r="AQ1856" s="1074">
        <f t="shared" si="355"/>
        <v>19510022</v>
      </c>
      <c r="AR1856" s="1044"/>
      <c r="AS1856" s="1044"/>
    </row>
    <row r="1857" spans="3:45" hidden="1" outlineLevel="1">
      <c r="C1857" s="816" t="s">
        <v>16</v>
      </c>
      <c r="D1857" s="9"/>
      <c r="E1857" s="20" t="s">
        <v>1954</v>
      </c>
      <c r="F1857" s="20"/>
      <c r="G1857" s="20"/>
      <c r="H1857" s="20"/>
      <c r="I1857" s="20"/>
      <c r="J1857" s="20"/>
      <c r="K1857" s="20"/>
      <c r="L1857" s="20"/>
      <c r="M1857" s="20"/>
      <c r="N1857" s="20"/>
      <c r="O1857" s="20"/>
      <c r="P1857" s="20"/>
      <c r="Q1857" s="20"/>
      <c r="R1857" s="20"/>
      <c r="S1857" s="20"/>
      <c r="T1857" s="20"/>
      <c r="U1857" s="20"/>
      <c r="V1857" s="20"/>
      <c r="W1857" s="20"/>
      <c r="X1857" s="20"/>
      <c r="Y1857" s="20"/>
      <c r="Z1857" s="20"/>
      <c r="AA1857" s="20"/>
      <c r="AB1857" s="12">
        <v>46550</v>
      </c>
      <c r="AC1857" s="12">
        <v>46550</v>
      </c>
      <c r="AD1857" s="12">
        <v>46550</v>
      </c>
      <c r="AE1857" s="12">
        <v>46550</v>
      </c>
      <c r="AF1857" s="12">
        <v>46550</v>
      </c>
      <c r="AG1857" s="12">
        <v>46550</v>
      </c>
      <c r="AH1857" s="12">
        <v>34912</v>
      </c>
      <c r="AI1857" s="12">
        <v>34912</v>
      </c>
      <c r="AJ1857" s="12">
        <v>34912</v>
      </c>
      <c r="AK1857" s="12">
        <v>34912</v>
      </c>
      <c r="AL1857" s="12"/>
      <c r="AM1857" s="12"/>
      <c r="AN1857" s="1070"/>
      <c r="AO1857" s="1070"/>
      <c r="AP1857" s="1070"/>
      <c r="AQ1857" s="1070"/>
      <c r="AR1857" s="1044"/>
      <c r="AS1857" s="1044"/>
    </row>
    <row r="1858" spans="3:45" hidden="1" outlineLevel="1">
      <c r="C1858" s="816" t="s">
        <v>16</v>
      </c>
      <c r="D1858" s="9"/>
      <c r="E1858" s="20" t="s">
        <v>1955</v>
      </c>
      <c r="F1858" s="20"/>
      <c r="G1858" s="20"/>
      <c r="H1858" s="20"/>
      <c r="I1858" s="20"/>
      <c r="J1858" s="20"/>
      <c r="K1858" s="20"/>
      <c r="L1858" s="20"/>
      <c r="M1858" s="20"/>
      <c r="N1858" s="20"/>
      <c r="O1858" s="20"/>
      <c r="P1858" s="20"/>
      <c r="Q1858" s="20"/>
      <c r="R1858" s="20"/>
      <c r="S1858" s="20"/>
      <c r="T1858" s="20"/>
      <c r="U1858" s="20"/>
      <c r="V1858" s="20"/>
      <c r="W1858" s="20"/>
      <c r="X1858" s="20"/>
      <c r="Y1858" s="20"/>
      <c r="Z1858" s="20"/>
      <c r="AA1858" s="20"/>
      <c r="AB1858" s="12">
        <v>415625</v>
      </c>
      <c r="AC1858" s="12">
        <v>415625</v>
      </c>
      <c r="AD1858" s="12">
        <v>415626</v>
      </c>
      <c r="AE1858" s="12">
        <v>415626</v>
      </c>
      <c r="AF1858" s="12">
        <v>415626</v>
      </c>
      <c r="AG1858" s="12">
        <v>415626</v>
      </c>
      <c r="AH1858" s="12">
        <v>311720</v>
      </c>
      <c r="AI1858" s="12">
        <v>311720</v>
      </c>
      <c r="AJ1858" s="12">
        <v>311720</v>
      </c>
      <c r="AK1858" s="12">
        <v>311720</v>
      </c>
      <c r="AL1858" s="12">
        <v>311720</v>
      </c>
      <c r="AM1858" s="12">
        <v>311720</v>
      </c>
      <c r="AN1858" s="1070">
        <v>207766</v>
      </c>
      <c r="AO1858" s="1070">
        <v>207765</v>
      </c>
      <c r="AP1858" s="1070">
        <v>207766</v>
      </c>
      <c r="AQ1858" s="1070">
        <v>207765</v>
      </c>
      <c r="AR1858" s="1044"/>
      <c r="AS1858" s="1044"/>
    </row>
    <row r="1859" spans="3:45" hidden="1" outlineLevel="1">
      <c r="C1859" s="816" t="s">
        <v>16</v>
      </c>
      <c r="D1859" s="9"/>
      <c r="E1859" s="20" t="s">
        <v>1956</v>
      </c>
      <c r="F1859" s="20"/>
      <c r="G1859" s="20"/>
      <c r="H1859" s="20"/>
      <c r="I1859" s="20"/>
      <c r="J1859" s="20"/>
      <c r="K1859" s="20"/>
      <c r="L1859" s="20"/>
      <c r="M1859" s="20"/>
      <c r="N1859" s="20"/>
      <c r="O1859" s="20"/>
      <c r="P1859" s="20"/>
      <c r="Q1859" s="20"/>
      <c r="R1859" s="20"/>
      <c r="S1859" s="20"/>
      <c r="T1859" s="20"/>
      <c r="U1859" s="20"/>
      <c r="V1859" s="20"/>
      <c r="W1859" s="20"/>
      <c r="X1859" s="20"/>
      <c r="Y1859" s="20"/>
      <c r="Z1859" s="20"/>
      <c r="AA1859" s="20"/>
      <c r="AB1859" s="12"/>
      <c r="AC1859" s="12"/>
      <c r="AD1859" s="12"/>
      <c r="AE1859" s="12"/>
      <c r="AF1859" s="12">
        <v>0</v>
      </c>
      <c r="AG1859" s="12">
        <v>0</v>
      </c>
      <c r="AH1859" s="12">
        <v>1000000</v>
      </c>
      <c r="AI1859" s="12">
        <v>1000000</v>
      </c>
      <c r="AJ1859" s="12">
        <v>1000000</v>
      </c>
      <c r="AK1859" s="12">
        <v>1000000</v>
      </c>
      <c r="AL1859" s="12">
        <v>1000000</v>
      </c>
      <c r="AM1859" s="12">
        <v>1000000</v>
      </c>
      <c r="AN1859" s="1070">
        <v>666514</v>
      </c>
      <c r="AO1859" s="1070">
        <v>666513</v>
      </c>
      <c r="AP1859" s="1070">
        <v>599862</v>
      </c>
      <c r="AQ1859" s="1070">
        <v>599862</v>
      </c>
      <c r="AR1859" s="1044"/>
      <c r="AS1859" s="1044"/>
    </row>
    <row r="1860" spans="3:45" hidden="1" outlineLevel="1">
      <c r="C1860" s="816" t="s">
        <v>16</v>
      </c>
      <c r="D1860" s="9"/>
      <c r="E1860" s="20" t="s">
        <v>1957</v>
      </c>
      <c r="F1860" s="20"/>
      <c r="G1860" s="20"/>
      <c r="H1860" s="20"/>
      <c r="I1860" s="20"/>
      <c r="J1860" s="20"/>
      <c r="K1860" s="20"/>
      <c r="L1860" s="20"/>
      <c r="M1860" s="20"/>
      <c r="N1860" s="20"/>
      <c r="O1860" s="20"/>
      <c r="P1860" s="20"/>
      <c r="Q1860" s="20"/>
      <c r="R1860" s="20"/>
      <c r="S1860" s="20"/>
      <c r="T1860" s="20"/>
      <c r="U1860" s="20"/>
      <c r="V1860" s="20"/>
      <c r="W1860" s="20"/>
      <c r="X1860" s="20"/>
      <c r="Y1860" s="20"/>
      <c r="Z1860" s="20"/>
      <c r="AA1860" s="20"/>
      <c r="AB1860" s="12">
        <v>122064</v>
      </c>
      <c r="AC1860" s="12">
        <v>122064</v>
      </c>
      <c r="AD1860" s="12">
        <v>122065</v>
      </c>
      <c r="AE1860" s="12">
        <v>122065</v>
      </c>
      <c r="AF1860" s="12">
        <v>134270</v>
      </c>
      <c r="AG1860" s="12">
        <v>134270</v>
      </c>
      <c r="AH1860" s="12">
        <v>134270</v>
      </c>
      <c r="AI1860" s="12">
        <v>134270</v>
      </c>
      <c r="AJ1860" s="21">
        <v>147697</v>
      </c>
      <c r="AK1860" s="21">
        <v>147697</v>
      </c>
      <c r="AL1860" s="21">
        <v>147697</v>
      </c>
      <c r="AM1860" s="21">
        <v>147697</v>
      </c>
      <c r="AN1860" s="1058">
        <v>97147</v>
      </c>
      <c r="AO1860" s="1058">
        <v>97146</v>
      </c>
      <c r="AP1860" s="1058">
        <v>97147</v>
      </c>
      <c r="AQ1860" s="1058">
        <v>97146</v>
      </c>
      <c r="AR1860" s="1044"/>
      <c r="AS1860" s="1044"/>
    </row>
    <row r="1861" spans="3:45" hidden="1" outlineLevel="1">
      <c r="C1861" s="816" t="s">
        <v>16</v>
      </c>
      <c r="D1861" s="9"/>
      <c r="E1861" s="20" t="s">
        <v>1958</v>
      </c>
      <c r="F1861" s="20"/>
      <c r="G1861" s="20"/>
      <c r="H1861" s="20"/>
      <c r="I1861" s="20"/>
      <c r="J1861" s="20"/>
      <c r="K1861" s="20"/>
      <c r="L1861" s="20"/>
      <c r="M1861" s="20"/>
      <c r="N1861" s="20"/>
      <c r="O1861" s="20"/>
      <c r="P1861" s="20"/>
      <c r="Q1861" s="20"/>
      <c r="R1861" s="20"/>
      <c r="S1861" s="20"/>
      <c r="T1861" s="20"/>
      <c r="U1861" s="20"/>
      <c r="V1861" s="20"/>
      <c r="W1861" s="20"/>
      <c r="X1861" s="20"/>
      <c r="Y1861" s="20"/>
      <c r="Z1861" s="20"/>
      <c r="AA1861" s="20"/>
      <c r="AB1861" s="12">
        <v>53427</v>
      </c>
      <c r="AC1861" s="12">
        <v>53427</v>
      </c>
      <c r="AD1861" s="12">
        <v>53426</v>
      </c>
      <c r="AE1861" s="12">
        <v>53426</v>
      </c>
      <c r="AF1861" s="12">
        <v>53426</v>
      </c>
      <c r="AG1861" s="12">
        <v>53426</v>
      </c>
      <c r="AH1861" s="12">
        <v>40070</v>
      </c>
      <c r="AI1861" s="12">
        <v>40070</v>
      </c>
      <c r="AJ1861" s="12">
        <v>40070</v>
      </c>
      <c r="AK1861" s="12">
        <v>40070</v>
      </c>
      <c r="AL1861" s="12">
        <v>40070</v>
      </c>
      <c r="AM1861" s="12">
        <v>40070</v>
      </c>
      <c r="AN1861" s="1070">
        <v>26707</v>
      </c>
      <c r="AO1861" s="1070">
        <v>26707</v>
      </c>
      <c r="AP1861" s="1070">
        <v>26707</v>
      </c>
      <c r="AQ1861" s="1070">
        <v>26707</v>
      </c>
      <c r="AR1861" s="1044"/>
      <c r="AS1861" s="1044"/>
    </row>
    <row r="1862" spans="3:45" hidden="1" outlineLevel="1">
      <c r="C1862" s="816" t="s">
        <v>16</v>
      </c>
      <c r="D1862" s="9"/>
      <c r="E1862" s="20" t="s">
        <v>1959</v>
      </c>
      <c r="F1862" s="20"/>
      <c r="G1862" s="20"/>
      <c r="H1862" s="20"/>
      <c r="I1862" s="20"/>
      <c r="J1862" s="20"/>
      <c r="K1862" s="20"/>
      <c r="L1862" s="20"/>
      <c r="M1862" s="20"/>
      <c r="N1862" s="20"/>
      <c r="O1862" s="20"/>
      <c r="P1862" s="20"/>
      <c r="Q1862" s="20"/>
      <c r="R1862" s="20"/>
      <c r="S1862" s="20"/>
      <c r="T1862" s="20"/>
      <c r="U1862" s="20"/>
      <c r="V1862" s="20"/>
      <c r="W1862" s="20"/>
      <c r="X1862" s="20"/>
      <c r="Y1862" s="20"/>
      <c r="Z1862" s="20"/>
      <c r="AA1862" s="20"/>
      <c r="AB1862" s="12">
        <v>245813</v>
      </c>
      <c r="AC1862" s="12">
        <v>245813</v>
      </c>
      <c r="AD1862" s="12">
        <v>245992</v>
      </c>
      <c r="AE1862" s="12">
        <v>245992</v>
      </c>
      <c r="AF1862" s="12">
        <v>245992</v>
      </c>
      <c r="AG1862" s="12">
        <v>245992</v>
      </c>
      <c r="AH1862" s="12">
        <v>184494</v>
      </c>
      <c r="AI1862" s="12">
        <v>184494</v>
      </c>
      <c r="AJ1862" s="12">
        <v>184494</v>
      </c>
      <c r="AK1862" s="12">
        <v>184494</v>
      </c>
      <c r="AL1862" s="12">
        <v>184494</v>
      </c>
      <c r="AM1862" s="12">
        <v>184494</v>
      </c>
      <c r="AN1862" s="1070">
        <v>122968</v>
      </c>
      <c r="AO1862" s="1070">
        <v>122968</v>
      </c>
      <c r="AP1862" s="1070">
        <v>122968</v>
      </c>
      <c r="AQ1862" s="1070">
        <v>122968</v>
      </c>
      <c r="AR1862" s="1044"/>
      <c r="AS1862" s="1044"/>
    </row>
    <row r="1863" spans="3:45" hidden="1" outlineLevel="1">
      <c r="C1863" s="816" t="s">
        <v>16</v>
      </c>
      <c r="D1863" s="9"/>
      <c r="E1863" s="224" t="s">
        <v>1960</v>
      </c>
      <c r="F1863" s="20"/>
      <c r="G1863" s="20"/>
      <c r="H1863" s="20"/>
      <c r="I1863" s="20"/>
      <c r="J1863" s="20"/>
      <c r="K1863" s="20"/>
      <c r="L1863" s="20"/>
      <c r="M1863" s="20"/>
      <c r="N1863" s="20"/>
      <c r="O1863" s="20"/>
      <c r="P1863" s="20"/>
      <c r="Q1863" s="20"/>
      <c r="R1863" s="20"/>
      <c r="S1863" s="20"/>
      <c r="T1863" s="20"/>
      <c r="U1863" s="20"/>
      <c r="V1863" s="20"/>
      <c r="W1863" s="20"/>
      <c r="X1863" s="20"/>
      <c r="Y1863" s="20"/>
      <c r="Z1863" s="20"/>
      <c r="AA1863" s="20"/>
      <c r="AB1863" s="12">
        <v>204140</v>
      </c>
      <c r="AC1863" s="12">
        <v>204140</v>
      </c>
      <c r="AD1863" s="12"/>
      <c r="AE1863" s="12"/>
      <c r="AF1863" s="12"/>
      <c r="AG1863" s="12"/>
      <c r="AH1863" s="12"/>
      <c r="AI1863" s="12"/>
      <c r="AJ1863" s="12"/>
      <c r="AK1863" s="12"/>
      <c r="AL1863" s="12"/>
      <c r="AM1863" s="12"/>
      <c r="AN1863" s="1070"/>
      <c r="AO1863" s="1070"/>
      <c r="AP1863" s="1070"/>
      <c r="AQ1863" s="1070"/>
      <c r="AR1863" s="1044"/>
      <c r="AS1863" s="1044"/>
    </row>
    <row r="1864" spans="3:45" hidden="1" outlineLevel="1">
      <c r="C1864" s="816" t="s">
        <v>16</v>
      </c>
      <c r="D1864" s="223" t="s">
        <v>1354</v>
      </c>
      <c r="E1864" s="20" t="s">
        <v>1961</v>
      </c>
      <c r="F1864" s="20"/>
      <c r="G1864" s="20"/>
      <c r="H1864" s="20"/>
      <c r="I1864" s="20"/>
      <c r="J1864" s="20"/>
      <c r="K1864" s="20"/>
      <c r="L1864" s="20"/>
      <c r="M1864" s="20"/>
      <c r="N1864" s="20"/>
      <c r="O1864" s="20"/>
      <c r="P1864" s="20"/>
      <c r="Q1864" s="20"/>
      <c r="R1864" s="20"/>
      <c r="S1864" s="20"/>
      <c r="T1864" s="20"/>
      <c r="U1864" s="20"/>
      <c r="V1864" s="20"/>
      <c r="W1864" s="20"/>
      <c r="X1864" s="20"/>
      <c r="Y1864" s="20"/>
      <c r="Z1864" s="20"/>
      <c r="AA1864" s="20"/>
      <c r="AB1864" s="12">
        <v>4673538</v>
      </c>
      <c r="AC1864" s="12">
        <v>4761456</v>
      </c>
      <c r="AD1864" s="12">
        <v>4660493</v>
      </c>
      <c r="AE1864" s="12">
        <v>4773712</v>
      </c>
      <c r="AF1864" s="12">
        <v>5514319</v>
      </c>
      <c r="AG1864" s="12">
        <v>5514319</v>
      </c>
      <c r="AH1864" s="12">
        <v>3900393</v>
      </c>
      <c r="AI1864" s="12">
        <v>3900392</v>
      </c>
      <c r="AJ1864" s="21">
        <v>5500393</v>
      </c>
      <c r="AK1864" s="21">
        <v>5500392</v>
      </c>
      <c r="AL1864" s="21">
        <v>5535305</v>
      </c>
      <c r="AM1864" s="21">
        <v>5535304</v>
      </c>
      <c r="AN1864" s="1058">
        <v>3883532</v>
      </c>
      <c r="AO1864" s="1058">
        <v>3883532</v>
      </c>
      <c r="AP1864" s="1058">
        <v>5945625</v>
      </c>
      <c r="AQ1864" s="1058">
        <v>5945624</v>
      </c>
      <c r="AR1864" s="1044"/>
      <c r="AS1864" s="1044"/>
    </row>
    <row r="1865" spans="3:45" hidden="1" outlineLevel="1">
      <c r="C1865" s="816" t="s">
        <v>16</v>
      </c>
      <c r="D1865" s="223"/>
      <c r="E1865" s="224" t="s">
        <v>1962</v>
      </c>
      <c r="F1865" s="20"/>
      <c r="G1865" s="20"/>
      <c r="H1865" s="20"/>
      <c r="I1865" s="20"/>
      <c r="J1865" s="20"/>
      <c r="K1865" s="20"/>
      <c r="L1865" s="20"/>
      <c r="M1865" s="20"/>
      <c r="N1865" s="20"/>
      <c r="O1865" s="20"/>
      <c r="P1865" s="20"/>
      <c r="Q1865" s="20"/>
      <c r="R1865" s="20"/>
      <c r="S1865" s="20"/>
      <c r="T1865" s="20"/>
      <c r="U1865" s="20"/>
      <c r="V1865" s="20"/>
      <c r="W1865" s="20"/>
      <c r="X1865" s="20"/>
      <c r="Y1865" s="20"/>
      <c r="Z1865" s="20"/>
      <c r="AA1865" s="20"/>
      <c r="AB1865" s="12"/>
      <c r="AC1865" s="12"/>
      <c r="AD1865" s="12"/>
      <c r="AE1865" s="12"/>
      <c r="AF1865" s="12"/>
      <c r="AG1865" s="12"/>
      <c r="AH1865" s="12"/>
      <c r="AI1865" s="12"/>
      <c r="AJ1865" s="21"/>
      <c r="AK1865" s="21"/>
      <c r="AL1865" s="21">
        <v>1100000</v>
      </c>
      <c r="AM1865" s="21">
        <v>1100000</v>
      </c>
      <c r="AN1865" s="1058">
        <v>733165</v>
      </c>
      <c r="AO1865" s="1058">
        <v>733164</v>
      </c>
      <c r="AP1865" s="1058">
        <v>733165</v>
      </c>
      <c r="AQ1865" s="1058">
        <v>733164</v>
      </c>
      <c r="AR1865" s="1044"/>
      <c r="AS1865" s="1044"/>
    </row>
    <row r="1866" spans="3:45" hidden="1" outlineLevel="1">
      <c r="C1866" s="816" t="s">
        <v>16</v>
      </c>
      <c r="D1866" s="223" t="s">
        <v>1200</v>
      </c>
      <c r="E1866" s="25" t="s">
        <v>1487</v>
      </c>
      <c r="F1866" s="6"/>
      <c r="G1866" s="6"/>
      <c r="H1866" s="6"/>
      <c r="I1866" s="6"/>
      <c r="J1866" s="6"/>
      <c r="K1866" s="6"/>
      <c r="L1866" s="6"/>
      <c r="M1866" s="6"/>
      <c r="N1866" s="6"/>
      <c r="O1866" s="6"/>
      <c r="P1866" s="6"/>
      <c r="Q1866" s="6"/>
      <c r="R1866" s="6"/>
      <c r="S1866" s="6"/>
      <c r="T1866" s="6"/>
      <c r="U1866" s="6"/>
      <c r="V1866" s="6"/>
      <c r="W1866" s="6"/>
      <c r="X1866" s="6"/>
      <c r="Y1866" s="6"/>
      <c r="Z1866" s="6"/>
      <c r="AA1866" s="6"/>
      <c r="AB1866" s="7">
        <v>5761157</v>
      </c>
      <c r="AC1866" s="7">
        <v>5849075</v>
      </c>
      <c r="AD1866" s="7">
        <v>5544152</v>
      </c>
      <c r="AE1866" s="7">
        <v>5657371</v>
      </c>
      <c r="AF1866" s="7">
        <f t="shared" ref="AF1866:AK1866" si="356">SUM(AF1857:AF1865)</f>
        <v>6410183</v>
      </c>
      <c r="AG1866" s="7">
        <f t="shared" si="356"/>
        <v>6410183</v>
      </c>
      <c r="AH1866" s="7">
        <f t="shared" si="356"/>
        <v>5605859</v>
      </c>
      <c r="AI1866" s="7">
        <f t="shared" si="356"/>
        <v>5605858</v>
      </c>
      <c r="AJ1866" s="7">
        <f t="shared" si="356"/>
        <v>7219286</v>
      </c>
      <c r="AK1866" s="7">
        <f t="shared" si="356"/>
        <v>7219285</v>
      </c>
      <c r="AL1866" s="7">
        <f t="shared" ref="AL1866:AQ1866" si="357">SUM(AL1858:AL1865)</f>
        <v>8319286</v>
      </c>
      <c r="AM1866" s="1067">
        <f t="shared" si="357"/>
        <v>8319285</v>
      </c>
      <c r="AN1866" s="1074">
        <f t="shared" si="357"/>
        <v>5737799</v>
      </c>
      <c r="AO1866" s="1074">
        <f t="shared" si="357"/>
        <v>5737795</v>
      </c>
      <c r="AP1866" s="1074">
        <f t="shared" si="357"/>
        <v>7733240</v>
      </c>
      <c r="AQ1866" s="1074">
        <f t="shared" si="357"/>
        <v>7733236</v>
      </c>
      <c r="AR1866" s="1044"/>
      <c r="AS1866" s="1044"/>
    </row>
    <row r="1867" spans="3:45" hidden="1" outlineLevel="1">
      <c r="C1867" s="816" t="s">
        <v>16</v>
      </c>
      <c r="D1867" s="9"/>
      <c r="E1867" s="20" t="s">
        <v>539</v>
      </c>
      <c r="F1867" s="20"/>
      <c r="G1867" s="20"/>
      <c r="H1867" s="20"/>
      <c r="I1867" s="20"/>
      <c r="J1867" s="20"/>
      <c r="K1867" s="20"/>
      <c r="L1867" s="20"/>
      <c r="M1867" s="20"/>
      <c r="N1867" s="20"/>
      <c r="O1867" s="20"/>
      <c r="P1867" s="20"/>
      <c r="Q1867" s="20"/>
      <c r="R1867" s="20"/>
      <c r="S1867" s="20"/>
      <c r="T1867" s="20"/>
      <c r="U1867" s="20"/>
      <c r="V1867" s="20"/>
      <c r="W1867" s="20"/>
      <c r="X1867" s="20"/>
      <c r="Y1867" s="20"/>
      <c r="Z1867" s="20"/>
      <c r="AA1867" s="20"/>
      <c r="AB1867" s="12">
        <v>175301</v>
      </c>
      <c r="AC1867" s="12">
        <v>175301</v>
      </c>
      <c r="AD1867" s="12">
        <v>175301</v>
      </c>
      <c r="AE1867" s="12">
        <v>175301</v>
      </c>
      <c r="AF1867" s="12">
        <v>175301</v>
      </c>
      <c r="AG1867" s="12">
        <v>175301</v>
      </c>
      <c r="AH1867" s="12">
        <v>124902</v>
      </c>
      <c r="AI1867" s="12">
        <v>124902</v>
      </c>
      <c r="AJ1867" s="12">
        <v>124902</v>
      </c>
      <c r="AK1867" s="12">
        <v>124902</v>
      </c>
      <c r="AL1867" s="12">
        <v>172901</v>
      </c>
      <c r="AM1867" s="12">
        <v>172901</v>
      </c>
      <c r="AN1867" s="1070">
        <v>68181</v>
      </c>
      <c r="AO1867" s="1070">
        <v>68180</v>
      </c>
      <c r="AP1867" s="1070">
        <v>61362</v>
      </c>
      <c r="AQ1867" s="1070">
        <v>61362</v>
      </c>
      <c r="AR1867" s="1044"/>
      <c r="AS1867" s="1044"/>
    </row>
    <row r="1868" spans="3:45" hidden="1" outlineLevel="1">
      <c r="C1868" s="816" t="s">
        <v>16</v>
      </c>
      <c r="D1868" s="9"/>
      <c r="E1868" s="20" t="s">
        <v>540</v>
      </c>
      <c r="F1868" s="20"/>
      <c r="G1868" s="20"/>
      <c r="H1868" s="20"/>
      <c r="I1868" s="20"/>
      <c r="J1868" s="20"/>
      <c r="K1868" s="20"/>
      <c r="L1868" s="20"/>
      <c r="M1868" s="20"/>
      <c r="N1868" s="20"/>
      <c r="O1868" s="20"/>
      <c r="P1868" s="20"/>
      <c r="Q1868" s="20"/>
      <c r="R1868" s="20"/>
      <c r="S1868" s="20"/>
      <c r="T1868" s="20"/>
      <c r="U1868" s="20"/>
      <c r="V1868" s="20"/>
      <c r="W1868" s="20"/>
      <c r="X1868" s="20"/>
      <c r="Y1868" s="20"/>
      <c r="Z1868" s="20"/>
      <c r="AA1868" s="20"/>
      <c r="AB1868" s="12"/>
      <c r="AC1868" s="12"/>
      <c r="AD1868" s="12">
        <v>376600</v>
      </c>
      <c r="AE1868" s="12">
        <v>338600</v>
      </c>
      <c r="AF1868" s="12">
        <v>376600</v>
      </c>
      <c r="AG1868" s="12">
        <v>338600</v>
      </c>
      <c r="AH1868" s="12">
        <v>254790</v>
      </c>
      <c r="AI1868" s="12">
        <v>254790</v>
      </c>
      <c r="AJ1868" s="12">
        <v>254790</v>
      </c>
      <c r="AK1868" s="12">
        <v>254790</v>
      </c>
      <c r="AL1868" s="12">
        <v>254790</v>
      </c>
      <c r="AM1868" s="12">
        <v>254790</v>
      </c>
      <c r="AN1868" s="1070">
        <v>100472</v>
      </c>
      <c r="AO1868" s="1070">
        <v>100472</v>
      </c>
      <c r="AP1868" s="1070">
        <v>90425</v>
      </c>
      <c r="AQ1868" s="1070">
        <v>90425</v>
      </c>
      <c r="AR1868" s="1044"/>
      <c r="AS1868" s="1044"/>
    </row>
    <row r="1869" spans="3:45" hidden="1" outlineLevel="1">
      <c r="C1869" s="816" t="s">
        <v>16</v>
      </c>
      <c r="D1869" s="223" t="s">
        <v>1254</v>
      </c>
      <c r="E1869" s="278" t="s">
        <v>541</v>
      </c>
      <c r="F1869" s="20"/>
      <c r="G1869" s="20"/>
      <c r="H1869" s="20"/>
      <c r="I1869" s="20"/>
      <c r="J1869" s="20"/>
      <c r="K1869" s="20"/>
      <c r="L1869" s="20"/>
      <c r="M1869" s="20"/>
      <c r="N1869" s="20"/>
      <c r="O1869" s="20"/>
      <c r="P1869" s="20"/>
      <c r="Q1869" s="20"/>
      <c r="R1869" s="20"/>
      <c r="S1869" s="20"/>
      <c r="T1869" s="20"/>
      <c r="U1869" s="20"/>
      <c r="V1869" s="20"/>
      <c r="W1869" s="20"/>
      <c r="X1869" s="20"/>
      <c r="Y1869" s="20"/>
      <c r="Z1869" s="20"/>
      <c r="AA1869" s="20"/>
      <c r="AB1869" s="12">
        <v>40000</v>
      </c>
      <c r="AC1869" s="12">
        <v>40000</v>
      </c>
      <c r="AD1869" s="12">
        <v>40000</v>
      </c>
      <c r="AE1869" s="12">
        <v>40000</v>
      </c>
      <c r="AF1869" s="12">
        <v>40000</v>
      </c>
      <c r="AG1869" s="12">
        <v>40000</v>
      </c>
      <c r="AH1869" s="12">
        <v>28500</v>
      </c>
      <c r="AI1869" s="12">
        <v>28500</v>
      </c>
      <c r="AJ1869" s="12">
        <v>28500</v>
      </c>
      <c r="AK1869" s="12">
        <v>28500</v>
      </c>
      <c r="AL1869" s="12">
        <v>28500</v>
      </c>
      <c r="AM1869" s="12">
        <v>28500</v>
      </c>
      <c r="AN1869" s="1070">
        <v>11239</v>
      </c>
      <c r="AO1869" s="1070">
        <v>11238</v>
      </c>
      <c r="AP1869" s="1070">
        <v>10115</v>
      </c>
      <c r="AQ1869" s="1070">
        <v>10115</v>
      </c>
      <c r="AR1869" s="1044"/>
      <c r="AS1869" s="1044"/>
    </row>
    <row r="1870" spans="3:45" hidden="1" outlineLevel="1">
      <c r="C1870" s="816" t="s">
        <v>16</v>
      </c>
      <c r="D1870" s="223" t="s">
        <v>1254</v>
      </c>
      <c r="E1870" s="278" t="s">
        <v>542</v>
      </c>
      <c r="F1870" s="20"/>
      <c r="G1870" s="20"/>
      <c r="H1870" s="20"/>
      <c r="I1870" s="20"/>
      <c r="J1870" s="20"/>
      <c r="K1870" s="20"/>
      <c r="L1870" s="20"/>
      <c r="M1870" s="20"/>
      <c r="N1870" s="20"/>
      <c r="O1870" s="20"/>
      <c r="P1870" s="20"/>
      <c r="Q1870" s="20"/>
      <c r="R1870" s="20"/>
      <c r="S1870" s="20"/>
      <c r="T1870" s="20"/>
      <c r="U1870" s="20"/>
      <c r="V1870" s="20"/>
      <c r="W1870" s="20"/>
      <c r="X1870" s="20"/>
      <c r="Y1870" s="20"/>
      <c r="Z1870" s="20"/>
      <c r="AA1870" s="20"/>
      <c r="AB1870" s="12">
        <v>167005</v>
      </c>
      <c r="AC1870" s="12">
        <v>167005</v>
      </c>
      <c r="AD1870" s="12">
        <v>167005</v>
      </c>
      <c r="AE1870" s="12">
        <v>167005</v>
      </c>
      <c r="AF1870" s="12">
        <v>167005</v>
      </c>
      <c r="AG1870" s="12">
        <v>167005</v>
      </c>
      <c r="AH1870" s="12">
        <v>118990</v>
      </c>
      <c r="AI1870" s="12">
        <v>118990</v>
      </c>
      <c r="AJ1870" s="12">
        <v>118990</v>
      </c>
      <c r="AK1870" s="12">
        <v>118990</v>
      </c>
      <c r="AL1870" s="12">
        <v>118990</v>
      </c>
      <c r="AM1870" s="12">
        <v>118990</v>
      </c>
      <c r="AN1870" s="1070">
        <v>46922</v>
      </c>
      <c r="AO1870" s="1070">
        <v>46922</v>
      </c>
      <c r="AP1870" s="1070">
        <v>42230</v>
      </c>
      <c r="AQ1870" s="1070">
        <v>42230</v>
      </c>
      <c r="AR1870" s="1044"/>
      <c r="AS1870" s="1044"/>
    </row>
    <row r="1871" spans="3:45" hidden="1" outlineLevel="1">
      <c r="C1871" s="816" t="s">
        <v>16</v>
      </c>
      <c r="D1871" s="223"/>
      <c r="E1871" s="224" t="s">
        <v>1749</v>
      </c>
      <c r="F1871" s="20"/>
      <c r="G1871" s="20"/>
      <c r="H1871" s="20"/>
      <c r="I1871" s="20"/>
      <c r="J1871" s="20"/>
      <c r="K1871" s="20"/>
      <c r="L1871" s="20"/>
      <c r="M1871" s="20"/>
      <c r="N1871" s="20"/>
      <c r="O1871" s="20"/>
      <c r="P1871" s="20"/>
      <c r="Q1871" s="20"/>
      <c r="R1871" s="20"/>
      <c r="S1871" s="20"/>
      <c r="T1871" s="20"/>
      <c r="U1871" s="20"/>
      <c r="V1871" s="20"/>
      <c r="W1871" s="20"/>
      <c r="X1871" s="20"/>
      <c r="Y1871" s="20"/>
      <c r="Z1871" s="20"/>
      <c r="AA1871" s="20"/>
      <c r="AB1871" s="12"/>
      <c r="AC1871" s="12"/>
      <c r="AD1871" s="12"/>
      <c r="AE1871" s="12"/>
      <c r="AF1871" s="12"/>
      <c r="AG1871" s="12"/>
      <c r="AH1871" s="12"/>
      <c r="AI1871" s="12"/>
      <c r="AJ1871" s="12"/>
      <c r="AK1871" s="12"/>
      <c r="AL1871" s="12">
        <v>1100000</v>
      </c>
      <c r="AM1871" s="12">
        <v>1100000</v>
      </c>
      <c r="AN1871" s="1070">
        <v>3625177</v>
      </c>
      <c r="AO1871" s="1070">
        <v>3625176</v>
      </c>
      <c r="AP1871" s="1070">
        <v>8625177</v>
      </c>
      <c r="AQ1871" s="1070">
        <v>8625176</v>
      </c>
      <c r="AR1871" s="1044"/>
      <c r="AS1871" s="1044"/>
    </row>
    <row r="1872" spans="3:45" hidden="1" outlineLevel="1">
      <c r="C1872" s="816" t="s">
        <v>16</v>
      </c>
      <c r="D1872" s="223" t="s">
        <v>1354</v>
      </c>
      <c r="E1872" s="20" t="s">
        <v>543</v>
      </c>
      <c r="F1872" s="20"/>
      <c r="G1872" s="20"/>
      <c r="H1872" s="20"/>
      <c r="I1872" s="20"/>
      <c r="J1872" s="20"/>
      <c r="K1872" s="20"/>
      <c r="L1872" s="20"/>
      <c r="M1872" s="20"/>
      <c r="N1872" s="20"/>
      <c r="O1872" s="20"/>
      <c r="P1872" s="20"/>
      <c r="Q1872" s="20"/>
      <c r="R1872" s="20"/>
      <c r="S1872" s="20"/>
      <c r="T1872" s="20"/>
      <c r="U1872" s="20"/>
      <c r="V1872" s="20"/>
      <c r="W1872" s="20"/>
      <c r="X1872" s="20"/>
      <c r="Y1872" s="20"/>
      <c r="Z1872" s="20"/>
      <c r="AA1872" s="20"/>
      <c r="AB1872" s="12">
        <v>6296677</v>
      </c>
      <c r="AC1872" s="12">
        <v>6298277</v>
      </c>
      <c r="AD1872" s="12">
        <v>6297476</v>
      </c>
      <c r="AE1872" s="12">
        <v>6297478</v>
      </c>
      <c r="AF1872" s="12">
        <v>6788218</v>
      </c>
      <c r="AG1872" s="12">
        <v>6788218</v>
      </c>
      <c r="AH1872" s="12">
        <v>4843515</v>
      </c>
      <c r="AI1872" s="12">
        <v>4842897</v>
      </c>
      <c r="AJ1872" s="21">
        <v>5343515</v>
      </c>
      <c r="AK1872" s="21">
        <v>5342897</v>
      </c>
      <c r="AL1872" s="21">
        <v>5124292</v>
      </c>
      <c r="AM1872" s="21">
        <v>5123674</v>
      </c>
      <c r="AN1872" s="1058">
        <v>3692909</v>
      </c>
      <c r="AO1872" s="1058">
        <v>3692908</v>
      </c>
      <c r="AP1872" s="1058">
        <v>5173618</v>
      </c>
      <c r="AQ1872" s="1058">
        <v>5173618</v>
      </c>
      <c r="AR1872" s="1044"/>
      <c r="AS1872" s="1044"/>
    </row>
    <row r="1873" spans="2:45" hidden="1" outlineLevel="1">
      <c r="C1873" s="816" t="s">
        <v>16</v>
      </c>
      <c r="D1873" s="223" t="s">
        <v>1200</v>
      </c>
      <c r="E1873" s="25" t="s">
        <v>545</v>
      </c>
      <c r="F1873" s="6"/>
      <c r="G1873" s="6"/>
      <c r="H1873" s="6"/>
      <c r="I1873" s="6"/>
      <c r="J1873" s="6"/>
      <c r="K1873" s="6"/>
      <c r="L1873" s="6"/>
      <c r="M1873" s="6"/>
      <c r="N1873" s="6"/>
      <c r="O1873" s="6"/>
      <c r="P1873" s="6"/>
      <c r="Q1873" s="6"/>
      <c r="R1873" s="6"/>
      <c r="S1873" s="6"/>
      <c r="T1873" s="6"/>
      <c r="U1873" s="6"/>
      <c r="V1873" s="6"/>
      <c r="W1873" s="6"/>
      <c r="X1873" s="6"/>
      <c r="Y1873" s="6"/>
      <c r="Z1873" s="6"/>
      <c r="AA1873" s="6"/>
      <c r="AB1873" s="7">
        <v>6678983</v>
      </c>
      <c r="AC1873" s="7">
        <v>6680583</v>
      </c>
      <c r="AD1873" s="7">
        <v>7056382</v>
      </c>
      <c r="AE1873" s="7">
        <v>7018384</v>
      </c>
      <c r="AF1873" s="7">
        <f t="shared" ref="AF1873:AQ1873" si="358">SUM(AF1867:AF1872)</f>
        <v>7547124</v>
      </c>
      <c r="AG1873" s="7">
        <f t="shared" si="358"/>
        <v>7509124</v>
      </c>
      <c r="AH1873" s="7">
        <f t="shared" si="358"/>
        <v>5370697</v>
      </c>
      <c r="AI1873" s="7">
        <f t="shared" si="358"/>
        <v>5370079</v>
      </c>
      <c r="AJ1873" s="7">
        <f t="shared" si="358"/>
        <v>5870697</v>
      </c>
      <c r="AK1873" s="7">
        <f t="shared" si="358"/>
        <v>5870079</v>
      </c>
      <c r="AL1873" s="60">
        <f t="shared" si="358"/>
        <v>6799473</v>
      </c>
      <c r="AM1873" s="60">
        <f t="shared" si="358"/>
        <v>6798855</v>
      </c>
      <c r="AN1873" s="1074">
        <f t="shared" si="358"/>
        <v>7544900</v>
      </c>
      <c r="AO1873" s="1074">
        <f t="shared" si="358"/>
        <v>7544896</v>
      </c>
      <c r="AP1873" s="1074">
        <f t="shared" si="358"/>
        <v>14002927</v>
      </c>
      <c r="AQ1873" s="1074">
        <f t="shared" si="358"/>
        <v>14002926</v>
      </c>
      <c r="AR1873" s="1044"/>
      <c r="AS1873" s="1044"/>
    </row>
    <row r="1874" spans="2:45" hidden="1" outlineLevel="1">
      <c r="C1874" s="816" t="s">
        <v>16</v>
      </c>
      <c r="D1874" s="9"/>
      <c r="E1874" s="20" t="s">
        <v>546</v>
      </c>
      <c r="F1874" s="20"/>
      <c r="G1874" s="20"/>
      <c r="H1874" s="20"/>
      <c r="I1874" s="20"/>
      <c r="J1874" s="20"/>
      <c r="K1874" s="20"/>
      <c r="L1874" s="20"/>
      <c r="M1874" s="20"/>
      <c r="N1874" s="20"/>
      <c r="O1874" s="20"/>
      <c r="P1874" s="20"/>
      <c r="Q1874" s="20"/>
      <c r="R1874" s="20"/>
      <c r="S1874" s="20"/>
      <c r="T1874" s="20"/>
      <c r="U1874" s="20"/>
      <c r="V1874" s="20"/>
      <c r="W1874" s="20"/>
      <c r="X1874" s="20"/>
      <c r="Y1874" s="20"/>
      <c r="Z1874" s="20"/>
      <c r="AA1874" s="20"/>
      <c r="AB1874" s="12">
        <v>285184</v>
      </c>
      <c r="AC1874" s="12">
        <v>285184</v>
      </c>
      <c r="AD1874" s="12">
        <v>285184</v>
      </c>
      <c r="AE1874" s="12">
        <v>285184</v>
      </c>
      <c r="AF1874" s="12">
        <v>285184</v>
      </c>
      <c r="AG1874" s="12">
        <v>285184</v>
      </c>
      <c r="AH1874" s="12">
        <v>213888</v>
      </c>
      <c r="AI1874" s="12">
        <v>213888</v>
      </c>
      <c r="AJ1874" s="12">
        <v>213888</v>
      </c>
      <c r="AK1874" s="12">
        <v>213888</v>
      </c>
      <c r="AL1874" s="12">
        <v>213888</v>
      </c>
      <c r="AM1874" s="12">
        <v>213888</v>
      </c>
      <c r="AN1874" s="1070">
        <v>148499</v>
      </c>
      <c r="AO1874" s="1070">
        <v>148499</v>
      </c>
      <c r="AP1874" s="1070">
        <v>148499</v>
      </c>
      <c r="AQ1874" s="1070">
        <v>148499</v>
      </c>
      <c r="AR1874" s="1044"/>
      <c r="AS1874" s="1044"/>
    </row>
    <row r="1875" spans="2:45" hidden="1" outlineLevel="1">
      <c r="C1875" s="816" t="s">
        <v>16</v>
      </c>
      <c r="D1875" s="223" t="s">
        <v>1254</v>
      </c>
      <c r="E1875" s="278" t="s">
        <v>547</v>
      </c>
      <c r="F1875" s="20"/>
      <c r="G1875" s="20"/>
      <c r="H1875" s="20"/>
      <c r="I1875" s="20"/>
      <c r="J1875" s="20"/>
      <c r="K1875" s="20"/>
      <c r="L1875" s="20"/>
      <c r="M1875" s="20"/>
      <c r="N1875" s="20"/>
      <c r="O1875" s="20"/>
      <c r="P1875" s="20"/>
      <c r="Q1875" s="20"/>
      <c r="R1875" s="20"/>
      <c r="S1875" s="20"/>
      <c r="T1875" s="20"/>
      <c r="U1875" s="20"/>
      <c r="V1875" s="20"/>
      <c r="W1875" s="20"/>
      <c r="X1875" s="20"/>
      <c r="Y1875" s="20"/>
      <c r="Z1875" s="20"/>
      <c r="AA1875" s="20"/>
      <c r="AB1875" s="12">
        <v>401907</v>
      </c>
      <c r="AC1875" s="12">
        <v>401907</v>
      </c>
      <c r="AD1875" s="12">
        <v>401907</v>
      </c>
      <c r="AE1875" s="12">
        <v>401907</v>
      </c>
      <c r="AF1875" s="12">
        <v>401907</v>
      </c>
      <c r="AG1875" s="12">
        <v>401907</v>
      </c>
      <c r="AH1875" s="12">
        <v>301430</v>
      </c>
      <c r="AI1875" s="12">
        <v>301430</v>
      </c>
      <c r="AJ1875" s="12">
        <v>301430</v>
      </c>
      <c r="AK1875" s="12">
        <v>301430</v>
      </c>
      <c r="AL1875" s="12">
        <v>301430</v>
      </c>
      <c r="AM1875" s="12">
        <v>301430</v>
      </c>
      <c r="AN1875" s="1070">
        <v>139850</v>
      </c>
      <c r="AO1875" s="1070">
        <v>139850</v>
      </c>
      <c r="AP1875" s="1070">
        <v>139850</v>
      </c>
      <c r="AQ1875" s="1070">
        <v>139850</v>
      </c>
      <c r="AR1875" s="1044"/>
      <c r="AS1875" s="1044"/>
    </row>
    <row r="1876" spans="2:45" hidden="1" outlineLevel="1">
      <c r="C1876" s="816" t="s">
        <v>16</v>
      </c>
      <c r="D1876" s="223" t="s">
        <v>1254</v>
      </c>
      <c r="E1876" s="278" t="s">
        <v>548</v>
      </c>
      <c r="F1876" s="20"/>
      <c r="G1876" s="20"/>
      <c r="H1876" s="20"/>
      <c r="I1876" s="20"/>
      <c r="J1876" s="20"/>
      <c r="K1876" s="20"/>
      <c r="L1876" s="20"/>
      <c r="M1876" s="20"/>
      <c r="N1876" s="20"/>
      <c r="O1876" s="20"/>
      <c r="P1876" s="20"/>
      <c r="Q1876" s="20"/>
      <c r="R1876" s="20"/>
      <c r="S1876" s="20"/>
      <c r="T1876" s="20"/>
      <c r="U1876" s="20"/>
      <c r="V1876" s="20"/>
      <c r="W1876" s="20"/>
      <c r="X1876" s="20"/>
      <c r="Y1876" s="20"/>
      <c r="Z1876" s="20"/>
      <c r="AA1876" s="20"/>
      <c r="AB1876" s="12">
        <v>581875</v>
      </c>
      <c r="AC1876" s="12">
        <v>581875</v>
      </c>
      <c r="AD1876" s="12">
        <v>581876</v>
      </c>
      <c r="AE1876" s="12">
        <v>581876</v>
      </c>
      <c r="AF1876" s="12">
        <v>581876</v>
      </c>
      <c r="AG1876" s="12">
        <v>581876</v>
      </c>
      <c r="AH1876" s="12">
        <v>436407</v>
      </c>
      <c r="AI1876" s="12">
        <v>436407</v>
      </c>
      <c r="AJ1876" s="12">
        <v>436407</v>
      </c>
      <c r="AK1876" s="12">
        <v>436407</v>
      </c>
      <c r="AL1876" s="12">
        <v>436407</v>
      </c>
      <c r="AM1876" s="12">
        <v>436407</v>
      </c>
      <c r="AN1876" s="1070">
        <v>226001</v>
      </c>
      <c r="AO1876" s="1070">
        <v>226000</v>
      </c>
      <c r="AP1876" s="1070">
        <v>226001</v>
      </c>
      <c r="AQ1876" s="1070">
        <v>226000</v>
      </c>
      <c r="AR1876" s="1044"/>
      <c r="AS1876" s="1044"/>
    </row>
    <row r="1877" spans="2:45" hidden="1" outlineLevel="1">
      <c r="C1877" s="816" t="s">
        <v>16</v>
      </c>
      <c r="D1877" s="223" t="s">
        <v>1254</v>
      </c>
      <c r="E1877" s="1052" t="s">
        <v>1746</v>
      </c>
      <c r="F1877" s="20"/>
      <c r="G1877" s="20"/>
      <c r="H1877" s="20"/>
      <c r="I1877" s="20"/>
      <c r="J1877" s="20"/>
      <c r="K1877" s="20"/>
      <c r="L1877" s="20"/>
      <c r="M1877" s="20"/>
      <c r="N1877" s="20"/>
      <c r="O1877" s="20"/>
      <c r="P1877" s="20"/>
      <c r="Q1877" s="20"/>
      <c r="R1877" s="20"/>
      <c r="S1877" s="20"/>
      <c r="T1877" s="20"/>
      <c r="U1877" s="20"/>
      <c r="V1877" s="20"/>
      <c r="W1877" s="20"/>
      <c r="X1877" s="20"/>
      <c r="Y1877" s="20"/>
      <c r="Z1877" s="20"/>
      <c r="AA1877" s="20"/>
      <c r="AB1877" s="12"/>
      <c r="AC1877" s="12"/>
      <c r="AD1877" s="12"/>
      <c r="AE1877" s="12"/>
      <c r="AF1877" s="12"/>
      <c r="AG1877" s="12"/>
      <c r="AH1877" s="12"/>
      <c r="AI1877" s="12"/>
      <c r="AJ1877" s="12"/>
      <c r="AK1877" s="12"/>
      <c r="AL1877" s="12">
        <v>1260000</v>
      </c>
      <c r="AM1877" s="12">
        <v>1460000</v>
      </c>
      <c r="AN1877" s="1070">
        <v>944228</v>
      </c>
      <c r="AO1877" s="1070">
        <v>944227</v>
      </c>
      <c r="AP1877" s="1070">
        <v>944228</v>
      </c>
      <c r="AQ1877" s="1070">
        <v>944227</v>
      </c>
      <c r="AR1877" s="1044"/>
      <c r="AS1877" s="1044"/>
    </row>
    <row r="1878" spans="2:45" hidden="1" outlineLevel="1">
      <c r="C1878" s="816" t="s">
        <v>16</v>
      </c>
      <c r="D1878" s="1051" t="s">
        <v>1254</v>
      </c>
      <c r="E1878" s="1052" t="s">
        <v>1747</v>
      </c>
      <c r="F1878" s="20"/>
      <c r="G1878" s="20"/>
      <c r="H1878" s="20"/>
      <c r="I1878" s="20"/>
      <c r="J1878" s="20"/>
      <c r="K1878" s="20"/>
      <c r="L1878" s="20"/>
      <c r="M1878" s="20"/>
      <c r="N1878" s="20"/>
      <c r="O1878" s="20"/>
      <c r="P1878" s="20"/>
      <c r="Q1878" s="20"/>
      <c r="R1878" s="20"/>
      <c r="S1878" s="20"/>
      <c r="T1878" s="20"/>
      <c r="U1878" s="20"/>
      <c r="V1878" s="20"/>
      <c r="W1878" s="20"/>
      <c r="X1878" s="20"/>
      <c r="Y1878" s="20"/>
      <c r="Z1878" s="20"/>
      <c r="AA1878" s="20"/>
      <c r="AB1878" s="12"/>
      <c r="AC1878" s="12"/>
      <c r="AD1878" s="12"/>
      <c r="AE1878" s="12"/>
      <c r="AF1878" s="12"/>
      <c r="AG1878" s="12"/>
      <c r="AH1878" s="12"/>
      <c r="AI1878" s="12"/>
      <c r="AJ1878" s="12"/>
      <c r="AK1878" s="12"/>
      <c r="AL1878" s="12">
        <v>550000</v>
      </c>
      <c r="AM1878" s="12">
        <v>550000</v>
      </c>
      <c r="AN1878" s="1070">
        <v>381857</v>
      </c>
      <c r="AO1878" s="1070">
        <v>381856</v>
      </c>
      <c r="AP1878" s="1070">
        <v>381857</v>
      </c>
      <c r="AQ1878" s="1070">
        <v>381856</v>
      </c>
      <c r="AR1878" s="1044"/>
      <c r="AS1878" s="1044"/>
    </row>
    <row r="1879" spans="2:45" s="1044" customFormat="1" hidden="1" outlineLevel="1">
      <c r="B1879" s="1045"/>
      <c r="C1879" s="1053" t="s">
        <v>16</v>
      </c>
      <c r="D1879" s="1051" t="s">
        <v>1254</v>
      </c>
      <c r="E1879" s="1052" t="s">
        <v>1965</v>
      </c>
      <c r="F1879" s="1047"/>
      <c r="G1879" s="1047"/>
      <c r="H1879" s="1047"/>
      <c r="I1879" s="1047"/>
      <c r="J1879" s="1047"/>
      <c r="K1879" s="1047"/>
      <c r="L1879" s="1047"/>
      <c r="M1879" s="1047"/>
      <c r="N1879" s="1047"/>
      <c r="O1879" s="1047"/>
      <c r="P1879" s="1047"/>
      <c r="Q1879" s="1047"/>
      <c r="R1879" s="1047"/>
      <c r="S1879" s="1047"/>
      <c r="T1879" s="1047"/>
      <c r="U1879" s="1047"/>
      <c r="V1879" s="1047"/>
      <c r="W1879" s="1047"/>
      <c r="X1879" s="1047"/>
      <c r="Y1879" s="1047"/>
      <c r="Z1879" s="1047"/>
      <c r="AA1879" s="1047"/>
      <c r="AB1879" s="1070"/>
      <c r="AC1879" s="1070"/>
      <c r="AD1879" s="1070"/>
      <c r="AE1879" s="1070"/>
      <c r="AF1879" s="1070"/>
      <c r="AG1879" s="1070"/>
      <c r="AH1879" s="1070"/>
      <c r="AI1879" s="1070"/>
      <c r="AJ1879" s="1070"/>
      <c r="AK1879" s="1070"/>
      <c r="AL1879" s="1070"/>
      <c r="AM1879" s="1070"/>
      <c r="AN1879" s="1070"/>
      <c r="AO1879" s="1070"/>
      <c r="AP1879" s="1070">
        <v>950000</v>
      </c>
      <c r="AQ1879" s="1070">
        <v>950000</v>
      </c>
    </row>
    <row r="1880" spans="2:45" hidden="1" outlineLevel="1">
      <c r="C1880" s="816" t="s">
        <v>16</v>
      </c>
      <c r="D1880" s="9"/>
      <c r="E1880" s="20" t="s">
        <v>549</v>
      </c>
      <c r="F1880" s="20"/>
      <c r="G1880" s="20"/>
      <c r="H1880" s="20"/>
      <c r="I1880" s="20"/>
      <c r="J1880" s="20"/>
      <c r="K1880" s="20"/>
      <c r="L1880" s="20"/>
      <c r="M1880" s="20"/>
      <c r="N1880" s="20"/>
      <c r="O1880" s="20"/>
      <c r="P1880" s="20"/>
      <c r="Q1880" s="20"/>
      <c r="R1880" s="20"/>
      <c r="S1880" s="20"/>
      <c r="T1880" s="20"/>
      <c r="U1880" s="20"/>
      <c r="V1880" s="20"/>
      <c r="W1880" s="20"/>
      <c r="X1880" s="20"/>
      <c r="Y1880" s="20"/>
      <c r="Z1880" s="20"/>
      <c r="AA1880" s="20"/>
      <c r="AB1880" s="12">
        <v>27321</v>
      </c>
      <c r="AC1880" s="12">
        <v>27321</v>
      </c>
      <c r="AD1880" s="12">
        <v>27321</v>
      </c>
      <c r="AE1880" s="12">
        <v>27321</v>
      </c>
      <c r="AF1880" s="12">
        <v>27321</v>
      </c>
      <c r="AG1880" s="12">
        <v>27321</v>
      </c>
      <c r="AH1880" s="12">
        <v>20491</v>
      </c>
      <c r="AI1880" s="12">
        <v>20491</v>
      </c>
      <c r="AJ1880" s="12">
        <v>20491</v>
      </c>
      <c r="AK1880" s="12">
        <v>20491</v>
      </c>
      <c r="AL1880" s="12">
        <v>20491</v>
      </c>
      <c r="AM1880" s="12">
        <v>20491</v>
      </c>
      <c r="AN1880" s="1070">
        <v>14227</v>
      </c>
      <c r="AO1880" s="1070">
        <v>14226</v>
      </c>
      <c r="AP1880" s="1070">
        <v>14227</v>
      </c>
      <c r="AQ1880" s="1070">
        <v>14226</v>
      </c>
      <c r="AR1880" s="1044"/>
      <c r="AS1880" s="1044"/>
    </row>
    <row r="1881" spans="2:45" hidden="1" outlineLevel="1">
      <c r="C1881" s="816" t="s">
        <v>16</v>
      </c>
      <c r="D1881" s="9"/>
      <c r="E1881" s="20" t="s">
        <v>550</v>
      </c>
      <c r="F1881" s="20"/>
      <c r="G1881" s="20"/>
      <c r="H1881" s="20"/>
      <c r="I1881" s="20"/>
      <c r="J1881" s="20"/>
      <c r="K1881" s="20"/>
      <c r="L1881" s="20"/>
      <c r="M1881" s="20"/>
      <c r="N1881" s="20"/>
      <c r="O1881" s="20"/>
      <c r="P1881" s="20"/>
      <c r="Q1881" s="20"/>
      <c r="R1881" s="20"/>
      <c r="S1881" s="20"/>
      <c r="T1881" s="20"/>
      <c r="U1881" s="20"/>
      <c r="V1881" s="20"/>
      <c r="W1881" s="20"/>
      <c r="X1881" s="20"/>
      <c r="Y1881" s="20"/>
      <c r="Z1881" s="20"/>
      <c r="AA1881" s="20"/>
      <c r="AB1881" s="12">
        <v>109016</v>
      </c>
      <c r="AC1881" s="12">
        <v>109016</v>
      </c>
      <c r="AD1881" s="12">
        <v>109016</v>
      </c>
      <c r="AE1881" s="12">
        <v>109016</v>
      </c>
      <c r="AF1881" s="12">
        <v>119918</v>
      </c>
      <c r="AG1881" s="12">
        <v>119918</v>
      </c>
      <c r="AH1881" s="12">
        <v>119918</v>
      </c>
      <c r="AI1881" s="12">
        <v>119918</v>
      </c>
      <c r="AJ1881" s="12">
        <v>131910</v>
      </c>
      <c r="AK1881" s="12">
        <v>131910</v>
      </c>
      <c r="AL1881" s="12">
        <v>131910</v>
      </c>
      <c r="AM1881" s="12">
        <v>131910</v>
      </c>
      <c r="AN1881" s="1070">
        <v>86763</v>
      </c>
      <c r="AO1881" s="1070">
        <v>86763</v>
      </c>
      <c r="AP1881" s="1070">
        <v>86763</v>
      </c>
      <c r="AQ1881" s="1070">
        <v>86763</v>
      </c>
      <c r="AR1881" s="1044"/>
      <c r="AS1881" s="1044"/>
    </row>
    <row r="1882" spans="2:45" hidden="1" outlineLevel="1">
      <c r="C1882" s="816" t="s">
        <v>16</v>
      </c>
      <c r="D1882" s="9"/>
      <c r="E1882" s="20" t="s">
        <v>551</v>
      </c>
      <c r="F1882" s="20"/>
      <c r="G1882" s="20"/>
      <c r="H1882" s="20"/>
      <c r="I1882" s="20"/>
      <c r="J1882" s="20"/>
      <c r="K1882" s="20"/>
      <c r="L1882" s="20"/>
      <c r="M1882" s="20"/>
      <c r="N1882" s="20"/>
      <c r="O1882" s="20"/>
      <c r="P1882" s="20"/>
      <c r="Q1882" s="20"/>
      <c r="R1882" s="20"/>
      <c r="S1882" s="20"/>
      <c r="T1882" s="20"/>
      <c r="U1882" s="20"/>
      <c r="V1882" s="20"/>
      <c r="W1882" s="20"/>
      <c r="X1882" s="20"/>
      <c r="Y1882" s="20"/>
      <c r="Z1882" s="20"/>
      <c r="AA1882" s="20"/>
      <c r="AB1882" s="12">
        <v>72941</v>
      </c>
      <c r="AC1882" s="12">
        <v>72941</v>
      </c>
      <c r="AD1882" s="12">
        <v>72941</v>
      </c>
      <c r="AE1882" s="12">
        <v>72941</v>
      </c>
      <c r="AF1882" s="12">
        <v>72941</v>
      </c>
      <c r="AG1882" s="12">
        <v>72941</v>
      </c>
      <c r="AH1882" s="12">
        <v>54706</v>
      </c>
      <c r="AI1882" s="12">
        <v>54706</v>
      </c>
      <c r="AJ1882" s="12">
        <v>54706</v>
      </c>
      <c r="AK1882" s="12">
        <v>54706</v>
      </c>
      <c r="AL1882" s="12">
        <v>54706</v>
      </c>
      <c r="AM1882" s="12">
        <v>54706</v>
      </c>
      <c r="AN1882" s="1070">
        <v>37982</v>
      </c>
      <c r="AO1882" s="1070">
        <v>37981</v>
      </c>
      <c r="AP1882" s="1070">
        <v>37982</v>
      </c>
      <c r="AQ1882" s="1070">
        <v>37981</v>
      </c>
      <c r="AR1882" s="1044"/>
      <c r="AS1882" s="1044"/>
    </row>
    <row r="1883" spans="2:45" hidden="1" outlineLevel="1">
      <c r="C1883" s="816" t="s">
        <v>16</v>
      </c>
      <c r="D1883" s="9"/>
      <c r="E1883" s="20" t="s">
        <v>552</v>
      </c>
      <c r="F1883" s="20"/>
      <c r="G1883" s="20"/>
      <c r="H1883" s="20"/>
      <c r="I1883" s="20"/>
      <c r="J1883" s="20"/>
      <c r="K1883" s="20"/>
      <c r="L1883" s="20"/>
      <c r="M1883" s="20"/>
      <c r="N1883" s="20"/>
      <c r="O1883" s="20"/>
      <c r="P1883" s="20"/>
      <c r="Q1883" s="20"/>
      <c r="R1883" s="20"/>
      <c r="S1883" s="20"/>
      <c r="T1883" s="20"/>
      <c r="U1883" s="20"/>
      <c r="V1883" s="20"/>
      <c r="W1883" s="20"/>
      <c r="X1883" s="20"/>
      <c r="Y1883" s="20"/>
      <c r="Z1883" s="20"/>
      <c r="AA1883" s="20"/>
      <c r="AB1883" s="12">
        <v>124688</v>
      </c>
      <c r="AC1883" s="12">
        <v>124688</v>
      </c>
      <c r="AD1883" s="12">
        <v>124689</v>
      </c>
      <c r="AE1883" s="12">
        <v>124689</v>
      </c>
      <c r="AF1883" s="12">
        <v>124689</v>
      </c>
      <c r="AG1883" s="12">
        <v>124689</v>
      </c>
      <c r="AH1883" s="12">
        <v>93517</v>
      </c>
      <c r="AI1883" s="12">
        <v>93517</v>
      </c>
      <c r="AJ1883" s="12">
        <v>93517</v>
      </c>
      <c r="AK1883" s="12">
        <v>93517</v>
      </c>
      <c r="AL1883" s="12">
        <v>93517</v>
      </c>
      <c r="AM1883" s="12">
        <v>93517</v>
      </c>
      <c r="AN1883" s="1070">
        <v>64928</v>
      </c>
      <c r="AO1883" s="1070">
        <v>64927</v>
      </c>
      <c r="AP1883" s="1070">
        <v>64928</v>
      </c>
      <c r="AQ1883" s="1070">
        <v>64927</v>
      </c>
      <c r="AR1883" s="1044"/>
      <c r="AS1883" s="1044"/>
    </row>
    <row r="1884" spans="2:45" hidden="1" outlineLevel="1">
      <c r="C1884" s="816" t="s">
        <v>16</v>
      </c>
      <c r="D1884" s="223" t="s">
        <v>1354</v>
      </c>
      <c r="E1884" s="20" t="s">
        <v>553</v>
      </c>
      <c r="F1884" s="20"/>
      <c r="G1884" s="20"/>
      <c r="H1884" s="20"/>
      <c r="I1884" s="20"/>
      <c r="J1884" s="20"/>
      <c r="K1884" s="20"/>
      <c r="L1884" s="20"/>
      <c r="M1884" s="20"/>
      <c r="N1884" s="20"/>
      <c r="O1884" s="20"/>
      <c r="P1884" s="20"/>
      <c r="Q1884" s="20"/>
      <c r="R1884" s="20"/>
      <c r="S1884" s="20"/>
      <c r="T1884" s="20"/>
      <c r="U1884" s="20"/>
      <c r="V1884" s="20"/>
      <c r="W1884" s="20"/>
      <c r="X1884" s="20"/>
      <c r="Y1884" s="20"/>
      <c r="Z1884" s="20"/>
      <c r="AA1884" s="20"/>
      <c r="AB1884" s="12">
        <v>2562596</v>
      </c>
      <c r="AC1884" s="12">
        <v>2562278</v>
      </c>
      <c r="AD1884" s="12">
        <v>2562428</v>
      </c>
      <c r="AE1884" s="12">
        <v>2562427</v>
      </c>
      <c r="AF1884" s="12">
        <v>2003074</v>
      </c>
      <c r="AG1884" s="12">
        <v>2003074</v>
      </c>
      <c r="AH1884" s="12">
        <v>1502306</v>
      </c>
      <c r="AI1884" s="12">
        <v>1502306</v>
      </c>
      <c r="AJ1884" s="21">
        <v>2002306</v>
      </c>
      <c r="AK1884" s="21">
        <v>2002306</v>
      </c>
      <c r="AL1884" s="21">
        <v>2002306</v>
      </c>
      <c r="AM1884" s="21">
        <v>2002306</v>
      </c>
      <c r="AN1884" s="1058">
        <v>1463338</v>
      </c>
      <c r="AO1884" s="1058">
        <v>1463338</v>
      </c>
      <c r="AP1884" s="1070">
        <v>4469863</v>
      </c>
      <c r="AQ1884" s="1070">
        <v>4469862</v>
      </c>
      <c r="AR1884" s="1044"/>
      <c r="AS1884" s="1044"/>
    </row>
    <row r="1885" spans="2:45" hidden="1" outlineLevel="1">
      <c r="C1885" s="816" t="s">
        <v>16</v>
      </c>
      <c r="D1885" s="223" t="s">
        <v>1200</v>
      </c>
      <c r="E1885" s="25" t="s">
        <v>1488</v>
      </c>
      <c r="F1885" s="6"/>
      <c r="G1885" s="6"/>
      <c r="H1885" s="6"/>
      <c r="I1885" s="6"/>
      <c r="J1885" s="6"/>
      <c r="K1885" s="6"/>
      <c r="L1885" s="6"/>
      <c r="M1885" s="6"/>
      <c r="N1885" s="6"/>
      <c r="O1885" s="6"/>
      <c r="P1885" s="6"/>
      <c r="Q1885" s="6"/>
      <c r="R1885" s="6"/>
      <c r="S1885" s="6"/>
      <c r="T1885" s="6"/>
      <c r="U1885" s="6"/>
      <c r="V1885" s="6"/>
      <c r="W1885" s="6"/>
      <c r="X1885" s="6"/>
      <c r="Y1885" s="6"/>
      <c r="Z1885" s="6"/>
      <c r="AA1885" s="6"/>
      <c r="AB1885" s="7">
        <v>4165528</v>
      </c>
      <c r="AC1885" s="7">
        <v>4165210</v>
      </c>
      <c r="AD1885" s="7">
        <v>4165362</v>
      </c>
      <c r="AE1885" s="7">
        <v>4165361</v>
      </c>
      <c r="AF1885" s="7">
        <f t="shared" ref="AF1885:AQ1885" si="359">SUM(AF1874:AF1884)</f>
        <v>3616910</v>
      </c>
      <c r="AG1885" s="7">
        <f t="shared" si="359"/>
        <v>3616910</v>
      </c>
      <c r="AH1885" s="7">
        <f t="shared" si="359"/>
        <v>2742663</v>
      </c>
      <c r="AI1885" s="7">
        <f t="shared" si="359"/>
        <v>2742663</v>
      </c>
      <c r="AJ1885" s="7">
        <f t="shared" si="359"/>
        <v>3254655</v>
      </c>
      <c r="AK1885" s="7">
        <f t="shared" si="359"/>
        <v>3254655</v>
      </c>
      <c r="AL1885" s="60">
        <f t="shared" si="359"/>
        <v>5064655</v>
      </c>
      <c r="AM1885" s="60">
        <f t="shared" si="359"/>
        <v>5264655</v>
      </c>
      <c r="AN1885" s="1074">
        <f t="shared" si="359"/>
        <v>3507673</v>
      </c>
      <c r="AO1885" s="1074">
        <f t="shared" si="359"/>
        <v>3507667</v>
      </c>
      <c r="AP1885" s="1074">
        <f t="shared" si="359"/>
        <v>7464198</v>
      </c>
      <c r="AQ1885" s="1074">
        <f t="shared" si="359"/>
        <v>7464191</v>
      </c>
      <c r="AR1885" s="1044"/>
      <c r="AS1885" s="1044"/>
    </row>
    <row r="1886" spans="2:45" hidden="1" outlineLevel="1">
      <c r="C1886" s="816" t="s">
        <v>16</v>
      </c>
      <c r="D1886" s="9"/>
      <c r="E1886" s="20" t="s">
        <v>555</v>
      </c>
      <c r="F1886" s="20"/>
      <c r="G1886" s="20"/>
      <c r="H1886" s="20"/>
      <c r="I1886" s="20"/>
      <c r="J1886" s="20"/>
      <c r="K1886" s="20"/>
      <c r="L1886" s="20"/>
      <c r="M1886" s="20"/>
      <c r="N1886" s="20"/>
      <c r="O1886" s="20"/>
      <c r="P1886" s="20"/>
      <c r="Q1886" s="20"/>
      <c r="R1886" s="20"/>
      <c r="S1886" s="20"/>
      <c r="T1886" s="20"/>
      <c r="U1886" s="20"/>
      <c r="V1886" s="20"/>
      <c r="W1886" s="20"/>
      <c r="X1886" s="20"/>
      <c r="Y1886" s="20"/>
      <c r="Z1886" s="20"/>
      <c r="AA1886" s="20"/>
      <c r="AB1886" s="12">
        <v>124688</v>
      </c>
      <c r="AC1886" s="12">
        <v>124687</v>
      </c>
      <c r="AD1886" s="12">
        <v>124687</v>
      </c>
      <c r="AE1886" s="12">
        <v>125070</v>
      </c>
      <c r="AF1886" s="12">
        <v>124687</v>
      </c>
      <c r="AG1886" s="12">
        <v>125070</v>
      </c>
      <c r="AH1886" s="12">
        <v>93515</v>
      </c>
      <c r="AI1886" s="12">
        <v>93802</v>
      </c>
      <c r="AJ1886" s="21">
        <v>93515</v>
      </c>
      <c r="AK1886" s="12">
        <v>93802</v>
      </c>
      <c r="AL1886" s="21">
        <v>93515</v>
      </c>
      <c r="AM1886" s="12">
        <v>93802</v>
      </c>
      <c r="AN1886" s="1070">
        <v>60052</v>
      </c>
      <c r="AO1886" s="1070">
        <v>60052</v>
      </c>
      <c r="AP1886" s="1070">
        <v>60052</v>
      </c>
      <c r="AQ1886" s="1070">
        <v>60052</v>
      </c>
      <c r="AR1886" s="1044"/>
      <c r="AS1886" s="1044"/>
    </row>
    <row r="1887" spans="2:45" hidden="1" outlineLevel="1">
      <c r="C1887" s="816" t="s">
        <v>16</v>
      </c>
      <c r="D1887" s="9"/>
      <c r="E1887" s="224" t="s">
        <v>1751</v>
      </c>
      <c r="F1887" s="20"/>
      <c r="G1887" s="20"/>
      <c r="H1887" s="20"/>
      <c r="I1887" s="20"/>
      <c r="J1887" s="20"/>
      <c r="K1887" s="20"/>
      <c r="L1887" s="20"/>
      <c r="M1887" s="20"/>
      <c r="N1887" s="20"/>
      <c r="O1887" s="20"/>
      <c r="P1887" s="20"/>
      <c r="Q1887" s="20"/>
      <c r="R1887" s="20"/>
      <c r="S1887" s="20"/>
      <c r="T1887" s="20"/>
      <c r="U1887" s="20"/>
      <c r="V1887" s="20"/>
      <c r="W1887" s="20"/>
      <c r="X1887" s="20"/>
      <c r="Y1887" s="20"/>
      <c r="Z1887" s="20"/>
      <c r="AA1887" s="20"/>
      <c r="AB1887" s="12"/>
      <c r="AC1887" s="12"/>
      <c r="AD1887" s="12"/>
      <c r="AE1887" s="12"/>
      <c r="AF1887" s="12"/>
      <c r="AG1887" s="12"/>
      <c r="AH1887" s="12"/>
      <c r="AI1887" s="12"/>
      <c r="AJ1887" s="21"/>
      <c r="AK1887" s="12"/>
      <c r="AL1887" s="21">
        <v>1000000</v>
      </c>
      <c r="AM1887" s="12">
        <v>2000000</v>
      </c>
      <c r="AN1887" s="1070">
        <v>961755</v>
      </c>
      <c r="AO1887" s="1070">
        <v>961754</v>
      </c>
      <c r="AP1887" s="1070">
        <v>961755</v>
      </c>
      <c r="AQ1887" s="1070">
        <v>961754</v>
      </c>
      <c r="AR1887" s="1044"/>
      <c r="AS1887" s="1044"/>
    </row>
    <row r="1888" spans="2:45" hidden="1" outlineLevel="1">
      <c r="C1888" s="816" t="s">
        <v>16</v>
      </c>
      <c r="D1888" s="9"/>
      <c r="E1888" s="20" t="s">
        <v>556</v>
      </c>
      <c r="F1888" s="20"/>
      <c r="G1888" s="20"/>
      <c r="H1888" s="20"/>
      <c r="I1888" s="20"/>
      <c r="J1888" s="20"/>
      <c r="K1888" s="20"/>
      <c r="L1888" s="20"/>
      <c r="M1888" s="20"/>
      <c r="N1888" s="20"/>
      <c r="O1888" s="20"/>
      <c r="P1888" s="20"/>
      <c r="Q1888" s="20"/>
      <c r="R1888" s="20"/>
      <c r="S1888" s="20"/>
      <c r="T1888" s="20"/>
      <c r="U1888" s="20"/>
      <c r="V1888" s="20"/>
      <c r="W1888" s="20"/>
      <c r="X1888" s="20"/>
      <c r="Y1888" s="20"/>
      <c r="Z1888" s="20"/>
      <c r="AA1888" s="20"/>
      <c r="AB1888" s="12">
        <v>366115</v>
      </c>
      <c r="AC1888" s="12">
        <v>366115</v>
      </c>
      <c r="AD1888" s="12">
        <v>366116</v>
      </c>
      <c r="AE1888" s="12">
        <v>366116</v>
      </c>
      <c r="AF1888" s="12">
        <v>366116</v>
      </c>
      <c r="AG1888" s="12">
        <v>366116</v>
      </c>
      <c r="AH1888" s="12">
        <v>274587</v>
      </c>
      <c r="AI1888" s="12">
        <v>274587</v>
      </c>
      <c r="AJ1888" s="12">
        <v>274587</v>
      </c>
      <c r="AK1888" s="12">
        <v>274587</v>
      </c>
      <c r="AL1888" s="12">
        <v>274587</v>
      </c>
      <c r="AM1888" s="12">
        <v>274587</v>
      </c>
      <c r="AN1888" s="1070">
        <v>176057</v>
      </c>
      <c r="AO1888" s="1070">
        <v>176056</v>
      </c>
      <c r="AP1888" s="1070">
        <v>176057</v>
      </c>
      <c r="AQ1888" s="1070">
        <v>176056</v>
      </c>
      <c r="AR1888" s="1044"/>
      <c r="AS1888" s="1044"/>
    </row>
    <row r="1889" spans="2:45" hidden="1" outlineLevel="1">
      <c r="C1889" s="816" t="s">
        <v>16</v>
      </c>
      <c r="D1889" s="9"/>
      <c r="E1889" s="20" t="s">
        <v>557</v>
      </c>
      <c r="F1889" s="20"/>
      <c r="G1889" s="20"/>
      <c r="H1889" s="20"/>
      <c r="I1889" s="20"/>
      <c r="J1889" s="20"/>
      <c r="K1889" s="20"/>
      <c r="L1889" s="20"/>
      <c r="M1889" s="20"/>
      <c r="N1889" s="20"/>
      <c r="O1889" s="20"/>
      <c r="P1889" s="20"/>
      <c r="Q1889" s="20"/>
      <c r="R1889" s="20"/>
      <c r="S1889" s="20"/>
      <c r="T1889" s="20"/>
      <c r="U1889" s="20"/>
      <c r="V1889" s="20"/>
      <c r="W1889" s="20"/>
      <c r="X1889" s="20"/>
      <c r="Y1889" s="20"/>
      <c r="Z1889" s="20"/>
      <c r="AA1889" s="20"/>
      <c r="AB1889" s="12">
        <v>164582</v>
      </c>
      <c r="AC1889" s="12">
        <v>164582</v>
      </c>
      <c r="AD1889" s="12">
        <v>188903</v>
      </c>
      <c r="AE1889" s="12">
        <v>188903</v>
      </c>
      <c r="AF1889" s="12">
        <v>217238</v>
      </c>
      <c r="AG1889" s="12">
        <v>217238</v>
      </c>
      <c r="AH1889" s="12">
        <v>217238</v>
      </c>
      <c r="AI1889" s="12">
        <v>217238</v>
      </c>
      <c r="AJ1889" s="21">
        <v>238962</v>
      </c>
      <c r="AK1889" s="21">
        <v>238962</v>
      </c>
      <c r="AL1889" s="21">
        <v>238962</v>
      </c>
      <c r="AM1889" s="21">
        <v>238962</v>
      </c>
      <c r="AN1889" s="1058">
        <v>151200</v>
      </c>
      <c r="AO1889" s="1058">
        <v>151199</v>
      </c>
      <c r="AP1889" s="1058">
        <v>151200</v>
      </c>
      <c r="AQ1889" s="1058">
        <v>151199</v>
      </c>
      <c r="AR1889" s="1044"/>
      <c r="AS1889" s="1044"/>
    </row>
    <row r="1890" spans="2:45" hidden="1" outlineLevel="1">
      <c r="C1890" s="816" t="s">
        <v>16</v>
      </c>
      <c r="D1890" s="9"/>
      <c r="E1890" s="20" t="s">
        <v>558</v>
      </c>
      <c r="F1890" s="20"/>
      <c r="G1890" s="20"/>
      <c r="H1890" s="20"/>
      <c r="I1890" s="20"/>
      <c r="J1890" s="20"/>
      <c r="K1890" s="20"/>
      <c r="L1890" s="20"/>
      <c r="M1890" s="20"/>
      <c r="N1890" s="20"/>
      <c r="O1890" s="20"/>
      <c r="P1890" s="20"/>
      <c r="Q1890" s="20"/>
      <c r="R1890" s="20"/>
      <c r="S1890" s="20"/>
      <c r="T1890" s="20"/>
      <c r="U1890" s="20"/>
      <c r="V1890" s="20"/>
      <c r="W1890" s="20"/>
      <c r="X1890" s="20"/>
      <c r="Y1890" s="20"/>
      <c r="Z1890" s="20"/>
      <c r="AA1890" s="20"/>
      <c r="AB1890" s="12">
        <v>7805842</v>
      </c>
      <c r="AC1890" s="12">
        <v>3628050</v>
      </c>
      <c r="AD1890" s="12">
        <v>7163000</v>
      </c>
      <c r="AE1890" s="12">
        <v>4551000</v>
      </c>
      <c r="AF1890" s="12">
        <v>5405000</v>
      </c>
      <c r="AG1890" s="12">
        <v>4615000</v>
      </c>
      <c r="AH1890" s="12">
        <v>3610593</v>
      </c>
      <c r="AI1890" s="12">
        <v>3610593</v>
      </c>
      <c r="AJ1890" s="21">
        <v>5016195</v>
      </c>
      <c r="AK1890" s="21">
        <v>3669000</v>
      </c>
      <c r="AL1890" s="21">
        <v>6331000</v>
      </c>
      <c r="AM1890" s="21">
        <v>3964000</v>
      </c>
      <c r="AN1890" s="1058">
        <v>3537401</v>
      </c>
      <c r="AO1890" s="1058">
        <v>3537400</v>
      </c>
      <c r="AP1890" s="1058">
        <v>4216273</v>
      </c>
      <c r="AQ1890" s="1058">
        <v>3093273</v>
      </c>
      <c r="AR1890" s="1044"/>
      <c r="AS1890" s="1044"/>
    </row>
    <row r="1891" spans="2:45" hidden="1" outlineLevel="1">
      <c r="C1891" s="816" t="s">
        <v>16</v>
      </c>
      <c r="D1891" s="9"/>
      <c r="E1891" s="20" t="s">
        <v>559</v>
      </c>
      <c r="F1891" s="20"/>
      <c r="G1891" s="20"/>
      <c r="H1891" s="20"/>
      <c r="I1891" s="20"/>
      <c r="J1891" s="20"/>
      <c r="K1891" s="20"/>
      <c r="L1891" s="20"/>
      <c r="M1891" s="20"/>
      <c r="N1891" s="20"/>
      <c r="O1891" s="20"/>
      <c r="P1891" s="20"/>
      <c r="Q1891" s="20"/>
      <c r="R1891" s="20"/>
      <c r="S1891" s="20"/>
      <c r="T1891" s="20"/>
      <c r="U1891" s="20"/>
      <c r="V1891" s="20"/>
      <c r="W1891" s="20"/>
      <c r="X1891" s="20"/>
      <c r="Y1891" s="20"/>
      <c r="Z1891" s="20"/>
      <c r="AA1891" s="20"/>
      <c r="AB1891" s="12">
        <v>1468522</v>
      </c>
      <c r="AC1891" s="12">
        <v>1814025</v>
      </c>
      <c r="AD1891" s="12">
        <v>4053000</v>
      </c>
      <c r="AE1891" s="12">
        <v>2425000</v>
      </c>
      <c r="AF1891" s="12">
        <v>4324000</v>
      </c>
      <c r="AG1891" s="12">
        <v>2540000</v>
      </c>
      <c r="AH1891" s="12">
        <v>2024325</v>
      </c>
      <c r="AI1891" s="12">
        <v>2024325</v>
      </c>
      <c r="AJ1891" s="21">
        <v>2708813</v>
      </c>
      <c r="AK1891" s="21">
        <v>2024000</v>
      </c>
      <c r="AL1891" s="21">
        <v>2125000</v>
      </c>
      <c r="AM1891" s="21">
        <v>2024000</v>
      </c>
      <c r="AN1891" s="1058">
        <v>1400112</v>
      </c>
      <c r="AO1891" s="1058">
        <v>1400112</v>
      </c>
      <c r="AP1891" s="1058">
        <v>2883000</v>
      </c>
      <c r="AQ1891" s="1058">
        <v>1686000</v>
      </c>
      <c r="AR1891" s="1044"/>
      <c r="AS1891" s="1044"/>
    </row>
    <row r="1892" spans="2:45" hidden="1" outlineLevel="1">
      <c r="C1892" s="816" t="s">
        <v>16</v>
      </c>
      <c r="D1892" s="9"/>
      <c r="E1892" s="20" t="s">
        <v>560</v>
      </c>
      <c r="F1892" s="20"/>
      <c r="G1892" s="20"/>
      <c r="H1892" s="20"/>
      <c r="I1892" s="20"/>
      <c r="J1892" s="20"/>
      <c r="K1892" s="20"/>
      <c r="L1892" s="20"/>
      <c r="M1892" s="20"/>
      <c r="N1892" s="20"/>
      <c r="O1892" s="20"/>
      <c r="P1892" s="20"/>
      <c r="Q1892" s="20"/>
      <c r="R1892" s="20"/>
      <c r="S1892" s="20"/>
      <c r="T1892" s="20"/>
      <c r="U1892" s="20"/>
      <c r="V1892" s="20"/>
      <c r="W1892" s="20"/>
      <c r="X1892" s="20"/>
      <c r="Y1892" s="20"/>
      <c r="Z1892" s="20"/>
      <c r="AA1892" s="20"/>
      <c r="AB1892" s="12">
        <v>274458</v>
      </c>
      <c r="AC1892" s="12">
        <v>290854</v>
      </c>
      <c r="AD1892" s="12">
        <v>299218</v>
      </c>
      <c r="AE1892" s="12">
        <v>319816</v>
      </c>
      <c r="AF1892" s="12">
        <v>299218</v>
      </c>
      <c r="AG1892" s="12">
        <v>319816</v>
      </c>
      <c r="AH1892" s="12">
        <v>224414</v>
      </c>
      <c r="AI1892" s="12">
        <v>239862</v>
      </c>
      <c r="AJ1892" s="21">
        <v>224414</v>
      </c>
      <c r="AK1892" s="21">
        <v>239862</v>
      </c>
      <c r="AL1892" s="21">
        <v>224414</v>
      </c>
      <c r="AM1892" s="21">
        <v>239862</v>
      </c>
      <c r="AN1892" s="1058">
        <v>148840</v>
      </c>
      <c r="AO1892" s="1058">
        <v>148840</v>
      </c>
      <c r="AP1892" s="1058">
        <v>148840</v>
      </c>
      <c r="AQ1892" s="1058">
        <v>148840</v>
      </c>
      <c r="AR1892" s="1044"/>
      <c r="AS1892" s="1044"/>
    </row>
    <row r="1893" spans="2:45" hidden="1" outlineLevel="1">
      <c r="C1893" s="816" t="s">
        <v>16</v>
      </c>
      <c r="D1893" s="9"/>
      <c r="E1893" s="20" t="s">
        <v>561</v>
      </c>
      <c r="F1893" s="20"/>
      <c r="G1893" s="20"/>
      <c r="H1893" s="20"/>
      <c r="I1893" s="20"/>
      <c r="J1893" s="20"/>
      <c r="K1893" s="20"/>
      <c r="L1893" s="20"/>
      <c r="M1893" s="20"/>
      <c r="N1893" s="20"/>
      <c r="O1893" s="20"/>
      <c r="P1893" s="20"/>
      <c r="Q1893" s="20"/>
      <c r="R1893" s="20"/>
      <c r="S1893" s="20"/>
      <c r="T1893" s="20"/>
      <c r="U1893" s="20"/>
      <c r="V1893" s="20"/>
      <c r="W1893" s="20"/>
      <c r="X1893" s="20"/>
      <c r="Y1893" s="20"/>
      <c r="Z1893" s="20"/>
      <c r="AA1893" s="20"/>
      <c r="AB1893" s="12">
        <v>0</v>
      </c>
      <c r="AC1893" s="12">
        <v>0</v>
      </c>
      <c r="AD1893" s="12">
        <v>250000</v>
      </c>
      <c r="AE1893" s="12">
        <v>250000</v>
      </c>
      <c r="AF1893" s="12">
        <v>250000</v>
      </c>
      <c r="AG1893" s="12">
        <v>250000</v>
      </c>
      <c r="AH1893" s="12">
        <v>250000</v>
      </c>
      <c r="AI1893" s="12">
        <v>250000</v>
      </c>
      <c r="AJ1893" s="37">
        <v>500000</v>
      </c>
      <c r="AK1893" s="37">
        <v>500000</v>
      </c>
      <c r="AL1893" s="37">
        <v>500000</v>
      </c>
      <c r="AM1893" s="37">
        <v>500000</v>
      </c>
      <c r="AN1893" s="1062"/>
      <c r="AO1893" s="1062"/>
      <c r="AP1893" s="1062"/>
      <c r="AQ1893" s="1062"/>
      <c r="AR1893" s="1044"/>
      <c r="AS1893" s="1044"/>
    </row>
    <row r="1894" spans="2:45" hidden="1" outlineLevel="1">
      <c r="C1894" s="816" t="s">
        <v>16</v>
      </c>
      <c r="D1894" s="223" t="s">
        <v>1354</v>
      </c>
      <c r="E1894" s="20" t="s">
        <v>562</v>
      </c>
      <c r="F1894" s="20"/>
      <c r="G1894" s="20"/>
      <c r="H1894" s="20"/>
      <c r="I1894" s="20"/>
      <c r="J1894" s="20"/>
      <c r="K1894" s="20"/>
      <c r="L1894" s="20"/>
      <c r="M1894" s="20"/>
      <c r="N1894" s="20"/>
      <c r="O1894" s="20"/>
      <c r="P1894" s="20"/>
      <c r="Q1894" s="20"/>
      <c r="R1894" s="20"/>
      <c r="S1894" s="20"/>
      <c r="T1894" s="20"/>
      <c r="U1894" s="20"/>
      <c r="V1894" s="20"/>
      <c r="W1894" s="20"/>
      <c r="X1894" s="20"/>
      <c r="Y1894" s="20"/>
      <c r="Z1894" s="20"/>
      <c r="AA1894" s="20"/>
      <c r="AB1894" s="12">
        <v>145666</v>
      </c>
      <c r="AC1894" s="12">
        <v>145666</v>
      </c>
      <c r="AD1894" s="12">
        <v>145666</v>
      </c>
      <c r="AE1894" s="12">
        <v>145666</v>
      </c>
      <c r="AF1894" s="12">
        <v>2836945</v>
      </c>
      <c r="AG1894" s="12">
        <v>2836945</v>
      </c>
      <c r="AH1894" s="12">
        <v>1966398</v>
      </c>
      <c r="AI1894" s="12">
        <v>1966399</v>
      </c>
      <c r="AJ1894" s="21">
        <v>2466398</v>
      </c>
      <c r="AK1894" s="21">
        <v>2466399</v>
      </c>
      <c r="AL1894" s="1224">
        <v>2470153</v>
      </c>
      <c r="AM1894" s="1224">
        <v>2470154</v>
      </c>
      <c r="AN1894" s="1058">
        <v>1667610</v>
      </c>
      <c r="AO1894" s="1058">
        <v>1667610</v>
      </c>
      <c r="AP1894" s="1058">
        <v>1667610</v>
      </c>
      <c r="AQ1894" s="1058">
        <v>1667610</v>
      </c>
      <c r="AR1894" s="1044"/>
      <c r="AS1894" s="1044"/>
    </row>
    <row r="1895" spans="2:45" hidden="1" outlineLevel="1">
      <c r="C1895" s="816" t="s">
        <v>16</v>
      </c>
      <c r="D1895" s="9"/>
      <c r="E1895" s="20" t="s">
        <v>563</v>
      </c>
      <c r="F1895" s="20"/>
      <c r="G1895" s="20"/>
      <c r="H1895" s="20"/>
      <c r="I1895" s="20"/>
      <c r="J1895" s="20"/>
      <c r="K1895" s="20"/>
      <c r="L1895" s="20"/>
      <c r="M1895" s="20"/>
      <c r="N1895" s="20"/>
      <c r="O1895" s="20"/>
      <c r="P1895" s="20"/>
      <c r="Q1895" s="20"/>
      <c r="R1895" s="20"/>
      <c r="S1895" s="20"/>
      <c r="T1895" s="20"/>
      <c r="U1895" s="20"/>
      <c r="V1895" s="20"/>
      <c r="W1895" s="20"/>
      <c r="X1895" s="20"/>
      <c r="Y1895" s="20"/>
      <c r="Z1895" s="20"/>
      <c r="AA1895" s="20"/>
      <c r="AB1895" s="12">
        <v>3116126</v>
      </c>
      <c r="AC1895" s="12">
        <v>2980369</v>
      </c>
      <c r="AD1895" s="12">
        <v>3092724</v>
      </c>
      <c r="AE1895" s="12">
        <v>2970543</v>
      </c>
      <c r="AF1895" s="12">
        <v>145666</v>
      </c>
      <c r="AG1895" s="12">
        <v>145666</v>
      </c>
      <c r="AH1895" s="12">
        <v>109250</v>
      </c>
      <c r="AI1895" s="12">
        <v>109250</v>
      </c>
      <c r="AJ1895" s="21">
        <v>109250</v>
      </c>
      <c r="AK1895" s="21">
        <v>109250</v>
      </c>
      <c r="AL1895" s="21">
        <v>109250</v>
      </c>
      <c r="AM1895" s="21">
        <v>109250</v>
      </c>
      <c r="AN1895" s="1058">
        <v>73048</v>
      </c>
      <c r="AO1895" s="1058">
        <v>73048</v>
      </c>
      <c r="AP1895" s="1058">
        <v>73048</v>
      </c>
      <c r="AQ1895" s="1058">
        <v>73048</v>
      </c>
      <c r="AR1895" s="1044"/>
      <c r="AS1895" s="1044"/>
    </row>
    <row r="1896" spans="2:45" hidden="1" outlineLevel="1">
      <c r="C1896" s="816" t="s">
        <v>16</v>
      </c>
      <c r="D1896" s="223" t="s">
        <v>1200</v>
      </c>
      <c r="E1896" s="25" t="s">
        <v>565</v>
      </c>
      <c r="F1896" s="6"/>
      <c r="G1896" s="6"/>
      <c r="H1896" s="6"/>
      <c r="I1896" s="6"/>
      <c r="J1896" s="6"/>
      <c r="K1896" s="6"/>
      <c r="L1896" s="6"/>
      <c r="M1896" s="6"/>
      <c r="N1896" s="6"/>
      <c r="O1896" s="6"/>
      <c r="P1896" s="6"/>
      <c r="Q1896" s="6"/>
      <c r="R1896" s="6"/>
      <c r="S1896" s="6"/>
      <c r="T1896" s="6"/>
      <c r="U1896" s="6"/>
      <c r="V1896" s="6"/>
      <c r="W1896" s="6"/>
      <c r="X1896" s="6"/>
      <c r="Y1896" s="6"/>
      <c r="Z1896" s="6"/>
      <c r="AA1896" s="6"/>
      <c r="AB1896" s="7">
        <v>13465999</v>
      </c>
      <c r="AC1896" s="7">
        <v>9514348</v>
      </c>
      <c r="AD1896" s="7">
        <v>15683314</v>
      </c>
      <c r="AE1896" s="7">
        <v>11342114</v>
      </c>
      <c r="AF1896" s="7">
        <f t="shared" ref="AF1896:AQ1896" si="360">SUM(AF1886:AF1895)</f>
        <v>13968870</v>
      </c>
      <c r="AG1896" s="7">
        <f t="shared" si="360"/>
        <v>11415851</v>
      </c>
      <c r="AH1896" s="7">
        <f t="shared" si="360"/>
        <v>8770320</v>
      </c>
      <c r="AI1896" s="7">
        <f t="shared" si="360"/>
        <v>8786056</v>
      </c>
      <c r="AJ1896" s="7">
        <f t="shared" si="360"/>
        <v>11632134</v>
      </c>
      <c r="AK1896" s="7">
        <f t="shared" si="360"/>
        <v>9615862</v>
      </c>
      <c r="AL1896" s="60">
        <f t="shared" si="360"/>
        <v>13366881</v>
      </c>
      <c r="AM1896" s="60">
        <f t="shared" si="360"/>
        <v>11914617</v>
      </c>
      <c r="AN1896" s="1074">
        <f t="shared" si="360"/>
        <v>8176075</v>
      </c>
      <c r="AO1896" s="1074">
        <f t="shared" si="360"/>
        <v>8176071</v>
      </c>
      <c r="AP1896" s="1074">
        <f t="shared" si="360"/>
        <v>10337835</v>
      </c>
      <c r="AQ1896" s="1074">
        <f t="shared" si="360"/>
        <v>8017832</v>
      </c>
      <c r="AR1896" s="1044"/>
      <c r="AS1896" s="1044"/>
    </row>
    <row r="1897" spans="2:45" hidden="1" outlineLevel="1">
      <c r="C1897" s="816" t="s">
        <v>16</v>
      </c>
      <c r="D1897" s="9"/>
      <c r="E1897" s="224" t="s">
        <v>1083</v>
      </c>
      <c r="F1897" s="20"/>
      <c r="G1897" s="20"/>
      <c r="H1897" s="20"/>
      <c r="I1897" s="20"/>
      <c r="J1897" s="20"/>
      <c r="K1897" s="20"/>
      <c r="L1897" s="20"/>
      <c r="M1897" s="20"/>
      <c r="N1897" s="20"/>
      <c r="O1897" s="20"/>
      <c r="P1897" s="20"/>
      <c r="Q1897" s="20"/>
      <c r="R1897" s="20"/>
      <c r="S1897" s="20"/>
      <c r="T1897" s="20"/>
      <c r="U1897" s="20"/>
      <c r="V1897" s="20"/>
      <c r="W1897" s="20"/>
      <c r="X1897" s="20"/>
      <c r="Y1897" s="20"/>
      <c r="Z1897" s="20"/>
      <c r="AA1897" s="20"/>
      <c r="AB1897" s="12">
        <v>43750</v>
      </c>
      <c r="AC1897" s="12">
        <v>43750</v>
      </c>
      <c r="AD1897" s="12">
        <v>43750</v>
      </c>
      <c r="AE1897" s="12">
        <v>43750</v>
      </c>
      <c r="AF1897" s="12">
        <v>43750</v>
      </c>
      <c r="AG1897" s="12">
        <v>43750</v>
      </c>
      <c r="AH1897" s="12">
        <v>31172</v>
      </c>
      <c r="AI1897" s="12">
        <v>31172</v>
      </c>
      <c r="AJ1897" s="12">
        <v>31172</v>
      </c>
      <c r="AK1897" s="12">
        <v>31172</v>
      </c>
      <c r="AL1897" s="12">
        <v>31172</v>
      </c>
      <c r="AM1897" s="12">
        <v>31172</v>
      </c>
      <c r="AN1897" s="1070"/>
      <c r="AO1897" s="1070"/>
      <c r="AP1897" s="1070"/>
      <c r="AQ1897" s="1070"/>
      <c r="AR1897" s="1044"/>
      <c r="AS1897" s="1044"/>
    </row>
    <row r="1898" spans="2:45" hidden="1" outlineLevel="1">
      <c r="C1898" s="816" t="s">
        <v>16</v>
      </c>
      <c r="D1898" s="9"/>
      <c r="E1898" s="224" t="s">
        <v>1084</v>
      </c>
      <c r="F1898" s="20"/>
      <c r="G1898" s="20"/>
      <c r="H1898" s="20"/>
      <c r="I1898" s="20"/>
      <c r="J1898" s="20"/>
      <c r="K1898" s="20"/>
      <c r="L1898" s="20"/>
      <c r="M1898" s="20"/>
      <c r="N1898" s="20"/>
      <c r="O1898" s="20"/>
      <c r="P1898" s="20"/>
      <c r="Q1898" s="20"/>
      <c r="R1898" s="20"/>
      <c r="S1898" s="20"/>
      <c r="T1898" s="20"/>
      <c r="U1898" s="20"/>
      <c r="V1898" s="20"/>
      <c r="W1898" s="20"/>
      <c r="X1898" s="20"/>
      <c r="Y1898" s="20"/>
      <c r="Z1898" s="20"/>
      <c r="AA1898" s="20"/>
      <c r="AB1898" s="12">
        <v>350000</v>
      </c>
      <c r="AC1898" s="12">
        <v>350000</v>
      </c>
      <c r="AD1898" s="12">
        <v>350000</v>
      </c>
      <c r="AE1898" s="12">
        <v>350000</v>
      </c>
      <c r="AF1898" s="12">
        <v>350000</v>
      </c>
      <c r="AG1898" s="12">
        <v>350000</v>
      </c>
      <c r="AH1898" s="12">
        <v>249375</v>
      </c>
      <c r="AI1898" s="12">
        <v>249375</v>
      </c>
      <c r="AJ1898" s="12">
        <v>249375</v>
      </c>
      <c r="AK1898" s="12">
        <v>249375</v>
      </c>
      <c r="AL1898" s="12">
        <v>249375</v>
      </c>
      <c r="AM1898" s="12">
        <v>249375</v>
      </c>
      <c r="AN1898" s="1070">
        <v>118454</v>
      </c>
      <c r="AO1898" s="1070">
        <v>118453</v>
      </c>
      <c r="AP1898" s="1070">
        <v>106608</v>
      </c>
      <c r="AQ1898" s="1070">
        <v>106608</v>
      </c>
      <c r="AR1898" s="1044"/>
      <c r="AS1898" s="1044"/>
    </row>
    <row r="1899" spans="2:45" hidden="1" outlineLevel="1">
      <c r="C1899" s="816" t="s">
        <v>16</v>
      </c>
      <c r="D1899" s="9"/>
      <c r="E1899" s="224" t="s">
        <v>1489</v>
      </c>
      <c r="F1899" s="20"/>
      <c r="G1899" s="20"/>
      <c r="H1899" s="20"/>
      <c r="I1899" s="20"/>
      <c r="J1899" s="20"/>
      <c r="K1899" s="20"/>
      <c r="L1899" s="20"/>
      <c r="M1899" s="20"/>
      <c r="N1899" s="20"/>
      <c r="O1899" s="20"/>
      <c r="P1899" s="20"/>
      <c r="Q1899" s="20"/>
      <c r="R1899" s="20"/>
      <c r="S1899" s="20"/>
      <c r="T1899" s="20"/>
      <c r="U1899" s="20"/>
      <c r="V1899" s="20"/>
      <c r="W1899" s="20"/>
      <c r="X1899" s="20"/>
      <c r="Y1899" s="20"/>
      <c r="Z1899" s="20"/>
      <c r="AA1899" s="20"/>
      <c r="AB1899" s="12"/>
      <c r="AC1899" s="12"/>
      <c r="AD1899" s="12">
        <v>1000000</v>
      </c>
      <c r="AE1899" s="12">
        <v>1000000</v>
      </c>
      <c r="AF1899" s="12"/>
      <c r="AG1899" s="12"/>
      <c r="AH1899" s="12"/>
      <c r="AI1899" s="12"/>
      <c r="AJ1899" s="12"/>
      <c r="AK1899" s="12"/>
      <c r="AL1899" s="12"/>
      <c r="AM1899" s="12"/>
      <c r="AN1899" s="1070"/>
      <c r="AO1899" s="1070"/>
      <c r="AP1899" s="1070"/>
      <c r="AQ1899" s="1070"/>
      <c r="AR1899" s="1044"/>
      <c r="AS1899" s="1044"/>
    </row>
    <row r="1900" spans="2:45" hidden="1" outlineLevel="1">
      <c r="C1900" s="816" t="s">
        <v>16</v>
      </c>
      <c r="D1900" s="9"/>
      <c r="E1900" s="224" t="s">
        <v>1085</v>
      </c>
      <c r="F1900" s="20"/>
      <c r="G1900" s="20"/>
      <c r="H1900" s="20"/>
      <c r="I1900" s="20"/>
      <c r="J1900" s="20"/>
      <c r="K1900" s="20"/>
      <c r="L1900" s="20"/>
      <c r="M1900" s="20"/>
      <c r="N1900" s="20"/>
      <c r="O1900" s="20"/>
      <c r="P1900" s="20"/>
      <c r="Q1900" s="20"/>
      <c r="R1900" s="20"/>
      <c r="S1900" s="20"/>
      <c r="T1900" s="20"/>
      <c r="U1900" s="20"/>
      <c r="V1900" s="20"/>
      <c r="W1900" s="20"/>
      <c r="X1900" s="20"/>
      <c r="Y1900" s="20"/>
      <c r="Z1900" s="20"/>
      <c r="AA1900" s="20"/>
      <c r="AB1900" s="12"/>
      <c r="AC1900" s="12"/>
      <c r="AD1900" s="12">
        <v>3000000</v>
      </c>
      <c r="AE1900" s="12">
        <v>0</v>
      </c>
      <c r="AF1900" s="12">
        <v>1500000</v>
      </c>
      <c r="AG1900" s="12">
        <v>1500000</v>
      </c>
      <c r="AH1900" s="12">
        <v>1356459</v>
      </c>
      <c r="AI1900" s="12">
        <v>1356459</v>
      </c>
      <c r="AJ1900" s="12">
        <v>1356459</v>
      </c>
      <c r="AK1900" s="12">
        <v>1356459</v>
      </c>
      <c r="AL1900" s="12">
        <v>1356459</v>
      </c>
      <c r="AM1900" s="12">
        <v>1356459</v>
      </c>
      <c r="AN1900" s="1070">
        <v>929901</v>
      </c>
      <c r="AO1900" s="1070">
        <v>929900</v>
      </c>
      <c r="AP1900" s="1070">
        <v>5495472</v>
      </c>
      <c r="AQ1900" s="1070">
        <v>5495472</v>
      </c>
      <c r="AR1900" s="1044"/>
      <c r="AS1900" s="1044"/>
    </row>
    <row r="1901" spans="2:45" s="1044" customFormat="1" hidden="1" outlineLevel="1">
      <c r="B1901" s="1045"/>
      <c r="C1901" s="1053" t="s">
        <v>16</v>
      </c>
      <c r="D1901" s="1030"/>
      <c r="E1901" s="1054" t="s">
        <v>2005</v>
      </c>
      <c r="F1901" s="1047"/>
      <c r="G1901" s="1047"/>
      <c r="H1901" s="1047"/>
      <c r="I1901" s="1047"/>
      <c r="J1901" s="1047"/>
      <c r="K1901" s="1047"/>
      <c r="L1901" s="1047"/>
      <c r="M1901" s="1047"/>
      <c r="N1901" s="1047"/>
      <c r="O1901" s="1047"/>
      <c r="P1901" s="1047"/>
      <c r="Q1901" s="1047"/>
      <c r="R1901" s="1047"/>
      <c r="S1901" s="1047"/>
      <c r="T1901" s="1047"/>
      <c r="U1901" s="1047"/>
      <c r="V1901" s="1047"/>
      <c r="W1901" s="1047"/>
      <c r="X1901" s="1047"/>
      <c r="Y1901" s="1047"/>
      <c r="Z1901" s="1047"/>
      <c r="AA1901" s="1047"/>
      <c r="AB1901" s="1070"/>
      <c r="AC1901" s="1070"/>
      <c r="AD1901" s="1070"/>
      <c r="AE1901" s="1070"/>
      <c r="AF1901" s="1070"/>
      <c r="AG1901" s="1070"/>
      <c r="AH1901" s="1070"/>
      <c r="AI1901" s="1070"/>
      <c r="AJ1901" s="1070"/>
      <c r="AK1901" s="1070"/>
      <c r="AL1901" s="1070"/>
      <c r="AM1901" s="1070"/>
      <c r="AN1901" s="1070"/>
      <c r="AO1901" s="1070"/>
      <c r="AP1901" s="1070">
        <v>2000000</v>
      </c>
      <c r="AQ1901" s="1070">
        <v>2000000</v>
      </c>
    </row>
    <row r="1902" spans="2:45" hidden="1" outlineLevel="1">
      <c r="C1902" s="816" t="s">
        <v>16</v>
      </c>
      <c r="D1902" s="223" t="s">
        <v>1254</v>
      </c>
      <c r="E1902" s="279" t="s">
        <v>1086</v>
      </c>
      <c r="F1902" s="20"/>
      <c r="G1902" s="20"/>
      <c r="H1902" s="20"/>
      <c r="I1902" s="20"/>
      <c r="J1902" s="20"/>
      <c r="K1902" s="20"/>
      <c r="L1902" s="20"/>
      <c r="M1902" s="20"/>
      <c r="N1902" s="20"/>
      <c r="O1902" s="20"/>
      <c r="P1902" s="20"/>
      <c r="Q1902" s="20"/>
      <c r="R1902" s="20"/>
      <c r="S1902" s="20"/>
      <c r="T1902" s="20"/>
      <c r="U1902" s="20"/>
      <c r="V1902" s="20"/>
      <c r="W1902" s="20"/>
      <c r="X1902" s="20"/>
      <c r="Y1902" s="20"/>
      <c r="Z1902" s="20"/>
      <c r="AA1902" s="20"/>
      <c r="AB1902" s="12">
        <v>216266</v>
      </c>
      <c r="AC1902" s="12">
        <v>216266</v>
      </c>
      <c r="AD1902" s="12">
        <v>216266</v>
      </c>
      <c r="AE1902" s="12">
        <v>216266</v>
      </c>
      <c r="AF1902" s="12">
        <v>216266</v>
      </c>
      <c r="AG1902" s="12">
        <v>216266</v>
      </c>
      <c r="AH1902" s="12">
        <v>154090</v>
      </c>
      <c r="AI1902" s="12">
        <v>154090</v>
      </c>
      <c r="AJ1902" s="12">
        <v>154090</v>
      </c>
      <c r="AK1902" s="12">
        <v>154090</v>
      </c>
      <c r="AL1902" s="12">
        <v>154090</v>
      </c>
      <c r="AM1902" s="12">
        <v>154090</v>
      </c>
      <c r="AN1902" s="1070">
        <v>46663</v>
      </c>
      <c r="AO1902" s="1070">
        <v>46663</v>
      </c>
      <c r="AP1902" s="1070">
        <v>46663</v>
      </c>
      <c r="AQ1902" s="1070">
        <v>46663</v>
      </c>
      <c r="AR1902" s="1044"/>
      <c r="AS1902" s="1044"/>
    </row>
    <row r="1903" spans="2:45" hidden="1" outlineLevel="1">
      <c r="C1903" s="816" t="s">
        <v>16</v>
      </c>
      <c r="D1903" s="9"/>
      <c r="E1903" s="224" t="s">
        <v>1087</v>
      </c>
      <c r="F1903" s="20"/>
      <c r="G1903" s="20"/>
      <c r="H1903" s="20"/>
      <c r="I1903" s="20"/>
      <c r="J1903" s="20"/>
      <c r="K1903" s="20"/>
      <c r="L1903" s="20"/>
      <c r="M1903" s="20"/>
      <c r="N1903" s="20"/>
      <c r="O1903" s="20"/>
      <c r="P1903" s="20"/>
      <c r="Q1903" s="20"/>
      <c r="R1903" s="20"/>
      <c r="S1903" s="20"/>
      <c r="T1903" s="20"/>
      <c r="U1903" s="20"/>
      <c r="V1903" s="20"/>
      <c r="W1903" s="20"/>
      <c r="X1903" s="20"/>
      <c r="Y1903" s="20"/>
      <c r="Z1903" s="20"/>
      <c r="AA1903" s="20"/>
      <c r="AB1903" s="12">
        <v>146832</v>
      </c>
      <c r="AC1903" s="12">
        <v>146832</v>
      </c>
      <c r="AD1903" s="12">
        <v>146832</v>
      </c>
      <c r="AE1903" s="12">
        <v>146832</v>
      </c>
      <c r="AF1903" s="12">
        <v>146832</v>
      </c>
      <c r="AG1903" s="12">
        <v>146832</v>
      </c>
      <c r="AH1903" s="12">
        <v>0</v>
      </c>
      <c r="AI1903" s="12">
        <v>0</v>
      </c>
      <c r="AJ1903" s="22"/>
      <c r="AK1903" s="22"/>
      <c r="AL1903" s="22"/>
      <c r="AM1903" s="22"/>
      <c r="AN1903" s="1059"/>
      <c r="AO1903" s="1059"/>
      <c r="AP1903" s="1059"/>
      <c r="AQ1903" s="1059"/>
      <c r="AR1903" s="1044"/>
      <c r="AS1903" s="1044"/>
    </row>
    <row r="1904" spans="2:45" s="1011" customFormat="1" hidden="1" outlineLevel="1">
      <c r="B1904" s="1012"/>
      <c r="C1904" s="1018" t="s">
        <v>16</v>
      </c>
      <c r="D1904" s="1019" t="s">
        <v>1254</v>
      </c>
      <c r="E1904" s="1020" t="s">
        <v>1880</v>
      </c>
      <c r="F1904" s="1015"/>
      <c r="G1904" s="1015"/>
      <c r="H1904" s="1015"/>
      <c r="I1904" s="1015"/>
      <c r="J1904" s="1015"/>
      <c r="K1904" s="1015"/>
      <c r="L1904" s="1015"/>
      <c r="M1904" s="1015"/>
      <c r="N1904" s="1015"/>
      <c r="O1904" s="1015"/>
      <c r="P1904" s="1015"/>
      <c r="Q1904" s="1015"/>
      <c r="R1904" s="1015"/>
      <c r="S1904" s="1015"/>
      <c r="T1904" s="1015"/>
      <c r="U1904" s="1015"/>
      <c r="V1904" s="1015"/>
      <c r="W1904" s="1015"/>
      <c r="X1904" s="1015"/>
      <c r="Y1904" s="1015"/>
      <c r="Z1904" s="1015"/>
      <c r="AA1904" s="1015"/>
      <c r="AB1904" s="1014"/>
      <c r="AC1904" s="1014"/>
      <c r="AD1904" s="1014"/>
      <c r="AE1904" s="1014"/>
      <c r="AF1904" s="1014"/>
      <c r="AG1904" s="1014"/>
      <c r="AH1904" s="1014"/>
      <c r="AI1904" s="1014"/>
      <c r="AJ1904" s="1016"/>
      <c r="AK1904" s="1016"/>
      <c r="AL1904" s="1016"/>
      <c r="AM1904" s="1016"/>
      <c r="AN1904" s="1059">
        <v>2850000</v>
      </c>
      <c r="AO1904" s="1059">
        <v>2850000</v>
      </c>
      <c r="AP1904" s="1059">
        <v>2850000</v>
      </c>
      <c r="AQ1904" s="1059">
        <v>2850000</v>
      </c>
      <c r="AR1904" s="1044"/>
      <c r="AS1904" s="1044"/>
    </row>
    <row r="1905" spans="3:45" hidden="1" outlineLevel="1">
      <c r="C1905" s="816" t="s">
        <v>16</v>
      </c>
      <c r="D1905" s="223" t="s">
        <v>1254</v>
      </c>
      <c r="E1905" s="279" t="s">
        <v>1088</v>
      </c>
      <c r="F1905" s="20"/>
      <c r="G1905" s="20"/>
      <c r="H1905" s="20"/>
      <c r="I1905" s="20"/>
      <c r="J1905" s="20"/>
      <c r="K1905" s="20"/>
      <c r="L1905" s="20"/>
      <c r="M1905" s="20"/>
      <c r="N1905" s="20"/>
      <c r="O1905" s="20"/>
      <c r="P1905" s="20"/>
      <c r="Q1905" s="20"/>
      <c r="R1905" s="20"/>
      <c r="S1905" s="20"/>
      <c r="T1905" s="20"/>
      <c r="U1905" s="20"/>
      <c r="V1905" s="20"/>
      <c r="W1905" s="20"/>
      <c r="X1905" s="20"/>
      <c r="Y1905" s="20"/>
      <c r="Z1905" s="20"/>
      <c r="AA1905" s="20"/>
      <c r="AB1905" s="12">
        <v>87500</v>
      </c>
      <c r="AC1905" s="12">
        <v>87500</v>
      </c>
      <c r="AD1905" s="12">
        <v>87500</v>
      </c>
      <c r="AE1905" s="12">
        <v>87500</v>
      </c>
      <c r="AF1905" s="12">
        <v>87500</v>
      </c>
      <c r="AG1905" s="12">
        <v>87500</v>
      </c>
      <c r="AH1905" s="12">
        <v>62344</v>
      </c>
      <c r="AI1905" s="12">
        <v>62344</v>
      </c>
      <c r="AJ1905" s="12">
        <v>62344</v>
      </c>
      <c r="AK1905" s="12">
        <v>62344</v>
      </c>
      <c r="AL1905" s="12">
        <v>62344</v>
      </c>
      <c r="AM1905" s="12">
        <v>62344</v>
      </c>
      <c r="AN1905" s="1070"/>
      <c r="AO1905" s="1070"/>
      <c r="AP1905" s="1070"/>
      <c r="AQ1905" s="1070"/>
      <c r="AR1905" s="1044"/>
      <c r="AS1905" s="1044"/>
    </row>
    <row r="1906" spans="3:45" hidden="1" outlineLevel="1">
      <c r="C1906" s="816" t="s">
        <v>16</v>
      </c>
      <c r="D1906" s="9"/>
      <c r="E1906" s="224" t="s">
        <v>1089</v>
      </c>
      <c r="F1906" s="20"/>
      <c r="G1906" s="20"/>
      <c r="H1906" s="20"/>
      <c r="I1906" s="20"/>
      <c r="J1906" s="20"/>
      <c r="K1906" s="20"/>
      <c r="L1906" s="20"/>
      <c r="M1906" s="20"/>
      <c r="N1906" s="20"/>
      <c r="O1906" s="20"/>
      <c r="P1906" s="20"/>
      <c r="Q1906" s="20"/>
      <c r="R1906" s="20"/>
      <c r="S1906" s="20"/>
      <c r="T1906" s="20"/>
      <c r="U1906" s="20"/>
      <c r="V1906" s="20"/>
      <c r="W1906" s="20"/>
      <c r="X1906" s="20"/>
      <c r="Y1906" s="20"/>
      <c r="Z1906" s="20"/>
      <c r="AA1906" s="20"/>
      <c r="AB1906" s="12">
        <v>171461</v>
      </c>
      <c r="AC1906" s="12">
        <v>171461</v>
      </c>
      <c r="AD1906" s="12">
        <v>171461</v>
      </c>
      <c r="AE1906" s="12">
        <v>171461</v>
      </c>
      <c r="AF1906" s="12">
        <v>188607</v>
      </c>
      <c r="AG1906" s="12">
        <v>188607</v>
      </c>
      <c r="AH1906" s="12">
        <v>188607</v>
      </c>
      <c r="AI1906" s="12">
        <v>188607</v>
      </c>
      <c r="AJ1906" s="21">
        <v>207468</v>
      </c>
      <c r="AK1906" s="21">
        <v>207468</v>
      </c>
      <c r="AL1906" s="21">
        <v>207468</v>
      </c>
      <c r="AM1906" s="21">
        <v>207468</v>
      </c>
      <c r="AN1906" s="1058">
        <v>134741</v>
      </c>
      <c r="AO1906" s="1058">
        <v>134741</v>
      </c>
      <c r="AP1906" s="1058">
        <v>134741</v>
      </c>
      <c r="AQ1906" s="1058">
        <v>134741</v>
      </c>
      <c r="AR1906" s="1044"/>
      <c r="AS1906" s="1044"/>
    </row>
    <row r="1907" spans="3:45" hidden="1" outlineLevel="1">
      <c r="C1907" s="816" t="s">
        <v>16</v>
      </c>
      <c r="D1907" s="9"/>
      <c r="E1907" s="224" t="s">
        <v>1490</v>
      </c>
      <c r="F1907" s="20"/>
      <c r="G1907" s="20"/>
      <c r="H1907" s="20"/>
      <c r="I1907" s="20"/>
      <c r="J1907" s="20"/>
      <c r="K1907" s="20"/>
      <c r="L1907" s="20"/>
      <c r="M1907" s="20"/>
      <c r="N1907" s="20"/>
      <c r="O1907" s="20"/>
      <c r="P1907" s="20"/>
      <c r="Q1907" s="20"/>
      <c r="R1907" s="20"/>
      <c r="S1907" s="20"/>
      <c r="T1907" s="20"/>
      <c r="U1907" s="20"/>
      <c r="V1907" s="20"/>
      <c r="W1907" s="20"/>
      <c r="X1907" s="20"/>
      <c r="Y1907" s="20"/>
      <c r="Z1907" s="20"/>
      <c r="AA1907" s="20"/>
      <c r="AB1907" s="12"/>
      <c r="AC1907" s="12"/>
      <c r="AD1907" s="12">
        <v>50000</v>
      </c>
      <c r="AE1907" s="12">
        <v>50000</v>
      </c>
      <c r="AF1907" s="12"/>
      <c r="AG1907" s="12"/>
      <c r="AH1907" s="12"/>
      <c r="AI1907" s="12"/>
      <c r="AJ1907" s="21"/>
      <c r="AK1907" s="21"/>
      <c r="AL1907" s="21"/>
      <c r="AM1907" s="21"/>
      <c r="AN1907" s="1058"/>
      <c r="AO1907" s="1058"/>
      <c r="AP1907" s="1058"/>
      <c r="AQ1907" s="1058"/>
      <c r="AR1907" s="1044"/>
      <c r="AS1907" s="1044"/>
    </row>
    <row r="1908" spans="3:45" hidden="1" outlineLevel="1">
      <c r="C1908" s="816" t="s">
        <v>16</v>
      </c>
      <c r="D1908" s="223" t="s">
        <v>1354</v>
      </c>
      <c r="E1908" s="224" t="s">
        <v>1090</v>
      </c>
      <c r="F1908" s="20"/>
      <c r="G1908" s="20"/>
      <c r="H1908" s="20"/>
      <c r="I1908" s="20"/>
      <c r="J1908" s="20"/>
      <c r="K1908" s="20"/>
      <c r="L1908" s="20"/>
      <c r="M1908" s="20"/>
      <c r="N1908" s="20"/>
      <c r="O1908" s="20"/>
      <c r="P1908" s="20"/>
      <c r="Q1908" s="20"/>
      <c r="R1908" s="20"/>
      <c r="S1908" s="20"/>
      <c r="T1908" s="20"/>
      <c r="U1908" s="20"/>
      <c r="V1908" s="20"/>
      <c r="W1908" s="20"/>
      <c r="X1908" s="20"/>
      <c r="Y1908" s="20"/>
      <c r="Z1908" s="20"/>
      <c r="AA1908" s="20"/>
      <c r="AB1908" s="12">
        <v>1908359</v>
      </c>
      <c r="AC1908" s="12">
        <v>1898944</v>
      </c>
      <c r="AD1908" s="12">
        <v>1903652</v>
      </c>
      <c r="AE1908" s="12">
        <v>1903651</v>
      </c>
      <c r="AF1908" s="12">
        <v>2681221</v>
      </c>
      <c r="AG1908" s="12">
        <v>2681221</v>
      </c>
      <c r="AH1908" s="12">
        <v>1921881</v>
      </c>
      <c r="AI1908" s="12">
        <v>1921881</v>
      </c>
      <c r="AJ1908" s="12">
        <v>1921881</v>
      </c>
      <c r="AK1908" s="12">
        <v>1921881</v>
      </c>
      <c r="AL1908" s="1225">
        <v>1929827</v>
      </c>
      <c r="AM1908" s="1225">
        <v>1929827</v>
      </c>
      <c r="AN1908" s="1070">
        <v>1394806</v>
      </c>
      <c r="AO1908" s="1070">
        <v>1394805</v>
      </c>
      <c r="AP1908" s="1070">
        <v>1394806</v>
      </c>
      <c r="AQ1908" s="1070">
        <v>1394805</v>
      </c>
      <c r="AR1908" s="1044"/>
      <c r="AS1908" s="1044"/>
    </row>
    <row r="1909" spans="3:45" hidden="1" outlineLevel="1">
      <c r="C1909" s="816" t="s">
        <v>16</v>
      </c>
      <c r="D1909" s="9"/>
      <c r="E1909" s="224" t="s">
        <v>1091</v>
      </c>
      <c r="F1909" s="20"/>
      <c r="G1909" s="20"/>
      <c r="H1909" s="20"/>
      <c r="I1909" s="20"/>
      <c r="J1909" s="20"/>
      <c r="K1909" s="20"/>
      <c r="L1909" s="20"/>
      <c r="M1909" s="20"/>
      <c r="N1909" s="20"/>
      <c r="O1909" s="20"/>
      <c r="P1909" s="20"/>
      <c r="Q1909" s="20"/>
      <c r="R1909" s="20"/>
      <c r="S1909" s="20"/>
      <c r="T1909" s="20"/>
      <c r="U1909" s="20"/>
      <c r="V1909" s="20"/>
      <c r="W1909" s="20"/>
      <c r="X1909" s="20"/>
      <c r="Y1909" s="20"/>
      <c r="Z1909" s="20"/>
      <c r="AA1909" s="20"/>
      <c r="AB1909" s="12"/>
      <c r="AC1909" s="12"/>
      <c r="AD1909" s="12"/>
      <c r="AE1909" s="12"/>
      <c r="AF1909" s="12">
        <v>1000000</v>
      </c>
      <c r="AG1909" s="12">
        <v>0</v>
      </c>
      <c r="AH1909" s="12">
        <v>0</v>
      </c>
      <c r="AI1909" s="12">
        <v>0</v>
      </c>
      <c r="AJ1909" s="22"/>
      <c r="AK1909" s="22"/>
      <c r="AL1909" s="12"/>
      <c r="AM1909" s="12"/>
      <c r="AN1909" s="1070"/>
      <c r="AO1909" s="1070"/>
      <c r="AP1909" s="1070"/>
      <c r="AQ1909" s="1070"/>
      <c r="AR1909" s="1044"/>
      <c r="AS1909" s="1044"/>
    </row>
    <row r="1910" spans="3:45" ht="13.5" hidden="1" outlineLevel="1" thickBot="1">
      <c r="C1910" s="816" t="s">
        <v>16</v>
      </c>
      <c r="D1910" s="223" t="s">
        <v>1200</v>
      </c>
      <c r="E1910" s="1115" t="s">
        <v>1092</v>
      </c>
      <c r="F1910" s="6"/>
      <c r="G1910" s="6"/>
      <c r="H1910" s="6"/>
      <c r="I1910" s="6"/>
      <c r="J1910" s="6"/>
      <c r="K1910" s="6"/>
      <c r="L1910" s="6"/>
      <c r="M1910" s="6"/>
      <c r="N1910" s="6"/>
      <c r="O1910" s="6"/>
      <c r="P1910" s="6"/>
      <c r="Q1910" s="6"/>
      <c r="R1910" s="6"/>
      <c r="S1910" s="6"/>
      <c r="T1910" s="6"/>
      <c r="U1910" s="6"/>
      <c r="V1910" s="6"/>
      <c r="W1910" s="6"/>
      <c r="X1910" s="6"/>
      <c r="Y1910" s="6"/>
      <c r="Z1910" s="6"/>
      <c r="AA1910" s="6"/>
      <c r="AB1910" s="7">
        <v>2924168</v>
      </c>
      <c r="AC1910" s="7">
        <v>2914753</v>
      </c>
      <c r="AD1910" s="7">
        <v>6969461</v>
      </c>
      <c r="AE1910" s="7">
        <v>3969460</v>
      </c>
      <c r="AF1910" s="7">
        <f t="shared" ref="AF1910:AQ1910" si="361">SUM(AF1897:AF1909)</f>
        <v>6214176</v>
      </c>
      <c r="AG1910" s="7">
        <f t="shared" si="361"/>
        <v>5214176</v>
      </c>
      <c r="AH1910" s="7">
        <f t="shared" si="361"/>
        <v>3963928</v>
      </c>
      <c r="AI1910" s="7">
        <f t="shared" si="361"/>
        <v>3963928</v>
      </c>
      <c r="AJ1910" s="7">
        <f t="shared" si="361"/>
        <v>3982789</v>
      </c>
      <c r="AK1910" s="7">
        <f t="shared" si="361"/>
        <v>3982789</v>
      </c>
      <c r="AL1910" s="60">
        <f t="shared" si="361"/>
        <v>3990735</v>
      </c>
      <c r="AM1910" s="60">
        <f t="shared" si="361"/>
        <v>3990735</v>
      </c>
      <c r="AN1910" s="1074">
        <f t="shared" si="361"/>
        <v>5474565</v>
      </c>
      <c r="AO1910" s="1074">
        <f t="shared" si="361"/>
        <v>5474562</v>
      </c>
      <c r="AP1910" s="1074">
        <f t="shared" si="361"/>
        <v>12028290</v>
      </c>
      <c r="AQ1910" s="1074">
        <f t="shared" si="361"/>
        <v>12028289</v>
      </c>
      <c r="AR1910" s="1044"/>
      <c r="AS1910" s="1044"/>
    </row>
    <row r="1911" spans="3:45" hidden="1" outlineLevel="1">
      <c r="C1911" s="816" t="s">
        <v>16</v>
      </c>
      <c r="D1911" s="1113" t="s">
        <v>1254</v>
      </c>
      <c r="E1911" s="1125" t="s">
        <v>566</v>
      </c>
      <c r="F1911" s="638"/>
      <c r="G1911" s="20"/>
      <c r="H1911" s="20"/>
      <c r="I1911" s="20"/>
      <c r="J1911" s="20"/>
      <c r="K1911" s="20"/>
      <c r="L1911" s="20"/>
      <c r="M1911" s="20"/>
      <c r="N1911" s="20"/>
      <c r="O1911" s="20"/>
      <c r="P1911" s="20"/>
      <c r="Q1911" s="20"/>
      <c r="R1911" s="20"/>
      <c r="S1911" s="20"/>
      <c r="T1911" s="20"/>
      <c r="U1911" s="20"/>
      <c r="V1911" s="20"/>
      <c r="W1911" s="20"/>
      <c r="X1911" s="20"/>
      <c r="Y1911" s="20"/>
      <c r="Z1911" s="20"/>
      <c r="AA1911" s="20"/>
      <c r="AB1911" s="12">
        <v>25000</v>
      </c>
      <c r="AC1911" s="12">
        <v>25000</v>
      </c>
      <c r="AD1911" s="12">
        <v>25000</v>
      </c>
      <c r="AE1911" s="12">
        <v>25000</v>
      </c>
      <c r="AF1911" s="12">
        <v>25000</v>
      </c>
      <c r="AG1911" s="12">
        <v>25000</v>
      </c>
      <c r="AH1911" s="12">
        <v>15750</v>
      </c>
      <c r="AI1911" s="12">
        <v>15750</v>
      </c>
      <c r="AJ1911" s="12">
        <v>15750</v>
      </c>
      <c r="AK1911" s="12">
        <v>15750</v>
      </c>
      <c r="AL1911" s="12">
        <v>15750</v>
      </c>
      <c r="AM1911" s="12">
        <v>15750</v>
      </c>
      <c r="AN1911" s="1070"/>
      <c r="AO1911" s="1070"/>
      <c r="AP1911" s="1070"/>
      <c r="AQ1911" s="1070"/>
      <c r="AR1911" s="1044"/>
      <c r="AS1911" s="1044"/>
    </row>
    <row r="1912" spans="3:45" hidden="1" outlineLevel="1">
      <c r="C1912" s="816" t="s">
        <v>16</v>
      </c>
      <c r="D1912" s="1113" t="s">
        <v>1254</v>
      </c>
      <c r="E1912" s="1120" t="s">
        <v>567</v>
      </c>
      <c r="F1912" s="638"/>
      <c r="G1912" s="20"/>
      <c r="H1912" s="20"/>
      <c r="I1912" s="20"/>
      <c r="J1912" s="20"/>
      <c r="K1912" s="20"/>
      <c r="L1912" s="20"/>
      <c r="M1912" s="20"/>
      <c r="N1912" s="20"/>
      <c r="O1912" s="20"/>
      <c r="P1912" s="20"/>
      <c r="Q1912" s="20"/>
      <c r="R1912" s="20"/>
      <c r="S1912" s="20"/>
      <c r="T1912" s="20"/>
      <c r="U1912" s="20"/>
      <c r="V1912" s="20"/>
      <c r="W1912" s="20"/>
      <c r="X1912" s="20"/>
      <c r="Y1912" s="20"/>
      <c r="Z1912" s="20"/>
      <c r="AA1912" s="20"/>
      <c r="AB1912" s="12">
        <v>165000</v>
      </c>
      <c r="AC1912" s="12">
        <v>165000</v>
      </c>
      <c r="AD1912" s="12">
        <v>165000</v>
      </c>
      <c r="AE1912" s="12">
        <v>165000</v>
      </c>
      <c r="AF1912" s="12">
        <v>165000</v>
      </c>
      <c r="AG1912" s="12">
        <v>165000</v>
      </c>
      <c r="AH1912" s="12">
        <v>120000</v>
      </c>
      <c r="AI1912" s="12">
        <v>120000</v>
      </c>
      <c r="AJ1912" s="12">
        <v>120000</v>
      </c>
      <c r="AK1912" s="12">
        <v>120000</v>
      </c>
      <c r="AL1912" s="12">
        <v>120000</v>
      </c>
      <c r="AM1912" s="12">
        <v>120000</v>
      </c>
      <c r="AN1912" s="1070">
        <v>80297</v>
      </c>
      <c r="AO1912" s="1070">
        <v>80297</v>
      </c>
      <c r="AP1912" s="1070">
        <v>80297</v>
      </c>
      <c r="AQ1912" s="1070">
        <v>80297</v>
      </c>
      <c r="AR1912" s="1044"/>
      <c r="AS1912" s="1044"/>
    </row>
    <row r="1913" spans="3:45" hidden="1" outlineLevel="1">
      <c r="C1913" s="816" t="s">
        <v>16</v>
      </c>
      <c r="D1913" s="1112"/>
      <c r="E1913" s="1118" t="s">
        <v>568</v>
      </c>
      <c r="F1913" s="638"/>
      <c r="G1913" s="20"/>
      <c r="H1913" s="20"/>
      <c r="I1913" s="20"/>
      <c r="J1913" s="20"/>
      <c r="K1913" s="20"/>
      <c r="L1913" s="20"/>
      <c r="M1913" s="20"/>
      <c r="N1913" s="20"/>
      <c r="O1913" s="20"/>
      <c r="P1913" s="20"/>
      <c r="Q1913" s="20"/>
      <c r="R1913" s="20"/>
      <c r="S1913" s="20"/>
      <c r="T1913" s="20"/>
      <c r="U1913" s="20"/>
      <c r="V1913" s="20"/>
      <c r="W1913" s="20"/>
      <c r="X1913" s="20"/>
      <c r="Y1913" s="20"/>
      <c r="Z1913" s="20"/>
      <c r="AA1913" s="20"/>
      <c r="AB1913" s="12">
        <v>113063</v>
      </c>
      <c r="AC1913" s="12">
        <v>113063</v>
      </c>
      <c r="AD1913" s="12">
        <v>113064</v>
      </c>
      <c r="AE1913" s="12">
        <v>113064</v>
      </c>
      <c r="AF1913" s="12">
        <v>113064</v>
      </c>
      <c r="AG1913" s="12">
        <v>113064</v>
      </c>
      <c r="AH1913" s="12">
        <v>82500</v>
      </c>
      <c r="AI1913" s="12">
        <v>82500</v>
      </c>
      <c r="AJ1913" s="12">
        <v>82500</v>
      </c>
      <c r="AK1913" s="12">
        <v>82500</v>
      </c>
      <c r="AL1913" s="12">
        <v>82500</v>
      </c>
      <c r="AM1913" s="12">
        <v>82500</v>
      </c>
      <c r="AN1913" s="1070">
        <v>55197</v>
      </c>
      <c r="AO1913" s="1070">
        <v>55197</v>
      </c>
      <c r="AP1913" s="1070">
        <v>55197</v>
      </c>
      <c r="AQ1913" s="1070">
        <v>55197</v>
      </c>
      <c r="AR1913" s="1044"/>
      <c r="AS1913" s="1044"/>
    </row>
    <row r="1914" spans="3:45" hidden="1" outlineLevel="1">
      <c r="C1914" s="816" t="s">
        <v>16</v>
      </c>
      <c r="D1914" s="1112"/>
      <c r="E1914" s="1118" t="s">
        <v>569</v>
      </c>
      <c r="F1914" s="638"/>
      <c r="G1914" s="20"/>
      <c r="H1914" s="20"/>
      <c r="I1914" s="20"/>
      <c r="J1914" s="20"/>
      <c r="K1914" s="20"/>
      <c r="L1914" s="20"/>
      <c r="M1914" s="20"/>
      <c r="N1914" s="20"/>
      <c r="O1914" s="20"/>
      <c r="P1914" s="20"/>
      <c r="Q1914" s="20"/>
      <c r="R1914" s="20"/>
      <c r="S1914" s="20"/>
      <c r="T1914" s="20"/>
      <c r="U1914" s="20"/>
      <c r="V1914" s="20"/>
      <c r="W1914" s="20"/>
      <c r="X1914" s="20"/>
      <c r="Y1914" s="20"/>
      <c r="Z1914" s="20"/>
      <c r="AA1914" s="20"/>
      <c r="AB1914" s="12">
        <v>121696</v>
      </c>
      <c r="AC1914" s="12">
        <v>121696</v>
      </c>
      <c r="AD1914" s="12">
        <v>121696</v>
      </c>
      <c r="AE1914" s="12">
        <v>121696</v>
      </c>
      <c r="AF1914" s="12">
        <v>133866</v>
      </c>
      <c r="AG1914" s="12">
        <v>133866</v>
      </c>
      <c r="AH1914" s="12">
        <v>133866</v>
      </c>
      <c r="AI1914" s="12">
        <v>133866</v>
      </c>
      <c r="AJ1914" s="12">
        <v>147253</v>
      </c>
      <c r="AK1914" s="12">
        <v>147253</v>
      </c>
      <c r="AL1914" s="12">
        <v>147253</v>
      </c>
      <c r="AM1914" s="12">
        <v>147253</v>
      </c>
      <c r="AN1914" s="1070">
        <v>96855</v>
      </c>
      <c r="AO1914" s="1070">
        <v>96855</v>
      </c>
      <c r="AP1914" s="1070">
        <v>96855</v>
      </c>
      <c r="AQ1914" s="1070">
        <v>96855</v>
      </c>
      <c r="AR1914" s="1044"/>
      <c r="AS1914" s="1044"/>
    </row>
    <row r="1915" spans="3:45" hidden="1" outlineLevel="1">
      <c r="C1915" s="816" t="s">
        <v>16</v>
      </c>
      <c r="D1915" s="1112"/>
      <c r="E1915" s="1118" t="s">
        <v>570</v>
      </c>
      <c r="F1915" s="638"/>
      <c r="G1915" s="20"/>
      <c r="H1915" s="20"/>
      <c r="I1915" s="20"/>
      <c r="J1915" s="20"/>
      <c r="K1915" s="20"/>
      <c r="L1915" s="20"/>
      <c r="M1915" s="20"/>
      <c r="N1915" s="20"/>
      <c r="O1915" s="20"/>
      <c r="P1915" s="20"/>
      <c r="Q1915" s="20"/>
      <c r="R1915" s="20"/>
      <c r="S1915" s="20"/>
      <c r="T1915" s="20"/>
      <c r="U1915" s="20"/>
      <c r="V1915" s="20"/>
      <c r="W1915" s="20"/>
      <c r="X1915" s="20"/>
      <c r="Y1915" s="20"/>
      <c r="Z1915" s="20"/>
      <c r="AA1915" s="20"/>
      <c r="AB1915" s="12">
        <v>74164</v>
      </c>
      <c r="AC1915" s="12">
        <v>74164</v>
      </c>
      <c r="AD1915" s="12">
        <v>74164</v>
      </c>
      <c r="AE1915" s="12">
        <v>74164</v>
      </c>
      <c r="AF1915" s="12">
        <v>74164</v>
      </c>
      <c r="AG1915" s="12">
        <v>74164</v>
      </c>
      <c r="AH1915" s="12">
        <v>54000</v>
      </c>
      <c r="AI1915" s="12">
        <v>54000</v>
      </c>
      <c r="AJ1915" s="12">
        <v>54000</v>
      </c>
      <c r="AK1915" s="12">
        <v>54000</v>
      </c>
      <c r="AL1915" s="12">
        <v>54000</v>
      </c>
      <c r="AM1915" s="12">
        <v>54000</v>
      </c>
      <c r="AN1915" s="1070">
        <v>36097</v>
      </c>
      <c r="AO1915" s="1070">
        <v>36096</v>
      </c>
      <c r="AP1915" s="1070">
        <v>36097</v>
      </c>
      <c r="AQ1915" s="1070">
        <v>36096</v>
      </c>
      <c r="AR1915" s="1044"/>
      <c r="AS1915" s="1044"/>
    </row>
    <row r="1916" spans="3:45" hidden="1" outlineLevel="1">
      <c r="C1916" s="816" t="s">
        <v>16</v>
      </c>
      <c r="D1916" s="1112"/>
      <c r="E1916" s="1118" t="s">
        <v>571</v>
      </c>
      <c r="F1916" s="638"/>
      <c r="G1916" s="20"/>
      <c r="H1916" s="20"/>
      <c r="I1916" s="20"/>
      <c r="J1916" s="20"/>
      <c r="K1916" s="20"/>
      <c r="L1916" s="20"/>
      <c r="M1916" s="20"/>
      <c r="N1916" s="20"/>
      <c r="O1916" s="20"/>
      <c r="P1916" s="20"/>
      <c r="Q1916" s="20"/>
      <c r="R1916" s="20"/>
      <c r="S1916" s="20"/>
      <c r="T1916" s="20"/>
      <c r="U1916" s="20"/>
      <c r="V1916" s="20"/>
      <c r="W1916" s="20"/>
      <c r="X1916" s="20"/>
      <c r="Y1916" s="20"/>
      <c r="Z1916" s="20"/>
      <c r="AA1916" s="20"/>
      <c r="AB1916" s="12">
        <v>90000</v>
      </c>
      <c r="AC1916" s="12">
        <v>90000</v>
      </c>
      <c r="AD1916" s="12">
        <v>90000</v>
      </c>
      <c r="AE1916" s="12">
        <v>90000</v>
      </c>
      <c r="AF1916" s="12">
        <v>90000</v>
      </c>
      <c r="AG1916" s="12">
        <v>90000</v>
      </c>
      <c r="AH1916" s="12">
        <v>65250</v>
      </c>
      <c r="AI1916" s="12">
        <v>65250</v>
      </c>
      <c r="AJ1916" s="12">
        <v>65250</v>
      </c>
      <c r="AK1916" s="12">
        <v>65250</v>
      </c>
      <c r="AL1916" s="12">
        <v>65250</v>
      </c>
      <c r="AM1916" s="12">
        <v>65250</v>
      </c>
      <c r="AN1916" s="1070">
        <v>43700</v>
      </c>
      <c r="AO1916" s="1070">
        <v>43699</v>
      </c>
      <c r="AP1916" s="1070">
        <v>43700</v>
      </c>
      <c r="AQ1916" s="1070">
        <v>43699</v>
      </c>
      <c r="AR1916" s="1044"/>
      <c r="AS1916" s="1044"/>
    </row>
    <row r="1917" spans="3:45" hidden="1" outlineLevel="1">
      <c r="C1917" s="816" t="s">
        <v>16</v>
      </c>
      <c r="D1917" s="1112"/>
      <c r="E1917" s="1118" t="s">
        <v>572</v>
      </c>
      <c r="F1917" s="638"/>
      <c r="G1917" s="20"/>
      <c r="H1917" s="20"/>
      <c r="I1917" s="20"/>
      <c r="J1917" s="20"/>
      <c r="K1917" s="20"/>
      <c r="L1917" s="20"/>
      <c r="M1917" s="20"/>
      <c r="N1917" s="20"/>
      <c r="O1917" s="20"/>
      <c r="P1917" s="20"/>
      <c r="Q1917" s="20"/>
      <c r="R1917" s="20"/>
      <c r="S1917" s="20"/>
      <c r="T1917" s="20"/>
      <c r="U1917" s="20"/>
      <c r="V1917" s="20"/>
      <c r="W1917" s="20"/>
      <c r="X1917" s="20"/>
      <c r="Y1917" s="20"/>
      <c r="Z1917" s="20"/>
      <c r="AA1917" s="20"/>
      <c r="AB1917" s="12">
        <v>50000</v>
      </c>
      <c r="AC1917" s="12">
        <v>50000</v>
      </c>
      <c r="AD1917" s="12">
        <v>50000</v>
      </c>
      <c r="AE1917" s="12">
        <v>50000</v>
      </c>
      <c r="AF1917" s="12">
        <v>50000</v>
      </c>
      <c r="AG1917" s="12">
        <v>50000</v>
      </c>
      <c r="AH1917" s="12"/>
      <c r="AI1917" s="12"/>
      <c r="AJ1917" s="22"/>
      <c r="AK1917" s="22"/>
      <c r="AL1917" s="22"/>
      <c r="AM1917" s="22"/>
      <c r="AN1917" s="1059"/>
      <c r="AO1917" s="1059"/>
      <c r="AP1917" s="1059"/>
      <c r="AQ1917" s="1059"/>
      <c r="AR1917" s="1044"/>
      <c r="AS1917" s="1044"/>
    </row>
    <row r="1918" spans="3:45" hidden="1" outlineLevel="1">
      <c r="C1918" s="816" t="s">
        <v>16</v>
      </c>
      <c r="D1918" s="1112"/>
      <c r="E1918" s="1118" t="s">
        <v>573</v>
      </c>
      <c r="F1918" s="638"/>
      <c r="G1918" s="20"/>
      <c r="H1918" s="20"/>
      <c r="I1918" s="20"/>
      <c r="J1918" s="20"/>
      <c r="K1918" s="20"/>
      <c r="L1918" s="20"/>
      <c r="M1918" s="20"/>
      <c r="N1918" s="20"/>
      <c r="O1918" s="20"/>
      <c r="P1918" s="20"/>
      <c r="Q1918" s="20"/>
      <c r="R1918" s="20"/>
      <c r="S1918" s="20"/>
      <c r="T1918" s="20"/>
      <c r="U1918" s="20"/>
      <c r="V1918" s="20"/>
      <c r="W1918" s="20"/>
      <c r="X1918" s="20"/>
      <c r="Y1918" s="20"/>
      <c r="Z1918" s="20"/>
      <c r="AA1918" s="20"/>
      <c r="AB1918" s="12">
        <v>30000</v>
      </c>
      <c r="AC1918" s="12">
        <v>30000</v>
      </c>
      <c r="AD1918" s="12">
        <v>30000</v>
      </c>
      <c r="AE1918" s="12">
        <v>30000</v>
      </c>
      <c r="AF1918" s="12">
        <v>30000</v>
      </c>
      <c r="AG1918" s="12">
        <v>30000</v>
      </c>
      <c r="AH1918" s="12">
        <v>21750</v>
      </c>
      <c r="AI1918" s="12">
        <v>21750</v>
      </c>
      <c r="AJ1918" s="12">
        <v>21750</v>
      </c>
      <c r="AK1918" s="12">
        <v>21750</v>
      </c>
      <c r="AL1918" s="12">
        <v>21750</v>
      </c>
      <c r="AM1918" s="12">
        <v>21750</v>
      </c>
      <c r="AN1918" s="1070">
        <v>14602</v>
      </c>
      <c r="AO1918" s="1070">
        <v>14602</v>
      </c>
      <c r="AP1918" s="1070">
        <v>14602</v>
      </c>
      <c r="AQ1918" s="1070">
        <v>14602</v>
      </c>
      <c r="AR1918" s="1044"/>
      <c r="AS1918" s="1044"/>
    </row>
    <row r="1919" spans="3:45" hidden="1" outlineLevel="1">
      <c r="C1919" s="816" t="s">
        <v>16</v>
      </c>
      <c r="D1919" s="1113" t="s">
        <v>1354</v>
      </c>
      <c r="E1919" s="1118" t="s">
        <v>574</v>
      </c>
      <c r="F1919" s="638"/>
      <c r="G1919" s="20"/>
      <c r="H1919" s="20"/>
      <c r="I1919" s="20"/>
      <c r="J1919" s="20"/>
      <c r="K1919" s="20"/>
      <c r="L1919" s="20"/>
      <c r="M1919" s="20"/>
      <c r="N1919" s="20"/>
      <c r="O1919" s="20"/>
      <c r="P1919" s="20"/>
      <c r="Q1919" s="20"/>
      <c r="R1919" s="20"/>
      <c r="S1919" s="20"/>
      <c r="T1919" s="20"/>
      <c r="U1919" s="20"/>
      <c r="V1919" s="20"/>
      <c r="W1919" s="20"/>
      <c r="X1919" s="20"/>
      <c r="Y1919" s="20"/>
      <c r="Z1919" s="20"/>
      <c r="AA1919" s="20"/>
      <c r="AB1919" s="12">
        <v>4211906</v>
      </c>
      <c r="AC1919" s="12">
        <v>4211906</v>
      </c>
      <c r="AD1919" s="12">
        <v>4211905</v>
      </c>
      <c r="AE1919" s="12">
        <v>4211905</v>
      </c>
      <c r="AF1919" s="12">
        <v>4324078</v>
      </c>
      <c r="AG1919" s="12">
        <v>4324078</v>
      </c>
      <c r="AH1919" s="12">
        <v>3110176</v>
      </c>
      <c r="AI1919" s="12">
        <v>3110176</v>
      </c>
      <c r="AJ1919" s="21">
        <v>3610176</v>
      </c>
      <c r="AK1919" s="21">
        <v>3610176</v>
      </c>
      <c r="AL1919" s="1224">
        <v>3618122</v>
      </c>
      <c r="AM1919" s="1224">
        <v>3618122</v>
      </c>
      <c r="AN1919" s="1058">
        <v>2550324</v>
      </c>
      <c r="AO1919" s="1058">
        <v>2550324</v>
      </c>
      <c r="AP1919" s="1058">
        <v>3139468</v>
      </c>
      <c r="AQ1919" s="1058">
        <v>3139468</v>
      </c>
      <c r="AR1919" s="1044"/>
      <c r="AS1919" s="1044"/>
    </row>
    <row r="1920" spans="3:45" hidden="1" outlineLevel="1">
      <c r="C1920" s="816" t="s">
        <v>16</v>
      </c>
      <c r="D1920" s="1112"/>
      <c r="E1920" s="1118" t="s">
        <v>575</v>
      </c>
      <c r="F1920" s="638"/>
      <c r="G1920" s="20"/>
      <c r="H1920" s="20"/>
      <c r="I1920" s="20"/>
      <c r="J1920" s="20"/>
      <c r="K1920" s="20"/>
      <c r="L1920" s="20"/>
      <c r="M1920" s="20"/>
      <c r="N1920" s="20"/>
      <c r="O1920" s="20"/>
      <c r="P1920" s="20"/>
      <c r="Q1920" s="20"/>
      <c r="R1920" s="20"/>
      <c r="S1920" s="20"/>
      <c r="T1920" s="20"/>
      <c r="U1920" s="20"/>
      <c r="V1920" s="20"/>
      <c r="W1920" s="20"/>
      <c r="X1920" s="20"/>
      <c r="Y1920" s="20"/>
      <c r="Z1920" s="20"/>
      <c r="AA1920" s="20"/>
      <c r="AB1920" s="12"/>
      <c r="AC1920" s="12"/>
      <c r="AD1920" s="12"/>
      <c r="AE1920" s="12"/>
      <c r="AF1920" s="12">
        <v>0</v>
      </c>
      <c r="AG1920" s="12">
        <v>0</v>
      </c>
      <c r="AH1920" s="12">
        <v>7000000</v>
      </c>
      <c r="AI1920" s="12">
        <v>0</v>
      </c>
      <c r="AJ1920" s="22"/>
      <c r="AK1920" s="22"/>
      <c r="AL1920" s="22"/>
      <c r="AM1920" s="22"/>
      <c r="AN1920" s="1059"/>
      <c r="AO1920" s="1059"/>
      <c r="AP1920" s="1059"/>
      <c r="AQ1920" s="1059"/>
      <c r="AR1920" s="1044"/>
      <c r="AS1920" s="1044"/>
    </row>
    <row r="1921" spans="2:45" ht="13.5" hidden="1" outlineLevel="1" thickBot="1">
      <c r="C1921" s="816" t="s">
        <v>16</v>
      </c>
      <c r="D1921" s="1113" t="s">
        <v>1200</v>
      </c>
      <c r="E1921" s="1122" t="s">
        <v>2223</v>
      </c>
      <c r="F1921" s="1114"/>
      <c r="G1921" s="6"/>
      <c r="H1921" s="6"/>
      <c r="I1921" s="6"/>
      <c r="J1921" s="6"/>
      <c r="K1921" s="6"/>
      <c r="L1921" s="6"/>
      <c r="M1921" s="6"/>
      <c r="N1921" s="6"/>
      <c r="O1921" s="6"/>
      <c r="P1921" s="6"/>
      <c r="Q1921" s="6"/>
      <c r="R1921" s="6"/>
      <c r="S1921" s="6"/>
      <c r="T1921" s="6"/>
      <c r="U1921" s="6"/>
      <c r="V1921" s="6"/>
      <c r="W1921" s="6"/>
      <c r="X1921" s="6"/>
      <c r="Y1921" s="6"/>
      <c r="Z1921" s="6"/>
      <c r="AA1921" s="6"/>
      <c r="AB1921" s="7">
        <v>4880829</v>
      </c>
      <c r="AC1921" s="7">
        <v>4880829</v>
      </c>
      <c r="AD1921" s="7">
        <v>4880829</v>
      </c>
      <c r="AE1921" s="7">
        <v>4880829</v>
      </c>
      <c r="AF1921" s="7">
        <f t="shared" ref="AF1921:AQ1921" si="362">SUM(AF1911:AF1920)</f>
        <v>5005172</v>
      </c>
      <c r="AG1921" s="7">
        <f t="shared" si="362"/>
        <v>5005172</v>
      </c>
      <c r="AH1921" s="7">
        <f t="shared" si="362"/>
        <v>10603292</v>
      </c>
      <c r="AI1921" s="7">
        <f t="shared" si="362"/>
        <v>3603292</v>
      </c>
      <c r="AJ1921" s="7">
        <f t="shared" si="362"/>
        <v>4116679</v>
      </c>
      <c r="AK1921" s="7">
        <f t="shared" si="362"/>
        <v>4116679</v>
      </c>
      <c r="AL1921" s="60">
        <f t="shared" si="362"/>
        <v>4124625</v>
      </c>
      <c r="AM1921" s="60">
        <f t="shared" si="362"/>
        <v>4124625</v>
      </c>
      <c r="AN1921" s="1074">
        <f t="shared" si="362"/>
        <v>2877072</v>
      </c>
      <c r="AO1921" s="1074">
        <f t="shared" si="362"/>
        <v>2877070</v>
      </c>
      <c r="AP1921" s="1074">
        <f t="shared" si="362"/>
        <v>3466216</v>
      </c>
      <c r="AQ1921" s="1074">
        <f t="shared" si="362"/>
        <v>3466214</v>
      </c>
      <c r="AR1921" s="1044"/>
      <c r="AS1921" s="1044"/>
    </row>
    <row r="1922" spans="2:45" hidden="1" outlineLevel="1">
      <c r="C1922" s="816" t="s">
        <v>16</v>
      </c>
      <c r="D1922" s="1112"/>
      <c r="E1922" s="1117" t="s">
        <v>577</v>
      </c>
      <c r="F1922" s="638"/>
      <c r="G1922" s="20"/>
      <c r="H1922" s="20"/>
      <c r="I1922" s="20"/>
      <c r="J1922" s="20"/>
      <c r="K1922" s="20"/>
      <c r="L1922" s="20"/>
      <c r="M1922" s="20"/>
      <c r="N1922" s="20"/>
      <c r="O1922" s="20"/>
      <c r="P1922" s="20"/>
      <c r="Q1922" s="20"/>
      <c r="R1922" s="20"/>
      <c r="S1922" s="20"/>
      <c r="T1922" s="20"/>
      <c r="U1922" s="20"/>
      <c r="V1922" s="20"/>
      <c r="W1922" s="20"/>
      <c r="X1922" s="20"/>
      <c r="Y1922" s="20"/>
      <c r="Z1922" s="20"/>
      <c r="AA1922" s="20"/>
      <c r="AB1922" s="12">
        <v>152580</v>
      </c>
      <c r="AC1922" s="12">
        <v>152580</v>
      </c>
      <c r="AD1922" s="12">
        <v>152580</v>
      </c>
      <c r="AE1922" s="12">
        <v>152580</v>
      </c>
      <c r="AF1922" s="12">
        <v>167838</v>
      </c>
      <c r="AG1922" s="12">
        <v>167838</v>
      </c>
      <c r="AH1922" s="12">
        <v>167838</v>
      </c>
      <c r="AI1922" s="12">
        <v>167838</v>
      </c>
      <c r="AJ1922" s="21">
        <v>184622</v>
      </c>
      <c r="AK1922" s="21">
        <v>184622</v>
      </c>
      <c r="AL1922" s="21">
        <v>184622</v>
      </c>
      <c r="AM1922" s="21">
        <v>184622</v>
      </c>
      <c r="AN1922" s="1058">
        <v>121434</v>
      </c>
      <c r="AO1922" s="1058">
        <v>121434</v>
      </c>
      <c r="AP1922" s="1058">
        <v>121434</v>
      </c>
      <c r="AQ1922" s="1058">
        <v>121434</v>
      </c>
      <c r="AR1922" s="1044"/>
      <c r="AS1922" s="1044"/>
    </row>
    <row r="1923" spans="2:45" hidden="1" outlineLevel="1">
      <c r="C1923" s="816" t="s">
        <v>16</v>
      </c>
      <c r="D1923" s="1112"/>
      <c r="E1923" s="1118" t="s">
        <v>578</v>
      </c>
      <c r="F1923" s="638"/>
      <c r="G1923" s="20"/>
      <c r="H1923" s="20"/>
      <c r="I1923" s="20"/>
      <c r="J1923" s="20"/>
      <c r="K1923" s="20"/>
      <c r="L1923" s="20"/>
      <c r="M1923" s="20"/>
      <c r="N1923" s="20"/>
      <c r="O1923" s="20"/>
      <c r="P1923" s="20"/>
      <c r="Q1923" s="20"/>
      <c r="R1923" s="20"/>
      <c r="S1923" s="20"/>
      <c r="T1923" s="20"/>
      <c r="U1923" s="20"/>
      <c r="V1923" s="20"/>
      <c r="W1923" s="20"/>
      <c r="X1923" s="20"/>
      <c r="Y1923" s="20"/>
      <c r="Z1923" s="20"/>
      <c r="AA1923" s="20"/>
      <c r="AB1923" s="12">
        <v>41500</v>
      </c>
      <c r="AC1923" s="12">
        <v>41500</v>
      </c>
      <c r="AD1923" s="12">
        <v>41500</v>
      </c>
      <c r="AE1923" s="12">
        <v>41500</v>
      </c>
      <c r="AF1923" s="12">
        <v>41500</v>
      </c>
      <c r="AG1923" s="12">
        <v>41500</v>
      </c>
      <c r="AH1923" s="12"/>
      <c r="AI1923" s="12"/>
      <c r="AJ1923" s="22"/>
      <c r="AK1923" s="22"/>
      <c r="AL1923" s="22"/>
      <c r="AM1923" s="22"/>
      <c r="AN1923" s="1059"/>
      <c r="AO1923" s="1059"/>
      <c r="AP1923" s="1059"/>
      <c r="AQ1923" s="1059"/>
      <c r="AR1923" s="1044"/>
      <c r="AS1923" s="1044"/>
    </row>
    <row r="1924" spans="2:45" s="1044" customFormat="1" hidden="1" outlineLevel="1">
      <c r="B1924" s="1045"/>
      <c r="C1924" s="1053" t="s">
        <v>16</v>
      </c>
      <c r="D1924" s="1112"/>
      <c r="E1924" s="1119" t="s">
        <v>1944</v>
      </c>
      <c r="F1924" s="638"/>
      <c r="G1924" s="1047"/>
      <c r="H1924" s="1047"/>
      <c r="I1924" s="1047"/>
      <c r="J1924" s="1047"/>
      <c r="K1924" s="1047"/>
      <c r="L1924" s="1047"/>
      <c r="M1924" s="1047"/>
      <c r="N1924" s="1047"/>
      <c r="O1924" s="1047"/>
      <c r="P1924" s="1047"/>
      <c r="Q1924" s="1047"/>
      <c r="R1924" s="1047"/>
      <c r="S1924" s="1047"/>
      <c r="T1924" s="1047"/>
      <c r="U1924" s="1047"/>
      <c r="V1924" s="1047"/>
      <c r="W1924" s="1047"/>
      <c r="X1924" s="1047"/>
      <c r="Y1924" s="1047"/>
      <c r="Z1924" s="1047"/>
      <c r="AA1924" s="1047"/>
      <c r="AB1924" s="1070"/>
      <c r="AC1924" s="1070"/>
      <c r="AD1924" s="1070"/>
      <c r="AE1924" s="1070"/>
      <c r="AF1924" s="1070"/>
      <c r="AG1924" s="1070"/>
      <c r="AH1924" s="1070"/>
      <c r="AI1924" s="1070"/>
      <c r="AJ1924" s="1059"/>
      <c r="AK1924" s="1059"/>
      <c r="AL1924" s="1059"/>
      <c r="AM1924" s="1059"/>
      <c r="AN1924" s="1059"/>
      <c r="AO1924" s="1059"/>
      <c r="AP1924" s="1058">
        <v>175500</v>
      </c>
      <c r="AQ1924" s="1058">
        <v>175500</v>
      </c>
    </row>
    <row r="1925" spans="2:45" hidden="1" outlineLevel="1">
      <c r="C1925" s="816" t="s">
        <v>16</v>
      </c>
      <c r="D1925" s="1113" t="s">
        <v>1354</v>
      </c>
      <c r="E1925" s="1118" t="s">
        <v>579</v>
      </c>
      <c r="F1925" s="638"/>
      <c r="G1925" s="20"/>
      <c r="H1925" s="20"/>
      <c r="I1925" s="20"/>
      <c r="J1925" s="20"/>
      <c r="K1925" s="20"/>
      <c r="L1925" s="20"/>
      <c r="M1925" s="20"/>
      <c r="N1925" s="20"/>
      <c r="O1925" s="20"/>
      <c r="P1925" s="20"/>
      <c r="Q1925" s="20"/>
      <c r="R1925" s="20"/>
      <c r="S1925" s="20"/>
      <c r="T1925" s="20"/>
      <c r="U1925" s="20"/>
      <c r="V1925" s="20"/>
      <c r="W1925" s="20"/>
      <c r="X1925" s="20"/>
      <c r="Y1925" s="20"/>
      <c r="Z1925" s="20"/>
      <c r="AA1925" s="20"/>
      <c r="AB1925" s="12">
        <v>2394582</v>
      </c>
      <c r="AC1925" s="12">
        <v>2394581</v>
      </c>
      <c r="AD1925" s="12">
        <v>2394582</v>
      </c>
      <c r="AE1925" s="12">
        <v>2394581</v>
      </c>
      <c r="AF1925" s="12">
        <v>2639471</v>
      </c>
      <c r="AG1925" s="12">
        <v>2639471</v>
      </c>
      <c r="AH1925" s="12">
        <v>1908626</v>
      </c>
      <c r="AI1925" s="12">
        <v>1908626</v>
      </c>
      <c r="AJ1925" s="21">
        <v>2408626</v>
      </c>
      <c r="AK1925" s="21">
        <v>2408626</v>
      </c>
      <c r="AL1925" s="21">
        <v>2408626</v>
      </c>
      <c r="AM1925" s="21">
        <v>2408626</v>
      </c>
      <c r="AN1925" s="1058">
        <v>1689876</v>
      </c>
      <c r="AO1925" s="1058">
        <v>1689875</v>
      </c>
      <c r="AP1925" s="1058">
        <v>1689876</v>
      </c>
      <c r="AQ1925" s="1058">
        <v>1689875</v>
      </c>
      <c r="AR1925" s="1044"/>
      <c r="AS1925" s="1044"/>
    </row>
    <row r="1926" spans="2:45" ht="13.5" hidden="1" outlineLevel="1" thickBot="1">
      <c r="C1926" s="816" t="s">
        <v>16</v>
      </c>
      <c r="D1926" s="1113" t="s">
        <v>1200</v>
      </c>
      <c r="E1926" s="1122" t="s">
        <v>2224</v>
      </c>
      <c r="F1926" s="1114"/>
      <c r="G1926" s="6"/>
      <c r="H1926" s="6"/>
      <c r="I1926" s="6"/>
      <c r="J1926" s="6"/>
      <c r="K1926" s="6"/>
      <c r="L1926" s="6"/>
      <c r="M1926" s="6"/>
      <c r="N1926" s="6"/>
      <c r="O1926" s="6"/>
      <c r="P1926" s="6"/>
      <c r="Q1926" s="6"/>
      <c r="R1926" s="6"/>
      <c r="S1926" s="6"/>
      <c r="T1926" s="6"/>
      <c r="U1926" s="6"/>
      <c r="V1926" s="6"/>
      <c r="W1926" s="6"/>
      <c r="X1926" s="6"/>
      <c r="Y1926" s="6"/>
      <c r="Z1926" s="6"/>
      <c r="AA1926" s="6"/>
      <c r="AB1926" s="7">
        <v>2588662</v>
      </c>
      <c r="AC1926" s="7">
        <v>2588661</v>
      </c>
      <c r="AD1926" s="7">
        <v>2588662</v>
      </c>
      <c r="AE1926" s="7">
        <v>2588661</v>
      </c>
      <c r="AF1926" s="7">
        <f>SUM(AF1922:AF1925)</f>
        <v>2848809</v>
      </c>
      <c r="AG1926" s="7">
        <f t="shared" ref="AG1926:AK1926" si="363">SUM(AG1922:AG1925)</f>
        <v>2848809</v>
      </c>
      <c r="AH1926" s="7">
        <f t="shared" si="363"/>
        <v>2076464</v>
      </c>
      <c r="AI1926" s="7">
        <f t="shared" si="363"/>
        <v>2076464</v>
      </c>
      <c r="AJ1926" s="7">
        <f t="shared" si="363"/>
        <v>2593248</v>
      </c>
      <c r="AK1926" s="7">
        <f t="shared" si="363"/>
        <v>2593248</v>
      </c>
      <c r="AL1926" s="60">
        <f>SUM(AL1922:AL1925)</f>
        <v>2593248</v>
      </c>
      <c r="AM1926" s="60">
        <f>SUM(AM1922:AM1925)</f>
        <v>2593248</v>
      </c>
      <c r="AN1926" s="1074">
        <f t="shared" ref="AN1926:AO1926" si="364">SUM(AN1922:AN1925)</f>
        <v>1811310</v>
      </c>
      <c r="AO1926" s="1074">
        <f t="shared" si="364"/>
        <v>1811309</v>
      </c>
      <c r="AP1926" s="1074">
        <f t="shared" ref="AP1926:AQ1926" si="365">SUM(AP1922:AP1925)</f>
        <v>1986810</v>
      </c>
      <c r="AQ1926" s="1074">
        <f t="shared" si="365"/>
        <v>1986809</v>
      </c>
      <c r="AR1926" s="1044"/>
      <c r="AS1926" s="1044"/>
    </row>
    <row r="1927" spans="2:45" hidden="1" outlineLevel="1">
      <c r="C1927" s="816" t="s">
        <v>16</v>
      </c>
      <c r="D1927" s="9"/>
      <c r="E1927" s="1116" t="s">
        <v>580</v>
      </c>
      <c r="F1927" s="20"/>
      <c r="G1927" s="20"/>
      <c r="H1927" s="20"/>
      <c r="I1927" s="20"/>
      <c r="J1927" s="20"/>
      <c r="K1927" s="20"/>
      <c r="L1927" s="20"/>
      <c r="M1927" s="20"/>
      <c r="N1927" s="20"/>
      <c r="O1927" s="20"/>
      <c r="P1927" s="20"/>
      <c r="Q1927" s="20"/>
      <c r="R1927" s="20"/>
      <c r="S1927" s="20"/>
      <c r="T1927" s="20"/>
      <c r="U1927" s="20"/>
      <c r="V1927" s="20"/>
      <c r="W1927" s="20"/>
      <c r="X1927" s="20"/>
      <c r="Y1927" s="20"/>
      <c r="Z1927" s="20"/>
      <c r="AA1927" s="20"/>
      <c r="AB1927" s="12">
        <v>2078125</v>
      </c>
      <c r="AC1927" s="12">
        <v>0</v>
      </c>
      <c r="AD1927" s="12">
        <v>2078125</v>
      </c>
      <c r="AE1927" s="12">
        <v>0</v>
      </c>
      <c r="AF1927" s="12">
        <v>2078125</v>
      </c>
      <c r="AG1927" s="12">
        <v>0</v>
      </c>
      <c r="AH1927" s="12">
        <v>777711</v>
      </c>
      <c r="AI1927" s="12">
        <v>777711</v>
      </c>
      <c r="AJ1927" s="21">
        <v>763711</v>
      </c>
      <c r="AK1927" s="21">
        <v>763711</v>
      </c>
      <c r="AL1927" s="21">
        <v>763711</v>
      </c>
      <c r="AM1927" s="21">
        <v>763711</v>
      </c>
      <c r="AN1927" s="1058"/>
      <c r="AO1927" s="1058"/>
      <c r="AP1927" s="1058">
        <v>530234</v>
      </c>
      <c r="AQ1927" s="1058">
        <v>530233</v>
      </c>
      <c r="AR1927" s="1044"/>
      <c r="AS1927" s="1044"/>
    </row>
    <row r="1928" spans="2:45" hidden="1" outlineLevel="1">
      <c r="C1928" s="816" t="s">
        <v>16</v>
      </c>
      <c r="D1928" s="9"/>
      <c r="E1928" s="20" t="s">
        <v>581</v>
      </c>
      <c r="F1928" s="20"/>
      <c r="G1928" s="20"/>
      <c r="H1928" s="20"/>
      <c r="I1928" s="20"/>
      <c r="J1928" s="20"/>
      <c r="K1928" s="20"/>
      <c r="L1928" s="20"/>
      <c r="M1928" s="20"/>
      <c r="N1928" s="20"/>
      <c r="O1928" s="20"/>
      <c r="P1928" s="20"/>
      <c r="Q1928" s="20"/>
      <c r="R1928" s="20"/>
      <c r="S1928" s="20"/>
      <c r="T1928" s="20"/>
      <c r="U1928" s="20"/>
      <c r="V1928" s="20"/>
      <c r="W1928" s="20"/>
      <c r="X1928" s="20"/>
      <c r="Y1928" s="20"/>
      <c r="Z1928" s="20"/>
      <c r="AA1928" s="20"/>
      <c r="AB1928" s="12"/>
      <c r="AC1928" s="12"/>
      <c r="AD1928" s="12"/>
      <c r="AE1928" s="12"/>
      <c r="AF1928" s="12">
        <v>250000</v>
      </c>
      <c r="AG1928" s="12">
        <v>0</v>
      </c>
      <c r="AH1928" s="12">
        <v>91875</v>
      </c>
      <c r="AI1928" s="12">
        <v>91875</v>
      </c>
      <c r="AJ1928" s="12">
        <v>91875</v>
      </c>
      <c r="AK1928" s="12">
        <v>91875</v>
      </c>
      <c r="AL1928" s="12">
        <v>91875</v>
      </c>
      <c r="AM1928" s="12">
        <v>91875</v>
      </c>
      <c r="AN1928" s="1070"/>
      <c r="AO1928" s="1070"/>
      <c r="AP1928" s="1070">
        <v>40026</v>
      </c>
      <c r="AQ1928" s="1070">
        <v>40026</v>
      </c>
      <c r="AR1928" s="1044"/>
      <c r="AS1928" s="1044"/>
    </row>
    <row r="1929" spans="2:45" hidden="1" outlineLevel="1">
      <c r="C1929" s="816" t="s">
        <v>16</v>
      </c>
      <c r="D1929" s="223" t="s">
        <v>958</v>
      </c>
      <c r="E1929" s="25" t="s">
        <v>582</v>
      </c>
      <c r="F1929" s="6"/>
      <c r="G1929" s="6"/>
      <c r="H1929" s="6"/>
      <c r="I1929" s="6"/>
      <c r="J1929" s="6"/>
      <c r="K1929" s="6"/>
      <c r="L1929" s="6"/>
      <c r="M1929" s="6"/>
      <c r="N1929" s="6"/>
      <c r="O1929" s="6"/>
      <c r="P1929" s="6"/>
      <c r="Q1929" s="6"/>
      <c r="R1929" s="6"/>
      <c r="S1929" s="6"/>
      <c r="T1929" s="6"/>
      <c r="U1929" s="6"/>
      <c r="V1929" s="6"/>
      <c r="W1929" s="6"/>
      <c r="X1929" s="6"/>
      <c r="Y1929" s="6"/>
      <c r="Z1929" s="6"/>
      <c r="AA1929" s="6"/>
      <c r="AB1929" s="7">
        <v>2078125</v>
      </c>
      <c r="AC1929" s="7">
        <v>0</v>
      </c>
      <c r="AD1929" s="7">
        <v>2078125</v>
      </c>
      <c r="AE1929" s="7">
        <v>0</v>
      </c>
      <c r="AF1929" s="7">
        <f>SUM(AF1927:AF1928)</f>
        <v>2328125</v>
      </c>
      <c r="AG1929" s="7">
        <f t="shared" ref="AG1929:AK1929" si="366">SUM(AG1927:AG1928)</f>
        <v>0</v>
      </c>
      <c r="AH1929" s="7">
        <f t="shared" si="366"/>
        <v>869586</v>
      </c>
      <c r="AI1929" s="7">
        <f t="shared" si="366"/>
        <v>869586</v>
      </c>
      <c r="AJ1929" s="7">
        <f t="shared" si="366"/>
        <v>855586</v>
      </c>
      <c r="AK1929" s="7">
        <f t="shared" si="366"/>
        <v>855586</v>
      </c>
      <c r="AL1929" s="60">
        <f>SUM(AL1927:AL1928)</f>
        <v>855586</v>
      </c>
      <c r="AM1929" s="60">
        <f>SUM(AM1927:AM1928)</f>
        <v>855586</v>
      </c>
      <c r="AN1929" s="1074">
        <f t="shared" ref="AN1929:AO1929" si="367">SUM(AN1927:AN1928)</f>
        <v>0</v>
      </c>
      <c r="AO1929" s="1074">
        <f t="shared" si="367"/>
        <v>0</v>
      </c>
      <c r="AP1929" s="1074">
        <f t="shared" ref="AP1929:AQ1929" si="368">SUM(AP1927:AP1928)</f>
        <v>570260</v>
      </c>
      <c r="AQ1929" s="1074">
        <f t="shared" si="368"/>
        <v>570259</v>
      </c>
      <c r="AR1929" s="1044"/>
      <c r="AS1929" s="1044"/>
    </row>
    <row r="1930" spans="2:45" hidden="1" outlineLevel="1">
      <c r="C1930" s="816" t="s">
        <v>16</v>
      </c>
      <c r="D1930" s="9"/>
      <c r="E1930" s="20" t="s">
        <v>583</v>
      </c>
      <c r="F1930" s="20"/>
      <c r="G1930" s="20"/>
      <c r="H1930" s="20"/>
      <c r="I1930" s="20"/>
      <c r="J1930" s="20"/>
      <c r="K1930" s="20"/>
      <c r="L1930" s="20"/>
      <c r="M1930" s="20"/>
      <c r="N1930" s="20"/>
      <c r="O1930" s="20"/>
      <c r="P1930" s="20"/>
      <c r="Q1930" s="20"/>
      <c r="R1930" s="20"/>
      <c r="S1930" s="20"/>
      <c r="T1930" s="20"/>
      <c r="U1930" s="20"/>
      <c r="V1930" s="20"/>
      <c r="W1930" s="20"/>
      <c r="X1930" s="20"/>
      <c r="Y1930" s="20"/>
      <c r="Z1930" s="20"/>
      <c r="AA1930" s="20"/>
      <c r="AB1930" s="12">
        <v>579735</v>
      </c>
      <c r="AC1930" s="12">
        <v>579736</v>
      </c>
      <c r="AD1930" s="12">
        <v>840617</v>
      </c>
      <c r="AE1930" s="12">
        <v>840617</v>
      </c>
      <c r="AF1930" s="12">
        <v>840617</v>
      </c>
      <c r="AG1930" s="12">
        <v>840617</v>
      </c>
      <c r="AH1930" s="12">
        <v>586961</v>
      </c>
      <c r="AI1930" s="12">
        <v>586961</v>
      </c>
      <c r="AJ1930" s="21">
        <v>711961</v>
      </c>
      <c r="AK1930" s="21">
        <v>711961</v>
      </c>
      <c r="AL1930" s="21">
        <v>711961</v>
      </c>
      <c r="AM1930" s="21">
        <v>711961</v>
      </c>
      <c r="AN1930" s="1058">
        <v>474532</v>
      </c>
      <c r="AO1930" s="1058">
        <v>474531</v>
      </c>
      <c r="AP1930" s="1058">
        <v>0</v>
      </c>
      <c r="AQ1930" s="1058">
        <v>0</v>
      </c>
      <c r="AR1930" s="1044"/>
      <c r="AS1930" s="1044"/>
    </row>
    <row r="1931" spans="2:45" hidden="1" outlineLevel="1">
      <c r="C1931" s="816" t="s">
        <v>16</v>
      </c>
      <c r="D1931" s="223" t="s">
        <v>958</v>
      </c>
      <c r="E1931" s="25" t="s">
        <v>584</v>
      </c>
      <c r="F1931" s="6"/>
      <c r="G1931" s="6"/>
      <c r="H1931" s="6"/>
      <c r="I1931" s="6"/>
      <c r="J1931" s="6"/>
      <c r="K1931" s="6"/>
      <c r="L1931" s="6"/>
      <c r="M1931" s="6"/>
      <c r="N1931" s="6"/>
      <c r="O1931" s="6"/>
      <c r="P1931" s="6"/>
      <c r="Q1931" s="6"/>
      <c r="R1931" s="6"/>
      <c r="S1931" s="6"/>
      <c r="T1931" s="6"/>
      <c r="U1931" s="6"/>
      <c r="V1931" s="6"/>
      <c r="W1931" s="6"/>
      <c r="X1931" s="6"/>
      <c r="Y1931" s="6"/>
      <c r="Z1931" s="6"/>
      <c r="AA1931" s="6"/>
      <c r="AB1931" s="7">
        <v>579735</v>
      </c>
      <c r="AC1931" s="7">
        <v>579736</v>
      </c>
      <c r="AD1931" s="7">
        <v>840617</v>
      </c>
      <c r="AE1931" s="7">
        <v>840617</v>
      </c>
      <c r="AF1931" s="7">
        <f>SUM(AF1930)</f>
        <v>840617</v>
      </c>
      <c r="AG1931" s="7">
        <f t="shared" ref="AG1931:AK1931" si="369">SUM(AG1930)</f>
        <v>840617</v>
      </c>
      <c r="AH1931" s="7">
        <f t="shared" si="369"/>
        <v>586961</v>
      </c>
      <c r="AI1931" s="7">
        <f t="shared" si="369"/>
        <v>586961</v>
      </c>
      <c r="AJ1931" s="7">
        <f t="shared" si="369"/>
        <v>711961</v>
      </c>
      <c r="AK1931" s="7">
        <f t="shared" si="369"/>
        <v>711961</v>
      </c>
      <c r="AL1931" s="60">
        <f>SUM(AL1930)</f>
        <v>711961</v>
      </c>
      <c r="AM1931" s="60">
        <f>SUM(AM1930)</f>
        <v>711961</v>
      </c>
      <c r="AN1931" s="1074">
        <f t="shared" ref="AN1931:AO1931" si="370">SUM(AN1930)</f>
        <v>474532</v>
      </c>
      <c r="AO1931" s="1074">
        <f t="shared" si="370"/>
        <v>474531</v>
      </c>
      <c r="AP1931" s="1074">
        <f t="shared" ref="AP1931:AQ1931" si="371">SUM(AP1930)</f>
        <v>0</v>
      </c>
      <c r="AQ1931" s="1074">
        <f t="shared" si="371"/>
        <v>0</v>
      </c>
      <c r="AR1931" s="1044"/>
      <c r="AS1931" s="1044"/>
    </row>
    <row r="1932" spans="2:45" hidden="1" outlineLevel="1">
      <c r="C1932" s="816" t="s">
        <v>16</v>
      </c>
      <c r="D1932" s="9"/>
      <c r="E1932" s="20" t="s">
        <v>585</v>
      </c>
      <c r="F1932" s="20"/>
      <c r="G1932" s="20"/>
      <c r="H1932" s="20"/>
      <c r="I1932" s="20"/>
      <c r="J1932" s="20"/>
      <c r="K1932" s="20"/>
      <c r="L1932" s="20"/>
      <c r="M1932" s="20"/>
      <c r="N1932" s="20"/>
      <c r="O1932" s="20"/>
      <c r="P1932" s="20"/>
      <c r="Q1932" s="20"/>
      <c r="R1932" s="20"/>
      <c r="S1932" s="20"/>
      <c r="T1932" s="20"/>
      <c r="U1932" s="20"/>
      <c r="V1932" s="20"/>
      <c r="W1932" s="20"/>
      <c r="X1932" s="20"/>
      <c r="Y1932" s="20"/>
      <c r="Z1932" s="20"/>
      <c r="AA1932" s="20"/>
      <c r="AB1932" s="12">
        <v>2518021</v>
      </c>
      <c r="AC1932" s="12">
        <v>3518021</v>
      </c>
      <c r="AD1932" s="12">
        <v>5119146</v>
      </c>
      <c r="AE1932" s="12">
        <v>5119147</v>
      </c>
      <c r="AF1932" s="12">
        <v>7538531</v>
      </c>
      <c r="AG1932" s="12">
        <v>9040224</v>
      </c>
      <c r="AH1932" s="12">
        <v>0</v>
      </c>
      <c r="AI1932" s="12">
        <v>0</v>
      </c>
      <c r="AJ1932" s="22"/>
      <c r="AK1932" s="22"/>
      <c r="AL1932" s="22"/>
      <c r="AM1932" s="22"/>
      <c r="AN1932" s="1059"/>
      <c r="AO1932" s="1059"/>
      <c r="AP1932" s="1059"/>
      <c r="AQ1932" s="1059"/>
      <c r="AR1932" s="1044"/>
      <c r="AS1932" s="1044"/>
    </row>
    <row r="1933" spans="2:45" hidden="1" outlineLevel="1">
      <c r="C1933" s="816" t="s">
        <v>16</v>
      </c>
      <c r="D1933" s="9"/>
      <c r="E1933" s="20" t="s">
        <v>586</v>
      </c>
      <c r="F1933" s="20"/>
      <c r="G1933" s="20"/>
      <c r="H1933" s="20"/>
      <c r="I1933" s="20"/>
      <c r="J1933" s="20"/>
      <c r="K1933" s="20"/>
      <c r="L1933" s="20"/>
      <c r="M1933" s="20"/>
      <c r="N1933" s="20"/>
      <c r="O1933" s="20"/>
      <c r="P1933" s="20"/>
      <c r="Q1933" s="20"/>
      <c r="R1933" s="20"/>
      <c r="S1933" s="20"/>
      <c r="T1933" s="20"/>
      <c r="U1933" s="20"/>
      <c r="V1933" s="20"/>
      <c r="W1933" s="20"/>
      <c r="X1933" s="20"/>
      <c r="Y1933" s="20"/>
      <c r="Z1933" s="20"/>
      <c r="AA1933" s="20"/>
      <c r="AB1933" s="12">
        <v>574705</v>
      </c>
      <c r="AC1933" s="12">
        <v>574705</v>
      </c>
      <c r="AD1933" s="12">
        <v>674705</v>
      </c>
      <c r="AE1933" s="12">
        <v>674705</v>
      </c>
      <c r="AF1933" s="12">
        <v>65229</v>
      </c>
      <c r="AG1933" s="12">
        <v>65229</v>
      </c>
      <c r="AH1933" s="12">
        <v>45546</v>
      </c>
      <c r="AI1933" s="12">
        <v>45546</v>
      </c>
      <c r="AJ1933" s="12">
        <v>45546</v>
      </c>
      <c r="AK1933" s="12">
        <v>45546</v>
      </c>
      <c r="AL1933" s="12">
        <v>45546</v>
      </c>
      <c r="AM1933" s="12">
        <v>45546</v>
      </c>
      <c r="AN1933" s="1070">
        <v>30357</v>
      </c>
      <c r="AO1933" s="1070">
        <v>30357</v>
      </c>
      <c r="AP1933" s="1070">
        <v>30357</v>
      </c>
      <c r="AQ1933" s="1070">
        <v>30357</v>
      </c>
      <c r="AR1933" s="1044"/>
      <c r="AS1933" s="1044"/>
    </row>
    <row r="1934" spans="2:45" hidden="1" outlineLevel="1">
      <c r="C1934" s="816" t="s">
        <v>16</v>
      </c>
      <c r="D1934" s="9"/>
      <c r="E1934" s="20" t="s">
        <v>587</v>
      </c>
      <c r="F1934" s="20"/>
      <c r="G1934" s="20"/>
      <c r="H1934" s="20"/>
      <c r="I1934" s="20"/>
      <c r="J1934" s="20"/>
      <c r="K1934" s="20"/>
      <c r="L1934" s="20"/>
      <c r="M1934" s="20"/>
      <c r="N1934" s="20"/>
      <c r="O1934" s="20"/>
      <c r="P1934" s="20"/>
      <c r="Q1934" s="20"/>
      <c r="R1934" s="20"/>
      <c r="S1934" s="20"/>
      <c r="T1934" s="20"/>
      <c r="U1934" s="20"/>
      <c r="V1934" s="20"/>
      <c r="W1934" s="20"/>
      <c r="X1934" s="20"/>
      <c r="Y1934" s="20"/>
      <c r="Z1934" s="20"/>
      <c r="AA1934" s="20"/>
      <c r="AB1934" s="12"/>
      <c r="AC1934" s="12"/>
      <c r="AD1934" s="12"/>
      <c r="AE1934" s="12"/>
      <c r="AF1934" s="12">
        <v>609476</v>
      </c>
      <c r="AG1934" s="12">
        <v>609476</v>
      </c>
      <c r="AH1934" s="12">
        <v>425567</v>
      </c>
      <c r="AI1934" s="12">
        <v>425567</v>
      </c>
      <c r="AJ1934" s="12">
        <v>425567</v>
      </c>
      <c r="AK1934" s="12">
        <v>425567</v>
      </c>
      <c r="AL1934" s="12">
        <v>425567</v>
      </c>
      <c r="AM1934" s="12">
        <v>425567</v>
      </c>
      <c r="AN1934" s="1070">
        <v>283646</v>
      </c>
      <c r="AO1934" s="1070">
        <v>283646</v>
      </c>
      <c r="AP1934" s="1070">
        <v>283646</v>
      </c>
      <c r="AQ1934" s="1070">
        <v>283646</v>
      </c>
      <c r="AR1934" s="1044"/>
      <c r="AS1934" s="1044"/>
    </row>
    <row r="1935" spans="2:45" hidden="1" outlineLevel="1">
      <c r="C1935" s="816" t="s">
        <v>16</v>
      </c>
      <c r="D1935" s="9"/>
      <c r="E1935" s="20" t="s">
        <v>588</v>
      </c>
      <c r="F1935" s="20"/>
      <c r="G1935" s="20"/>
      <c r="H1935" s="20"/>
      <c r="I1935" s="20"/>
      <c r="J1935" s="20"/>
      <c r="K1935" s="20"/>
      <c r="L1935" s="20"/>
      <c r="M1935" s="20"/>
      <c r="N1935" s="20"/>
      <c r="O1935" s="20"/>
      <c r="P1935" s="20"/>
      <c r="Q1935" s="20"/>
      <c r="R1935" s="20"/>
      <c r="S1935" s="20"/>
      <c r="T1935" s="20"/>
      <c r="U1935" s="20"/>
      <c r="V1935" s="20"/>
      <c r="W1935" s="20"/>
      <c r="X1935" s="20"/>
      <c r="Y1935" s="20"/>
      <c r="Z1935" s="20"/>
      <c r="AA1935" s="20"/>
      <c r="AB1935" s="12"/>
      <c r="AC1935" s="12"/>
      <c r="AD1935" s="12"/>
      <c r="AE1935" s="12"/>
      <c r="AF1935" s="12">
        <v>0</v>
      </c>
      <c r="AG1935" s="12">
        <v>0</v>
      </c>
      <c r="AH1935" s="12">
        <v>1470000</v>
      </c>
      <c r="AI1935" s="12">
        <v>1470000</v>
      </c>
      <c r="AJ1935" s="12">
        <v>1470000</v>
      </c>
      <c r="AK1935" s="12">
        <v>1470000</v>
      </c>
      <c r="AL1935" s="12">
        <v>2318713</v>
      </c>
      <c r="AM1935" s="12">
        <v>3065854</v>
      </c>
      <c r="AN1935" s="1070"/>
      <c r="AO1935" s="1070"/>
      <c r="AP1935" s="1070"/>
      <c r="AQ1935" s="1070"/>
      <c r="AR1935" s="1044"/>
      <c r="AS1935" s="1044"/>
    </row>
    <row r="1936" spans="2:45" hidden="1" outlineLevel="1">
      <c r="C1936" s="816" t="s">
        <v>16</v>
      </c>
      <c r="D1936" s="223" t="s">
        <v>958</v>
      </c>
      <c r="E1936" s="25" t="s">
        <v>589</v>
      </c>
      <c r="F1936" s="6"/>
      <c r="G1936" s="6"/>
      <c r="H1936" s="6"/>
      <c r="I1936" s="6"/>
      <c r="J1936" s="6"/>
      <c r="K1936" s="6"/>
      <c r="L1936" s="6"/>
      <c r="M1936" s="6"/>
      <c r="N1936" s="6"/>
      <c r="O1936" s="6"/>
      <c r="P1936" s="6"/>
      <c r="Q1936" s="6"/>
      <c r="R1936" s="6"/>
      <c r="S1936" s="6"/>
      <c r="T1936" s="6"/>
      <c r="U1936" s="6"/>
      <c r="V1936" s="6"/>
      <c r="W1936" s="6"/>
      <c r="X1936" s="6"/>
      <c r="Y1936" s="6"/>
      <c r="Z1936" s="6"/>
      <c r="AA1936" s="6"/>
      <c r="AB1936" s="7">
        <v>3092726</v>
      </c>
      <c r="AC1936" s="7">
        <v>4092726</v>
      </c>
      <c r="AD1936" s="7">
        <v>5793851</v>
      </c>
      <c r="AE1936" s="7">
        <v>5793852</v>
      </c>
      <c r="AF1936" s="7">
        <f>SUM(AF1932:AF1935)</f>
        <v>8213236</v>
      </c>
      <c r="AG1936" s="7">
        <f t="shared" ref="AG1936:AK1936" si="372">SUM(AG1932:AG1935)</f>
        <v>9714929</v>
      </c>
      <c r="AH1936" s="7">
        <f t="shared" si="372"/>
        <v>1941113</v>
      </c>
      <c r="AI1936" s="7">
        <f t="shared" si="372"/>
        <v>1941113</v>
      </c>
      <c r="AJ1936" s="7">
        <f t="shared" si="372"/>
        <v>1941113</v>
      </c>
      <c r="AK1936" s="7">
        <f t="shared" si="372"/>
        <v>1941113</v>
      </c>
      <c r="AL1936" s="60">
        <f>SUM(AL1933:AL1935)</f>
        <v>2789826</v>
      </c>
      <c r="AM1936" s="60">
        <f>SUM(AM1933:AM1935)</f>
        <v>3536967</v>
      </c>
      <c r="AN1936" s="1074">
        <f t="shared" ref="AN1936:AO1936" si="373">SUM(AN1933:AN1935)</f>
        <v>314003</v>
      </c>
      <c r="AO1936" s="1074">
        <f t="shared" si="373"/>
        <v>314003</v>
      </c>
      <c r="AP1936" s="1074">
        <f t="shared" ref="AP1936:AQ1936" si="374">SUM(AP1933:AP1935)</f>
        <v>314003</v>
      </c>
      <c r="AQ1936" s="1074">
        <f t="shared" si="374"/>
        <v>314003</v>
      </c>
      <c r="AR1936" s="1044"/>
      <c r="AS1936" s="1044"/>
    </row>
    <row r="1937" spans="2:45" hidden="1" outlineLevel="1">
      <c r="C1937" s="816" t="s">
        <v>16</v>
      </c>
      <c r="D1937" s="9"/>
      <c r="E1937" s="20" t="s">
        <v>590</v>
      </c>
      <c r="F1937" s="20"/>
      <c r="G1937" s="20"/>
      <c r="H1937" s="20"/>
      <c r="I1937" s="20"/>
      <c r="J1937" s="20"/>
      <c r="K1937" s="20"/>
      <c r="L1937" s="20"/>
      <c r="M1937" s="20"/>
      <c r="N1937" s="20"/>
      <c r="O1937" s="20"/>
      <c r="P1937" s="20"/>
      <c r="Q1937" s="20"/>
      <c r="R1937" s="20"/>
      <c r="S1937" s="20"/>
      <c r="T1937" s="20"/>
      <c r="U1937" s="20"/>
      <c r="V1937" s="20"/>
      <c r="W1937" s="20"/>
      <c r="X1937" s="20"/>
      <c r="Y1937" s="20"/>
      <c r="Z1937" s="20"/>
      <c r="AA1937" s="20"/>
      <c r="AB1937" s="12">
        <v>768967</v>
      </c>
      <c r="AC1937" s="12">
        <v>768910</v>
      </c>
      <c r="AD1937" s="12">
        <v>1557500</v>
      </c>
      <c r="AE1937" s="12">
        <v>1557500</v>
      </c>
      <c r="AF1937" s="12">
        <v>1557500</v>
      </c>
      <c r="AG1937" s="12">
        <v>1557500</v>
      </c>
      <c r="AH1937" s="12">
        <v>1109713</v>
      </c>
      <c r="AI1937" s="12">
        <v>1109713</v>
      </c>
      <c r="AJ1937" s="21">
        <v>1183694</v>
      </c>
      <c r="AK1937" s="21">
        <v>1183694</v>
      </c>
      <c r="AL1937" s="21">
        <v>1183694</v>
      </c>
      <c r="AM1937" s="21">
        <v>1183694</v>
      </c>
      <c r="AN1937" s="1058">
        <v>971576</v>
      </c>
      <c r="AO1937" s="1058">
        <v>971576</v>
      </c>
      <c r="AP1937" s="1058">
        <v>971576</v>
      </c>
      <c r="AQ1937" s="1058">
        <v>971576</v>
      </c>
      <c r="AR1937" s="1044"/>
      <c r="AS1937" s="1044"/>
    </row>
    <row r="1938" spans="2:45" hidden="1" outlineLevel="1">
      <c r="C1938" s="816" t="s">
        <v>16</v>
      </c>
      <c r="D1938" s="223" t="s">
        <v>1258</v>
      </c>
      <c r="E1938" s="278" t="s">
        <v>591</v>
      </c>
      <c r="F1938" s="20"/>
      <c r="G1938" s="20"/>
      <c r="H1938" s="20"/>
      <c r="I1938" s="20"/>
      <c r="J1938" s="20"/>
      <c r="K1938" s="20"/>
      <c r="L1938" s="20"/>
      <c r="M1938" s="20"/>
      <c r="N1938" s="20"/>
      <c r="O1938" s="20"/>
      <c r="P1938" s="20"/>
      <c r="Q1938" s="20"/>
      <c r="R1938" s="20"/>
      <c r="S1938" s="20"/>
      <c r="T1938" s="20"/>
      <c r="U1938" s="20"/>
      <c r="V1938" s="20"/>
      <c r="W1938" s="20"/>
      <c r="X1938" s="20"/>
      <c r="Y1938" s="20"/>
      <c r="Z1938" s="20"/>
      <c r="AA1938" s="20"/>
      <c r="AB1938" s="12">
        <v>5538067</v>
      </c>
      <c r="AC1938" s="12">
        <v>5537658</v>
      </c>
      <c r="AD1938" s="12">
        <v>8246403</v>
      </c>
      <c r="AE1938" s="12">
        <v>8245390</v>
      </c>
      <c r="AF1938" s="12">
        <v>8246403</v>
      </c>
      <c r="AG1938" s="12">
        <v>8245390</v>
      </c>
      <c r="AH1938" s="12">
        <v>5875189</v>
      </c>
      <c r="AI1938" s="12">
        <v>5875189</v>
      </c>
      <c r="AJ1938" s="21">
        <v>6266867</v>
      </c>
      <c r="AK1938" s="21">
        <v>6266867</v>
      </c>
      <c r="AL1938" s="21">
        <v>6266867</v>
      </c>
      <c r="AM1938" s="21">
        <v>6266867</v>
      </c>
      <c r="AN1938" s="1058">
        <v>5715382</v>
      </c>
      <c r="AO1938" s="1058">
        <v>5715382</v>
      </c>
      <c r="AP1938" s="1058"/>
      <c r="AQ1938" s="1058"/>
      <c r="AR1938" s="1044"/>
      <c r="AS1938" s="1044"/>
    </row>
    <row r="1939" spans="2:45" hidden="1" outlineLevel="1">
      <c r="C1939" s="816" t="s">
        <v>16</v>
      </c>
      <c r="D1939" s="223" t="s">
        <v>1258</v>
      </c>
      <c r="E1939" s="278" t="s">
        <v>592</v>
      </c>
      <c r="F1939" s="20"/>
      <c r="G1939" s="20"/>
      <c r="H1939" s="20"/>
      <c r="I1939" s="20"/>
      <c r="J1939" s="20"/>
      <c r="K1939" s="20"/>
      <c r="L1939" s="20"/>
      <c r="M1939" s="20"/>
      <c r="N1939" s="20"/>
      <c r="O1939" s="20"/>
      <c r="P1939" s="20"/>
      <c r="Q1939" s="20"/>
      <c r="R1939" s="20"/>
      <c r="S1939" s="20"/>
      <c r="T1939" s="20"/>
      <c r="U1939" s="20"/>
      <c r="V1939" s="20"/>
      <c r="W1939" s="20"/>
      <c r="X1939" s="20"/>
      <c r="Y1939" s="20"/>
      <c r="Z1939" s="20"/>
      <c r="AA1939" s="20"/>
      <c r="AB1939" s="12">
        <v>6230338</v>
      </c>
      <c r="AC1939" s="12">
        <v>6229878</v>
      </c>
      <c r="AD1939" s="12">
        <v>9000000</v>
      </c>
      <c r="AE1939" s="12">
        <v>9000000</v>
      </c>
      <c r="AF1939" s="12">
        <v>9000000</v>
      </c>
      <c r="AG1939" s="12">
        <v>9000000</v>
      </c>
      <c r="AH1939" s="12">
        <v>6412493</v>
      </c>
      <c r="AI1939" s="12">
        <v>6412493</v>
      </c>
      <c r="AJ1939" s="21">
        <v>6839708</v>
      </c>
      <c r="AK1939" s="21">
        <v>6839708</v>
      </c>
      <c r="AL1939" s="21">
        <v>6839708</v>
      </c>
      <c r="AM1939" s="21">
        <v>6839708</v>
      </c>
      <c r="AN1939" s="1058">
        <v>6237814</v>
      </c>
      <c r="AO1939" s="1058">
        <v>6237814</v>
      </c>
      <c r="AP1939" s="1058"/>
      <c r="AQ1939" s="1058"/>
      <c r="AR1939" s="1044"/>
      <c r="AS1939" s="1044"/>
    </row>
    <row r="1940" spans="2:45" hidden="1" outlineLevel="1">
      <c r="C1940" s="816" t="s">
        <v>16</v>
      </c>
      <c r="D1940" s="223" t="s">
        <v>1258</v>
      </c>
      <c r="E1940" s="278" t="s">
        <v>593</v>
      </c>
      <c r="F1940" s="20"/>
      <c r="G1940" s="20"/>
      <c r="H1940" s="20"/>
      <c r="I1940" s="20"/>
      <c r="J1940" s="20"/>
      <c r="K1940" s="20"/>
      <c r="L1940" s="20"/>
      <c r="M1940" s="20"/>
      <c r="N1940" s="20"/>
      <c r="O1940" s="20"/>
      <c r="P1940" s="20"/>
      <c r="Q1940" s="20"/>
      <c r="R1940" s="20"/>
      <c r="S1940" s="20"/>
      <c r="T1940" s="20"/>
      <c r="U1940" s="20"/>
      <c r="V1940" s="20"/>
      <c r="W1940" s="20"/>
      <c r="X1940" s="20"/>
      <c r="Y1940" s="20"/>
      <c r="Z1940" s="20"/>
      <c r="AA1940" s="20"/>
      <c r="AB1940" s="12">
        <v>7500000</v>
      </c>
      <c r="AC1940" s="12">
        <v>7500000</v>
      </c>
      <c r="AD1940" s="12">
        <v>7500000</v>
      </c>
      <c r="AE1940" s="12">
        <v>7500000</v>
      </c>
      <c r="AF1940" s="12">
        <v>7500000</v>
      </c>
      <c r="AG1940" s="12">
        <v>7500000</v>
      </c>
      <c r="AH1940" s="12">
        <v>5343742</v>
      </c>
      <c r="AI1940" s="12">
        <v>5343742</v>
      </c>
      <c r="AJ1940" s="21">
        <v>5699992</v>
      </c>
      <c r="AK1940" s="21">
        <v>5699992</v>
      </c>
      <c r="AL1940" s="21">
        <v>5699992</v>
      </c>
      <c r="AM1940" s="21">
        <v>5699992</v>
      </c>
      <c r="AN1940" s="1058">
        <v>5198392</v>
      </c>
      <c r="AO1940" s="1058">
        <v>5198392</v>
      </c>
      <c r="AP1940" s="1058"/>
      <c r="AQ1940" s="1058"/>
      <c r="AR1940" s="1044"/>
      <c r="AS1940" s="1044"/>
    </row>
    <row r="1941" spans="2:45" hidden="1" outlineLevel="1">
      <c r="C1941" s="816" t="s">
        <v>16</v>
      </c>
      <c r="D1941" s="223" t="s">
        <v>1258</v>
      </c>
      <c r="E1941" s="278" t="s">
        <v>594</v>
      </c>
      <c r="F1941" s="20"/>
      <c r="G1941" s="20"/>
      <c r="H1941" s="20"/>
      <c r="I1941" s="20"/>
      <c r="J1941" s="20"/>
      <c r="K1941" s="20"/>
      <c r="L1941" s="20"/>
      <c r="M1941" s="20"/>
      <c r="N1941" s="20"/>
      <c r="O1941" s="20"/>
      <c r="P1941" s="20"/>
      <c r="Q1941" s="20"/>
      <c r="R1941" s="20"/>
      <c r="S1941" s="20"/>
      <c r="T1941" s="20"/>
      <c r="U1941" s="20"/>
      <c r="V1941" s="20"/>
      <c r="W1941" s="20"/>
      <c r="X1941" s="20"/>
      <c r="Y1941" s="20"/>
      <c r="Z1941" s="20"/>
      <c r="AA1941" s="20"/>
      <c r="AB1941" s="12">
        <v>0</v>
      </c>
      <c r="AC1941" s="12">
        <v>0</v>
      </c>
      <c r="AD1941" s="12">
        <v>18000000</v>
      </c>
      <c r="AE1941" s="12">
        <v>0</v>
      </c>
      <c r="AF1941" s="12">
        <v>18000000</v>
      </c>
      <c r="AG1941" s="12">
        <v>0</v>
      </c>
      <c r="AH1941" s="12">
        <v>6412492</v>
      </c>
      <c r="AI1941" s="12">
        <v>6412492</v>
      </c>
      <c r="AJ1941" s="21">
        <v>6839992</v>
      </c>
      <c r="AK1941" s="21">
        <v>6839992</v>
      </c>
      <c r="AL1941" s="21">
        <v>6839992</v>
      </c>
      <c r="AM1941" s="21">
        <v>6839992</v>
      </c>
      <c r="AN1941" s="1058">
        <v>6238075</v>
      </c>
      <c r="AO1941" s="1058">
        <v>6238075</v>
      </c>
      <c r="AP1941" s="1058"/>
      <c r="AQ1941" s="1058"/>
      <c r="AR1941" s="1044"/>
      <c r="AS1941" s="1044"/>
    </row>
    <row r="1942" spans="2:45" hidden="1" outlineLevel="1">
      <c r="C1942" s="816" t="s">
        <v>16</v>
      </c>
      <c r="D1942" s="1243" t="s">
        <v>1258</v>
      </c>
      <c r="E1942" s="1052" t="s">
        <v>1753</v>
      </c>
      <c r="F1942" s="20"/>
      <c r="G1942" s="20"/>
      <c r="H1942" s="20"/>
      <c r="I1942" s="20"/>
      <c r="J1942" s="20"/>
      <c r="K1942" s="20"/>
      <c r="L1942" s="20"/>
      <c r="M1942" s="20"/>
      <c r="N1942" s="20"/>
      <c r="O1942" s="20"/>
      <c r="P1942" s="20"/>
      <c r="Q1942" s="20"/>
      <c r="R1942" s="20"/>
      <c r="S1942" s="20"/>
      <c r="T1942" s="20"/>
      <c r="U1942" s="20"/>
      <c r="V1942" s="20"/>
      <c r="W1942" s="20"/>
      <c r="X1942" s="20"/>
      <c r="Y1942" s="20"/>
      <c r="Z1942" s="20"/>
      <c r="AA1942" s="20"/>
      <c r="AB1942" s="12"/>
      <c r="AC1942" s="12"/>
      <c r="AD1942" s="12"/>
      <c r="AE1942" s="12"/>
      <c r="AF1942" s="12"/>
      <c r="AG1942" s="12"/>
      <c r="AH1942" s="12"/>
      <c r="AI1942" s="12"/>
      <c r="AJ1942" s="21"/>
      <c r="AK1942" s="21"/>
      <c r="AL1942" s="21">
        <v>1000000</v>
      </c>
      <c r="AM1942" s="21">
        <v>1000000</v>
      </c>
      <c r="AN1942" s="1058">
        <v>912000</v>
      </c>
      <c r="AO1942" s="1058">
        <v>912000</v>
      </c>
      <c r="AP1942" s="1058"/>
      <c r="AQ1942" s="1058"/>
      <c r="AR1942" s="1044"/>
      <c r="AS1942" s="1044"/>
    </row>
    <row r="1943" spans="2:45" hidden="1" outlineLevel="1">
      <c r="C1943" s="816" t="s">
        <v>16</v>
      </c>
      <c r="D1943" s="1243"/>
      <c r="E1943" s="20" t="s">
        <v>595</v>
      </c>
      <c r="F1943" s="20"/>
      <c r="G1943" s="20"/>
      <c r="H1943" s="20"/>
      <c r="I1943" s="20"/>
      <c r="J1943" s="20"/>
      <c r="K1943" s="20"/>
      <c r="L1943" s="20"/>
      <c r="M1943" s="20"/>
      <c r="N1943" s="20"/>
      <c r="O1943" s="20"/>
      <c r="P1943" s="20"/>
      <c r="Q1943" s="20"/>
      <c r="R1943" s="20"/>
      <c r="S1943" s="20"/>
      <c r="T1943" s="20"/>
      <c r="U1943" s="20"/>
      <c r="V1943" s="20"/>
      <c r="W1943" s="20"/>
      <c r="X1943" s="20"/>
      <c r="Y1943" s="20"/>
      <c r="Z1943" s="20"/>
      <c r="AA1943" s="20"/>
      <c r="AB1943" s="12">
        <v>72784</v>
      </c>
      <c r="AC1943" s="12">
        <v>72779</v>
      </c>
      <c r="AD1943" s="12">
        <v>125000</v>
      </c>
      <c r="AE1943" s="12">
        <v>125000</v>
      </c>
      <c r="AF1943" s="12">
        <v>125000</v>
      </c>
      <c r="AG1943" s="12">
        <v>125000</v>
      </c>
      <c r="AH1943" s="12">
        <v>89055</v>
      </c>
      <c r="AI1943" s="12">
        <v>89055</v>
      </c>
      <c r="AJ1943" s="21">
        <v>94992</v>
      </c>
      <c r="AK1943" s="21">
        <v>94992</v>
      </c>
      <c r="AL1943" s="21">
        <v>94992</v>
      </c>
      <c r="AM1943" s="21">
        <v>94992</v>
      </c>
      <c r="AN1943" s="1058">
        <v>86632</v>
      </c>
      <c r="AO1943" s="1058">
        <v>86632</v>
      </c>
      <c r="AP1943" s="1058">
        <v>86632</v>
      </c>
      <c r="AQ1943" s="1058">
        <v>86632</v>
      </c>
      <c r="AR1943" s="1044"/>
      <c r="AS1943" s="1044"/>
    </row>
    <row r="1944" spans="2:45" hidden="1" outlineLevel="1">
      <c r="C1944" s="816" t="s">
        <v>16</v>
      </c>
      <c r="D1944" s="1243" t="s">
        <v>1258</v>
      </c>
      <c r="E1944" s="1052" t="s">
        <v>2169</v>
      </c>
      <c r="F1944" s="20"/>
      <c r="G1944" s="20"/>
      <c r="H1944" s="20"/>
      <c r="I1944" s="20"/>
      <c r="J1944" s="20"/>
      <c r="K1944" s="20"/>
      <c r="L1944" s="20"/>
      <c r="M1944" s="20"/>
      <c r="N1944" s="20"/>
      <c r="O1944" s="20"/>
      <c r="P1944" s="20"/>
      <c r="Q1944" s="20"/>
      <c r="R1944" s="20"/>
      <c r="S1944" s="20"/>
      <c r="T1944" s="20"/>
      <c r="U1944" s="20"/>
      <c r="V1944" s="20"/>
      <c r="W1944" s="20"/>
      <c r="X1944" s="20"/>
      <c r="Y1944" s="20"/>
      <c r="Z1944" s="20"/>
      <c r="AA1944" s="20"/>
      <c r="AB1944" s="12">
        <v>1000000</v>
      </c>
      <c r="AC1944" s="12">
        <v>1000000</v>
      </c>
      <c r="AD1944" s="12">
        <v>1500000</v>
      </c>
      <c r="AE1944" s="12">
        <v>1500000</v>
      </c>
      <c r="AF1944" s="12">
        <v>1500000</v>
      </c>
      <c r="AG1944" s="12">
        <v>1500000</v>
      </c>
      <c r="AH1944" s="12">
        <v>1068742</v>
      </c>
      <c r="AI1944" s="12">
        <v>1068742</v>
      </c>
      <c r="AJ1944" s="21">
        <v>1139992</v>
      </c>
      <c r="AK1944" s="21">
        <v>1139992</v>
      </c>
      <c r="AL1944" s="21">
        <v>1139992</v>
      </c>
      <c r="AM1944" s="21">
        <v>1139992</v>
      </c>
      <c r="AN1944" s="1058">
        <v>1039671</v>
      </c>
      <c r="AO1944" s="1058">
        <v>1039671</v>
      </c>
      <c r="AP1944" s="1058"/>
      <c r="AQ1944" s="1058"/>
      <c r="AR1944" s="1044"/>
      <c r="AS1944" s="1044"/>
    </row>
    <row r="1945" spans="2:45" hidden="1" outlineLevel="1">
      <c r="C1945" s="816" t="s">
        <v>16</v>
      </c>
      <c r="D1945" s="1243" t="s">
        <v>1258</v>
      </c>
      <c r="E1945" s="278" t="s">
        <v>596</v>
      </c>
      <c r="F1945" s="20"/>
      <c r="G1945" s="20"/>
      <c r="H1945" s="20"/>
      <c r="I1945" s="20"/>
      <c r="J1945" s="20"/>
      <c r="K1945" s="20"/>
      <c r="L1945" s="20"/>
      <c r="M1945" s="20"/>
      <c r="N1945" s="20"/>
      <c r="O1945" s="20"/>
      <c r="P1945" s="20"/>
      <c r="Q1945" s="20"/>
      <c r="R1945" s="20"/>
      <c r="S1945" s="20"/>
      <c r="T1945" s="20"/>
      <c r="U1945" s="20"/>
      <c r="V1945" s="20"/>
      <c r="W1945" s="20"/>
      <c r="X1945" s="20"/>
      <c r="Y1945" s="20"/>
      <c r="Z1945" s="20"/>
      <c r="AA1945" s="20"/>
      <c r="AB1945" s="12"/>
      <c r="AC1945" s="12"/>
      <c r="AD1945" s="12"/>
      <c r="AE1945" s="12"/>
      <c r="AF1945" s="12"/>
      <c r="AG1945" s="12"/>
      <c r="AH1945" s="12"/>
      <c r="AI1945" s="12"/>
      <c r="AJ1945" s="21">
        <v>7500000</v>
      </c>
      <c r="AK1945" s="21">
        <v>7500000</v>
      </c>
      <c r="AL1945" s="21">
        <v>7500000</v>
      </c>
      <c r="AM1945" s="21">
        <v>7500000</v>
      </c>
      <c r="AN1945" s="1058">
        <v>6840000</v>
      </c>
      <c r="AO1945" s="1058">
        <v>6840000</v>
      </c>
      <c r="AP1945" s="1058"/>
      <c r="AQ1945" s="1058"/>
      <c r="AR1945" s="1044"/>
      <c r="AS1945" s="1044"/>
    </row>
    <row r="1946" spans="2:45" hidden="1" outlineLevel="1">
      <c r="C1946" s="816" t="s">
        <v>16</v>
      </c>
      <c r="D1946" s="1243" t="s">
        <v>1258</v>
      </c>
      <c r="E1946" s="1052" t="s">
        <v>1754</v>
      </c>
      <c r="F1946" s="20"/>
      <c r="G1946" s="20"/>
      <c r="H1946" s="20"/>
      <c r="I1946" s="20"/>
      <c r="J1946" s="20"/>
      <c r="K1946" s="20"/>
      <c r="L1946" s="20"/>
      <c r="M1946" s="20"/>
      <c r="N1946" s="20"/>
      <c r="O1946" s="20"/>
      <c r="P1946" s="20"/>
      <c r="Q1946" s="20"/>
      <c r="R1946" s="20"/>
      <c r="S1946" s="20"/>
      <c r="T1946" s="20"/>
      <c r="U1946" s="20"/>
      <c r="V1946" s="20"/>
      <c r="W1946" s="20"/>
      <c r="X1946" s="20"/>
      <c r="Y1946" s="20"/>
      <c r="Z1946" s="20"/>
      <c r="AA1946" s="20"/>
      <c r="AB1946" s="12"/>
      <c r="AC1946" s="12"/>
      <c r="AD1946" s="12"/>
      <c r="AE1946" s="12"/>
      <c r="AF1946" s="12"/>
      <c r="AG1946" s="12"/>
      <c r="AH1946" s="12"/>
      <c r="AI1946" s="12"/>
      <c r="AJ1946" s="21"/>
      <c r="AK1946" s="21"/>
      <c r="AL1946" s="21">
        <v>8000000</v>
      </c>
      <c r="AM1946" s="21">
        <v>8000000</v>
      </c>
      <c r="AN1946" s="1058">
        <v>7296000</v>
      </c>
      <c r="AO1946" s="1058">
        <v>7296000</v>
      </c>
      <c r="AP1946" s="1058"/>
      <c r="AQ1946" s="1058"/>
      <c r="AR1946" s="1044"/>
      <c r="AS1946" s="1044"/>
    </row>
    <row r="1947" spans="2:45" hidden="1" outlineLevel="1">
      <c r="C1947" s="816" t="s">
        <v>16</v>
      </c>
      <c r="D1947" s="9"/>
      <c r="E1947" s="20" t="s">
        <v>597</v>
      </c>
      <c r="F1947" s="20"/>
      <c r="G1947" s="20"/>
      <c r="H1947" s="20"/>
      <c r="I1947" s="20"/>
      <c r="J1947" s="20"/>
      <c r="K1947" s="20"/>
      <c r="L1947" s="20"/>
      <c r="M1947" s="20"/>
      <c r="N1947" s="20"/>
      <c r="O1947" s="20"/>
      <c r="P1947" s="20"/>
      <c r="Q1947" s="20"/>
      <c r="R1947" s="20"/>
      <c r="S1947" s="20"/>
      <c r="T1947" s="20"/>
      <c r="U1947" s="20"/>
      <c r="V1947" s="20"/>
      <c r="W1947" s="20"/>
      <c r="X1947" s="20"/>
      <c r="Y1947" s="20"/>
      <c r="Z1947" s="20"/>
      <c r="AA1947" s="20"/>
      <c r="AB1947" s="12">
        <v>425213</v>
      </c>
      <c r="AC1947" s="12">
        <v>425182</v>
      </c>
      <c r="AD1947" s="12">
        <v>750000</v>
      </c>
      <c r="AE1947" s="12">
        <v>750000</v>
      </c>
      <c r="AF1947" s="12">
        <v>750000</v>
      </c>
      <c r="AG1947" s="12">
        <v>750000</v>
      </c>
      <c r="AH1947" s="12">
        <v>534367</v>
      </c>
      <c r="AI1947" s="12">
        <v>534367</v>
      </c>
      <c r="AJ1947" s="21">
        <v>569992</v>
      </c>
      <c r="AK1947" s="21">
        <v>569992</v>
      </c>
      <c r="AL1947" s="21">
        <v>569992</v>
      </c>
      <c r="AM1947" s="21">
        <v>569992</v>
      </c>
      <c r="AN1947" s="1058">
        <v>519832</v>
      </c>
      <c r="AO1947" s="1058">
        <v>519832</v>
      </c>
      <c r="AP1947" s="1058">
        <v>519832</v>
      </c>
      <c r="AQ1947" s="1058">
        <v>519832</v>
      </c>
      <c r="AR1947" s="1044"/>
      <c r="AS1947" s="1044"/>
    </row>
    <row r="1948" spans="2:45" hidden="1" outlineLevel="1">
      <c r="C1948" s="816" t="s">
        <v>16</v>
      </c>
      <c r="D1948" s="223" t="s">
        <v>1612</v>
      </c>
      <c r="E1948" s="20" t="s">
        <v>598</v>
      </c>
      <c r="F1948" s="20"/>
      <c r="G1948" s="20"/>
      <c r="H1948" s="20"/>
      <c r="I1948" s="20"/>
      <c r="J1948" s="20"/>
      <c r="K1948" s="20"/>
      <c r="L1948" s="20"/>
      <c r="M1948" s="20"/>
      <c r="N1948" s="20"/>
      <c r="O1948" s="20"/>
      <c r="P1948" s="20"/>
      <c r="Q1948" s="20"/>
      <c r="R1948" s="20"/>
      <c r="S1948" s="20"/>
      <c r="T1948" s="20"/>
      <c r="U1948" s="20"/>
      <c r="V1948" s="20"/>
      <c r="W1948" s="20"/>
      <c r="X1948" s="20"/>
      <c r="Y1948" s="20"/>
      <c r="Z1948" s="20"/>
      <c r="AA1948" s="20"/>
      <c r="AB1948" s="12">
        <v>7643534</v>
      </c>
      <c r="AC1948" s="12">
        <v>7643483</v>
      </c>
      <c r="AD1948" s="12">
        <v>1000000</v>
      </c>
      <c r="AE1948" s="12">
        <v>1000000</v>
      </c>
      <c r="AF1948" s="12">
        <v>1000000</v>
      </c>
      <c r="AG1948" s="12">
        <v>1000000</v>
      </c>
      <c r="AH1948" s="12">
        <v>712492</v>
      </c>
      <c r="AI1948" s="12">
        <v>712492</v>
      </c>
      <c r="AJ1948" s="21">
        <v>759992</v>
      </c>
      <c r="AK1948" s="21">
        <v>759992</v>
      </c>
      <c r="AL1948" s="21">
        <v>759992</v>
      </c>
      <c r="AM1948" s="21">
        <v>759992</v>
      </c>
      <c r="AN1948" s="1058">
        <v>729592</v>
      </c>
      <c r="AO1948" s="1058">
        <v>729592</v>
      </c>
      <c r="AP1948" s="1058">
        <v>729592</v>
      </c>
      <c r="AQ1948" s="1058">
        <v>729592</v>
      </c>
      <c r="AR1948" s="1044"/>
      <c r="AS1948" s="1044"/>
    </row>
    <row r="1949" spans="2:45" hidden="1" outlineLevel="1">
      <c r="C1949" s="816" t="s">
        <v>16</v>
      </c>
      <c r="D1949" s="9"/>
      <c r="E1949" s="20" t="s">
        <v>599</v>
      </c>
      <c r="F1949" s="20"/>
      <c r="G1949" s="20"/>
      <c r="H1949" s="20"/>
      <c r="I1949" s="20"/>
      <c r="J1949" s="20"/>
      <c r="K1949" s="20"/>
      <c r="L1949" s="20"/>
      <c r="M1949" s="20"/>
      <c r="N1949" s="20"/>
      <c r="O1949" s="20"/>
      <c r="P1949" s="20"/>
      <c r="Q1949" s="20"/>
      <c r="R1949" s="20"/>
      <c r="S1949" s="20"/>
      <c r="T1949" s="20"/>
      <c r="U1949" s="20"/>
      <c r="V1949" s="20"/>
      <c r="W1949" s="20"/>
      <c r="X1949" s="20"/>
      <c r="Y1949" s="20"/>
      <c r="Z1949" s="20"/>
      <c r="AA1949" s="20"/>
      <c r="AB1949" s="12"/>
      <c r="AC1949" s="12"/>
      <c r="AD1949" s="12"/>
      <c r="AE1949" s="12"/>
      <c r="AF1949" s="12">
        <v>0</v>
      </c>
      <c r="AG1949" s="12">
        <v>0</v>
      </c>
      <c r="AH1949" s="12">
        <v>12587647</v>
      </c>
      <c r="AI1949" s="12">
        <v>0</v>
      </c>
      <c r="AJ1949" s="22"/>
      <c r="AK1949" s="22"/>
      <c r="AL1949" s="22"/>
      <c r="AM1949" s="22"/>
      <c r="AN1949" s="1059"/>
      <c r="AO1949" s="1059"/>
      <c r="AP1949" s="1059"/>
      <c r="AQ1949" s="1059"/>
      <c r="AR1949" s="1044"/>
      <c r="AS1949" s="1044"/>
    </row>
    <row r="1950" spans="2:45" hidden="1" outlineLevel="1">
      <c r="C1950" s="816" t="s">
        <v>16</v>
      </c>
      <c r="D1950" s="9"/>
      <c r="E1950" s="20" t="s">
        <v>600</v>
      </c>
      <c r="F1950" s="20"/>
      <c r="G1950" s="20"/>
      <c r="H1950" s="20"/>
      <c r="I1950" s="20"/>
      <c r="J1950" s="20"/>
      <c r="K1950" s="20"/>
      <c r="L1950" s="20"/>
      <c r="M1950" s="20"/>
      <c r="N1950" s="20"/>
      <c r="O1950" s="20"/>
      <c r="P1950" s="20"/>
      <c r="Q1950" s="20"/>
      <c r="R1950" s="20"/>
      <c r="S1950" s="20"/>
      <c r="T1950" s="20"/>
      <c r="U1950" s="20"/>
      <c r="V1950" s="20"/>
      <c r="W1950" s="20"/>
      <c r="X1950" s="20"/>
      <c r="Y1950" s="20"/>
      <c r="Z1950" s="20"/>
      <c r="AA1950" s="20"/>
      <c r="AB1950" s="12"/>
      <c r="AC1950" s="12"/>
      <c r="AD1950" s="12"/>
      <c r="AE1950" s="12"/>
      <c r="AF1950" s="12">
        <v>8000000</v>
      </c>
      <c r="AG1950" s="12">
        <v>0</v>
      </c>
      <c r="AH1950" s="12">
        <v>0</v>
      </c>
      <c r="AI1950" s="12">
        <v>0</v>
      </c>
      <c r="AJ1950" s="22"/>
      <c r="AK1950" s="22"/>
      <c r="AL1950" s="22"/>
      <c r="AM1950" s="22"/>
      <c r="AN1950" s="1059"/>
      <c r="AO1950" s="1059"/>
      <c r="AP1950" s="1059"/>
      <c r="AQ1950" s="1059"/>
      <c r="AR1950" s="1044"/>
      <c r="AS1950" s="1044"/>
    </row>
    <row r="1951" spans="2:45" hidden="1" outlineLevel="1">
      <c r="C1951" s="816" t="s">
        <v>16</v>
      </c>
      <c r="D1951" s="223" t="s">
        <v>1219</v>
      </c>
      <c r="E1951" s="25" t="s">
        <v>1491</v>
      </c>
      <c r="F1951" s="6"/>
      <c r="G1951" s="6"/>
      <c r="H1951" s="6"/>
      <c r="I1951" s="6"/>
      <c r="J1951" s="6"/>
      <c r="K1951" s="6"/>
      <c r="L1951" s="6"/>
      <c r="M1951" s="6"/>
      <c r="N1951" s="6"/>
      <c r="O1951" s="6"/>
      <c r="P1951" s="6"/>
      <c r="Q1951" s="6"/>
      <c r="R1951" s="6"/>
      <c r="S1951" s="6"/>
      <c r="T1951" s="6"/>
      <c r="U1951" s="6"/>
      <c r="V1951" s="6"/>
      <c r="W1951" s="6"/>
      <c r="X1951" s="6"/>
      <c r="Y1951" s="6"/>
      <c r="Z1951" s="6"/>
      <c r="AA1951" s="6"/>
      <c r="AB1951" s="7">
        <v>29178903</v>
      </c>
      <c r="AC1951" s="7">
        <v>29177890</v>
      </c>
      <c r="AD1951" s="7">
        <v>47678903</v>
      </c>
      <c r="AE1951" s="7">
        <v>29677890</v>
      </c>
      <c r="AF1951" s="7">
        <f>SUM(AF1937:AF1950)</f>
        <v>55678903</v>
      </c>
      <c r="AG1951" s="7">
        <f t="shared" ref="AG1951:AK1951" si="375">SUM(AG1937:AG1950)</f>
        <v>29677890</v>
      </c>
      <c r="AH1951" s="7">
        <f t="shared" si="375"/>
        <v>40145932</v>
      </c>
      <c r="AI1951" s="7">
        <f t="shared" si="375"/>
        <v>27558285</v>
      </c>
      <c r="AJ1951" s="7">
        <f t="shared" si="375"/>
        <v>36895221</v>
      </c>
      <c r="AK1951" s="7">
        <f t="shared" si="375"/>
        <v>36895221</v>
      </c>
      <c r="AL1951" s="60">
        <f>SUM(AL1937:AL1950)</f>
        <v>45895221</v>
      </c>
      <c r="AM1951" s="60">
        <f>SUM(AM1937:AM1950)</f>
        <v>45895221</v>
      </c>
      <c r="AN1951" s="1074">
        <f t="shared" ref="AN1951:AO1951" si="376">SUM(AN1937:AN1950)</f>
        <v>41784966</v>
      </c>
      <c r="AO1951" s="1074">
        <f t="shared" si="376"/>
        <v>41784966</v>
      </c>
      <c r="AP1951" s="1074">
        <f t="shared" ref="AP1951:AQ1951" si="377">SUM(AP1937:AP1950)</f>
        <v>2307632</v>
      </c>
      <c r="AQ1951" s="1074">
        <f t="shared" si="377"/>
        <v>2307632</v>
      </c>
      <c r="AR1951" s="1044"/>
      <c r="AS1951" s="1044"/>
    </row>
    <row r="1952" spans="2:45" s="173" customFormat="1" hidden="1" outlineLevel="1">
      <c r="B1952" s="566"/>
      <c r="C1952" s="816" t="s">
        <v>16</v>
      </c>
      <c r="D1952" s="244"/>
      <c r="E1952" s="375" t="s">
        <v>1492</v>
      </c>
      <c r="F1952" s="23"/>
      <c r="G1952" s="23"/>
      <c r="H1952" s="23"/>
      <c r="I1952" s="23"/>
      <c r="J1952" s="23"/>
      <c r="K1952" s="23"/>
      <c r="L1952" s="23"/>
      <c r="M1952" s="23"/>
      <c r="N1952" s="23"/>
      <c r="O1952" s="23"/>
      <c r="P1952" s="23"/>
      <c r="Q1952" s="23"/>
      <c r="R1952" s="23"/>
      <c r="S1952" s="23"/>
      <c r="T1952" s="23"/>
      <c r="U1952" s="23"/>
      <c r="V1952" s="23"/>
      <c r="W1952" s="23"/>
      <c r="X1952" s="23"/>
      <c r="Y1952" s="23"/>
      <c r="Z1952" s="23"/>
      <c r="AA1952" s="23"/>
      <c r="AB1952" s="14">
        <v>87719</v>
      </c>
      <c r="AC1952" s="14">
        <v>87719</v>
      </c>
      <c r="AD1952" s="14"/>
      <c r="AE1952" s="14"/>
      <c r="AF1952" s="14"/>
      <c r="AG1952" s="14"/>
      <c r="AH1952" s="14"/>
      <c r="AI1952" s="14"/>
      <c r="AJ1952" s="14"/>
      <c r="AK1952" s="14"/>
      <c r="AL1952" s="14"/>
      <c r="AM1952" s="14"/>
      <c r="AN1952" s="1071"/>
      <c r="AO1952" s="1071"/>
      <c r="AP1952" s="1071"/>
      <c r="AQ1952" s="1071"/>
      <c r="AR1952" s="1044"/>
      <c r="AS1952" s="1044"/>
    </row>
    <row r="1953" spans="2:45" hidden="1" outlineLevel="1">
      <c r="C1953" s="816" t="s">
        <v>16</v>
      </c>
      <c r="D1953" s="9"/>
      <c r="E1953" s="224" t="s">
        <v>601</v>
      </c>
      <c r="F1953" s="20"/>
      <c r="G1953" s="20"/>
      <c r="H1953" s="20"/>
      <c r="I1953" s="20"/>
      <c r="J1953" s="20"/>
      <c r="K1953" s="20"/>
      <c r="L1953" s="20"/>
      <c r="M1953" s="20"/>
      <c r="N1953" s="20"/>
      <c r="O1953" s="20"/>
      <c r="P1953" s="20"/>
      <c r="Q1953" s="20"/>
      <c r="R1953" s="20"/>
      <c r="S1953" s="20"/>
      <c r="T1953" s="20"/>
      <c r="U1953" s="20"/>
      <c r="V1953" s="20"/>
      <c r="W1953" s="20"/>
      <c r="X1953" s="20"/>
      <c r="Y1953" s="20"/>
      <c r="Z1953" s="20"/>
      <c r="AA1953" s="20"/>
      <c r="AB1953" s="12">
        <v>1842314</v>
      </c>
      <c r="AC1953" s="12">
        <v>1842315</v>
      </c>
      <c r="AD1953" s="12">
        <v>2717764</v>
      </c>
      <c r="AE1953" s="12">
        <v>2717764</v>
      </c>
      <c r="AF1953" s="12">
        <v>3478033</v>
      </c>
      <c r="AG1953" s="12">
        <v>3493914</v>
      </c>
      <c r="AH1953" s="12">
        <v>2574251</v>
      </c>
      <c r="AI1953" s="12">
        <v>2609685</v>
      </c>
      <c r="AJ1953" s="21">
        <v>1400159</v>
      </c>
      <c r="AK1953" s="21">
        <v>1400159</v>
      </c>
      <c r="AL1953" s="21">
        <v>1400159</v>
      </c>
      <c r="AM1953" s="21">
        <v>1400159</v>
      </c>
      <c r="AN1953" s="1058">
        <v>513446</v>
      </c>
      <c r="AO1953" s="1058">
        <v>513446</v>
      </c>
      <c r="AP1953" s="1058"/>
      <c r="AQ1953" s="1058"/>
      <c r="AR1953" s="1044"/>
      <c r="AS1953" s="1044"/>
    </row>
    <row r="1954" spans="2:45" hidden="1" outlineLevel="1">
      <c r="C1954" s="816" t="s">
        <v>16</v>
      </c>
      <c r="D1954" s="9"/>
      <c r="E1954" s="20" t="s">
        <v>602</v>
      </c>
      <c r="F1954" s="20"/>
      <c r="G1954" s="20"/>
      <c r="H1954" s="20"/>
      <c r="I1954" s="20"/>
      <c r="J1954" s="20"/>
      <c r="K1954" s="20"/>
      <c r="L1954" s="20"/>
      <c r="M1954" s="20"/>
      <c r="N1954" s="20"/>
      <c r="O1954" s="20"/>
      <c r="P1954" s="20"/>
      <c r="Q1954" s="20"/>
      <c r="R1954" s="20"/>
      <c r="S1954" s="20"/>
      <c r="T1954" s="20"/>
      <c r="U1954" s="20"/>
      <c r="V1954" s="20"/>
      <c r="W1954" s="20"/>
      <c r="X1954" s="20"/>
      <c r="Y1954" s="20"/>
      <c r="Z1954" s="20"/>
      <c r="AA1954" s="20"/>
      <c r="AB1954" s="12">
        <v>6373306</v>
      </c>
      <c r="AC1954" s="12">
        <v>6373306</v>
      </c>
      <c r="AD1954" s="12">
        <v>6381790</v>
      </c>
      <c r="AE1954" s="12">
        <v>6381790</v>
      </c>
      <c r="AF1954" s="12">
        <v>6373307</v>
      </c>
      <c r="AG1954" s="12">
        <v>6373307</v>
      </c>
      <c r="AH1954" s="12">
        <v>4540982</v>
      </c>
      <c r="AI1954" s="12">
        <v>4540982</v>
      </c>
      <c r="AJ1954" s="21">
        <v>4843714</v>
      </c>
      <c r="AK1954" s="21">
        <v>4843714</v>
      </c>
      <c r="AL1954" s="21">
        <v>4843714</v>
      </c>
      <c r="AM1954" s="21">
        <v>4843714</v>
      </c>
      <c r="AN1954" s="1058">
        <v>1598594</v>
      </c>
      <c r="AO1954" s="1058">
        <v>1598594</v>
      </c>
      <c r="AP1954" s="1058">
        <v>2974244</v>
      </c>
      <c r="AQ1954" s="1058">
        <v>2974244</v>
      </c>
      <c r="AR1954" s="1044"/>
      <c r="AS1954" s="1044"/>
    </row>
    <row r="1955" spans="2:45" hidden="1" outlineLevel="1">
      <c r="C1955" s="816" t="s">
        <v>16</v>
      </c>
      <c r="D1955" s="9"/>
      <c r="E1955" s="20" t="s">
        <v>603</v>
      </c>
      <c r="F1955" s="20"/>
      <c r="G1955" s="20"/>
      <c r="H1955" s="20"/>
      <c r="I1955" s="20"/>
      <c r="J1955" s="20"/>
      <c r="K1955" s="20"/>
      <c r="L1955" s="20"/>
      <c r="M1955" s="20"/>
      <c r="N1955" s="20"/>
      <c r="O1955" s="20"/>
      <c r="P1955" s="20"/>
      <c r="Q1955" s="20"/>
      <c r="R1955" s="20"/>
      <c r="S1955" s="20"/>
      <c r="T1955" s="20"/>
      <c r="U1955" s="20"/>
      <c r="V1955" s="20"/>
      <c r="W1955" s="20"/>
      <c r="X1955" s="20"/>
      <c r="Y1955" s="20"/>
      <c r="Z1955" s="20"/>
      <c r="AA1955" s="20"/>
      <c r="AB1955" s="12">
        <v>2005846</v>
      </c>
      <c r="AC1955" s="12">
        <v>2005846</v>
      </c>
      <c r="AD1955" s="12">
        <v>2726561</v>
      </c>
      <c r="AE1955" s="12">
        <v>2726561</v>
      </c>
      <c r="AF1955" s="12">
        <v>2005846</v>
      </c>
      <c r="AG1955" s="12">
        <v>2005846</v>
      </c>
      <c r="AH1955" s="12">
        <v>1429166</v>
      </c>
      <c r="AI1955" s="12">
        <v>1429166</v>
      </c>
      <c r="AJ1955" s="21">
        <v>1520881</v>
      </c>
      <c r="AK1955" s="21">
        <v>1520881</v>
      </c>
      <c r="AL1955" s="1222">
        <v>1467443</v>
      </c>
      <c r="AM1955" s="1222">
        <v>1467443</v>
      </c>
      <c r="AN1955" s="1058">
        <v>538119</v>
      </c>
      <c r="AO1955" s="1058">
        <v>538119</v>
      </c>
      <c r="AP1955" s="1058">
        <v>932071</v>
      </c>
      <c r="AQ1955" s="1058">
        <v>932071</v>
      </c>
      <c r="AR1955" s="1044"/>
      <c r="AS1955" s="1044"/>
    </row>
    <row r="1956" spans="2:45" hidden="1" outlineLevel="1">
      <c r="C1956" s="816" t="s">
        <v>16</v>
      </c>
      <c r="D1956" s="9"/>
      <c r="E1956" s="20" t="s">
        <v>604</v>
      </c>
      <c r="F1956" s="20"/>
      <c r="G1956" s="20"/>
      <c r="H1956" s="20"/>
      <c r="I1956" s="20"/>
      <c r="J1956" s="20"/>
      <c r="K1956" s="20"/>
      <c r="L1956" s="20"/>
      <c r="M1956" s="20"/>
      <c r="N1956" s="20"/>
      <c r="O1956" s="20"/>
      <c r="P1956" s="20"/>
      <c r="Q1956" s="20"/>
      <c r="R1956" s="20"/>
      <c r="S1956" s="20"/>
      <c r="T1956" s="20"/>
      <c r="U1956" s="20"/>
      <c r="V1956" s="20"/>
      <c r="W1956" s="20"/>
      <c r="X1956" s="20"/>
      <c r="Y1956" s="20"/>
      <c r="Z1956" s="20"/>
      <c r="AA1956" s="20"/>
      <c r="AB1956" s="12">
        <v>3508761</v>
      </c>
      <c r="AC1956" s="12">
        <v>3508761</v>
      </c>
      <c r="AD1956" s="12">
        <v>3508761</v>
      </c>
      <c r="AE1956" s="12">
        <v>3508761</v>
      </c>
      <c r="AF1956" s="12">
        <v>3508761</v>
      </c>
      <c r="AG1956" s="12">
        <v>3508761</v>
      </c>
      <c r="AH1956" s="12">
        <v>2499992</v>
      </c>
      <c r="AI1956" s="12">
        <v>2499992</v>
      </c>
      <c r="AJ1956" s="21">
        <v>2666658</v>
      </c>
      <c r="AK1956" s="21">
        <v>2666658</v>
      </c>
      <c r="AL1956" s="21">
        <v>2666658</v>
      </c>
      <c r="AM1956" s="21">
        <v>2666658</v>
      </c>
      <c r="AN1956" s="1058">
        <v>977878</v>
      </c>
      <c r="AO1956" s="1058">
        <v>977878</v>
      </c>
      <c r="AP1956" s="1058"/>
      <c r="AQ1956" s="1058"/>
      <c r="AR1956" s="1044"/>
      <c r="AS1956" s="1044"/>
    </row>
    <row r="1957" spans="2:45" s="1021" customFormat="1" hidden="1" outlineLevel="1">
      <c r="B1957" s="1022"/>
      <c r="C1957" s="1029" t="s">
        <v>16</v>
      </c>
      <c r="D1957" s="1023"/>
      <c r="E1957" s="1034" t="s">
        <v>1881</v>
      </c>
      <c r="F1957" s="1025"/>
      <c r="G1957" s="1025"/>
      <c r="H1957" s="1025"/>
      <c r="I1957" s="1025"/>
      <c r="J1957" s="1025"/>
      <c r="K1957" s="1025"/>
      <c r="L1957" s="1025"/>
      <c r="M1957" s="1025"/>
      <c r="N1957" s="1025"/>
      <c r="O1957" s="1025"/>
      <c r="P1957" s="1025"/>
      <c r="Q1957" s="1025"/>
      <c r="R1957" s="1025"/>
      <c r="S1957" s="1025"/>
      <c r="T1957" s="1025"/>
      <c r="U1957" s="1025"/>
      <c r="V1957" s="1025"/>
      <c r="W1957" s="1025"/>
      <c r="X1957" s="1025"/>
      <c r="Y1957" s="1025"/>
      <c r="Z1957" s="1025"/>
      <c r="AA1957" s="1025"/>
      <c r="AB1957" s="1024"/>
      <c r="AC1957" s="1024"/>
      <c r="AD1957" s="1024"/>
      <c r="AE1957" s="1024"/>
      <c r="AF1957" s="1024"/>
      <c r="AG1957" s="1024"/>
      <c r="AH1957" s="1024"/>
      <c r="AI1957" s="1024"/>
      <c r="AJ1957" s="1026"/>
      <c r="AK1957" s="1026"/>
      <c r="AL1957" s="1026"/>
      <c r="AM1957" s="1026"/>
      <c r="AN1957" s="1058">
        <v>3895000</v>
      </c>
      <c r="AO1957" s="1058">
        <v>3895000</v>
      </c>
      <c r="AP1957" s="1058">
        <v>3981903</v>
      </c>
      <c r="AQ1957" s="1058">
        <v>3981903</v>
      </c>
      <c r="AR1957" s="1044"/>
      <c r="AS1957" s="1044"/>
    </row>
    <row r="1958" spans="2:45" hidden="1" outlineLevel="1">
      <c r="C1958" s="816" t="s">
        <v>16</v>
      </c>
      <c r="D1958" s="223" t="s">
        <v>1612</v>
      </c>
      <c r="E1958" s="20" t="s">
        <v>605</v>
      </c>
      <c r="F1958" s="20"/>
      <c r="G1958" s="20"/>
      <c r="H1958" s="20"/>
      <c r="I1958" s="20"/>
      <c r="J1958" s="20"/>
      <c r="K1958" s="20"/>
      <c r="L1958" s="20"/>
      <c r="M1958" s="20"/>
      <c r="N1958" s="20"/>
      <c r="O1958" s="20"/>
      <c r="P1958" s="20"/>
      <c r="Q1958" s="20"/>
      <c r="R1958" s="20"/>
      <c r="S1958" s="20"/>
      <c r="T1958" s="20"/>
      <c r="U1958" s="20"/>
      <c r="V1958" s="20"/>
      <c r="W1958" s="20"/>
      <c r="X1958" s="20"/>
      <c r="Y1958" s="20"/>
      <c r="Z1958" s="20"/>
      <c r="AA1958" s="20"/>
      <c r="AB1958" s="12">
        <v>259525</v>
      </c>
      <c r="AC1958" s="12">
        <v>263575</v>
      </c>
      <c r="AD1958" s="12">
        <v>1504297</v>
      </c>
      <c r="AE1958" s="12">
        <v>1504704</v>
      </c>
      <c r="AF1958" s="12">
        <v>1486328</v>
      </c>
      <c r="AG1958" s="12">
        <v>1490379</v>
      </c>
      <c r="AH1958" s="12">
        <v>845800</v>
      </c>
      <c r="AI1958" s="12">
        <v>869692</v>
      </c>
      <c r="AJ1958" s="21">
        <v>198673</v>
      </c>
      <c r="AK1958" s="21">
        <v>198673</v>
      </c>
      <c r="AL1958" s="21">
        <v>198673</v>
      </c>
      <c r="AM1958" s="21">
        <v>198673</v>
      </c>
      <c r="AN1958" s="1058">
        <v>76689</v>
      </c>
      <c r="AO1958" s="1058">
        <v>76689</v>
      </c>
      <c r="AP1958" s="1058">
        <v>128399</v>
      </c>
      <c r="AQ1958" s="1058">
        <v>128399</v>
      </c>
      <c r="AR1958" s="1044"/>
      <c r="AS1958" s="1044"/>
    </row>
    <row r="1959" spans="2:45" hidden="1" outlineLevel="1">
      <c r="C1959" s="816" t="s">
        <v>16</v>
      </c>
      <c r="D1959" s="9"/>
      <c r="E1959" s="20" t="s">
        <v>606</v>
      </c>
      <c r="F1959" s="20"/>
      <c r="G1959" s="20"/>
      <c r="H1959" s="20"/>
      <c r="I1959" s="20"/>
      <c r="J1959" s="20"/>
      <c r="K1959" s="20"/>
      <c r="L1959" s="20"/>
      <c r="M1959" s="20"/>
      <c r="N1959" s="20"/>
      <c r="O1959" s="20"/>
      <c r="P1959" s="20"/>
      <c r="Q1959" s="20"/>
      <c r="R1959" s="20"/>
      <c r="S1959" s="20"/>
      <c r="T1959" s="20"/>
      <c r="U1959" s="20"/>
      <c r="V1959" s="20"/>
      <c r="W1959" s="20"/>
      <c r="X1959" s="20"/>
      <c r="Y1959" s="20"/>
      <c r="Z1959" s="20"/>
      <c r="AA1959" s="20"/>
      <c r="AB1959" s="12"/>
      <c r="AC1959" s="12"/>
      <c r="AD1959" s="12"/>
      <c r="AE1959" s="12"/>
      <c r="AF1959" s="12">
        <v>0</v>
      </c>
      <c r="AG1959" s="12">
        <v>0</v>
      </c>
      <c r="AH1959" s="12">
        <v>8863510</v>
      </c>
      <c r="AI1959" s="12">
        <v>0</v>
      </c>
      <c r="AJ1959" s="22"/>
      <c r="AK1959" s="22"/>
      <c r="AL1959" s="22"/>
      <c r="AM1959" s="22"/>
      <c r="AN1959" s="1059"/>
      <c r="AO1959" s="1059"/>
      <c r="AP1959" s="1059"/>
      <c r="AQ1959" s="1059"/>
      <c r="AR1959" s="1044"/>
      <c r="AS1959" s="1044"/>
    </row>
    <row r="1960" spans="2:45" hidden="1" outlineLevel="1">
      <c r="C1960" s="816" t="s">
        <v>16</v>
      </c>
      <c r="D1960" s="223" t="s">
        <v>1219</v>
      </c>
      <c r="E1960" s="25" t="s">
        <v>607</v>
      </c>
      <c r="F1960" s="6"/>
      <c r="G1960" s="6"/>
      <c r="H1960" s="6"/>
      <c r="I1960" s="6"/>
      <c r="J1960" s="6"/>
      <c r="K1960" s="6"/>
      <c r="L1960" s="6"/>
      <c r="M1960" s="6"/>
      <c r="N1960" s="6"/>
      <c r="O1960" s="6"/>
      <c r="P1960" s="6"/>
      <c r="Q1960" s="6"/>
      <c r="R1960" s="6"/>
      <c r="S1960" s="6"/>
      <c r="T1960" s="6"/>
      <c r="U1960" s="6"/>
      <c r="V1960" s="6"/>
      <c r="W1960" s="6"/>
      <c r="X1960" s="6"/>
      <c r="Y1960" s="6"/>
      <c r="Z1960" s="6"/>
      <c r="AA1960" s="6"/>
      <c r="AB1960" s="7">
        <v>14077471</v>
      </c>
      <c r="AC1960" s="7">
        <v>14081522</v>
      </c>
      <c r="AD1960" s="7">
        <v>16839173</v>
      </c>
      <c r="AE1960" s="7">
        <v>16839580</v>
      </c>
      <c r="AF1960" s="7">
        <f>SUM(AF1953:AF1959)</f>
        <v>16852275</v>
      </c>
      <c r="AG1960" s="7">
        <f t="shared" ref="AG1960:AJ1960" si="378">SUM(AG1953:AG1959)</f>
        <v>16872207</v>
      </c>
      <c r="AH1960" s="7">
        <f t="shared" si="378"/>
        <v>20753701</v>
      </c>
      <c r="AI1960" s="7">
        <f t="shared" si="378"/>
        <v>11949517</v>
      </c>
      <c r="AJ1960" s="7">
        <f t="shared" si="378"/>
        <v>10630085</v>
      </c>
      <c r="AK1960" s="7">
        <f>SUM(AK1953:AK1959)</f>
        <v>10630085</v>
      </c>
      <c r="AL1960" s="60">
        <f>SUM(AL1953:AL1959)</f>
        <v>10576647</v>
      </c>
      <c r="AM1960" s="60">
        <f>SUM(AM1953:AM1959)</f>
        <v>10576647</v>
      </c>
      <c r="AN1960" s="1074">
        <f t="shared" ref="AN1960:AO1960" si="379">SUM(AN1953:AN1959)</f>
        <v>7599726</v>
      </c>
      <c r="AO1960" s="1074">
        <f t="shared" si="379"/>
        <v>7599726</v>
      </c>
      <c r="AP1960" s="1074">
        <f t="shared" ref="AP1960:AQ1960" si="380">SUM(AP1953:AP1959)</f>
        <v>8016617</v>
      </c>
      <c r="AQ1960" s="1074">
        <f t="shared" si="380"/>
        <v>8016617</v>
      </c>
      <c r="AR1960" s="1044"/>
      <c r="AS1960" s="1044"/>
    </row>
    <row r="1961" spans="2:45" hidden="1" outlineLevel="1">
      <c r="C1961" s="816" t="s">
        <v>16</v>
      </c>
      <c r="D1961" s="9"/>
      <c r="E1961" s="20" t="s">
        <v>608</v>
      </c>
      <c r="F1961" s="20"/>
      <c r="G1961" s="20"/>
      <c r="H1961" s="20"/>
      <c r="I1961" s="20"/>
      <c r="J1961" s="20"/>
      <c r="K1961" s="20"/>
      <c r="L1961" s="20"/>
      <c r="M1961" s="20"/>
      <c r="N1961" s="20"/>
      <c r="O1961" s="20"/>
      <c r="P1961" s="20"/>
      <c r="Q1961" s="20"/>
      <c r="R1961" s="20"/>
      <c r="S1961" s="20"/>
      <c r="T1961" s="20"/>
      <c r="U1961" s="20"/>
      <c r="V1961" s="20"/>
      <c r="W1961" s="20"/>
      <c r="X1961" s="20"/>
      <c r="Y1961" s="20"/>
      <c r="Z1961" s="20"/>
      <c r="AA1961" s="20"/>
      <c r="AB1961" s="12"/>
      <c r="AC1961" s="12"/>
      <c r="AD1961" s="12"/>
      <c r="AE1961" s="12"/>
      <c r="AF1961" s="12">
        <v>0</v>
      </c>
      <c r="AG1961" s="12">
        <v>0</v>
      </c>
      <c r="AH1961" s="12">
        <v>3500000</v>
      </c>
      <c r="AI1961" s="12">
        <v>3500000</v>
      </c>
      <c r="AJ1961" s="12">
        <v>3500000</v>
      </c>
      <c r="AK1961" s="12">
        <v>3500000</v>
      </c>
      <c r="AL1961" s="12">
        <v>3500000</v>
      </c>
      <c r="AM1961" s="12">
        <v>3500000</v>
      </c>
      <c r="AN1961" s="1070">
        <v>3024000</v>
      </c>
      <c r="AO1961" s="1070">
        <v>3024000</v>
      </c>
      <c r="AP1961" s="1070">
        <v>3024000</v>
      </c>
      <c r="AQ1961" s="1070">
        <v>3024000</v>
      </c>
      <c r="AR1961" s="1044"/>
      <c r="AS1961" s="1044"/>
    </row>
    <row r="1962" spans="2:45" hidden="1" outlineLevel="1">
      <c r="C1962" s="816" t="s">
        <v>16</v>
      </c>
      <c r="D1962" s="9"/>
      <c r="E1962" s="224" t="s">
        <v>1755</v>
      </c>
      <c r="F1962" s="20"/>
      <c r="G1962" s="20"/>
      <c r="H1962" s="20"/>
      <c r="I1962" s="20"/>
      <c r="J1962" s="20"/>
      <c r="K1962" s="20"/>
      <c r="L1962" s="20"/>
      <c r="M1962" s="20"/>
      <c r="N1962" s="20"/>
      <c r="O1962" s="20"/>
      <c r="P1962" s="20"/>
      <c r="Q1962" s="20"/>
      <c r="R1962" s="20"/>
      <c r="S1962" s="20"/>
      <c r="T1962" s="20"/>
      <c r="U1962" s="20"/>
      <c r="V1962" s="20"/>
      <c r="W1962" s="20"/>
      <c r="X1962" s="20"/>
      <c r="Y1962" s="20"/>
      <c r="Z1962" s="20"/>
      <c r="AA1962" s="20"/>
      <c r="AB1962" s="12"/>
      <c r="AC1962" s="12"/>
      <c r="AD1962" s="12"/>
      <c r="AE1962" s="12"/>
      <c r="AF1962" s="12"/>
      <c r="AG1962" s="12"/>
      <c r="AH1962" s="12"/>
      <c r="AI1962" s="12"/>
      <c r="AJ1962" s="12"/>
      <c r="AK1962" s="12"/>
      <c r="AL1962" s="12">
        <v>1600000</v>
      </c>
      <c r="AM1962" s="12">
        <v>1600000</v>
      </c>
      <c r="AN1962" s="1070">
        <v>1459200</v>
      </c>
      <c r="AO1962" s="1070">
        <v>1459200</v>
      </c>
      <c r="AP1962" s="1070">
        <v>1459200</v>
      </c>
      <c r="AQ1962" s="1070">
        <v>1459200</v>
      </c>
      <c r="AR1962" s="1044"/>
      <c r="AS1962" s="1044"/>
    </row>
    <row r="1963" spans="2:45" hidden="1" outlineLevel="1">
      <c r="C1963" s="816" t="s">
        <v>16</v>
      </c>
      <c r="D1963" s="9"/>
      <c r="E1963" s="20" t="s">
        <v>609</v>
      </c>
      <c r="F1963" s="20"/>
      <c r="G1963" s="20"/>
      <c r="H1963" s="20"/>
      <c r="I1963" s="20"/>
      <c r="J1963" s="20"/>
      <c r="K1963" s="20"/>
      <c r="L1963" s="20"/>
      <c r="M1963" s="20"/>
      <c r="N1963" s="20"/>
      <c r="O1963" s="20"/>
      <c r="P1963" s="20"/>
      <c r="Q1963" s="20"/>
      <c r="R1963" s="20"/>
      <c r="S1963" s="20"/>
      <c r="T1963" s="20"/>
      <c r="U1963" s="20"/>
      <c r="V1963" s="20"/>
      <c r="W1963" s="20"/>
      <c r="X1963" s="20"/>
      <c r="Y1963" s="20"/>
      <c r="Z1963" s="20"/>
      <c r="AA1963" s="20"/>
      <c r="AB1963" s="12">
        <v>454889</v>
      </c>
      <c r="AC1963" s="12">
        <v>454889</v>
      </c>
      <c r="AD1963" s="12">
        <v>750000</v>
      </c>
      <c r="AE1963" s="12">
        <v>750000</v>
      </c>
      <c r="AF1963" s="12">
        <v>750000</v>
      </c>
      <c r="AG1963" s="12">
        <v>750000</v>
      </c>
      <c r="AH1963" s="12">
        <v>534375</v>
      </c>
      <c r="AI1963" s="12">
        <v>534375</v>
      </c>
      <c r="AJ1963" s="37">
        <v>570000</v>
      </c>
      <c r="AK1963" s="37">
        <v>570000</v>
      </c>
      <c r="AL1963" s="37">
        <v>570000</v>
      </c>
      <c r="AM1963" s="37">
        <v>570000</v>
      </c>
      <c r="AN1963" s="1062">
        <v>467856</v>
      </c>
      <c r="AO1963" s="1062">
        <v>467856</v>
      </c>
      <c r="AP1963" s="1062">
        <v>467856</v>
      </c>
      <c r="AQ1963" s="1062">
        <v>467856</v>
      </c>
      <c r="AR1963" s="1044"/>
      <c r="AS1963" s="1044"/>
    </row>
    <row r="1964" spans="2:45" hidden="1" outlineLevel="1">
      <c r="C1964" s="816" t="s">
        <v>16</v>
      </c>
      <c r="D1964" s="223" t="s">
        <v>1258</v>
      </c>
      <c r="E1964" s="278" t="s">
        <v>610</v>
      </c>
      <c r="F1964" s="20"/>
      <c r="G1964" s="20"/>
      <c r="H1964" s="20"/>
      <c r="I1964" s="20"/>
      <c r="J1964" s="20"/>
      <c r="K1964" s="20"/>
      <c r="L1964" s="20"/>
      <c r="M1964" s="20"/>
      <c r="N1964" s="20"/>
      <c r="O1964" s="20"/>
      <c r="P1964" s="20"/>
      <c r="Q1964" s="20"/>
      <c r="R1964" s="20"/>
      <c r="S1964" s="20"/>
      <c r="T1964" s="20"/>
      <c r="U1964" s="20"/>
      <c r="V1964" s="20"/>
      <c r="W1964" s="20"/>
      <c r="X1964" s="20"/>
      <c r="Y1964" s="20"/>
      <c r="Z1964" s="20"/>
      <c r="AA1964" s="20"/>
      <c r="AB1964" s="12">
        <v>4320110</v>
      </c>
      <c r="AC1964" s="12">
        <v>4320110</v>
      </c>
      <c r="AD1964" s="12">
        <v>5125000</v>
      </c>
      <c r="AE1964" s="12">
        <v>5125000</v>
      </c>
      <c r="AF1964" s="12">
        <v>5125000</v>
      </c>
      <c r="AG1964" s="12">
        <v>5125000</v>
      </c>
      <c r="AH1964" s="12">
        <v>3918750</v>
      </c>
      <c r="AI1964" s="12">
        <v>3918750</v>
      </c>
      <c r="AJ1964" s="21">
        <v>4180000</v>
      </c>
      <c r="AK1964" s="21">
        <v>4180000</v>
      </c>
      <c r="AL1964" s="21">
        <v>4180000</v>
      </c>
      <c r="AM1964" s="21">
        <v>4180000</v>
      </c>
      <c r="AN1964" s="1058">
        <v>3812160</v>
      </c>
      <c r="AO1964" s="1058">
        <v>2812160</v>
      </c>
      <c r="AP1964" s="1058"/>
      <c r="AQ1964" s="1058"/>
      <c r="AR1964" s="1044"/>
      <c r="AS1964" s="1044"/>
    </row>
    <row r="1965" spans="2:45" hidden="1" outlineLevel="1">
      <c r="C1965" s="816" t="s">
        <v>16</v>
      </c>
      <c r="D1965" s="1243" t="s">
        <v>1258</v>
      </c>
      <c r="E1965" s="278" t="s">
        <v>611</v>
      </c>
      <c r="F1965" s="20"/>
      <c r="G1965" s="20"/>
      <c r="H1965" s="20"/>
      <c r="I1965" s="20"/>
      <c r="J1965" s="20"/>
      <c r="K1965" s="20"/>
      <c r="L1965" s="20"/>
      <c r="M1965" s="20"/>
      <c r="N1965" s="20"/>
      <c r="O1965" s="20"/>
      <c r="P1965" s="20"/>
      <c r="Q1965" s="20"/>
      <c r="R1965" s="20"/>
      <c r="S1965" s="20"/>
      <c r="T1965" s="20"/>
      <c r="U1965" s="20"/>
      <c r="V1965" s="20"/>
      <c r="W1965" s="20"/>
      <c r="X1965" s="20"/>
      <c r="Y1965" s="20"/>
      <c r="Z1965" s="20"/>
      <c r="AA1965" s="20"/>
      <c r="AB1965" s="12">
        <v>606612</v>
      </c>
      <c r="AC1965" s="12">
        <v>606612</v>
      </c>
      <c r="AD1965" s="12">
        <v>875000</v>
      </c>
      <c r="AE1965" s="12">
        <v>875000</v>
      </c>
      <c r="AF1965" s="12">
        <v>875000</v>
      </c>
      <c r="AG1965" s="12">
        <v>875000</v>
      </c>
      <c r="AH1965" s="12">
        <v>712500</v>
      </c>
      <c r="AI1965" s="12">
        <v>712500</v>
      </c>
      <c r="AJ1965" s="21">
        <v>760000</v>
      </c>
      <c r="AK1965" s="21">
        <v>760000</v>
      </c>
      <c r="AL1965" s="21">
        <v>760000</v>
      </c>
      <c r="AM1965" s="21">
        <v>760000</v>
      </c>
      <c r="AN1965" s="1058">
        <v>693120</v>
      </c>
      <c r="AO1965" s="1058">
        <v>693120</v>
      </c>
      <c r="AP1965" s="1058"/>
      <c r="AQ1965" s="1058"/>
      <c r="AR1965" s="1044"/>
      <c r="AS1965" s="1044"/>
    </row>
    <row r="1966" spans="2:45" hidden="1" outlineLevel="1">
      <c r="C1966" s="816" t="s">
        <v>16</v>
      </c>
      <c r="D1966" s="223" t="s">
        <v>1258</v>
      </c>
      <c r="E1966" s="278" t="s">
        <v>612</v>
      </c>
      <c r="F1966" s="20"/>
      <c r="G1966" s="20"/>
      <c r="H1966" s="20"/>
      <c r="I1966" s="20"/>
      <c r="J1966" s="20"/>
      <c r="K1966" s="20"/>
      <c r="L1966" s="20"/>
      <c r="M1966" s="20"/>
      <c r="N1966" s="20"/>
      <c r="O1966" s="20"/>
      <c r="P1966" s="20"/>
      <c r="Q1966" s="20"/>
      <c r="R1966" s="20"/>
      <c r="S1966" s="20"/>
      <c r="T1966" s="20"/>
      <c r="U1966" s="20"/>
      <c r="V1966" s="20"/>
      <c r="W1966" s="20"/>
      <c r="X1966" s="20"/>
      <c r="Y1966" s="20"/>
      <c r="Z1966" s="20"/>
      <c r="AA1966" s="20"/>
      <c r="AB1966" s="12">
        <v>0</v>
      </c>
      <c r="AC1966" s="12">
        <v>0</v>
      </c>
      <c r="AD1966" s="12">
        <v>5000000</v>
      </c>
      <c r="AE1966" s="12">
        <v>0</v>
      </c>
      <c r="AF1966" s="12">
        <v>2500000</v>
      </c>
      <c r="AG1966" s="12">
        <v>2500000</v>
      </c>
      <c r="AH1966" s="12">
        <v>1781250</v>
      </c>
      <c r="AI1966" s="12">
        <v>1781250</v>
      </c>
      <c r="AJ1966" s="21">
        <v>1900000</v>
      </c>
      <c r="AK1966" s="21">
        <v>1900000</v>
      </c>
      <c r="AL1966" s="21">
        <v>1900000</v>
      </c>
      <c r="AM1966" s="21">
        <v>1900000</v>
      </c>
      <c r="AN1966" s="1058">
        <v>1732800</v>
      </c>
      <c r="AO1966" s="1058">
        <v>1732800</v>
      </c>
      <c r="AP1966" s="1058"/>
      <c r="AQ1966" s="1058"/>
      <c r="AR1966" s="1044"/>
      <c r="AS1966" s="1044"/>
    </row>
    <row r="1967" spans="2:45" hidden="1" outlineLevel="1">
      <c r="C1967" s="816" t="s">
        <v>16</v>
      </c>
      <c r="D1967" s="223" t="s">
        <v>1258</v>
      </c>
      <c r="E1967" s="278" t="s">
        <v>613</v>
      </c>
      <c r="F1967" s="20"/>
      <c r="G1967" s="20"/>
      <c r="H1967" s="20"/>
      <c r="I1967" s="20"/>
      <c r="J1967" s="20"/>
      <c r="K1967" s="20"/>
      <c r="L1967" s="20"/>
      <c r="M1967" s="20"/>
      <c r="N1967" s="20"/>
      <c r="O1967" s="20"/>
      <c r="P1967" s="20"/>
      <c r="Q1967" s="20"/>
      <c r="R1967" s="20"/>
      <c r="S1967" s="20"/>
      <c r="T1967" s="20"/>
      <c r="U1967" s="20"/>
      <c r="V1967" s="20"/>
      <c r="W1967" s="20"/>
      <c r="X1967" s="20"/>
      <c r="Y1967" s="20"/>
      <c r="Z1967" s="20"/>
      <c r="AA1967" s="20"/>
      <c r="AB1967" s="12"/>
      <c r="AC1967" s="12"/>
      <c r="AD1967" s="12"/>
      <c r="AE1967" s="12"/>
      <c r="AF1967" s="12">
        <v>0</v>
      </c>
      <c r="AG1967" s="12">
        <v>0</v>
      </c>
      <c r="AH1967" s="12">
        <v>2000000</v>
      </c>
      <c r="AI1967" s="12">
        <v>0</v>
      </c>
      <c r="AJ1967" s="21">
        <v>2500000</v>
      </c>
      <c r="AK1967" s="21">
        <v>2500000</v>
      </c>
      <c r="AL1967" s="21"/>
      <c r="AM1967" s="21"/>
      <c r="AN1967" s="1058"/>
      <c r="AO1967" s="1058"/>
      <c r="AP1967" s="1058"/>
      <c r="AQ1967" s="1058"/>
      <c r="AR1967" s="1044"/>
      <c r="AS1967" s="1044"/>
    </row>
    <row r="1968" spans="2:45" hidden="1" outlineLevel="1">
      <c r="C1968" s="816" t="s">
        <v>16</v>
      </c>
      <c r="D1968" s="1051" t="s">
        <v>1258</v>
      </c>
      <c r="E1968" s="278" t="s">
        <v>614</v>
      </c>
      <c r="F1968" s="20"/>
      <c r="G1968" s="20"/>
      <c r="H1968" s="20"/>
      <c r="I1968" s="20"/>
      <c r="J1968" s="20"/>
      <c r="K1968" s="20"/>
      <c r="L1968" s="20"/>
      <c r="M1968" s="20"/>
      <c r="N1968" s="20"/>
      <c r="O1968" s="20"/>
      <c r="P1968" s="20"/>
      <c r="Q1968" s="20"/>
      <c r="R1968" s="20"/>
      <c r="S1968" s="20"/>
      <c r="T1968" s="20"/>
      <c r="U1968" s="20"/>
      <c r="V1968" s="20"/>
      <c r="W1968" s="20"/>
      <c r="X1968" s="20"/>
      <c r="Y1968" s="20"/>
      <c r="Z1968" s="20"/>
      <c r="AA1968" s="20"/>
      <c r="AB1968" s="12"/>
      <c r="AC1968" s="12"/>
      <c r="AD1968" s="12"/>
      <c r="AE1968" s="12"/>
      <c r="AF1968" s="12"/>
      <c r="AG1968" s="12"/>
      <c r="AH1968" s="12"/>
      <c r="AI1968" s="12"/>
      <c r="AJ1968" s="21">
        <v>6000000</v>
      </c>
      <c r="AK1968" s="21">
        <v>6000000</v>
      </c>
      <c r="AL1968" s="21">
        <v>6000000</v>
      </c>
      <c r="AM1968" s="21">
        <v>6000000</v>
      </c>
      <c r="AN1968" s="1058">
        <v>6000000</v>
      </c>
      <c r="AO1968" s="1058">
        <v>6000000</v>
      </c>
      <c r="AP1968" s="1058">
        <v>6000000</v>
      </c>
      <c r="AQ1968" s="1058">
        <v>6000000</v>
      </c>
      <c r="AR1968" s="1044"/>
      <c r="AS1968" s="1044"/>
    </row>
    <row r="1969" spans="2:45" s="1027" customFormat="1" hidden="1" outlineLevel="1">
      <c r="B1969" s="1028"/>
      <c r="C1969" s="1037" t="s">
        <v>16</v>
      </c>
      <c r="D1969" s="1051" t="s">
        <v>1258</v>
      </c>
      <c r="E1969" s="1052" t="s">
        <v>1882</v>
      </c>
      <c r="F1969" s="1032"/>
      <c r="G1969" s="1032"/>
      <c r="H1969" s="1032"/>
      <c r="I1969" s="1032"/>
      <c r="J1969" s="1032"/>
      <c r="K1969" s="1032"/>
      <c r="L1969" s="1032"/>
      <c r="M1969" s="1032"/>
      <c r="N1969" s="1032"/>
      <c r="O1969" s="1032"/>
      <c r="P1969" s="1032"/>
      <c r="Q1969" s="1032"/>
      <c r="R1969" s="1032"/>
      <c r="S1969" s="1032"/>
      <c r="T1969" s="1032"/>
      <c r="U1969" s="1032"/>
      <c r="V1969" s="1032"/>
      <c r="W1969" s="1032"/>
      <c r="X1969" s="1032"/>
      <c r="Y1969" s="1032"/>
      <c r="Z1969" s="1032"/>
      <c r="AA1969" s="1032"/>
      <c r="AB1969" s="1031"/>
      <c r="AC1969" s="1031"/>
      <c r="AD1969" s="1031"/>
      <c r="AE1969" s="1031"/>
      <c r="AF1969" s="1031"/>
      <c r="AG1969" s="1031"/>
      <c r="AH1969" s="1031"/>
      <c r="AI1969" s="1031"/>
      <c r="AJ1969" s="1033"/>
      <c r="AK1969" s="1033"/>
      <c r="AL1969" s="1033"/>
      <c r="AM1969" s="1033"/>
      <c r="AN1969" s="1058">
        <v>2000000</v>
      </c>
      <c r="AO1969" s="1058">
        <v>2000000</v>
      </c>
      <c r="AP1969" s="1058">
        <v>2000000</v>
      </c>
      <c r="AQ1969" s="1058">
        <v>2000000</v>
      </c>
      <c r="AR1969" s="1044"/>
      <c r="AS1969" s="1044"/>
    </row>
    <row r="1970" spans="2:45" hidden="1" outlineLevel="1">
      <c r="C1970" s="816" t="s">
        <v>16</v>
      </c>
      <c r="D1970" s="9"/>
      <c r="E1970" s="20" t="s">
        <v>615</v>
      </c>
      <c r="F1970" s="20"/>
      <c r="G1970" s="20"/>
      <c r="H1970" s="20"/>
      <c r="I1970" s="20"/>
      <c r="J1970" s="20"/>
      <c r="K1970" s="20"/>
      <c r="L1970" s="20"/>
      <c r="M1970" s="20"/>
      <c r="N1970" s="20"/>
      <c r="O1970" s="20"/>
      <c r="P1970" s="20"/>
      <c r="Q1970" s="20"/>
      <c r="R1970" s="20"/>
      <c r="S1970" s="20"/>
      <c r="T1970" s="20"/>
      <c r="U1970" s="20"/>
      <c r="V1970" s="20"/>
      <c r="W1970" s="20"/>
      <c r="X1970" s="20"/>
      <c r="Y1970" s="20"/>
      <c r="Z1970" s="20"/>
      <c r="AA1970" s="20"/>
      <c r="AB1970" s="12">
        <v>2637251</v>
      </c>
      <c r="AC1970" s="12">
        <v>2637251</v>
      </c>
      <c r="AD1970" s="12">
        <v>3801583</v>
      </c>
      <c r="AE1970" s="12">
        <v>3801583</v>
      </c>
      <c r="AF1970" s="12">
        <v>3801583</v>
      </c>
      <c r="AG1970" s="12">
        <v>3801583</v>
      </c>
      <c r="AH1970" s="12">
        <v>3097716</v>
      </c>
      <c r="AI1970" s="12">
        <v>3097716</v>
      </c>
      <c r="AJ1970" s="21">
        <v>3304230</v>
      </c>
      <c r="AK1970" s="21">
        <v>3304230</v>
      </c>
      <c r="AL1970" s="21">
        <v>3304230</v>
      </c>
      <c r="AM1970" s="21">
        <v>3304230</v>
      </c>
      <c r="AN1970" s="1058">
        <v>3013458</v>
      </c>
      <c r="AO1970" s="1058">
        <v>3013458</v>
      </c>
      <c r="AP1970" s="1058">
        <v>3013458</v>
      </c>
      <c r="AQ1970" s="1058">
        <v>3013458</v>
      </c>
      <c r="AR1970" s="1044"/>
      <c r="AS1970" s="1044"/>
    </row>
    <row r="1971" spans="2:45" hidden="1" outlineLevel="1">
      <c r="C1971" s="816" t="s">
        <v>16</v>
      </c>
      <c r="D1971" s="9"/>
      <c r="E1971" s="20" t="s">
        <v>616</v>
      </c>
      <c r="F1971" s="20"/>
      <c r="G1971" s="20"/>
      <c r="H1971" s="20"/>
      <c r="I1971" s="20"/>
      <c r="J1971" s="20"/>
      <c r="K1971" s="20"/>
      <c r="L1971" s="20"/>
      <c r="M1971" s="20"/>
      <c r="N1971" s="20"/>
      <c r="O1971" s="20"/>
      <c r="P1971" s="20"/>
      <c r="Q1971" s="20"/>
      <c r="R1971" s="20"/>
      <c r="S1971" s="20"/>
      <c r="T1971" s="20"/>
      <c r="U1971" s="20"/>
      <c r="V1971" s="20"/>
      <c r="W1971" s="20"/>
      <c r="X1971" s="20"/>
      <c r="Y1971" s="20"/>
      <c r="Z1971" s="20"/>
      <c r="AA1971" s="20"/>
      <c r="AB1971" s="12">
        <v>343472</v>
      </c>
      <c r="AC1971" s="12">
        <v>343471</v>
      </c>
      <c r="AD1971" s="12">
        <v>495466</v>
      </c>
      <c r="AE1971" s="12">
        <v>495466</v>
      </c>
      <c r="AF1971" s="12">
        <v>495466</v>
      </c>
      <c r="AG1971" s="12">
        <v>495466</v>
      </c>
      <c r="AH1971" s="12">
        <v>403586</v>
      </c>
      <c r="AI1971" s="12">
        <v>403586</v>
      </c>
      <c r="AJ1971" s="21">
        <v>430491</v>
      </c>
      <c r="AK1971" s="21">
        <v>430491</v>
      </c>
      <c r="AL1971" s="21">
        <v>430491</v>
      </c>
      <c r="AM1971" s="21">
        <v>430491</v>
      </c>
      <c r="AN1971" s="1058">
        <v>392607</v>
      </c>
      <c r="AO1971" s="1058">
        <v>392607</v>
      </c>
      <c r="AP1971" s="1058">
        <v>392607</v>
      </c>
      <c r="AQ1971" s="1058">
        <v>392607</v>
      </c>
      <c r="AR1971" s="1044"/>
      <c r="AS1971" s="1044"/>
    </row>
    <row r="1972" spans="2:45" hidden="1" outlineLevel="1">
      <c r="C1972" s="816" t="s">
        <v>16</v>
      </c>
      <c r="D1972" s="9"/>
      <c r="E1972" s="20" t="s">
        <v>617</v>
      </c>
      <c r="F1972" s="20"/>
      <c r="G1972" s="20"/>
      <c r="H1972" s="20"/>
      <c r="I1972" s="20"/>
      <c r="J1972" s="20"/>
      <c r="K1972" s="20"/>
      <c r="L1972" s="20"/>
      <c r="M1972" s="20"/>
      <c r="N1972" s="20"/>
      <c r="O1972" s="20"/>
      <c r="P1972" s="20"/>
      <c r="Q1972" s="20"/>
      <c r="R1972" s="20"/>
      <c r="S1972" s="20"/>
      <c r="T1972" s="20"/>
      <c r="U1972" s="20"/>
      <c r="V1972" s="20"/>
      <c r="W1972" s="20"/>
      <c r="X1972" s="20"/>
      <c r="Y1972" s="20"/>
      <c r="Z1972" s="20"/>
      <c r="AA1972" s="20"/>
      <c r="AB1972" s="12"/>
      <c r="AC1972" s="12"/>
      <c r="AD1972" s="12"/>
      <c r="AE1972" s="12"/>
      <c r="AF1972" s="12"/>
      <c r="AG1972" s="12"/>
      <c r="AH1972" s="12">
        <v>1000000</v>
      </c>
      <c r="AI1972" s="12">
        <v>0</v>
      </c>
      <c r="AJ1972" s="21">
        <v>500000</v>
      </c>
      <c r="AK1972" s="21">
        <v>500000</v>
      </c>
      <c r="AL1972" s="21">
        <v>500000</v>
      </c>
      <c r="AM1972" s="21">
        <v>500000</v>
      </c>
      <c r="AN1972" s="1058">
        <v>456000</v>
      </c>
      <c r="AO1972" s="1058">
        <v>456000</v>
      </c>
      <c r="AP1972" s="1058">
        <v>456000</v>
      </c>
      <c r="AQ1972" s="1058">
        <v>456000</v>
      </c>
      <c r="AR1972" s="1044"/>
      <c r="AS1972" s="1044"/>
    </row>
    <row r="1973" spans="2:45" hidden="1" outlineLevel="1">
      <c r="C1973" s="816" t="s">
        <v>16</v>
      </c>
      <c r="D1973" s="223" t="s">
        <v>1612</v>
      </c>
      <c r="E1973" s="20" t="s">
        <v>618</v>
      </c>
      <c r="F1973" s="20"/>
      <c r="G1973" s="20"/>
      <c r="H1973" s="20"/>
      <c r="I1973" s="20"/>
      <c r="J1973" s="20"/>
      <c r="K1973" s="20"/>
      <c r="L1973" s="20"/>
      <c r="M1973" s="20"/>
      <c r="N1973" s="20"/>
      <c r="O1973" s="20"/>
      <c r="P1973" s="20"/>
      <c r="Q1973" s="20"/>
      <c r="R1973" s="20"/>
      <c r="S1973" s="20"/>
      <c r="T1973" s="20"/>
      <c r="U1973" s="20"/>
      <c r="V1973" s="20"/>
      <c r="W1973" s="20"/>
      <c r="X1973" s="20"/>
      <c r="Y1973" s="20"/>
      <c r="Z1973" s="20"/>
      <c r="AA1973" s="20"/>
      <c r="AB1973" s="12">
        <v>5038530</v>
      </c>
      <c r="AC1973" s="12">
        <v>5038530</v>
      </c>
      <c r="AD1973" s="12">
        <v>1915213</v>
      </c>
      <c r="AE1973" s="12">
        <v>1915213</v>
      </c>
      <c r="AF1973" s="12">
        <v>1915213</v>
      </c>
      <c r="AG1973" s="12">
        <v>1915213</v>
      </c>
      <c r="AH1973" s="12">
        <v>568686</v>
      </c>
      <c r="AI1973" s="12">
        <v>568686</v>
      </c>
      <c r="AJ1973" s="21">
        <v>606598</v>
      </c>
      <c r="AK1973" s="21">
        <v>606598</v>
      </c>
      <c r="AL1973" s="21">
        <v>606598</v>
      </c>
      <c r="AM1973" s="21">
        <v>606598</v>
      </c>
      <c r="AN1973" s="1058">
        <v>582334</v>
      </c>
      <c r="AO1973" s="1058">
        <v>582334</v>
      </c>
      <c r="AP1973" s="1058">
        <v>582334</v>
      </c>
      <c r="AQ1973" s="1058">
        <v>582334</v>
      </c>
      <c r="AR1973" s="1044"/>
      <c r="AS1973" s="1044"/>
    </row>
    <row r="1974" spans="2:45" hidden="1" outlineLevel="1">
      <c r="C1974" s="816" t="s">
        <v>16</v>
      </c>
      <c r="D1974" s="9"/>
      <c r="E1974" s="20" t="s">
        <v>619</v>
      </c>
      <c r="F1974" s="20"/>
      <c r="G1974" s="20"/>
      <c r="H1974" s="20"/>
      <c r="I1974" s="20"/>
      <c r="J1974" s="20"/>
      <c r="K1974" s="20"/>
      <c r="L1974" s="20"/>
      <c r="M1974" s="20"/>
      <c r="N1974" s="20"/>
      <c r="O1974" s="20"/>
      <c r="P1974" s="20"/>
      <c r="Q1974" s="20"/>
      <c r="R1974" s="20"/>
      <c r="S1974" s="20"/>
      <c r="T1974" s="20"/>
      <c r="U1974" s="20"/>
      <c r="V1974" s="20"/>
      <c r="W1974" s="20"/>
      <c r="X1974" s="20"/>
      <c r="Y1974" s="20"/>
      <c r="Z1974" s="20"/>
      <c r="AA1974" s="20"/>
      <c r="AB1974" s="12"/>
      <c r="AC1974" s="12"/>
      <c r="AD1974" s="12"/>
      <c r="AE1974" s="12"/>
      <c r="AF1974" s="12">
        <v>0</v>
      </c>
      <c r="AG1974" s="12">
        <v>0</v>
      </c>
      <c r="AH1974" s="12">
        <v>21145091</v>
      </c>
      <c r="AI1974" s="12">
        <v>0</v>
      </c>
      <c r="AJ1974" s="22"/>
      <c r="AK1974" s="22"/>
      <c r="AL1974" s="22"/>
      <c r="AM1974" s="22"/>
      <c r="AN1974" s="1059"/>
      <c r="AO1974" s="1059"/>
      <c r="AP1974" s="1059"/>
      <c r="AQ1974" s="1059"/>
      <c r="AR1974" s="1044"/>
      <c r="AS1974" s="1044"/>
    </row>
    <row r="1975" spans="2:45" ht="13.5" hidden="1" outlineLevel="1" thickBot="1">
      <c r="C1975" s="816" t="s">
        <v>16</v>
      </c>
      <c r="D1975" s="223" t="s">
        <v>1219</v>
      </c>
      <c r="E1975" s="1115" t="s">
        <v>620</v>
      </c>
      <c r="F1975" s="6"/>
      <c r="G1975" s="6"/>
      <c r="H1975" s="6"/>
      <c r="I1975" s="6"/>
      <c r="J1975" s="6"/>
      <c r="K1975" s="6"/>
      <c r="L1975" s="6"/>
      <c r="M1975" s="6"/>
      <c r="N1975" s="6"/>
      <c r="O1975" s="6"/>
      <c r="P1975" s="6"/>
      <c r="Q1975" s="6"/>
      <c r="R1975" s="6"/>
      <c r="S1975" s="6"/>
      <c r="T1975" s="6"/>
      <c r="U1975" s="6"/>
      <c r="V1975" s="6"/>
      <c r="W1975" s="6"/>
      <c r="X1975" s="6"/>
      <c r="Y1975" s="6"/>
      <c r="Z1975" s="6"/>
      <c r="AA1975" s="6"/>
      <c r="AB1975" s="7">
        <v>13400864</v>
      </c>
      <c r="AC1975" s="7">
        <v>13400863</v>
      </c>
      <c r="AD1975" s="7">
        <v>17962262</v>
      </c>
      <c r="AE1975" s="7">
        <v>12962262</v>
      </c>
      <c r="AF1975" s="7">
        <f t="shared" ref="AF1975:AQ1975" si="381">SUM(AF1961:AF1974)</f>
        <v>15462262</v>
      </c>
      <c r="AG1975" s="7">
        <f t="shared" si="381"/>
        <v>15462262</v>
      </c>
      <c r="AH1975" s="7">
        <f t="shared" si="381"/>
        <v>38661954</v>
      </c>
      <c r="AI1975" s="7">
        <f t="shared" si="381"/>
        <v>14516863</v>
      </c>
      <c r="AJ1975" s="7">
        <f t="shared" si="381"/>
        <v>24251319</v>
      </c>
      <c r="AK1975" s="7">
        <f t="shared" si="381"/>
        <v>24251319</v>
      </c>
      <c r="AL1975" s="60">
        <f t="shared" si="381"/>
        <v>23351319</v>
      </c>
      <c r="AM1975" s="60">
        <f t="shared" si="381"/>
        <v>23351319</v>
      </c>
      <c r="AN1975" s="1074">
        <f t="shared" si="381"/>
        <v>23633535</v>
      </c>
      <c r="AO1975" s="1074">
        <f t="shared" si="381"/>
        <v>22633535</v>
      </c>
      <c r="AP1975" s="1074">
        <f t="shared" si="381"/>
        <v>17395455</v>
      </c>
      <c r="AQ1975" s="1074">
        <f t="shared" si="381"/>
        <v>17395455</v>
      </c>
      <c r="AR1975" s="1044"/>
      <c r="AS1975" s="1044"/>
    </row>
    <row r="1976" spans="2:45" s="600" customFormat="1" hidden="1" outlineLevel="1">
      <c r="B1976" s="601"/>
      <c r="C1976" s="816" t="s">
        <v>16</v>
      </c>
      <c r="D1976" s="1126"/>
      <c r="E1976" s="1129" t="s">
        <v>1493</v>
      </c>
      <c r="F1976" s="1127"/>
      <c r="G1976" s="375"/>
      <c r="H1976" s="375"/>
      <c r="I1976" s="375"/>
      <c r="J1976" s="375"/>
      <c r="K1976" s="375"/>
      <c r="L1976" s="375"/>
      <c r="M1976" s="375"/>
      <c r="N1976" s="375"/>
      <c r="O1976" s="375"/>
      <c r="P1976" s="375"/>
      <c r="Q1976" s="375"/>
      <c r="R1976" s="375"/>
      <c r="S1976" s="375"/>
      <c r="T1976" s="375"/>
      <c r="U1976" s="375"/>
      <c r="V1976" s="375"/>
      <c r="W1976" s="375"/>
      <c r="X1976" s="375"/>
      <c r="Y1976" s="375"/>
      <c r="Z1976" s="375"/>
      <c r="AA1976" s="375"/>
      <c r="AB1976" s="14">
        <v>4239341</v>
      </c>
      <c r="AC1976" s="14">
        <v>3495591</v>
      </c>
      <c r="AD1976" s="14"/>
      <c r="AE1976" s="14"/>
      <c r="AF1976" s="14"/>
      <c r="AG1976" s="14"/>
      <c r="AH1976" s="14"/>
      <c r="AI1976" s="14"/>
      <c r="AJ1976" s="14"/>
      <c r="AK1976" s="14"/>
      <c r="AL1976" s="14"/>
      <c r="AM1976" s="14"/>
      <c r="AN1976" s="1071"/>
      <c r="AO1976" s="1071"/>
      <c r="AP1976" s="1071"/>
      <c r="AQ1976" s="1071"/>
      <c r="AR1976" s="1044"/>
      <c r="AS1976" s="1044"/>
    </row>
    <row r="1977" spans="2:45" hidden="1" outlineLevel="1">
      <c r="C1977" s="816" t="s">
        <v>16</v>
      </c>
      <c r="D1977" s="1112"/>
      <c r="E1977" s="1118" t="s">
        <v>621</v>
      </c>
      <c r="F1977" s="638"/>
      <c r="G1977" s="20"/>
      <c r="H1977" s="20"/>
      <c r="I1977" s="20"/>
      <c r="J1977" s="20"/>
      <c r="K1977" s="20"/>
      <c r="L1977" s="20"/>
      <c r="M1977" s="20"/>
      <c r="N1977" s="20"/>
      <c r="O1977" s="20"/>
      <c r="P1977" s="20"/>
      <c r="Q1977" s="20"/>
      <c r="R1977" s="20"/>
      <c r="S1977" s="20"/>
      <c r="T1977" s="20"/>
      <c r="U1977" s="20"/>
      <c r="V1977" s="20"/>
      <c r="W1977" s="20"/>
      <c r="X1977" s="20"/>
      <c r="Y1977" s="20"/>
      <c r="Z1977" s="20"/>
      <c r="AA1977" s="20"/>
      <c r="AB1977" s="12">
        <v>8437500</v>
      </c>
      <c r="AC1977" s="12">
        <v>8437500</v>
      </c>
      <c r="AD1977" s="12">
        <v>12042410</v>
      </c>
      <c r="AE1977" s="12">
        <v>12042409</v>
      </c>
      <c r="AF1977" s="12">
        <v>12042410</v>
      </c>
      <c r="AG1977" s="12">
        <v>12042410</v>
      </c>
      <c r="AH1977" s="12">
        <v>8580218</v>
      </c>
      <c r="AI1977" s="12">
        <v>8580218</v>
      </c>
      <c r="AJ1977" s="21">
        <v>10296261</v>
      </c>
      <c r="AK1977" s="21">
        <v>10296261</v>
      </c>
      <c r="AL1977" s="21"/>
      <c r="AM1977" s="21"/>
      <c r="AN1977" s="1058"/>
      <c r="AO1977" s="1058"/>
      <c r="AP1977" s="1058"/>
      <c r="AQ1977" s="1058"/>
      <c r="AR1977" s="1044"/>
      <c r="AS1977" s="1044"/>
    </row>
    <row r="1978" spans="2:45" hidden="1" outlineLevel="1">
      <c r="C1978" s="816" t="s">
        <v>16</v>
      </c>
      <c r="D1978" s="1112"/>
      <c r="E1978" s="1118" t="s">
        <v>622</v>
      </c>
      <c r="F1978" s="638"/>
      <c r="G1978" s="20"/>
      <c r="H1978" s="20"/>
      <c r="I1978" s="20"/>
      <c r="J1978" s="20"/>
      <c r="K1978" s="20"/>
      <c r="L1978" s="20"/>
      <c r="M1978" s="20"/>
      <c r="N1978" s="20"/>
      <c r="O1978" s="20"/>
      <c r="P1978" s="20"/>
      <c r="Q1978" s="20"/>
      <c r="R1978" s="20"/>
      <c r="S1978" s="20"/>
      <c r="T1978" s="20"/>
      <c r="U1978" s="20"/>
      <c r="V1978" s="20"/>
      <c r="W1978" s="20"/>
      <c r="X1978" s="20"/>
      <c r="Y1978" s="20"/>
      <c r="Z1978" s="20"/>
      <c r="AA1978" s="20"/>
      <c r="AB1978" s="12">
        <v>2550000</v>
      </c>
      <c r="AC1978" s="12">
        <v>2550000</v>
      </c>
      <c r="AD1978" s="12">
        <v>5050231</v>
      </c>
      <c r="AE1978" s="12">
        <v>5050231</v>
      </c>
      <c r="AF1978" s="12">
        <v>5050231</v>
      </c>
      <c r="AG1978" s="12">
        <v>5050231</v>
      </c>
      <c r="AH1978" s="12">
        <v>3598289</v>
      </c>
      <c r="AI1978" s="12">
        <v>3598289</v>
      </c>
      <c r="AJ1978" s="21">
        <v>4223289</v>
      </c>
      <c r="AK1978" s="21">
        <v>4223289</v>
      </c>
      <c r="AL1978" s="21">
        <v>4223289</v>
      </c>
      <c r="AM1978" s="21">
        <v>4223289</v>
      </c>
      <c r="AN1978" s="1058">
        <v>3466475</v>
      </c>
      <c r="AO1978" s="1058">
        <v>3466475</v>
      </c>
      <c r="AP1978" s="1058">
        <v>3466475</v>
      </c>
      <c r="AQ1978" s="1058">
        <v>3466475</v>
      </c>
      <c r="AR1978" s="1044"/>
      <c r="AS1978" s="1044"/>
    </row>
    <row r="1979" spans="2:45" hidden="1" outlineLevel="1">
      <c r="C1979" s="816" t="s">
        <v>16</v>
      </c>
      <c r="D1979" s="1112"/>
      <c r="E1979" s="1118" t="s">
        <v>623</v>
      </c>
      <c r="F1979" s="638"/>
      <c r="G1979" s="20"/>
      <c r="H1979" s="20"/>
      <c r="I1979" s="20"/>
      <c r="J1979" s="20"/>
      <c r="K1979" s="20"/>
      <c r="L1979" s="20"/>
      <c r="M1979" s="20"/>
      <c r="N1979" s="20"/>
      <c r="O1979" s="20"/>
      <c r="P1979" s="20"/>
      <c r="Q1979" s="20"/>
      <c r="R1979" s="20"/>
      <c r="S1979" s="20"/>
      <c r="T1979" s="20"/>
      <c r="U1979" s="20"/>
      <c r="V1979" s="20"/>
      <c r="W1979" s="20"/>
      <c r="X1979" s="20"/>
      <c r="Y1979" s="20"/>
      <c r="Z1979" s="20"/>
      <c r="AA1979" s="20"/>
      <c r="AB1979" s="12">
        <v>1750000</v>
      </c>
      <c r="AC1979" s="12">
        <v>1750000</v>
      </c>
      <c r="AD1979" s="12">
        <v>1750000</v>
      </c>
      <c r="AE1979" s="12">
        <v>1750000</v>
      </c>
      <c r="AF1979" s="12">
        <v>1750000</v>
      </c>
      <c r="AG1979" s="12">
        <v>1750000</v>
      </c>
      <c r="AH1979" s="12">
        <v>1246875</v>
      </c>
      <c r="AI1979" s="12">
        <v>1246875</v>
      </c>
      <c r="AJ1979" s="21">
        <v>1345406</v>
      </c>
      <c r="AK1979" s="21">
        <v>1345406</v>
      </c>
      <c r="AL1979" s="21">
        <v>1345406</v>
      </c>
      <c r="AM1979" s="21">
        <v>1345406</v>
      </c>
      <c r="AN1979" s="1058">
        <v>1278136</v>
      </c>
      <c r="AO1979" s="1058">
        <v>1278136</v>
      </c>
      <c r="AP1979" s="1058">
        <v>1278136</v>
      </c>
      <c r="AQ1979" s="1058">
        <v>1278136</v>
      </c>
      <c r="AR1979" s="1044"/>
      <c r="AS1979" s="1044"/>
    </row>
    <row r="1980" spans="2:45" hidden="1" outlineLevel="1">
      <c r="C1980" s="816" t="s">
        <v>16</v>
      </c>
      <c r="D1980" s="1112"/>
      <c r="E1980" s="1118" t="s">
        <v>624</v>
      </c>
      <c r="F1980" s="638"/>
      <c r="G1980" s="20"/>
      <c r="H1980" s="20"/>
      <c r="I1980" s="20"/>
      <c r="J1980" s="20"/>
      <c r="K1980" s="20"/>
      <c r="L1980" s="20"/>
      <c r="M1980" s="20"/>
      <c r="N1980" s="20"/>
      <c r="O1980" s="20"/>
      <c r="P1980" s="20"/>
      <c r="Q1980" s="20"/>
      <c r="R1980" s="20"/>
      <c r="S1980" s="20"/>
      <c r="T1980" s="20"/>
      <c r="U1980" s="20"/>
      <c r="V1980" s="20"/>
      <c r="W1980" s="20"/>
      <c r="X1980" s="20"/>
      <c r="Y1980" s="20"/>
      <c r="Z1980" s="20"/>
      <c r="AA1980" s="20"/>
      <c r="AB1980" s="12">
        <v>565180</v>
      </c>
      <c r="AC1980" s="12">
        <v>565175</v>
      </c>
      <c r="AD1980" s="12">
        <v>565178</v>
      </c>
      <c r="AE1980" s="12">
        <v>565178</v>
      </c>
      <c r="AF1980" s="12">
        <v>565178</v>
      </c>
      <c r="AG1980" s="12">
        <v>565178</v>
      </c>
      <c r="AH1980" s="12">
        <v>402689</v>
      </c>
      <c r="AI1980" s="12">
        <v>402689</v>
      </c>
      <c r="AJ1980" s="21">
        <v>402689</v>
      </c>
      <c r="AK1980" s="21">
        <v>402689</v>
      </c>
      <c r="AL1980" s="21"/>
      <c r="AM1980" s="21"/>
      <c r="AN1980" s="1058"/>
      <c r="AO1980" s="1058"/>
      <c r="AP1980" s="1058"/>
      <c r="AQ1980" s="1058"/>
      <c r="AR1980" s="1044"/>
      <c r="AS1980" s="1044"/>
    </row>
    <row r="1981" spans="2:45" hidden="1" outlineLevel="1">
      <c r="C1981" s="816" t="s">
        <v>16</v>
      </c>
      <c r="D1981" s="1112"/>
      <c r="E1981" s="1118" t="s">
        <v>625</v>
      </c>
      <c r="F1981" s="638"/>
      <c r="G1981" s="20"/>
      <c r="H1981" s="20"/>
      <c r="I1981" s="20"/>
      <c r="J1981" s="20"/>
      <c r="K1981" s="20"/>
      <c r="L1981" s="20"/>
      <c r="M1981" s="20"/>
      <c r="N1981" s="20"/>
      <c r="O1981" s="20"/>
      <c r="P1981" s="20"/>
      <c r="Q1981" s="20"/>
      <c r="R1981" s="20"/>
      <c r="S1981" s="20"/>
      <c r="T1981" s="20"/>
      <c r="U1981" s="20"/>
      <c r="V1981" s="20"/>
      <c r="W1981" s="20"/>
      <c r="X1981" s="20"/>
      <c r="Y1981" s="20"/>
      <c r="Z1981" s="20"/>
      <c r="AA1981" s="20"/>
      <c r="AB1981" s="12">
        <v>177273</v>
      </c>
      <c r="AC1981" s="12">
        <v>177273</v>
      </c>
      <c r="AD1981" s="12">
        <v>177273</v>
      </c>
      <c r="AE1981" s="12">
        <v>177273</v>
      </c>
      <c r="AF1981" s="12">
        <v>177273</v>
      </c>
      <c r="AG1981" s="12">
        <v>177273</v>
      </c>
      <c r="AH1981" s="12">
        <v>126307</v>
      </c>
      <c r="AI1981" s="12">
        <v>126307</v>
      </c>
      <c r="AJ1981" s="21">
        <v>126307</v>
      </c>
      <c r="AK1981" s="21">
        <v>126307</v>
      </c>
      <c r="AL1981" s="21">
        <v>126307</v>
      </c>
      <c r="AM1981" s="21">
        <v>126307</v>
      </c>
      <c r="AN1981" s="1058"/>
      <c r="AO1981" s="1058"/>
      <c r="AP1981" s="1058"/>
      <c r="AQ1981" s="1058"/>
      <c r="AR1981" s="1044"/>
      <c r="AS1981" s="1044"/>
    </row>
    <row r="1982" spans="2:45" hidden="1" outlineLevel="1">
      <c r="C1982" s="816" t="s">
        <v>16</v>
      </c>
      <c r="D1982" s="1113" t="s">
        <v>1258</v>
      </c>
      <c r="E1982" s="1120" t="s">
        <v>626</v>
      </c>
      <c r="F1982" s="638"/>
      <c r="G1982" s="20"/>
      <c r="H1982" s="20"/>
      <c r="I1982" s="20"/>
      <c r="J1982" s="20"/>
      <c r="K1982" s="20"/>
      <c r="L1982" s="20"/>
      <c r="M1982" s="20"/>
      <c r="N1982" s="20"/>
      <c r="O1982" s="20"/>
      <c r="P1982" s="20"/>
      <c r="Q1982" s="20"/>
      <c r="R1982" s="20"/>
      <c r="S1982" s="20"/>
      <c r="T1982" s="20"/>
      <c r="U1982" s="20"/>
      <c r="V1982" s="20"/>
      <c r="W1982" s="20"/>
      <c r="X1982" s="20"/>
      <c r="Y1982" s="20"/>
      <c r="Z1982" s="20"/>
      <c r="AA1982" s="20"/>
      <c r="AB1982" s="12">
        <v>192006</v>
      </c>
      <c r="AC1982" s="12">
        <v>192006</v>
      </c>
      <c r="AD1982" s="12">
        <v>192006</v>
      </c>
      <c r="AE1982" s="12">
        <v>192006</v>
      </c>
      <c r="AF1982" s="12">
        <v>192006</v>
      </c>
      <c r="AG1982" s="12">
        <v>192006</v>
      </c>
      <c r="AH1982" s="12">
        <v>136805</v>
      </c>
      <c r="AI1982" s="12">
        <v>136805</v>
      </c>
      <c r="AJ1982" s="12">
        <v>136805</v>
      </c>
      <c r="AK1982" s="12">
        <v>136805</v>
      </c>
      <c r="AL1982" s="12">
        <v>136805</v>
      </c>
      <c r="AM1982" s="12">
        <v>136805</v>
      </c>
      <c r="AN1982" s="1070"/>
      <c r="AO1982" s="1070"/>
      <c r="AP1982" s="1070"/>
      <c r="AQ1982" s="1070"/>
      <c r="AR1982" s="1044"/>
      <c r="AS1982" s="1044"/>
    </row>
    <row r="1983" spans="2:45" hidden="1" outlineLevel="1">
      <c r="C1983" s="816" t="s">
        <v>16</v>
      </c>
      <c r="D1983" s="1245" t="s">
        <v>1258</v>
      </c>
      <c r="E1983" s="1121" t="s">
        <v>1756</v>
      </c>
      <c r="F1983" s="638"/>
      <c r="G1983" s="20"/>
      <c r="H1983" s="20"/>
      <c r="I1983" s="20"/>
      <c r="J1983" s="20"/>
      <c r="K1983" s="20"/>
      <c r="L1983" s="20"/>
      <c r="M1983" s="20"/>
      <c r="N1983" s="20"/>
      <c r="O1983" s="20"/>
      <c r="P1983" s="20"/>
      <c r="Q1983" s="20"/>
      <c r="R1983" s="20"/>
      <c r="S1983" s="20"/>
      <c r="T1983" s="20"/>
      <c r="U1983" s="20"/>
      <c r="V1983" s="20"/>
      <c r="W1983" s="20"/>
      <c r="X1983" s="20"/>
      <c r="Y1983" s="20"/>
      <c r="Z1983" s="20"/>
      <c r="AA1983" s="20"/>
      <c r="AB1983" s="12"/>
      <c r="AC1983" s="12"/>
      <c r="AD1983" s="12"/>
      <c r="AE1983" s="12"/>
      <c r="AF1983" s="12"/>
      <c r="AG1983" s="12"/>
      <c r="AH1983" s="12"/>
      <c r="AI1983" s="12"/>
      <c r="AJ1983" s="12"/>
      <c r="AK1983" s="12"/>
      <c r="AL1983" s="12">
        <v>2000000</v>
      </c>
      <c r="AM1983" s="12">
        <v>2000000</v>
      </c>
      <c r="AN1983" s="1070">
        <v>1824000</v>
      </c>
      <c r="AO1983" s="1070">
        <v>1824000</v>
      </c>
      <c r="AP1983" s="1070"/>
      <c r="AQ1983" s="1070"/>
      <c r="AR1983" s="1044"/>
      <c r="AS1983" s="1044"/>
    </row>
    <row r="1984" spans="2:45" ht="15.75" hidden="1" customHeight="1" outlineLevel="1">
      <c r="C1984" s="816" t="s">
        <v>16</v>
      </c>
      <c r="D1984" s="1113" t="s">
        <v>1258</v>
      </c>
      <c r="E1984" s="1120" t="s">
        <v>627</v>
      </c>
      <c r="F1984" s="638"/>
      <c r="G1984" s="20"/>
      <c r="H1984" s="20"/>
      <c r="I1984" s="20"/>
      <c r="J1984" s="20"/>
      <c r="K1984" s="20"/>
      <c r="L1984" s="20"/>
      <c r="M1984" s="20"/>
      <c r="N1984" s="20"/>
      <c r="O1984" s="20"/>
      <c r="P1984" s="20"/>
      <c r="Q1984" s="20"/>
      <c r="R1984" s="20"/>
      <c r="S1984" s="20"/>
      <c r="T1984" s="20"/>
      <c r="U1984" s="20"/>
      <c r="V1984" s="20"/>
      <c r="W1984" s="20"/>
      <c r="X1984" s="20"/>
      <c r="Y1984" s="20"/>
      <c r="Z1984" s="20"/>
      <c r="AA1984" s="20"/>
      <c r="AB1984" s="12"/>
      <c r="AC1984" s="12"/>
      <c r="AD1984" s="12"/>
      <c r="AE1984" s="12"/>
      <c r="AF1984" s="12"/>
      <c r="AG1984" s="12"/>
      <c r="AH1984" s="12"/>
      <c r="AI1984" s="12"/>
      <c r="AJ1984" s="12">
        <v>2000000</v>
      </c>
      <c r="AK1984" s="12">
        <v>2000000</v>
      </c>
      <c r="AL1984" s="12">
        <v>2000000</v>
      </c>
      <c r="AM1984" s="12">
        <v>2000000</v>
      </c>
      <c r="AN1984" s="1070">
        <v>4400000</v>
      </c>
      <c r="AO1984" s="1070">
        <v>4400000</v>
      </c>
      <c r="AP1984" s="1070"/>
      <c r="AQ1984" s="1070"/>
      <c r="AR1984" s="1044"/>
      <c r="AS1984" s="1044"/>
    </row>
    <row r="1985" spans="2:45" hidden="1" outlineLevel="1">
      <c r="C1985" s="816" t="s">
        <v>16</v>
      </c>
      <c r="D1985" s="1113" t="s">
        <v>1612</v>
      </c>
      <c r="E1985" s="1118" t="s">
        <v>628</v>
      </c>
      <c r="F1985" s="638"/>
      <c r="G1985" s="20"/>
      <c r="H1985" s="20"/>
      <c r="I1985" s="20"/>
      <c r="J1985" s="20"/>
      <c r="K1985" s="20"/>
      <c r="L1985" s="20"/>
      <c r="M1985" s="20"/>
      <c r="N1985" s="20"/>
      <c r="O1985" s="20"/>
      <c r="P1985" s="20"/>
      <c r="Q1985" s="20"/>
      <c r="R1985" s="20"/>
      <c r="S1985" s="20"/>
      <c r="T1985" s="20"/>
      <c r="U1985" s="20"/>
      <c r="V1985" s="20"/>
      <c r="W1985" s="20"/>
      <c r="X1985" s="20"/>
      <c r="Y1985" s="20"/>
      <c r="Z1985" s="20"/>
      <c r="AA1985" s="20"/>
      <c r="AB1985" s="12">
        <v>5735252</v>
      </c>
      <c r="AC1985" s="12">
        <v>5735252</v>
      </c>
      <c r="AD1985" s="12">
        <v>7497577</v>
      </c>
      <c r="AE1985" s="12">
        <v>7497577</v>
      </c>
      <c r="AF1985" s="12">
        <v>7497577</v>
      </c>
      <c r="AG1985" s="12">
        <v>7497577</v>
      </c>
      <c r="AH1985" s="12">
        <v>5342024</v>
      </c>
      <c r="AI1985" s="12">
        <v>5342024</v>
      </c>
      <c r="AJ1985" s="21">
        <v>5342024</v>
      </c>
      <c r="AK1985" s="21">
        <v>5342024</v>
      </c>
      <c r="AL1985" s="21">
        <v>5342024</v>
      </c>
      <c r="AM1985" s="21">
        <v>5342024</v>
      </c>
      <c r="AN1985" s="1058">
        <v>5342024</v>
      </c>
      <c r="AO1985" s="1058">
        <v>5342024</v>
      </c>
      <c r="AP1985" s="1058">
        <v>6092024</v>
      </c>
      <c r="AQ1985" s="1058">
        <v>6092024</v>
      </c>
      <c r="AR1985" s="1044"/>
      <c r="AS1985" s="1044"/>
    </row>
    <row r="1986" spans="2:45" hidden="1" outlineLevel="1">
      <c r="C1986" s="816" t="s">
        <v>16</v>
      </c>
      <c r="D1986" s="1112"/>
      <c r="E1986" s="1118" t="s">
        <v>629</v>
      </c>
      <c r="F1986" s="638"/>
      <c r="G1986" s="20"/>
      <c r="H1986" s="20"/>
      <c r="I1986" s="20"/>
      <c r="J1986" s="20"/>
      <c r="K1986" s="20"/>
      <c r="L1986" s="20"/>
      <c r="M1986" s="20"/>
      <c r="N1986" s="20"/>
      <c r="O1986" s="20"/>
      <c r="P1986" s="20"/>
      <c r="Q1986" s="20"/>
      <c r="R1986" s="20"/>
      <c r="S1986" s="20"/>
      <c r="T1986" s="20"/>
      <c r="U1986" s="20"/>
      <c r="V1986" s="20"/>
      <c r="W1986" s="20"/>
      <c r="X1986" s="20"/>
      <c r="Y1986" s="20"/>
      <c r="Z1986" s="20"/>
      <c r="AA1986" s="20"/>
      <c r="AB1986" s="12"/>
      <c r="AC1986" s="12"/>
      <c r="AD1986" s="12"/>
      <c r="AE1986" s="12"/>
      <c r="AF1986" s="12">
        <v>0</v>
      </c>
      <c r="AG1986" s="12">
        <v>0</v>
      </c>
      <c r="AH1986" s="12">
        <v>16818235</v>
      </c>
      <c r="AI1986" s="12">
        <v>0</v>
      </c>
      <c r="AJ1986" s="22"/>
      <c r="AK1986" s="22"/>
      <c r="AL1986" s="22"/>
      <c r="AM1986" s="22"/>
      <c r="AN1986" s="1059"/>
      <c r="AO1986" s="1059"/>
      <c r="AP1986" s="1059"/>
      <c r="AQ1986" s="1059"/>
      <c r="AR1986" s="1044"/>
      <c r="AS1986" s="1044"/>
    </row>
    <row r="1987" spans="2:45" hidden="1" outlineLevel="1">
      <c r="C1987" s="816" t="s">
        <v>16</v>
      </c>
      <c r="D1987" s="1112"/>
      <c r="E1987" s="1118" t="s">
        <v>630</v>
      </c>
      <c r="F1987" s="638"/>
      <c r="G1987" s="20"/>
      <c r="H1987" s="20"/>
      <c r="I1987" s="20"/>
      <c r="J1987" s="20"/>
      <c r="K1987" s="20"/>
      <c r="L1987" s="20"/>
      <c r="M1987" s="20"/>
      <c r="N1987" s="20"/>
      <c r="O1987" s="20"/>
      <c r="P1987" s="20"/>
      <c r="Q1987" s="20"/>
      <c r="R1987" s="20"/>
      <c r="S1987" s="20"/>
      <c r="T1987" s="20"/>
      <c r="U1987" s="20"/>
      <c r="V1987" s="20"/>
      <c r="W1987" s="20"/>
      <c r="X1987" s="20"/>
      <c r="Y1987" s="20"/>
      <c r="Z1987" s="20"/>
      <c r="AA1987" s="20"/>
      <c r="AB1987" s="12"/>
      <c r="AC1987" s="12"/>
      <c r="AD1987" s="12"/>
      <c r="AE1987" s="12"/>
      <c r="AF1987" s="12">
        <v>4000000</v>
      </c>
      <c r="AG1987" s="12">
        <v>0</v>
      </c>
      <c r="AH1987" s="12">
        <v>0</v>
      </c>
      <c r="AI1987" s="12">
        <v>0</v>
      </c>
      <c r="AJ1987" s="22"/>
      <c r="AK1987" s="22"/>
      <c r="AL1987" s="22"/>
      <c r="AM1987" s="22"/>
      <c r="AN1987" s="1059"/>
      <c r="AO1987" s="1059"/>
      <c r="AP1987" s="1059"/>
      <c r="AQ1987" s="1059"/>
      <c r="AR1987" s="1044"/>
      <c r="AS1987" s="1044"/>
    </row>
    <row r="1988" spans="2:45" ht="13.5" hidden="1" outlineLevel="1" thickBot="1">
      <c r="C1988" s="816" t="s">
        <v>16</v>
      </c>
      <c r="D1988" s="1113" t="s">
        <v>1219</v>
      </c>
      <c r="E1988" s="1122" t="s">
        <v>2225</v>
      </c>
      <c r="F1988" s="1114"/>
      <c r="G1988" s="6"/>
      <c r="H1988" s="6"/>
      <c r="I1988" s="6"/>
      <c r="J1988" s="6"/>
      <c r="K1988" s="6"/>
      <c r="L1988" s="6"/>
      <c r="M1988" s="6"/>
      <c r="N1988" s="6"/>
      <c r="O1988" s="6"/>
      <c r="P1988" s="6"/>
      <c r="Q1988" s="6"/>
      <c r="R1988" s="6"/>
      <c r="S1988" s="6"/>
      <c r="T1988" s="6"/>
      <c r="U1988" s="6"/>
      <c r="V1988" s="6"/>
      <c r="W1988" s="6"/>
      <c r="X1988" s="6"/>
      <c r="Y1988" s="6"/>
      <c r="Z1988" s="6"/>
      <c r="AA1988" s="6"/>
      <c r="AB1988" s="7">
        <v>23646552</v>
      </c>
      <c r="AC1988" s="7">
        <v>22902797</v>
      </c>
      <c r="AD1988" s="7">
        <v>27274675</v>
      </c>
      <c r="AE1988" s="7">
        <v>27274674</v>
      </c>
      <c r="AF1988" s="7">
        <f>SUM(AF1977:AF1987)</f>
        <v>31274675</v>
      </c>
      <c r="AG1988" s="7">
        <f t="shared" ref="AG1988:AK1988" si="382">SUM(AG1977:AG1987)</f>
        <v>27274675</v>
      </c>
      <c r="AH1988" s="7">
        <f t="shared" si="382"/>
        <v>36251442</v>
      </c>
      <c r="AI1988" s="7">
        <f t="shared" si="382"/>
        <v>19433207</v>
      </c>
      <c r="AJ1988" s="7">
        <f t="shared" si="382"/>
        <v>23872781</v>
      </c>
      <c r="AK1988" s="7">
        <f t="shared" si="382"/>
        <v>23872781</v>
      </c>
      <c r="AL1988" s="60">
        <f>SUM(AL1978:AL1987)</f>
        <v>15173831</v>
      </c>
      <c r="AM1988" s="60">
        <f>SUM(AM1978:AM1987)</f>
        <v>15173831</v>
      </c>
      <c r="AN1988" s="1074">
        <f t="shared" ref="AN1988:AO1988" si="383">SUM(AN1978:AN1987)</f>
        <v>16310635</v>
      </c>
      <c r="AO1988" s="1074">
        <f t="shared" si="383"/>
        <v>16310635</v>
      </c>
      <c r="AP1988" s="1074">
        <f t="shared" ref="AP1988:AQ1988" si="384">SUM(AP1978:AP1987)</f>
        <v>10836635</v>
      </c>
      <c r="AQ1988" s="1074">
        <f t="shared" si="384"/>
        <v>10836635</v>
      </c>
      <c r="AR1988" s="1044"/>
      <c r="AS1988" s="1044"/>
    </row>
    <row r="1989" spans="2:45" hidden="1" outlineLevel="1">
      <c r="C1989" s="816" t="s">
        <v>16</v>
      </c>
      <c r="D1989" s="1126"/>
      <c r="E1989" s="1129" t="s">
        <v>1945</v>
      </c>
      <c r="F1989" s="638"/>
      <c r="G1989" s="20"/>
      <c r="H1989" s="20"/>
      <c r="I1989" s="20"/>
      <c r="J1989" s="20"/>
      <c r="K1989" s="20"/>
      <c r="L1989" s="20"/>
      <c r="M1989" s="20"/>
      <c r="N1989" s="20"/>
      <c r="O1989" s="20"/>
      <c r="P1989" s="20"/>
      <c r="Q1989" s="20"/>
      <c r="R1989" s="20"/>
      <c r="S1989" s="20"/>
      <c r="T1989" s="20"/>
      <c r="U1989" s="20"/>
      <c r="V1989" s="20"/>
      <c r="W1989" s="20"/>
      <c r="X1989" s="20"/>
      <c r="Y1989" s="20"/>
      <c r="Z1989" s="20"/>
      <c r="AA1989" s="20"/>
      <c r="AB1989" s="12"/>
      <c r="AC1989" s="12"/>
      <c r="AD1989" s="12"/>
      <c r="AE1989" s="12"/>
      <c r="AF1989" s="12"/>
      <c r="AG1989" s="12"/>
      <c r="AH1989" s="12"/>
      <c r="AI1989" s="12"/>
      <c r="AJ1989" s="22"/>
      <c r="AK1989" s="22"/>
      <c r="AL1989" s="22"/>
      <c r="AM1989" s="22"/>
      <c r="AN1989" s="1061">
        <v>21000000</v>
      </c>
      <c r="AO1989" s="1061">
        <v>21000000</v>
      </c>
      <c r="AP1989" s="1058">
        <v>21000000</v>
      </c>
      <c r="AQ1989" s="1058">
        <v>21000000</v>
      </c>
      <c r="AR1989" s="1044"/>
      <c r="AS1989" s="1044"/>
    </row>
    <row r="1990" spans="2:45" hidden="1" outlineLevel="1">
      <c r="C1990" s="816" t="s">
        <v>16</v>
      </c>
      <c r="D1990" s="1112"/>
      <c r="E1990" s="1133" t="s">
        <v>1946</v>
      </c>
      <c r="F1990" s="638"/>
      <c r="G1990" s="20"/>
      <c r="H1990" s="20"/>
      <c r="I1990" s="20"/>
      <c r="J1990" s="20"/>
      <c r="K1990" s="20"/>
      <c r="L1990" s="20"/>
      <c r="M1990" s="20"/>
      <c r="N1990" s="20"/>
      <c r="O1990" s="20"/>
      <c r="P1990" s="20"/>
      <c r="Q1990" s="20"/>
      <c r="R1990" s="20"/>
      <c r="S1990" s="20"/>
      <c r="T1990" s="20"/>
      <c r="U1990" s="20"/>
      <c r="V1990" s="20"/>
      <c r="W1990" s="20"/>
      <c r="X1990" s="20"/>
      <c r="Y1990" s="20"/>
      <c r="Z1990" s="20"/>
      <c r="AA1990" s="20"/>
      <c r="AB1990" s="12"/>
      <c r="AC1990" s="12"/>
      <c r="AD1990" s="12"/>
      <c r="AE1990" s="12"/>
      <c r="AF1990" s="12"/>
      <c r="AG1990" s="12"/>
      <c r="AH1990" s="12"/>
      <c r="AI1990" s="12"/>
      <c r="AJ1990" s="22"/>
      <c r="AK1990" s="22"/>
      <c r="AL1990" s="22"/>
      <c r="AM1990" s="22"/>
      <c r="AN1990" s="1059"/>
      <c r="AO1990" s="1059"/>
      <c r="AP1990" s="1058">
        <v>1356250</v>
      </c>
      <c r="AQ1990" s="1058">
        <v>1356250</v>
      </c>
      <c r="AR1990" s="1044"/>
      <c r="AS1990" s="1044"/>
    </row>
    <row r="1991" spans="2:45" hidden="1" outlineLevel="1">
      <c r="C1991" s="816" t="s">
        <v>16</v>
      </c>
      <c r="D1991" s="1112"/>
      <c r="E1991" s="1118"/>
      <c r="F1991" s="638"/>
      <c r="G1991" s="20"/>
      <c r="H1991" s="20"/>
      <c r="I1991" s="20"/>
      <c r="J1991" s="20"/>
      <c r="K1991" s="20"/>
      <c r="L1991" s="20"/>
      <c r="M1991" s="20"/>
      <c r="N1991" s="20"/>
      <c r="O1991" s="20"/>
      <c r="P1991" s="20"/>
      <c r="Q1991" s="20"/>
      <c r="R1991" s="20"/>
      <c r="S1991" s="20"/>
      <c r="T1991" s="20"/>
      <c r="U1991" s="20"/>
      <c r="V1991" s="20"/>
      <c r="W1991" s="20"/>
      <c r="X1991" s="20"/>
      <c r="Y1991" s="20"/>
      <c r="Z1991" s="20"/>
      <c r="AA1991" s="20"/>
      <c r="AB1991" s="12"/>
      <c r="AC1991" s="12"/>
      <c r="AD1991" s="12"/>
      <c r="AE1991" s="12"/>
      <c r="AF1991" s="12"/>
      <c r="AG1991" s="12"/>
      <c r="AH1991" s="12"/>
      <c r="AI1991" s="12"/>
      <c r="AJ1991" s="22"/>
      <c r="AK1991" s="22"/>
      <c r="AL1991" s="22"/>
      <c r="AM1991" s="22"/>
      <c r="AN1991" s="1059"/>
      <c r="AO1991" s="1059"/>
      <c r="AP1991" s="1058"/>
      <c r="AQ1991" s="1058"/>
      <c r="AR1991" s="1044"/>
      <c r="AS1991" s="1044"/>
    </row>
    <row r="1992" spans="2:45" hidden="1" outlineLevel="1">
      <c r="C1992" s="816" t="s">
        <v>16</v>
      </c>
      <c r="D1992" s="1112"/>
      <c r="E1992" s="1118"/>
      <c r="F1992" s="638"/>
      <c r="G1992" s="20"/>
      <c r="H1992" s="20"/>
      <c r="I1992" s="20"/>
      <c r="J1992" s="20"/>
      <c r="K1992" s="20"/>
      <c r="L1992" s="20"/>
      <c r="M1992" s="20"/>
      <c r="N1992" s="20"/>
      <c r="O1992" s="20"/>
      <c r="P1992" s="20"/>
      <c r="Q1992" s="20"/>
      <c r="R1992" s="20"/>
      <c r="S1992" s="20"/>
      <c r="T1992" s="20"/>
      <c r="U1992" s="20"/>
      <c r="V1992" s="20"/>
      <c r="W1992" s="20"/>
      <c r="X1992" s="20"/>
      <c r="Y1992" s="20"/>
      <c r="Z1992" s="20"/>
      <c r="AA1992" s="20"/>
      <c r="AB1992" s="12"/>
      <c r="AC1992" s="12"/>
      <c r="AD1992" s="12"/>
      <c r="AE1992" s="12"/>
      <c r="AF1992" s="12"/>
      <c r="AG1992" s="12"/>
      <c r="AH1992" s="12"/>
      <c r="AI1992" s="12"/>
      <c r="AJ1992" s="22"/>
      <c r="AK1992" s="22"/>
      <c r="AL1992" s="22"/>
      <c r="AM1992" s="22"/>
      <c r="AN1992" s="1059"/>
      <c r="AO1992" s="1059"/>
      <c r="AP1992" s="1058"/>
      <c r="AQ1992" s="1058"/>
      <c r="AR1992" s="1044"/>
      <c r="AS1992" s="1044"/>
    </row>
    <row r="1993" spans="2:45" ht="13.5" hidden="1" outlineLevel="1" thickBot="1">
      <c r="C1993" s="816" t="s">
        <v>16</v>
      </c>
      <c r="D1993" s="1113" t="s">
        <v>1219</v>
      </c>
      <c r="E1993" s="1134" t="s">
        <v>2226</v>
      </c>
      <c r="F1993" s="1114"/>
      <c r="G1993" s="6"/>
      <c r="H1993" s="6"/>
      <c r="I1993" s="6"/>
      <c r="J1993" s="6"/>
      <c r="K1993" s="6"/>
      <c r="L1993" s="6"/>
      <c r="M1993" s="6"/>
      <c r="N1993" s="6"/>
      <c r="O1993" s="6"/>
      <c r="P1993" s="6"/>
      <c r="Q1993" s="6"/>
      <c r="R1993" s="6"/>
      <c r="S1993" s="6"/>
      <c r="T1993" s="6"/>
      <c r="U1993" s="6"/>
      <c r="V1993" s="6"/>
      <c r="W1993" s="6"/>
      <c r="X1993" s="6"/>
      <c r="Y1993" s="6"/>
      <c r="Z1993" s="6"/>
      <c r="AA1993" s="6"/>
      <c r="AB1993" s="7"/>
      <c r="AC1993" s="7"/>
      <c r="AD1993" s="7"/>
      <c r="AE1993" s="7"/>
      <c r="AF1993" s="7"/>
      <c r="AG1993" s="7"/>
      <c r="AH1993" s="7"/>
      <c r="AI1993" s="7"/>
      <c r="AJ1993" s="7"/>
      <c r="AK1993" s="7"/>
      <c r="AL1993" s="7"/>
      <c r="AM1993" s="7"/>
      <c r="AN1993" s="1074">
        <f t="shared" ref="AN1993:AO1993" si="385">SUM(AN1989:AN1992)</f>
        <v>21000000</v>
      </c>
      <c r="AO1993" s="1074">
        <f t="shared" si="385"/>
        <v>21000000</v>
      </c>
      <c r="AP1993" s="1074">
        <f>SUM(AP1989:AP1992)</f>
        <v>22356250</v>
      </c>
      <c r="AQ1993" s="1074">
        <f>SUM(AQ1989:AQ1992)</f>
        <v>22356250</v>
      </c>
      <c r="AR1993" s="1044"/>
      <c r="AS1993" s="1044"/>
    </row>
    <row r="1994" spans="2:45" hidden="1" outlineLevel="1">
      <c r="C1994" s="816" t="s">
        <v>16</v>
      </c>
      <c r="D1994" s="1051" t="s">
        <v>1258</v>
      </c>
      <c r="E1994" s="1159" t="s">
        <v>631</v>
      </c>
      <c r="F1994" s="20"/>
      <c r="G1994" s="20"/>
      <c r="H1994" s="20"/>
      <c r="I1994" s="20"/>
      <c r="J1994" s="20"/>
      <c r="K1994" s="20"/>
      <c r="L1994" s="20"/>
      <c r="M1994" s="20"/>
      <c r="N1994" s="20"/>
      <c r="O1994" s="20"/>
      <c r="P1994" s="20"/>
      <c r="Q1994" s="20"/>
      <c r="R1994" s="20"/>
      <c r="S1994" s="20"/>
      <c r="T1994" s="20"/>
      <c r="U1994" s="20"/>
      <c r="V1994" s="20"/>
      <c r="W1994" s="20"/>
      <c r="X1994" s="20"/>
      <c r="Y1994" s="20"/>
      <c r="Z1994" s="20"/>
      <c r="AA1994" s="20"/>
      <c r="AB1994" s="12">
        <v>1662500</v>
      </c>
      <c r="AC1994" s="12">
        <v>1662500</v>
      </c>
      <c r="AD1994" s="12">
        <v>2949092</v>
      </c>
      <c r="AE1994" s="12">
        <v>3081561</v>
      </c>
      <c r="AF1994" s="12">
        <v>4797067</v>
      </c>
      <c r="AG1994" s="12">
        <v>5094398</v>
      </c>
      <c r="AH1994" s="12">
        <v>1086428</v>
      </c>
      <c r="AI1994" s="12">
        <v>1086428</v>
      </c>
      <c r="AJ1994" s="21">
        <v>1158857</v>
      </c>
      <c r="AK1994" s="21">
        <v>1158857</v>
      </c>
      <c r="AL1994" s="21">
        <v>1158857</v>
      </c>
      <c r="AM1994" s="21">
        <v>1158857</v>
      </c>
      <c r="AN1994" s="1058">
        <v>1100914</v>
      </c>
      <c r="AO1994" s="1058">
        <v>1100914</v>
      </c>
      <c r="AP1994" s="1058">
        <v>1100914</v>
      </c>
      <c r="AQ1994" s="1058">
        <v>1100914</v>
      </c>
      <c r="AR1994" s="1044"/>
      <c r="AS1994" s="1044"/>
    </row>
    <row r="1995" spans="2:45" hidden="1" outlineLevel="1">
      <c r="C1995" s="816" t="s">
        <v>16</v>
      </c>
      <c r="D1995" s="223" t="s">
        <v>1258</v>
      </c>
      <c r="E1995" s="278" t="s">
        <v>632</v>
      </c>
      <c r="F1995" s="20"/>
      <c r="G1995" s="20"/>
      <c r="H1995" s="20"/>
      <c r="I1995" s="20"/>
      <c r="J1995" s="20"/>
      <c r="K1995" s="20"/>
      <c r="L1995" s="20"/>
      <c r="M1995" s="20"/>
      <c r="N1995" s="20"/>
      <c r="O1995" s="20"/>
      <c r="P1995" s="20"/>
      <c r="Q1995" s="20"/>
      <c r="R1995" s="20"/>
      <c r="S1995" s="20"/>
      <c r="T1995" s="20"/>
      <c r="U1995" s="20"/>
      <c r="V1995" s="20"/>
      <c r="W1995" s="20"/>
      <c r="X1995" s="20"/>
      <c r="Y1995" s="20"/>
      <c r="Z1995" s="20"/>
      <c r="AA1995" s="20"/>
      <c r="AB1995" s="12">
        <v>0</v>
      </c>
      <c r="AC1995" s="12">
        <v>0</v>
      </c>
      <c r="AD1995" s="12">
        <v>2000000</v>
      </c>
      <c r="AE1995" s="12">
        <v>2000000</v>
      </c>
      <c r="AF1995" s="12">
        <v>2000000</v>
      </c>
      <c r="AG1995" s="12">
        <v>2000000</v>
      </c>
      <c r="AH1995" s="12">
        <v>1500000</v>
      </c>
      <c r="AI1995" s="12">
        <v>1500000</v>
      </c>
      <c r="AJ1995" s="21">
        <v>1600000</v>
      </c>
      <c r="AK1995" s="21">
        <v>1600000</v>
      </c>
      <c r="AL1995" s="21">
        <v>1600000</v>
      </c>
      <c r="AM1995" s="21">
        <v>1600000</v>
      </c>
      <c r="AN1995" s="1058">
        <v>1520000</v>
      </c>
      <c r="AO1995" s="1058">
        <v>1520000</v>
      </c>
      <c r="AP1995" s="1058">
        <v>1520000</v>
      </c>
      <c r="AQ1995" s="1058">
        <v>1520000</v>
      </c>
      <c r="AR1995" s="1044"/>
      <c r="AS1995" s="1044"/>
    </row>
    <row r="1996" spans="2:45" hidden="1" outlineLevel="1">
      <c r="C1996" s="816" t="s">
        <v>16</v>
      </c>
      <c r="D1996" s="223" t="s">
        <v>1612</v>
      </c>
      <c r="E1996" s="20" t="s">
        <v>633</v>
      </c>
      <c r="F1996" s="20"/>
      <c r="G1996" s="20"/>
      <c r="H1996" s="20"/>
      <c r="I1996" s="20"/>
      <c r="J1996" s="20"/>
      <c r="K1996" s="20"/>
      <c r="L1996" s="20"/>
      <c r="M1996" s="20"/>
      <c r="N1996" s="20"/>
      <c r="O1996" s="20"/>
      <c r="P1996" s="20"/>
      <c r="Q1996" s="20"/>
      <c r="R1996" s="20"/>
      <c r="S1996" s="20"/>
      <c r="T1996" s="20"/>
      <c r="U1996" s="20"/>
      <c r="V1996" s="20"/>
      <c r="W1996" s="20"/>
      <c r="X1996" s="20"/>
      <c r="Y1996" s="20"/>
      <c r="Z1996" s="20"/>
      <c r="AA1996" s="20"/>
      <c r="AB1996" s="12">
        <v>831250</v>
      </c>
      <c r="AC1996" s="12">
        <v>831250</v>
      </c>
      <c r="AD1996" s="12">
        <v>2122493</v>
      </c>
      <c r="AE1996" s="12">
        <v>2264292</v>
      </c>
      <c r="AF1996" s="12">
        <v>2395354</v>
      </c>
      <c r="AG1996" s="12">
        <v>2526088</v>
      </c>
      <c r="AH1996" s="12">
        <v>461060</v>
      </c>
      <c r="AI1996" s="12">
        <v>461060</v>
      </c>
      <c r="AJ1996" s="21">
        <v>491798</v>
      </c>
      <c r="AK1996" s="21">
        <v>491798</v>
      </c>
      <c r="AL1996" s="1224">
        <v>493962</v>
      </c>
      <c r="AM1996" s="1224">
        <v>493962</v>
      </c>
      <c r="AN1996" s="1058">
        <v>363935</v>
      </c>
      <c r="AO1996" s="1058">
        <v>363936</v>
      </c>
      <c r="AP1996" s="1058">
        <v>363935</v>
      </c>
      <c r="AQ1996" s="1058">
        <v>363936</v>
      </c>
      <c r="AR1996" s="1044"/>
      <c r="AS1996" s="1044"/>
    </row>
    <row r="1997" spans="2:45" hidden="1" outlineLevel="1">
      <c r="C1997" s="816" t="s">
        <v>16</v>
      </c>
      <c r="D1997" s="9"/>
      <c r="E1997" s="20" t="s">
        <v>634</v>
      </c>
      <c r="F1997" s="20"/>
      <c r="G1997" s="20"/>
      <c r="H1997" s="20"/>
      <c r="I1997" s="20"/>
      <c r="J1997" s="20"/>
      <c r="K1997" s="20"/>
      <c r="L1997" s="20"/>
      <c r="M1997" s="20"/>
      <c r="N1997" s="20"/>
      <c r="O1997" s="20"/>
      <c r="P1997" s="20"/>
      <c r="Q1997" s="20"/>
      <c r="R1997" s="20"/>
      <c r="S1997" s="20"/>
      <c r="T1997" s="20"/>
      <c r="U1997" s="20"/>
      <c r="V1997" s="20"/>
      <c r="W1997" s="20"/>
      <c r="X1997" s="20"/>
      <c r="Y1997" s="20"/>
      <c r="Z1997" s="20"/>
      <c r="AA1997" s="20"/>
      <c r="AB1997" s="12"/>
      <c r="AC1997" s="12"/>
      <c r="AD1997" s="12"/>
      <c r="AE1997" s="12"/>
      <c r="AF1997" s="12">
        <v>0</v>
      </c>
      <c r="AG1997" s="12">
        <v>0</v>
      </c>
      <c r="AH1997" s="12">
        <v>17383894</v>
      </c>
      <c r="AI1997" s="12">
        <v>0</v>
      </c>
      <c r="AJ1997" s="22"/>
      <c r="AK1997" s="22"/>
      <c r="AL1997" s="22"/>
      <c r="AM1997" s="22"/>
      <c r="AN1997" s="1059"/>
      <c r="AO1997" s="1059"/>
      <c r="AP1997" s="1059"/>
      <c r="AQ1997" s="1059"/>
      <c r="AR1997" s="1044"/>
      <c r="AS1997" s="1044"/>
    </row>
    <row r="1998" spans="2:45" hidden="1" outlineLevel="1">
      <c r="C1998" s="816" t="s">
        <v>16</v>
      </c>
      <c r="D1998" s="223" t="s">
        <v>1219</v>
      </c>
      <c r="E1998" s="25" t="s">
        <v>635</v>
      </c>
      <c r="F1998" s="6"/>
      <c r="G1998" s="6"/>
      <c r="H1998" s="6"/>
      <c r="I1998" s="6"/>
      <c r="J1998" s="6"/>
      <c r="K1998" s="6"/>
      <c r="L1998" s="6"/>
      <c r="M1998" s="6"/>
      <c r="N1998" s="6"/>
      <c r="O1998" s="6"/>
      <c r="P1998" s="6"/>
      <c r="Q1998" s="6"/>
      <c r="R1998" s="6"/>
      <c r="S1998" s="6"/>
      <c r="T1998" s="6"/>
      <c r="U1998" s="6"/>
      <c r="V1998" s="6"/>
      <c r="W1998" s="6"/>
      <c r="X1998" s="6"/>
      <c r="Y1998" s="6"/>
      <c r="Z1998" s="6"/>
      <c r="AA1998" s="6"/>
      <c r="AB1998" s="7">
        <v>2493750</v>
      </c>
      <c r="AC1998" s="7">
        <v>2493750</v>
      </c>
      <c r="AD1998" s="7">
        <v>7071585</v>
      </c>
      <c r="AE1998" s="7">
        <v>7345853</v>
      </c>
      <c r="AF1998" s="7">
        <f t="shared" ref="AF1998:AK1998" si="386">SUM(AF1994:AF1997)</f>
        <v>9192421</v>
      </c>
      <c r="AG1998" s="7">
        <f t="shared" si="386"/>
        <v>9620486</v>
      </c>
      <c r="AH1998" s="7">
        <f t="shared" si="386"/>
        <v>20431382</v>
      </c>
      <c r="AI1998" s="7">
        <f t="shared" si="386"/>
        <v>3047488</v>
      </c>
      <c r="AJ1998" s="7">
        <f t="shared" si="386"/>
        <v>3250655</v>
      </c>
      <c r="AK1998" s="7">
        <f t="shared" si="386"/>
        <v>3250655</v>
      </c>
      <c r="AL1998" s="60">
        <f>SUM(AL1994:AL1997)</f>
        <v>3252819</v>
      </c>
      <c r="AM1998" s="60">
        <f>SUM(AM1994:AM1997)</f>
        <v>3252819</v>
      </c>
      <c r="AN1998" s="1074">
        <f t="shared" ref="AN1998:AO1998" si="387">SUM(AN1994:AN1997)</f>
        <v>2984849</v>
      </c>
      <c r="AO1998" s="1074">
        <f t="shared" si="387"/>
        <v>2984850</v>
      </c>
      <c r="AP1998" s="1074">
        <f t="shared" ref="AP1998:AQ1998" si="388">SUM(AP1994:AP1997)</f>
        <v>2984849</v>
      </c>
      <c r="AQ1998" s="1074">
        <f t="shared" si="388"/>
        <v>2984850</v>
      </c>
      <c r="AR1998" s="1044"/>
      <c r="AS1998" s="1044"/>
    </row>
    <row r="1999" spans="2:45" hidden="1" outlineLevel="1">
      <c r="B1999"/>
      <c r="C1999" s="816" t="s">
        <v>16</v>
      </c>
      <c r="D1999" s="9"/>
      <c r="E1999" s="20" t="s">
        <v>636</v>
      </c>
      <c r="F1999" s="20"/>
      <c r="G1999" s="20"/>
      <c r="H1999" s="20"/>
      <c r="I1999" s="20"/>
      <c r="J1999" s="20"/>
      <c r="K1999" s="20"/>
      <c r="L1999" s="20"/>
      <c r="M1999" s="20"/>
      <c r="N1999" s="20"/>
      <c r="O1999" s="20"/>
      <c r="P1999" s="20"/>
      <c r="Q1999" s="20"/>
      <c r="R1999" s="20"/>
      <c r="S1999" s="20"/>
      <c r="T1999" s="20"/>
      <c r="U1999" s="20"/>
      <c r="V1999" s="20"/>
      <c r="W1999" s="20"/>
      <c r="X1999" s="20"/>
      <c r="Y1999" s="20"/>
      <c r="Z1999" s="20"/>
      <c r="AA1999" s="20"/>
      <c r="AB1999" s="12">
        <v>2000000</v>
      </c>
      <c r="AC1999" s="12">
        <v>2000000</v>
      </c>
      <c r="AD1999" s="12">
        <v>2000000</v>
      </c>
      <c r="AE1999" s="12">
        <v>2000000</v>
      </c>
      <c r="AF1999" s="12">
        <v>2000000</v>
      </c>
      <c r="AG1999" s="12">
        <v>2000000</v>
      </c>
      <c r="AH1999" s="12">
        <v>1292478</v>
      </c>
      <c r="AI1999" s="12">
        <v>1292478</v>
      </c>
      <c r="AJ1999" s="12">
        <v>1292478</v>
      </c>
      <c r="AK1999" s="12">
        <v>1292478</v>
      </c>
      <c r="AL1999" s="12">
        <v>3792478</v>
      </c>
      <c r="AM1999" s="12">
        <v>3792478</v>
      </c>
      <c r="AN1999" s="1070"/>
      <c r="AO1999" s="1070"/>
      <c r="AP1999" s="1070"/>
      <c r="AQ1999" s="1070"/>
      <c r="AR1999" s="1044"/>
      <c r="AS1999" s="1044"/>
    </row>
    <row r="2000" spans="2:45" hidden="1" outlineLevel="1">
      <c r="B2000"/>
      <c r="C2000" s="816" t="s">
        <v>16</v>
      </c>
      <c r="D2000" s="9"/>
      <c r="E2000" s="224" t="s">
        <v>1757</v>
      </c>
      <c r="F2000" s="20"/>
      <c r="G2000" s="20"/>
      <c r="H2000" s="20"/>
      <c r="I2000" s="20"/>
      <c r="J2000" s="20"/>
      <c r="K2000" s="20"/>
      <c r="L2000" s="20"/>
      <c r="M2000" s="20"/>
      <c r="N2000" s="20"/>
      <c r="O2000" s="20"/>
      <c r="P2000" s="20"/>
      <c r="Q2000" s="20"/>
      <c r="R2000" s="20"/>
      <c r="S2000" s="20"/>
      <c r="T2000" s="20"/>
      <c r="U2000" s="20"/>
      <c r="V2000" s="20"/>
      <c r="W2000" s="20"/>
      <c r="X2000" s="20"/>
      <c r="Y2000" s="20"/>
      <c r="Z2000" s="20"/>
      <c r="AA2000" s="20"/>
      <c r="AB2000" s="12"/>
      <c r="AC2000" s="12"/>
      <c r="AD2000" s="12"/>
      <c r="AE2000" s="12"/>
      <c r="AF2000" s="12"/>
      <c r="AG2000" s="12"/>
      <c r="AH2000" s="12"/>
      <c r="AI2000" s="12"/>
      <c r="AJ2000" s="12"/>
      <c r="AK2000" s="12"/>
      <c r="AL2000" s="12">
        <v>4000000</v>
      </c>
      <c r="AM2000" s="12">
        <v>4000000</v>
      </c>
      <c r="AN2000" s="1070">
        <v>4000000</v>
      </c>
      <c r="AO2000" s="1070">
        <v>4000000</v>
      </c>
      <c r="AP2000" s="1070">
        <v>6730000</v>
      </c>
      <c r="AQ2000" s="1070">
        <v>6730000</v>
      </c>
      <c r="AR2000" s="1044"/>
      <c r="AS2000" s="1044"/>
    </row>
    <row r="2001" spans="2:45" hidden="1" outlineLevel="1">
      <c r="B2001"/>
      <c r="C2001" s="816" t="s">
        <v>16</v>
      </c>
      <c r="D2001" s="9"/>
      <c r="E2001" s="20" t="s">
        <v>637</v>
      </c>
      <c r="F2001" s="20"/>
      <c r="G2001" s="20"/>
      <c r="H2001" s="20"/>
      <c r="I2001" s="20"/>
      <c r="J2001" s="20"/>
      <c r="K2001" s="20"/>
      <c r="L2001" s="20"/>
      <c r="M2001" s="20"/>
      <c r="N2001" s="20"/>
      <c r="O2001" s="20"/>
      <c r="P2001" s="20"/>
      <c r="Q2001" s="20"/>
      <c r="R2001" s="20"/>
      <c r="S2001" s="20"/>
      <c r="T2001" s="20"/>
      <c r="U2001" s="20"/>
      <c r="V2001" s="20"/>
      <c r="W2001" s="20"/>
      <c r="X2001" s="20"/>
      <c r="Y2001" s="20"/>
      <c r="Z2001" s="20"/>
      <c r="AA2001" s="20"/>
      <c r="AB2001" s="12">
        <v>1203034</v>
      </c>
      <c r="AC2001" s="12">
        <v>1203034</v>
      </c>
      <c r="AD2001" s="12">
        <v>1203034</v>
      </c>
      <c r="AE2001" s="12">
        <v>1203034</v>
      </c>
      <c r="AF2001" s="12">
        <v>1203034</v>
      </c>
      <c r="AG2001" s="12">
        <v>1203034</v>
      </c>
      <c r="AH2001" s="12">
        <v>2029234</v>
      </c>
      <c r="AI2001" s="12">
        <v>2970184</v>
      </c>
      <c r="AJ2001" s="21">
        <v>902276</v>
      </c>
      <c r="AK2001" s="21">
        <v>902276</v>
      </c>
      <c r="AL2001" s="21">
        <v>902276</v>
      </c>
      <c r="AM2001" s="21">
        <v>902276</v>
      </c>
      <c r="AN2001" s="1058">
        <v>771446</v>
      </c>
      <c r="AO2001" s="1058">
        <v>771446</v>
      </c>
      <c r="AP2001" s="1058">
        <v>771446</v>
      </c>
      <c r="AQ2001" s="1058">
        <v>771446</v>
      </c>
      <c r="AR2001" s="1044"/>
      <c r="AS2001" s="1044"/>
    </row>
    <row r="2002" spans="2:45" hidden="1" outlineLevel="1">
      <c r="B2002"/>
      <c r="C2002" s="816" t="s">
        <v>16</v>
      </c>
      <c r="D2002" s="9"/>
      <c r="E2002" s="20" t="s">
        <v>638</v>
      </c>
      <c r="F2002" s="20"/>
      <c r="G2002" s="20"/>
      <c r="H2002" s="20"/>
      <c r="I2002" s="20"/>
      <c r="J2002" s="20"/>
      <c r="K2002" s="20"/>
      <c r="L2002" s="20"/>
      <c r="M2002" s="20"/>
      <c r="N2002" s="20"/>
      <c r="O2002" s="20"/>
      <c r="P2002" s="20"/>
      <c r="Q2002" s="20"/>
      <c r="R2002" s="20"/>
      <c r="S2002" s="20"/>
      <c r="T2002" s="20"/>
      <c r="U2002" s="20"/>
      <c r="V2002" s="20"/>
      <c r="W2002" s="20"/>
      <c r="X2002" s="20"/>
      <c r="Y2002" s="20"/>
      <c r="Z2002" s="20"/>
      <c r="AA2002" s="20"/>
      <c r="AB2002" s="12">
        <v>1312500</v>
      </c>
      <c r="AC2002" s="12">
        <v>1312500</v>
      </c>
      <c r="AD2002" s="12">
        <v>1312500</v>
      </c>
      <c r="AE2002" s="12">
        <v>1312500</v>
      </c>
      <c r="AF2002" s="12">
        <v>1312500</v>
      </c>
      <c r="AG2002" s="12">
        <v>1312500</v>
      </c>
      <c r="AH2002" s="12">
        <v>984375</v>
      </c>
      <c r="AI2002" s="12">
        <v>984375</v>
      </c>
      <c r="AJ2002" s="21">
        <v>984375</v>
      </c>
      <c r="AK2002" s="21">
        <v>984375</v>
      </c>
      <c r="AL2002" s="21">
        <v>984375</v>
      </c>
      <c r="AM2002" s="21">
        <v>984375</v>
      </c>
      <c r="AN2002" s="1058">
        <v>935156</v>
      </c>
      <c r="AO2002" s="1058">
        <v>935156</v>
      </c>
      <c r="AP2002" s="1058">
        <v>935156</v>
      </c>
      <c r="AQ2002" s="1058">
        <v>935156</v>
      </c>
      <c r="AR2002" s="1044"/>
      <c r="AS2002" s="1044"/>
    </row>
    <row r="2003" spans="2:45" hidden="1" outlineLevel="1">
      <c r="B2003"/>
      <c r="C2003" s="816" t="s">
        <v>16</v>
      </c>
      <c r="D2003" s="223" t="s">
        <v>1612</v>
      </c>
      <c r="E2003" s="20" t="s">
        <v>639</v>
      </c>
      <c r="F2003" s="20"/>
      <c r="G2003" s="20"/>
      <c r="H2003" s="20"/>
      <c r="I2003" s="20"/>
      <c r="J2003" s="20"/>
      <c r="K2003" s="20"/>
      <c r="L2003" s="20"/>
      <c r="M2003" s="20"/>
      <c r="N2003" s="20"/>
      <c r="O2003" s="20"/>
      <c r="P2003" s="20"/>
      <c r="Q2003" s="20"/>
      <c r="R2003" s="20"/>
      <c r="S2003" s="20"/>
      <c r="T2003" s="20"/>
      <c r="U2003" s="20"/>
      <c r="V2003" s="20"/>
      <c r="W2003" s="20"/>
      <c r="X2003" s="20"/>
      <c r="Y2003" s="20"/>
      <c r="Z2003" s="20"/>
      <c r="AA2003" s="20"/>
      <c r="AB2003" s="12"/>
      <c r="AC2003" s="12"/>
      <c r="AD2003" s="12"/>
      <c r="AE2003" s="12"/>
      <c r="AF2003" s="12">
        <v>1018400</v>
      </c>
      <c r="AG2003" s="12">
        <v>1018400</v>
      </c>
      <c r="AH2003" s="12">
        <v>763800</v>
      </c>
      <c r="AI2003" s="12">
        <v>763800</v>
      </c>
      <c r="AJ2003" s="21">
        <v>1026661</v>
      </c>
      <c r="AK2003" s="21">
        <v>1026661</v>
      </c>
      <c r="AL2003" s="21">
        <v>1026661</v>
      </c>
      <c r="AM2003" s="21">
        <v>1026661</v>
      </c>
      <c r="AN2003" s="1058">
        <v>1026661</v>
      </c>
      <c r="AO2003" s="1058">
        <v>1026661</v>
      </c>
      <c r="AP2003" s="1058">
        <v>1026661</v>
      </c>
      <c r="AQ2003" s="1058">
        <v>1026661</v>
      </c>
      <c r="AR2003" s="1044"/>
      <c r="AS2003" s="1044"/>
    </row>
    <row r="2004" spans="2:45" hidden="1" outlineLevel="1">
      <c r="B2004"/>
      <c r="C2004" s="816" t="s">
        <v>16</v>
      </c>
      <c r="D2004" s="9"/>
      <c r="E2004" s="20" t="s">
        <v>640</v>
      </c>
      <c r="F2004" s="20"/>
      <c r="G2004" s="20"/>
      <c r="H2004" s="20"/>
      <c r="I2004" s="20"/>
      <c r="J2004" s="20"/>
      <c r="K2004" s="20"/>
      <c r="L2004" s="20"/>
      <c r="M2004" s="20"/>
      <c r="N2004" s="20"/>
      <c r="O2004" s="20"/>
      <c r="P2004" s="20"/>
      <c r="Q2004" s="20"/>
      <c r="R2004" s="20"/>
      <c r="S2004" s="20"/>
      <c r="T2004" s="20"/>
      <c r="U2004" s="20"/>
      <c r="V2004" s="20"/>
      <c r="W2004" s="20"/>
      <c r="X2004" s="20"/>
      <c r="Y2004" s="20"/>
      <c r="Z2004" s="20"/>
      <c r="AA2004" s="20"/>
      <c r="AB2004" s="12">
        <v>875000</v>
      </c>
      <c r="AC2004" s="12">
        <v>875000</v>
      </c>
      <c r="AD2004" s="12">
        <v>875000</v>
      </c>
      <c r="AE2004" s="12">
        <v>875000</v>
      </c>
      <c r="AF2004" s="12">
        <v>0</v>
      </c>
      <c r="AG2004" s="12">
        <v>0</v>
      </c>
      <c r="AH2004" s="12">
        <v>8752408</v>
      </c>
      <c r="AI2004" s="12">
        <v>0</v>
      </c>
      <c r="AJ2004" s="22"/>
      <c r="AK2004" s="22"/>
      <c r="AL2004" s="22"/>
      <c r="AM2004" s="22"/>
      <c r="AN2004" s="1059"/>
      <c r="AO2004" s="1059"/>
      <c r="AP2004" s="1059"/>
      <c r="AQ2004" s="1059"/>
      <c r="AR2004" s="1044"/>
      <c r="AS2004" s="1044"/>
    </row>
    <row r="2005" spans="2:45" hidden="1" outlineLevel="1">
      <c r="B2005"/>
      <c r="C2005" s="816" t="s">
        <v>16</v>
      </c>
      <c r="D2005" s="223" t="s">
        <v>1219</v>
      </c>
      <c r="E2005" s="25" t="s">
        <v>641</v>
      </c>
      <c r="F2005" s="6"/>
      <c r="G2005" s="6"/>
      <c r="H2005" s="6"/>
      <c r="I2005" s="6"/>
      <c r="J2005" s="6"/>
      <c r="K2005" s="6"/>
      <c r="L2005" s="6"/>
      <c r="M2005" s="6"/>
      <c r="N2005" s="6"/>
      <c r="O2005" s="6"/>
      <c r="P2005" s="6"/>
      <c r="Q2005" s="6"/>
      <c r="R2005" s="6"/>
      <c r="S2005" s="6"/>
      <c r="T2005" s="6"/>
      <c r="U2005" s="6"/>
      <c r="V2005" s="6"/>
      <c r="W2005" s="6"/>
      <c r="X2005" s="6"/>
      <c r="Y2005" s="6"/>
      <c r="Z2005" s="6"/>
      <c r="AA2005" s="6"/>
      <c r="AB2005" s="7">
        <v>5390534</v>
      </c>
      <c r="AC2005" s="7">
        <v>5390534</v>
      </c>
      <c r="AD2005" s="7">
        <v>5390534</v>
      </c>
      <c r="AE2005" s="7">
        <v>5390534</v>
      </c>
      <c r="AF2005" s="7">
        <f>SUM(AF1999:AF2004)</f>
        <v>5533934</v>
      </c>
      <c r="AG2005" s="7">
        <f t="shared" ref="AG2005:AK2005" si="389">SUM(AG1999:AG2004)</f>
        <v>5533934</v>
      </c>
      <c r="AH2005" s="7">
        <f t="shared" si="389"/>
        <v>13822295</v>
      </c>
      <c r="AI2005" s="7">
        <f t="shared" si="389"/>
        <v>6010837</v>
      </c>
      <c r="AJ2005" s="7">
        <f t="shared" si="389"/>
        <v>4205790</v>
      </c>
      <c r="AK2005" s="7">
        <f t="shared" si="389"/>
        <v>4205790</v>
      </c>
      <c r="AL2005" s="60">
        <f>SUM(AL1999:AL2004)</f>
        <v>10705790</v>
      </c>
      <c r="AM2005" s="60">
        <f>SUM(AM1999:AM2004)</f>
        <v>10705790</v>
      </c>
      <c r="AN2005" s="1074">
        <f t="shared" ref="AN2005:AO2005" si="390">SUM(AN1999:AN2004)</f>
        <v>6733263</v>
      </c>
      <c r="AO2005" s="1074">
        <f t="shared" si="390"/>
        <v>6733263</v>
      </c>
      <c r="AP2005" s="1074">
        <f t="shared" ref="AP2005:AQ2005" si="391">SUM(AP1999:AP2004)</f>
        <v>9463263</v>
      </c>
      <c r="AQ2005" s="1074">
        <f t="shared" si="391"/>
        <v>9463263</v>
      </c>
      <c r="AR2005" s="1044"/>
      <c r="AS2005" s="1044"/>
    </row>
    <row r="2006" spans="2:45" hidden="1" outlineLevel="1">
      <c r="B2006"/>
      <c r="C2006" s="816" t="s">
        <v>16</v>
      </c>
      <c r="D2006" s="9"/>
      <c r="E2006" s="20" t="s">
        <v>642</v>
      </c>
      <c r="F2006" s="20"/>
      <c r="G2006" s="20"/>
      <c r="H2006" s="20"/>
      <c r="I2006" s="20"/>
      <c r="J2006" s="20"/>
      <c r="K2006" s="20"/>
      <c r="L2006" s="20"/>
      <c r="M2006" s="20"/>
      <c r="N2006" s="20"/>
      <c r="O2006" s="20"/>
      <c r="P2006" s="20"/>
      <c r="Q2006" s="20"/>
      <c r="R2006" s="20"/>
      <c r="S2006" s="20"/>
      <c r="T2006" s="20"/>
      <c r="U2006" s="20"/>
      <c r="V2006" s="20"/>
      <c r="W2006" s="20"/>
      <c r="X2006" s="20"/>
      <c r="Y2006" s="20"/>
      <c r="Z2006" s="20"/>
      <c r="AA2006" s="20"/>
      <c r="AB2006" s="12">
        <v>2918850</v>
      </c>
      <c r="AC2006" s="12">
        <v>1317588</v>
      </c>
      <c r="AD2006" s="12">
        <v>2118220</v>
      </c>
      <c r="AE2006" s="12">
        <v>2118218</v>
      </c>
      <c r="AF2006" s="12">
        <v>2118220</v>
      </c>
      <c r="AG2006" s="12">
        <v>2118218</v>
      </c>
      <c r="AH2006" s="12">
        <v>1509231</v>
      </c>
      <c r="AI2006" s="12">
        <v>1509231</v>
      </c>
      <c r="AJ2006" s="21">
        <v>1609847</v>
      </c>
      <c r="AK2006" s="21">
        <v>1609847</v>
      </c>
      <c r="AL2006" s="21">
        <v>1609847</v>
      </c>
      <c r="AM2006" s="21">
        <v>1609847</v>
      </c>
      <c r="AN2006" s="1058">
        <v>1468180</v>
      </c>
      <c r="AO2006" s="1058">
        <v>1468180</v>
      </c>
      <c r="AP2006" s="1058">
        <v>1468180</v>
      </c>
      <c r="AQ2006" s="1058">
        <v>1468180</v>
      </c>
      <c r="AR2006" s="1044"/>
      <c r="AS2006" s="1044"/>
    </row>
    <row r="2007" spans="2:45" hidden="1" outlineLevel="1">
      <c r="B2007"/>
      <c r="C2007" s="816" t="s">
        <v>16</v>
      </c>
      <c r="D2007" s="9"/>
      <c r="E2007" s="20" t="s">
        <v>643</v>
      </c>
      <c r="F2007" s="20"/>
      <c r="G2007" s="20"/>
      <c r="H2007" s="20"/>
      <c r="I2007" s="20"/>
      <c r="J2007" s="20"/>
      <c r="K2007" s="20"/>
      <c r="L2007" s="20"/>
      <c r="M2007" s="20"/>
      <c r="N2007" s="20"/>
      <c r="O2007" s="20"/>
      <c r="P2007" s="20"/>
      <c r="Q2007" s="20"/>
      <c r="R2007" s="20"/>
      <c r="S2007" s="20"/>
      <c r="T2007" s="20"/>
      <c r="U2007" s="20"/>
      <c r="V2007" s="20"/>
      <c r="W2007" s="20"/>
      <c r="X2007" s="20"/>
      <c r="Y2007" s="20"/>
      <c r="Z2007" s="20"/>
      <c r="AA2007" s="20"/>
      <c r="AB2007" s="12">
        <v>951280</v>
      </c>
      <c r="AC2007" s="12">
        <v>875363</v>
      </c>
      <c r="AD2007" s="12">
        <v>913322</v>
      </c>
      <c r="AE2007" s="12">
        <v>913321</v>
      </c>
      <c r="AF2007" s="12">
        <v>913322</v>
      </c>
      <c r="AG2007" s="12">
        <v>913321</v>
      </c>
      <c r="AH2007" s="12">
        <v>650741</v>
      </c>
      <c r="AI2007" s="12">
        <v>650741</v>
      </c>
      <c r="AJ2007" s="21">
        <v>694124</v>
      </c>
      <c r="AK2007" s="21">
        <v>694124</v>
      </c>
      <c r="AL2007" s="21">
        <v>694124</v>
      </c>
      <c r="AM2007" s="21">
        <v>694124</v>
      </c>
      <c r="AN2007" s="1058">
        <v>633041</v>
      </c>
      <c r="AO2007" s="1058">
        <v>633041</v>
      </c>
      <c r="AP2007" s="1058">
        <v>633041</v>
      </c>
      <c r="AQ2007" s="1058">
        <v>633041</v>
      </c>
      <c r="AR2007" s="1044"/>
      <c r="AS2007" s="1044"/>
    </row>
    <row r="2008" spans="2:45" hidden="1" outlineLevel="1">
      <c r="B2008"/>
      <c r="C2008" s="816" t="s">
        <v>16</v>
      </c>
      <c r="D2008" s="9"/>
      <c r="E2008" s="20" t="s">
        <v>644</v>
      </c>
      <c r="F2008" s="20"/>
      <c r="G2008" s="20"/>
      <c r="H2008" s="20"/>
      <c r="I2008" s="20"/>
      <c r="J2008" s="20"/>
      <c r="K2008" s="20"/>
      <c r="L2008" s="20"/>
      <c r="M2008" s="20"/>
      <c r="N2008" s="20"/>
      <c r="O2008" s="20"/>
      <c r="P2008" s="20"/>
      <c r="Q2008" s="20"/>
      <c r="R2008" s="20"/>
      <c r="S2008" s="20"/>
      <c r="T2008" s="20"/>
      <c r="U2008" s="20"/>
      <c r="V2008" s="20"/>
      <c r="W2008" s="20"/>
      <c r="X2008" s="20"/>
      <c r="Y2008" s="20"/>
      <c r="Z2008" s="20"/>
      <c r="AA2008" s="20"/>
      <c r="AB2008" s="12">
        <v>0</v>
      </c>
      <c r="AC2008" s="12">
        <v>0</v>
      </c>
      <c r="AD2008" s="12">
        <v>2637845</v>
      </c>
      <c r="AE2008" s="12">
        <v>3637844</v>
      </c>
      <c r="AF2008" s="12">
        <v>2637845</v>
      </c>
      <c r="AG2008" s="12">
        <v>3637844</v>
      </c>
      <c r="AH2008" s="12">
        <v>2235714</v>
      </c>
      <c r="AI2008" s="12">
        <v>2235714</v>
      </c>
      <c r="AJ2008" s="21">
        <v>2384762</v>
      </c>
      <c r="AK2008" s="21">
        <v>2384762</v>
      </c>
      <c r="AL2008" s="21">
        <v>2384762</v>
      </c>
      <c r="AM2008" s="21">
        <v>2384762</v>
      </c>
      <c r="AN2008" s="1058">
        <v>1854391</v>
      </c>
      <c r="AO2008" s="1058">
        <v>1854391</v>
      </c>
      <c r="AP2008" s="1058">
        <v>1854391</v>
      </c>
      <c r="AQ2008" s="1058">
        <v>1854391</v>
      </c>
      <c r="AR2008" s="1044"/>
      <c r="AS2008" s="1044"/>
    </row>
    <row r="2009" spans="2:45" hidden="1" outlineLevel="1">
      <c r="B2009"/>
      <c r="C2009" s="816" t="s">
        <v>16</v>
      </c>
      <c r="D2009" s="9"/>
      <c r="E2009" s="20" t="s">
        <v>645</v>
      </c>
      <c r="F2009" s="20"/>
      <c r="G2009" s="20"/>
      <c r="H2009" s="20"/>
      <c r="I2009" s="20"/>
      <c r="J2009" s="20"/>
      <c r="K2009" s="20"/>
      <c r="L2009" s="20"/>
      <c r="M2009" s="20"/>
      <c r="N2009" s="20"/>
      <c r="O2009" s="20"/>
      <c r="P2009" s="20"/>
      <c r="Q2009" s="20"/>
      <c r="R2009" s="20"/>
      <c r="S2009" s="20"/>
      <c r="T2009" s="20"/>
      <c r="U2009" s="20"/>
      <c r="V2009" s="20"/>
      <c r="W2009" s="20"/>
      <c r="X2009" s="20"/>
      <c r="Y2009" s="20"/>
      <c r="Z2009" s="20"/>
      <c r="AA2009" s="20"/>
      <c r="AB2009" s="12"/>
      <c r="AC2009" s="12"/>
      <c r="AD2009" s="12">
        <v>24000000</v>
      </c>
      <c r="AE2009" s="12">
        <v>9000000</v>
      </c>
      <c r="AF2009" s="12">
        <v>21000000</v>
      </c>
      <c r="AG2009" s="12">
        <v>16000000</v>
      </c>
      <c r="AH2009" s="12">
        <v>13181250</v>
      </c>
      <c r="AI2009" s="12">
        <v>13181250</v>
      </c>
      <c r="AJ2009" s="21">
        <v>15817500</v>
      </c>
      <c r="AK2009" s="21">
        <v>15817500</v>
      </c>
      <c r="AL2009" s="21">
        <v>15817500</v>
      </c>
      <c r="AM2009" s="21">
        <v>15817500</v>
      </c>
      <c r="AN2009" s="1058">
        <v>12299688</v>
      </c>
      <c r="AO2009" s="1058">
        <v>12299688</v>
      </c>
      <c r="AP2009" s="1058">
        <v>12299688</v>
      </c>
      <c r="AQ2009" s="1058">
        <v>12299688</v>
      </c>
      <c r="AR2009" s="1044"/>
      <c r="AS2009" s="1044"/>
    </row>
    <row r="2010" spans="2:45" hidden="1" outlineLevel="1">
      <c r="B2010"/>
      <c r="C2010" s="816" t="s">
        <v>16</v>
      </c>
      <c r="D2010" s="9"/>
      <c r="E2010" s="224" t="s">
        <v>1758</v>
      </c>
      <c r="F2010" s="20"/>
      <c r="G2010" s="20"/>
      <c r="H2010" s="20"/>
      <c r="I2010" s="20"/>
      <c r="J2010" s="20"/>
      <c r="K2010" s="20"/>
      <c r="L2010" s="20"/>
      <c r="M2010" s="20"/>
      <c r="N2010" s="20"/>
      <c r="O2010" s="20"/>
      <c r="P2010" s="20"/>
      <c r="Q2010" s="20"/>
      <c r="R2010" s="20"/>
      <c r="S2010" s="20"/>
      <c r="T2010" s="20"/>
      <c r="U2010" s="20"/>
      <c r="V2010" s="20"/>
      <c r="W2010" s="20"/>
      <c r="X2010" s="20"/>
      <c r="Y2010" s="20"/>
      <c r="Z2010" s="20"/>
      <c r="AA2010" s="20"/>
      <c r="AB2010" s="12"/>
      <c r="AC2010" s="12"/>
      <c r="AD2010" s="12"/>
      <c r="AE2010" s="12"/>
      <c r="AF2010" s="12"/>
      <c r="AG2010" s="12"/>
      <c r="AH2010" s="12"/>
      <c r="AI2010" s="12"/>
      <c r="AJ2010" s="21"/>
      <c r="AK2010" s="21"/>
      <c r="AL2010" s="21">
        <v>1000000</v>
      </c>
      <c r="AM2010" s="21">
        <v>1000000</v>
      </c>
      <c r="AN2010" s="1058">
        <v>912000</v>
      </c>
      <c r="AO2010" s="1058">
        <v>912000</v>
      </c>
      <c r="AP2010" s="1058">
        <v>912000</v>
      </c>
      <c r="AQ2010" s="1058">
        <v>912000</v>
      </c>
      <c r="AR2010" s="1044"/>
      <c r="AS2010" s="1044"/>
    </row>
    <row r="2011" spans="2:45" hidden="1" outlineLevel="1">
      <c r="B2011"/>
      <c r="C2011" s="816" t="s">
        <v>16</v>
      </c>
      <c r="D2011" s="9"/>
      <c r="E2011" s="224" t="s">
        <v>1759</v>
      </c>
      <c r="F2011" s="20"/>
      <c r="G2011" s="20"/>
      <c r="H2011" s="20"/>
      <c r="I2011" s="20"/>
      <c r="J2011" s="20"/>
      <c r="K2011" s="20"/>
      <c r="L2011" s="20"/>
      <c r="M2011" s="20"/>
      <c r="N2011" s="20"/>
      <c r="O2011" s="20"/>
      <c r="P2011" s="20"/>
      <c r="Q2011" s="20"/>
      <c r="R2011" s="20"/>
      <c r="S2011" s="20"/>
      <c r="T2011" s="20"/>
      <c r="U2011" s="20"/>
      <c r="V2011" s="20"/>
      <c r="W2011" s="20"/>
      <c r="X2011" s="20"/>
      <c r="Y2011" s="20"/>
      <c r="Z2011" s="20"/>
      <c r="AA2011" s="20"/>
      <c r="AB2011" s="12"/>
      <c r="AC2011" s="12"/>
      <c r="AD2011" s="12"/>
      <c r="AE2011" s="12"/>
      <c r="AF2011" s="12"/>
      <c r="AG2011" s="12"/>
      <c r="AH2011" s="12"/>
      <c r="AI2011" s="12"/>
      <c r="AJ2011" s="21"/>
      <c r="AK2011" s="21"/>
      <c r="AL2011" s="21">
        <v>5000000</v>
      </c>
      <c r="AM2011" s="21">
        <v>5000000</v>
      </c>
      <c r="AN2011" s="1058">
        <v>4560000</v>
      </c>
      <c r="AO2011" s="1058">
        <v>4560000</v>
      </c>
      <c r="AP2011" s="1058">
        <v>4560000</v>
      </c>
      <c r="AQ2011" s="1058">
        <v>4560000</v>
      </c>
      <c r="AR2011" s="1044"/>
      <c r="AS2011" s="1044"/>
    </row>
    <row r="2012" spans="2:45" hidden="1" outlineLevel="1">
      <c r="B2012"/>
      <c r="C2012" s="816" t="s">
        <v>16</v>
      </c>
      <c r="D2012" s="9"/>
      <c r="E2012" s="224" t="s">
        <v>1760</v>
      </c>
      <c r="F2012" s="20"/>
      <c r="G2012" s="20"/>
      <c r="H2012" s="20"/>
      <c r="I2012" s="20"/>
      <c r="J2012" s="20"/>
      <c r="K2012" s="20"/>
      <c r="L2012" s="20"/>
      <c r="M2012" s="20"/>
      <c r="N2012" s="20"/>
      <c r="O2012" s="20"/>
      <c r="P2012" s="20"/>
      <c r="Q2012" s="20"/>
      <c r="R2012" s="20"/>
      <c r="S2012" s="20"/>
      <c r="T2012" s="20"/>
      <c r="U2012" s="20"/>
      <c r="V2012" s="20"/>
      <c r="W2012" s="20"/>
      <c r="X2012" s="20"/>
      <c r="Y2012" s="20"/>
      <c r="Z2012" s="20"/>
      <c r="AA2012" s="20"/>
      <c r="AB2012" s="12"/>
      <c r="AC2012" s="12"/>
      <c r="AD2012" s="12"/>
      <c r="AE2012" s="12"/>
      <c r="AF2012" s="12"/>
      <c r="AG2012" s="12"/>
      <c r="AH2012" s="12"/>
      <c r="AI2012" s="12"/>
      <c r="AJ2012" s="21"/>
      <c r="AK2012" s="21"/>
      <c r="AL2012" s="21">
        <v>250000</v>
      </c>
      <c r="AM2012" s="21">
        <v>250000</v>
      </c>
      <c r="AN2012" s="1058">
        <v>216000</v>
      </c>
      <c r="AO2012" s="1058">
        <v>216000</v>
      </c>
      <c r="AP2012" s="1058">
        <v>216000</v>
      </c>
      <c r="AQ2012" s="1058">
        <v>216000</v>
      </c>
      <c r="AR2012" s="1044"/>
      <c r="AS2012" s="1044"/>
    </row>
    <row r="2013" spans="2:45" hidden="1" outlineLevel="1">
      <c r="B2013"/>
      <c r="C2013" s="816" t="s">
        <v>16</v>
      </c>
      <c r="D2013" s="223" t="s">
        <v>1612</v>
      </c>
      <c r="E2013" s="20" t="s">
        <v>646</v>
      </c>
      <c r="F2013" s="20"/>
      <c r="G2013" s="20"/>
      <c r="H2013" s="20"/>
      <c r="I2013" s="20"/>
      <c r="J2013" s="20"/>
      <c r="K2013" s="20"/>
      <c r="L2013" s="20"/>
      <c r="M2013" s="20"/>
      <c r="N2013" s="20"/>
      <c r="O2013" s="20"/>
      <c r="P2013" s="20"/>
      <c r="Q2013" s="20"/>
      <c r="R2013" s="20"/>
      <c r="S2013" s="20"/>
      <c r="T2013" s="20"/>
      <c r="U2013" s="20"/>
      <c r="V2013" s="20"/>
      <c r="W2013" s="20"/>
      <c r="X2013" s="20"/>
      <c r="Y2013" s="20"/>
      <c r="Z2013" s="20"/>
      <c r="AA2013" s="20"/>
      <c r="AB2013" s="12">
        <v>3016480</v>
      </c>
      <c r="AC2013" s="12">
        <v>2864645</v>
      </c>
      <c r="AD2013" s="12">
        <v>2940563</v>
      </c>
      <c r="AE2013" s="12">
        <v>2940562</v>
      </c>
      <c r="AF2013" s="12">
        <v>2940563</v>
      </c>
      <c r="AG2013" s="12">
        <v>2940562</v>
      </c>
      <c r="AH2013" s="12">
        <v>2095151</v>
      </c>
      <c r="AI2013" s="12">
        <v>2095151</v>
      </c>
      <c r="AJ2013" s="21">
        <v>2234828</v>
      </c>
      <c r="AK2013" s="21">
        <v>2234828</v>
      </c>
      <c r="AL2013" s="21">
        <v>2234828</v>
      </c>
      <c r="AM2013" s="21">
        <v>2234828</v>
      </c>
      <c r="AN2013" s="1058">
        <v>2145432</v>
      </c>
      <c r="AO2013" s="1058">
        <v>2145432</v>
      </c>
      <c r="AP2013" s="1058">
        <v>2145432</v>
      </c>
      <c r="AQ2013" s="1058">
        <v>2145432</v>
      </c>
      <c r="AR2013" s="1044"/>
      <c r="AS2013" s="1044"/>
    </row>
    <row r="2014" spans="2:45" hidden="1" outlineLevel="1">
      <c r="B2014"/>
      <c r="C2014" s="816" t="s">
        <v>16</v>
      </c>
      <c r="D2014" s="9"/>
      <c r="E2014" s="20" t="s">
        <v>647</v>
      </c>
      <c r="F2014" s="20"/>
      <c r="G2014" s="20"/>
      <c r="H2014" s="20"/>
      <c r="I2014" s="20"/>
      <c r="J2014" s="20"/>
      <c r="K2014" s="20"/>
      <c r="L2014" s="20"/>
      <c r="M2014" s="20"/>
      <c r="N2014" s="20"/>
      <c r="O2014" s="20"/>
      <c r="P2014" s="20"/>
      <c r="Q2014" s="20"/>
      <c r="R2014" s="20"/>
      <c r="S2014" s="20"/>
      <c r="T2014" s="20"/>
      <c r="U2014" s="20"/>
      <c r="V2014" s="20"/>
      <c r="W2014" s="20"/>
      <c r="X2014" s="20"/>
      <c r="Y2014" s="20"/>
      <c r="Z2014" s="20"/>
      <c r="AA2014" s="20"/>
      <c r="AB2014" s="12"/>
      <c r="AC2014" s="12"/>
      <c r="AD2014" s="12"/>
      <c r="AE2014" s="12"/>
      <c r="AF2014" s="12">
        <v>1000000</v>
      </c>
      <c r="AG2014" s="12">
        <v>0</v>
      </c>
      <c r="AH2014" s="12">
        <v>0</v>
      </c>
      <c r="AI2014" s="12">
        <v>0</v>
      </c>
      <c r="AJ2014" s="22"/>
      <c r="AK2014" s="22"/>
      <c r="AL2014" s="22"/>
      <c r="AM2014" s="22"/>
      <c r="AN2014" s="1059"/>
      <c r="AO2014" s="1059"/>
      <c r="AP2014" s="1059"/>
      <c r="AQ2014" s="1059"/>
      <c r="AR2014" s="1044"/>
      <c r="AS2014" s="1044"/>
    </row>
    <row r="2015" spans="2:45" hidden="1" outlineLevel="1">
      <c r="B2015"/>
      <c r="C2015" s="816" t="s">
        <v>16</v>
      </c>
      <c r="D2015" s="9"/>
      <c r="E2015" s="20" t="s">
        <v>648</v>
      </c>
      <c r="F2015" s="20"/>
      <c r="G2015" s="20"/>
      <c r="H2015" s="20"/>
      <c r="I2015" s="20"/>
      <c r="J2015" s="20"/>
      <c r="K2015" s="20"/>
      <c r="L2015" s="20"/>
      <c r="M2015" s="20"/>
      <c r="N2015" s="20"/>
      <c r="O2015" s="20"/>
      <c r="P2015" s="20"/>
      <c r="Q2015" s="20"/>
      <c r="R2015" s="20"/>
      <c r="S2015" s="20"/>
      <c r="T2015" s="20"/>
      <c r="U2015" s="20"/>
      <c r="V2015" s="20"/>
      <c r="W2015" s="20"/>
      <c r="X2015" s="20"/>
      <c r="Y2015" s="20"/>
      <c r="Z2015" s="20"/>
      <c r="AA2015" s="20"/>
      <c r="AB2015" s="12"/>
      <c r="AC2015" s="12"/>
      <c r="AD2015" s="12"/>
      <c r="AE2015" s="12"/>
      <c r="AF2015" s="12">
        <v>0</v>
      </c>
      <c r="AG2015" s="12">
        <v>0</v>
      </c>
      <c r="AH2015" s="12">
        <v>13040271</v>
      </c>
      <c r="AI2015" s="12">
        <v>0</v>
      </c>
      <c r="AJ2015" s="22"/>
      <c r="AK2015" s="22"/>
      <c r="AL2015" s="22"/>
      <c r="AM2015" s="22"/>
      <c r="AN2015" s="1059"/>
      <c r="AO2015" s="1059"/>
      <c r="AP2015" s="1059"/>
      <c r="AQ2015" s="1059"/>
      <c r="AR2015" s="1044"/>
      <c r="AS2015" s="1044"/>
    </row>
    <row r="2016" spans="2:45" hidden="1" outlineLevel="1">
      <c r="B2016"/>
      <c r="C2016" s="816" t="s">
        <v>16</v>
      </c>
      <c r="D2016" s="223" t="s">
        <v>1219</v>
      </c>
      <c r="E2016" s="25" t="s">
        <v>649</v>
      </c>
      <c r="F2016" s="6"/>
      <c r="G2016" s="6"/>
      <c r="H2016" s="6"/>
      <c r="I2016" s="6"/>
      <c r="J2016" s="6"/>
      <c r="K2016" s="6"/>
      <c r="L2016" s="6"/>
      <c r="M2016" s="6"/>
      <c r="N2016" s="6"/>
      <c r="O2016" s="6"/>
      <c r="P2016" s="6"/>
      <c r="Q2016" s="6"/>
      <c r="R2016" s="6"/>
      <c r="S2016" s="6"/>
      <c r="T2016" s="6"/>
      <c r="U2016" s="6"/>
      <c r="V2016" s="6"/>
      <c r="W2016" s="6"/>
      <c r="X2016" s="6"/>
      <c r="Y2016" s="6"/>
      <c r="Z2016" s="6"/>
      <c r="AA2016" s="6"/>
      <c r="AB2016" s="7">
        <v>6886610</v>
      </c>
      <c r="AC2016" s="7">
        <v>5057596</v>
      </c>
      <c r="AD2016" s="7">
        <v>32609950</v>
      </c>
      <c r="AE2016" s="7">
        <v>18609945</v>
      </c>
      <c r="AF2016" s="7">
        <f>SUM(AF2006:AF2015)</f>
        <v>30609950</v>
      </c>
      <c r="AG2016" s="7">
        <f t="shared" ref="AG2016:AK2016" si="392">SUM(AG2006:AG2015)</f>
        <v>25609945</v>
      </c>
      <c r="AH2016" s="7">
        <f t="shared" si="392"/>
        <v>32712358</v>
      </c>
      <c r="AI2016" s="7">
        <f t="shared" si="392"/>
        <v>19672087</v>
      </c>
      <c r="AJ2016" s="7">
        <f t="shared" si="392"/>
        <v>22741061</v>
      </c>
      <c r="AK2016" s="7">
        <f t="shared" si="392"/>
        <v>22741061</v>
      </c>
      <c r="AL2016" s="60">
        <f>SUM(AL2006:AL2015)</f>
        <v>28991061</v>
      </c>
      <c r="AM2016" s="60">
        <f>SUM(AM2006:AM2015)</f>
        <v>28991061</v>
      </c>
      <c r="AN2016" s="1074">
        <f t="shared" ref="AN2016:AO2016" si="393">SUM(AN2006:AN2015)</f>
        <v>24088732</v>
      </c>
      <c r="AO2016" s="1074">
        <f t="shared" si="393"/>
        <v>24088732</v>
      </c>
      <c r="AP2016" s="1074">
        <f t="shared" ref="AP2016:AQ2016" si="394">SUM(AP2006:AP2015)</f>
        <v>24088732</v>
      </c>
      <c r="AQ2016" s="1074">
        <f t="shared" si="394"/>
        <v>24088732</v>
      </c>
      <c r="AR2016" s="1044"/>
      <c r="AS2016" s="1044"/>
    </row>
    <row r="2017" spans="2:45" s="1044" customFormat="1" hidden="1" outlineLevel="1">
      <c r="B2017" s="1045"/>
      <c r="C2017" s="1053" t="s">
        <v>16</v>
      </c>
      <c r="D2017" s="1050"/>
      <c r="E2017" s="1049" t="s">
        <v>2062</v>
      </c>
      <c r="F2017" s="1047"/>
      <c r="G2017" s="1047"/>
      <c r="H2017" s="1047"/>
      <c r="I2017" s="1047"/>
      <c r="J2017" s="1047"/>
      <c r="K2017" s="1047"/>
      <c r="L2017" s="1047"/>
      <c r="M2017" s="1047"/>
      <c r="N2017" s="1047"/>
      <c r="O2017" s="1047"/>
      <c r="P2017" s="1047"/>
      <c r="Q2017" s="1047"/>
      <c r="R2017" s="1047"/>
      <c r="S2017" s="1047"/>
      <c r="T2017" s="1047"/>
      <c r="U2017" s="1047"/>
      <c r="V2017" s="1047"/>
      <c r="W2017" s="1047"/>
      <c r="X2017" s="1047"/>
      <c r="Y2017" s="1047"/>
      <c r="Z2017" s="1047"/>
      <c r="AA2017" s="1047"/>
      <c r="AB2017" s="1070"/>
      <c r="AC2017" s="1070"/>
      <c r="AD2017" s="1070"/>
      <c r="AE2017" s="1070"/>
      <c r="AF2017" s="1070"/>
      <c r="AG2017" s="1070"/>
      <c r="AH2017" s="1070"/>
      <c r="AI2017" s="1070"/>
      <c r="AJ2017" s="1070"/>
      <c r="AK2017" s="1070"/>
      <c r="AL2017" s="1070"/>
      <c r="AM2017" s="1070"/>
      <c r="AN2017" s="1070"/>
      <c r="AO2017" s="1070"/>
      <c r="AP2017" s="1070">
        <v>2500000</v>
      </c>
      <c r="AQ2017" s="1070">
        <v>2500000</v>
      </c>
    </row>
    <row r="2018" spans="2:45" hidden="1" outlineLevel="1">
      <c r="B2018"/>
      <c r="C2018" s="816" t="s">
        <v>16</v>
      </c>
      <c r="D2018" s="9"/>
      <c r="E2018" s="20" t="s">
        <v>650</v>
      </c>
      <c r="F2018" s="20"/>
      <c r="G2018" s="20"/>
      <c r="H2018" s="20"/>
      <c r="I2018" s="20"/>
      <c r="J2018" s="20"/>
      <c r="K2018" s="20"/>
      <c r="L2018" s="20"/>
      <c r="M2018" s="20"/>
      <c r="N2018" s="20"/>
      <c r="O2018" s="20"/>
      <c r="P2018" s="20"/>
      <c r="Q2018" s="20"/>
      <c r="R2018" s="20"/>
      <c r="S2018" s="20"/>
      <c r="T2018" s="20"/>
      <c r="U2018" s="20"/>
      <c r="V2018" s="20"/>
      <c r="W2018" s="20"/>
      <c r="X2018" s="20"/>
      <c r="Y2018" s="20"/>
      <c r="Z2018" s="20"/>
      <c r="AA2018" s="20"/>
      <c r="AB2018" s="12">
        <v>431744</v>
      </c>
      <c r="AC2018" s="12">
        <v>432044</v>
      </c>
      <c r="AD2018" s="12">
        <v>798220</v>
      </c>
      <c r="AE2018" s="12">
        <v>798641</v>
      </c>
      <c r="AF2018" s="12">
        <v>798220</v>
      </c>
      <c r="AG2018" s="12">
        <v>798641</v>
      </c>
      <c r="AH2018" s="12">
        <v>568882</v>
      </c>
      <c r="AI2018" s="12">
        <v>568882</v>
      </c>
      <c r="AJ2018" s="21">
        <v>606807</v>
      </c>
      <c r="AK2018" s="21">
        <v>606807</v>
      </c>
      <c r="AL2018" s="21">
        <v>606807</v>
      </c>
      <c r="AM2018" s="21">
        <v>606807</v>
      </c>
      <c r="AN2018" s="1058">
        <v>560508</v>
      </c>
      <c r="AO2018" s="1058">
        <v>560508</v>
      </c>
      <c r="AP2018" s="1058">
        <v>560508</v>
      </c>
      <c r="AQ2018" s="1058">
        <v>560508</v>
      </c>
      <c r="AR2018" s="1044"/>
      <c r="AS2018" s="1044"/>
    </row>
    <row r="2019" spans="2:45" hidden="1" outlineLevel="1">
      <c r="B2019"/>
      <c r="C2019" s="816" t="s">
        <v>16</v>
      </c>
      <c r="D2019" s="9"/>
      <c r="E2019" s="224" t="s">
        <v>1761</v>
      </c>
      <c r="F2019" s="20"/>
      <c r="G2019" s="20"/>
      <c r="H2019" s="20"/>
      <c r="I2019" s="20"/>
      <c r="J2019" s="20"/>
      <c r="K2019" s="20"/>
      <c r="L2019" s="20"/>
      <c r="M2019" s="20"/>
      <c r="N2019" s="20"/>
      <c r="O2019" s="20"/>
      <c r="P2019" s="20"/>
      <c r="Q2019" s="20"/>
      <c r="R2019" s="20"/>
      <c r="S2019" s="20"/>
      <c r="T2019" s="20"/>
      <c r="U2019" s="20"/>
      <c r="V2019" s="20"/>
      <c r="W2019" s="20"/>
      <c r="X2019" s="20"/>
      <c r="Y2019" s="20"/>
      <c r="Z2019" s="20"/>
      <c r="AA2019" s="20"/>
      <c r="AB2019" s="12"/>
      <c r="AC2019" s="12"/>
      <c r="AD2019" s="12"/>
      <c r="AE2019" s="12"/>
      <c r="AF2019" s="12"/>
      <c r="AG2019" s="12"/>
      <c r="AH2019" s="12"/>
      <c r="AI2019" s="12"/>
      <c r="AJ2019" s="21"/>
      <c r="AK2019" s="21"/>
      <c r="AL2019" s="21">
        <v>2000000</v>
      </c>
      <c r="AM2019" s="21">
        <v>2000000</v>
      </c>
      <c r="AN2019" s="1058">
        <v>1847400</v>
      </c>
      <c r="AO2019" s="1058">
        <v>1847400</v>
      </c>
      <c r="AP2019" s="1058">
        <v>1847400</v>
      </c>
      <c r="AQ2019" s="1058">
        <v>1847400</v>
      </c>
      <c r="AR2019" s="1044"/>
      <c r="AS2019" s="1044"/>
    </row>
    <row r="2020" spans="2:45" hidden="1" outlineLevel="1">
      <c r="B2020"/>
      <c r="C2020" s="816" t="s">
        <v>16</v>
      </c>
      <c r="D2020" s="9"/>
      <c r="E2020" s="20" t="s">
        <v>651</v>
      </c>
      <c r="F2020" s="20"/>
      <c r="G2020" s="20"/>
      <c r="H2020" s="20"/>
      <c r="I2020" s="20"/>
      <c r="J2020" s="20"/>
      <c r="K2020" s="20"/>
      <c r="L2020" s="20"/>
      <c r="M2020" s="20"/>
      <c r="N2020" s="20"/>
      <c r="O2020" s="20"/>
      <c r="P2020" s="20"/>
      <c r="Q2020" s="20"/>
      <c r="R2020" s="20"/>
      <c r="S2020" s="20"/>
      <c r="T2020" s="20"/>
      <c r="U2020" s="20"/>
      <c r="V2020" s="20"/>
      <c r="W2020" s="20"/>
      <c r="X2020" s="20"/>
      <c r="Y2020" s="20"/>
      <c r="Z2020" s="20"/>
      <c r="AA2020" s="20"/>
      <c r="AB2020" s="12">
        <v>1482921</v>
      </c>
      <c r="AC2020" s="12">
        <v>1483955</v>
      </c>
      <c r="AD2020" s="12">
        <v>2948829</v>
      </c>
      <c r="AE2020" s="12">
        <v>2950345</v>
      </c>
      <c r="AF2020" s="12">
        <v>2948829</v>
      </c>
      <c r="AG2020" s="12">
        <v>2950345</v>
      </c>
      <c r="AH2020" s="12">
        <v>2926582</v>
      </c>
      <c r="AI2020" s="12">
        <v>2926582</v>
      </c>
      <c r="AJ2020" s="21">
        <v>3066686</v>
      </c>
      <c r="AK2020" s="21">
        <v>3066686</v>
      </c>
      <c r="AL2020" s="21">
        <v>3066686</v>
      </c>
      <c r="AM2020" s="21">
        <v>3066686</v>
      </c>
      <c r="AN2020" s="1058">
        <v>2895646</v>
      </c>
      <c r="AO2020" s="1058">
        <v>2895646</v>
      </c>
      <c r="AP2020" s="1058">
        <v>2895646</v>
      </c>
      <c r="AQ2020" s="1058">
        <v>2895646</v>
      </c>
      <c r="AR2020" s="1044"/>
      <c r="AS2020" s="1044"/>
    </row>
    <row r="2021" spans="2:45" hidden="1" outlineLevel="1">
      <c r="B2021"/>
      <c r="C2021" s="816" t="s">
        <v>16</v>
      </c>
      <c r="D2021" s="9"/>
      <c r="E2021" s="20" t="s">
        <v>652</v>
      </c>
      <c r="F2021" s="20"/>
      <c r="G2021" s="20"/>
      <c r="H2021" s="20"/>
      <c r="I2021" s="20"/>
      <c r="J2021" s="20"/>
      <c r="K2021" s="20"/>
      <c r="L2021" s="20"/>
      <c r="M2021" s="20"/>
      <c r="N2021" s="20"/>
      <c r="O2021" s="20"/>
      <c r="P2021" s="20"/>
      <c r="Q2021" s="20"/>
      <c r="R2021" s="20"/>
      <c r="S2021" s="20"/>
      <c r="T2021" s="20"/>
      <c r="U2021" s="20"/>
      <c r="V2021" s="20"/>
      <c r="W2021" s="20"/>
      <c r="X2021" s="20"/>
      <c r="Y2021" s="20"/>
      <c r="Z2021" s="20"/>
      <c r="AA2021" s="20"/>
      <c r="AB2021" s="12">
        <v>1550000</v>
      </c>
      <c r="AC2021" s="12">
        <v>1550000</v>
      </c>
      <c r="AD2021" s="12">
        <v>1550000</v>
      </c>
      <c r="AE2021" s="12">
        <v>1550000</v>
      </c>
      <c r="AF2021" s="12">
        <v>1550000</v>
      </c>
      <c r="AG2021" s="12">
        <v>1550000</v>
      </c>
      <c r="AH2021" s="12">
        <v>1550000</v>
      </c>
      <c r="AI2021" s="12">
        <v>1550000</v>
      </c>
      <c r="AJ2021" s="21">
        <v>1705000</v>
      </c>
      <c r="AK2021" s="21">
        <v>1705000</v>
      </c>
      <c r="AL2021" s="21">
        <v>1705000</v>
      </c>
      <c r="AM2021" s="21">
        <v>1705000</v>
      </c>
      <c r="AN2021" s="1058">
        <v>1534500</v>
      </c>
      <c r="AO2021" s="1058">
        <v>1534500</v>
      </c>
      <c r="AP2021" s="1058">
        <v>1534500</v>
      </c>
      <c r="AQ2021" s="1058">
        <v>1534500</v>
      </c>
      <c r="AR2021" s="1044"/>
      <c r="AS2021" s="1044"/>
    </row>
    <row r="2022" spans="2:45" hidden="1" outlineLevel="1">
      <c r="B2022"/>
      <c r="C2022" s="816" t="s">
        <v>16</v>
      </c>
      <c r="D2022" s="9"/>
      <c r="E2022" s="224" t="s">
        <v>1762</v>
      </c>
      <c r="F2022" s="20"/>
      <c r="G2022" s="20"/>
      <c r="H2022" s="20"/>
      <c r="I2022" s="20"/>
      <c r="J2022" s="20"/>
      <c r="K2022" s="20"/>
      <c r="L2022" s="20"/>
      <c r="M2022" s="20"/>
      <c r="N2022" s="20"/>
      <c r="O2022" s="20"/>
      <c r="P2022" s="20"/>
      <c r="Q2022" s="20"/>
      <c r="R2022" s="20"/>
      <c r="S2022" s="20"/>
      <c r="T2022" s="20"/>
      <c r="U2022" s="20"/>
      <c r="V2022" s="20"/>
      <c r="W2022" s="20"/>
      <c r="X2022" s="20"/>
      <c r="Y2022" s="20"/>
      <c r="Z2022" s="20"/>
      <c r="AA2022" s="20"/>
      <c r="AB2022" s="12"/>
      <c r="AC2022" s="12"/>
      <c r="AD2022" s="12"/>
      <c r="AE2022" s="12"/>
      <c r="AF2022" s="12"/>
      <c r="AG2022" s="12"/>
      <c r="AH2022" s="12"/>
      <c r="AI2022" s="12"/>
      <c r="AJ2022" s="21"/>
      <c r="AK2022" s="21"/>
      <c r="AL2022" s="21">
        <v>1298000</v>
      </c>
      <c r="AM2022" s="21">
        <v>1000000</v>
      </c>
      <c r="AN2022" s="1058">
        <v>1198964</v>
      </c>
      <c r="AO2022" s="1058">
        <v>923700</v>
      </c>
      <c r="AP2022" s="1058">
        <v>1198964</v>
      </c>
      <c r="AQ2022" s="1058">
        <v>923700</v>
      </c>
      <c r="AR2022" s="1044"/>
      <c r="AS2022" s="1044"/>
    </row>
    <row r="2023" spans="2:45" s="1044" customFormat="1" hidden="1" outlineLevel="1">
      <c r="C2023" s="1053" t="s">
        <v>16</v>
      </c>
      <c r="D2023" s="1030"/>
      <c r="E2023" s="1054" t="s">
        <v>2006</v>
      </c>
      <c r="F2023" s="1047"/>
      <c r="G2023" s="1047"/>
      <c r="H2023" s="1047"/>
      <c r="I2023" s="1047"/>
      <c r="J2023" s="1047"/>
      <c r="K2023" s="1047"/>
      <c r="L2023" s="1047"/>
      <c r="M2023" s="1047"/>
      <c r="N2023" s="1047"/>
      <c r="O2023" s="1047"/>
      <c r="P2023" s="1047"/>
      <c r="Q2023" s="1047"/>
      <c r="R2023" s="1047"/>
      <c r="S2023" s="1047"/>
      <c r="T2023" s="1047"/>
      <c r="U2023" s="1047"/>
      <c r="V2023" s="1047"/>
      <c r="W2023" s="1047"/>
      <c r="X2023" s="1047"/>
      <c r="Y2023" s="1047"/>
      <c r="Z2023" s="1047"/>
      <c r="AA2023" s="1047"/>
      <c r="AB2023" s="1070"/>
      <c r="AC2023" s="1070"/>
      <c r="AD2023" s="1070"/>
      <c r="AE2023" s="1070"/>
      <c r="AF2023" s="1070"/>
      <c r="AG2023" s="1070"/>
      <c r="AH2023" s="1070"/>
      <c r="AI2023" s="1070"/>
      <c r="AJ2023" s="1058"/>
      <c r="AK2023" s="1058"/>
      <c r="AL2023" s="1058"/>
      <c r="AM2023" s="1058"/>
      <c r="AN2023" s="1058"/>
      <c r="AO2023" s="1058"/>
      <c r="AP2023" s="1058">
        <v>5000000</v>
      </c>
      <c r="AQ2023" s="1058">
        <v>5000000</v>
      </c>
    </row>
    <row r="2024" spans="2:45" hidden="1" outlineLevel="1">
      <c r="B2024"/>
      <c r="C2024" s="816" t="s">
        <v>16</v>
      </c>
      <c r="D2024" s="223" t="s">
        <v>1612</v>
      </c>
      <c r="E2024" s="20" t="s">
        <v>653</v>
      </c>
      <c r="F2024" s="20"/>
      <c r="G2024" s="20"/>
      <c r="H2024" s="20"/>
      <c r="I2024" s="20"/>
      <c r="J2024" s="20"/>
      <c r="K2024" s="20"/>
      <c r="L2024" s="20"/>
      <c r="M2024" s="20"/>
      <c r="N2024" s="20"/>
      <c r="O2024" s="20"/>
      <c r="P2024" s="20"/>
      <c r="Q2024" s="20"/>
      <c r="R2024" s="20"/>
      <c r="S2024" s="20"/>
      <c r="T2024" s="20"/>
      <c r="U2024" s="20"/>
      <c r="V2024" s="20"/>
      <c r="W2024" s="20"/>
      <c r="X2024" s="20"/>
      <c r="Y2024" s="20"/>
      <c r="Z2024" s="20"/>
      <c r="AA2024" s="20"/>
      <c r="AB2024" s="12">
        <v>2832384</v>
      </c>
      <c r="AC2024" s="12">
        <v>2832987</v>
      </c>
      <c r="AD2024" s="12">
        <v>1029422</v>
      </c>
      <c r="AE2024" s="12">
        <v>1029422</v>
      </c>
      <c r="AF2024" s="12">
        <v>1027130</v>
      </c>
      <c r="AG2024" s="12">
        <v>1027130</v>
      </c>
      <c r="AH2024" s="12">
        <v>731831</v>
      </c>
      <c r="AI2024" s="12">
        <v>731831</v>
      </c>
      <c r="AJ2024" s="21">
        <v>728024</v>
      </c>
      <c r="AK2024" s="21">
        <v>728024</v>
      </c>
      <c r="AL2024" s="21">
        <v>728024</v>
      </c>
      <c r="AM2024" s="21">
        <v>728024</v>
      </c>
      <c r="AN2024" s="1058">
        <v>650000</v>
      </c>
      <c r="AO2024" s="1058">
        <v>650000</v>
      </c>
      <c r="AP2024" s="1058">
        <v>650000</v>
      </c>
      <c r="AQ2024" s="1058">
        <v>650000</v>
      </c>
      <c r="AR2024" s="1044"/>
      <c r="AS2024" s="1044"/>
    </row>
    <row r="2025" spans="2:45" hidden="1" outlineLevel="1">
      <c r="B2025"/>
      <c r="C2025" s="816" t="s">
        <v>16</v>
      </c>
      <c r="D2025" s="9"/>
      <c r="E2025" s="20" t="s">
        <v>654</v>
      </c>
      <c r="F2025" s="20"/>
      <c r="G2025" s="20"/>
      <c r="H2025" s="20"/>
      <c r="I2025" s="20"/>
      <c r="J2025" s="20"/>
      <c r="K2025" s="20"/>
      <c r="L2025" s="20"/>
      <c r="M2025" s="20"/>
      <c r="N2025" s="20"/>
      <c r="O2025" s="20"/>
      <c r="P2025" s="20"/>
      <c r="Q2025" s="20"/>
      <c r="R2025" s="20"/>
      <c r="S2025" s="20"/>
      <c r="T2025" s="20"/>
      <c r="U2025" s="20"/>
      <c r="V2025" s="20"/>
      <c r="W2025" s="20"/>
      <c r="X2025" s="20"/>
      <c r="Y2025" s="20"/>
      <c r="Z2025" s="20"/>
      <c r="AA2025" s="20"/>
      <c r="AB2025" s="12"/>
      <c r="AC2025" s="12"/>
      <c r="AD2025" s="12"/>
      <c r="AE2025" s="12"/>
      <c r="AF2025" s="12">
        <v>0</v>
      </c>
      <c r="AG2025" s="12">
        <v>0</v>
      </c>
      <c r="AH2025" s="12">
        <v>5273298</v>
      </c>
      <c r="AI2025" s="12">
        <v>0</v>
      </c>
      <c r="AJ2025" s="22"/>
      <c r="AK2025" s="22"/>
      <c r="AL2025" s="22"/>
      <c r="AM2025" s="22"/>
      <c r="AN2025" s="1059"/>
      <c r="AO2025" s="1059"/>
      <c r="AP2025" s="1059"/>
      <c r="AQ2025" s="1059"/>
      <c r="AR2025" s="1044"/>
      <c r="AS2025" s="1044"/>
    </row>
    <row r="2026" spans="2:45" hidden="1" outlineLevel="1">
      <c r="B2026"/>
      <c r="C2026" s="816" t="s">
        <v>16</v>
      </c>
      <c r="D2026" s="223" t="s">
        <v>1219</v>
      </c>
      <c r="E2026" s="25" t="s">
        <v>655</v>
      </c>
      <c r="F2026" s="6"/>
      <c r="G2026" s="6"/>
      <c r="H2026" s="6"/>
      <c r="I2026" s="6"/>
      <c r="J2026" s="6"/>
      <c r="K2026" s="6"/>
      <c r="L2026" s="6"/>
      <c r="M2026" s="6"/>
      <c r="N2026" s="6"/>
      <c r="O2026" s="6"/>
      <c r="P2026" s="6"/>
      <c r="Q2026" s="6"/>
      <c r="R2026" s="6"/>
      <c r="S2026" s="6"/>
      <c r="T2026" s="6"/>
      <c r="U2026" s="6"/>
      <c r="V2026" s="6"/>
      <c r="W2026" s="6"/>
      <c r="X2026" s="6"/>
      <c r="Y2026" s="6"/>
      <c r="Z2026" s="6"/>
      <c r="AA2026" s="6"/>
      <c r="AB2026" s="1055">
        <f t="shared" ref="AB2026:AO2026" si="395">SUM(AB2017:AB2025)</f>
        <v>6297049</v>
      </c>
      <c r="AC2026" s="1055">
        <f t="shared" si="395"/>
        <v>6298986</v>
      </c>
      <c r="AD2026" s="1055">
        <f t="shared" si="395"/>
        <v>6326471</v>
      </c>
      <c r="AE2026" s="1055">
        <f t="shared" si="395"/>
        <v>6328408</v>
      </c>
      <c r="AF2026" s="1055">
        <f t="shared" si="395"/>
        <v>6324179</v>
      </c>
      <c r="AG2026" s="1055">
        <f t="shared" si="395"/>
        <v>6326116</v>
      </c>
      <c r="AH2026" s="1055">
        <f t="shared" si="395"/>
        <v>11050593</v>
      </c>
      <c r="AI2026" s="1055">
        <f t="shared" si="395"/>
        <v>5777295</v>
      </c>
      <c r="AJ2026" s="1055">
        <f t="shared" si="395"/>
        <v>6106517</v>
      </c>
      <c r="AK2026" s="1055">
        <f t="shared" si="395"/>
        <v>6106517</v>
      </c>
      <c r="AL2026" s="1074">
        <f t="shared" si="395"/>
        <v>9404517</v>
      </c>
      <c r="AM2026" s="1074">
        <f t="shared" si="395"/>
        <v>9106517</v>
      </c>
      <c r="AN2026" s="1074">
        <f t="shared" si="395"/>
        <v>8687018</v>
      </c>
      <c r="AO2026" s="1074">
        <f t="shared" si="395"/>
        <v>8411754</v>
      </c>
      <c r="AP2026" s="1074">
        <f>SUM(AP2017:AP2025)</f>
        <v>16187018</v>
      </c>
      <c r="AQ2026" s="1074">
        <f>SUM(AQ2017:AQ2025)</f>
        <v>15911754</v>
      </c>
      <c r="AR2026" s="1044"/>
      <c r="AS2026" s="1044"/>
    </row>
    <row r="2027" spans="2:45" hidden="1" outlineLevel="1">
      <c r="B2027"/>
      <c r="C2027" s="816" t="s">
        <v>16</v>
      </c>
      <c r="D2027" s="9"/>
      <c r="E2027" s="20" t="s">
        <v>656</v>
      </c>
      <c r="F2027" s="20"/>
      <c r="G2027" s="20"/>
      <c r="H2027" s="20"/>
      <c r="I2027" s="20"/>
      <c r="J2027" s="20"/>
      <c r="K2027" s="20"/>
      <c r="L2027" s="20"/>
      <c r="M2027" s="20"/>
      <c r="N2027" s="20"/>
      <c r="O2027" s="20"/>
      <c r="P2027" s="20"/>
      <c r="Q2027" s="20"/>
      <c r="R2027" s="20"/>
      <c r="S2027" s="20"/>
      <c r="T2027" s="20"/>
      <c r="U2027" s="20"/>
      <c r="V2027" s="20"/>
      <c r="W2027" s="20"/>
      <c r="X2027" s="20"/>
      <c r="Y2027" s="20"/>
      <c r="Z2027" s="20"/>
      <c r="AA2027" s="20"/>
      <c r="AB2027" s="12">
        <v>906228</v>
      </c>
      <c r="AC2027" s="12">
        <v>906228</v>
      </c>
      <c r="AD2027" s="12">
        <v>906228</v>
      </c>
      <c r="AE2027" s="12">
        <v>906228</v>
      </c>
      <c r="AF2027" s="12">
        <v>906228</v>
      </c>
      <c r="AG2027" s="12">
        <v>906228</v>
      </c>
      <c r="AH2027" s="12">
        <v>645688</v>
      </c>
      <c r="AI2027" s="12">
        <v>645688</v>
      </c>
      <c r="AJ2027" s="21">
        <v>688734</v>
      </c>
      <c r="AK2027" s="21">
        <v>688734</v>
      </c>
      <c r="AL2027" s="21"/>
      <c r="AM2027" s="21"/>
      <c r="AN2027" s="1058"/>
      <c r="AO2027" s="1058"/>
      <c r="AP2027" s="1058"/>
      <c r="AQ2027" s="1058"/>
      <c r="AR2027" s="1044"/>
      <c r="AS2027" s="1044"/>
    </row>
    <row r="2028" spans="2:45" hidden="1" outlineLevel="1">
      <c r="B2028"/>
      <c r="C2028" s="816" t="s">
        <v>16</v>
      </c>
      <c r="D2028" s="9"/>
      <c r="E2028" s="20" t="s">
        <v>657</v>
      </c>
      <c r="F2028" s="20"/>
      <c r="G2028" s="20"/>
      <c r="H2028" s="20"/>
      <c r="I2028" s="20"/>
      <c r="J2028" s="20"/>
      <c r="K2028" s="20"/>
      <c r="L2028" s="20"/>
      <c r="M2028" s="20"/>
      <c r="N2028" s="20"/>
      <c r="O2028" s="20"/>
      <c r="P2028" s="20"/>
      <c r="Q2028" s="20"/>
      <c r="R2028" s="20"/>
      <c r="S2028" s="20"/>
      <c r="T2028" s="20"/>
      <c r="U2028" s="20"/>
      <c r="V2028" s="20"/>
      <c r="W2028" s="20"/>
      <c r="X2028" s="20"/>
      <c r="Y2028" s="20"/>
      <c r="Z2028" s="20"/>
      <c r="AA2028" s="20"/>
      <c r="AB2028" s="12">
        <v>3888891</v>
      </c>
      <c r="AC2028" s="12">
        <v>3888891</v>
      </c>
      <c r="AD2028" s="12">
        <v>3888891</v>
      </c>
      <c r="AE2028" s="12">
        <v>3888891</v>
      </c>
      <c r="AF2028" s="12">
        <v>3888891</v>
      </c>
      <c r="AG2028" s="12">
        <v>3888891</v>
      </c>
      <c r="AH2028" s="12">
        <v>2770835</v>
      </c>
      <c r="AI2028" s="12">
        <v>2770835</v>
      </c>
      <c r="AJ2028" s="21">
        <v>2955557</v>
      </c>
      <c r="AK2028" s="21">
        <v>2955557</v>
      </c>
      <c r="AL2028" s="21"/>
      <c r="AM2028" s="21"/>
      <c r="AN2028" s="1058"/>
      <c r="AO2028" s="1058"/>
      <c r="AP2028" s="1058"/>
      <c r="AQ2028" s="1058"/>
      <c r="AR2028" s="1044"/>
      <c r="AS2028" s="1044"/>
    </row>
    <row r="2029" spans="2:45" hidden="1" outlineLevel="1">
      <c r="B2029"/>
      <c r="C2029" s="816" t="s">
        <v>16</v>
      </c>
      <c r="D2029" s="9"/>
      <c r="E2029" s="20" t="s">
        <v>658</v>
      </c>
      <c r="F2029" s="20"/>
      <c r="G2029" s="20"/>
      <c r="H2029" s="20"/>
      <c r="I2029" s="20"/>
      <c r="J2029" s="20"/>
      <c r="K2029" s="20"/>
      <c r="L2029" s="20"/>
      <c r="M2029" s="20"/>
      <c r="N2029" s="20"/>
      <c r="O2029" s="20"/>
      <c r="P2029" s="20"/>
      <c r="Q2029" s="20"/>
      <c r="R2029" s="20"/>
      <c r="S2029" s="20"/>
      <c r="T2029" s="20"/>
      <c r="U2029" s="20"/>
      <c r="V2029" s="20"/>
      <c r="W2029" s="20"/>
      <c r="X2029" s="20"/>
      <c r="Y2029" s="20"/>
      <c r="Z2029" s="20"/>
      <c r="AA2029" s="20"/>
      <c r="AB2029" s="12">
        <v>393470</v>
      </c>
      <c r="AC2029" s="12">
        <v>393470</v>
      </c>
      <c r="AD2029" s="12">
        <v>393470</v>
      </c>
      <c r="AE2029" s="12">
        <v>393470</v>
      </c>
      <c r="AF2029" s="12">
        <v>393470</v>
      </c>
      <c r="AG2029" s="12">
        <v>393470</v>
      </c>
      <c r="AH2029" s="12">
        <v>280347</v>
      </c>
      <c r="AI2029" s="12">
        <v>280347</v>
      </c>
      <c r="AJ2029" s="21">
        <v>299037</v>
      </c>
      <c r="AK2029" s="21">
        <v>299037</v>
      </c>
      <c r="AL2029" s="21"/>
      <c r="AM2029" s="21"/>
      <c r="AN2029" s="1058"/>
      <c r="AO2029" s="1058"/>
      <c r="AP2029" s="1058"/>
      <c r="AQ2029" s="1058"/>
      <c r="AR2029" s="1044"/>
      <c r="AS2029" s="1044"/>
    </row>
    <row r="2030" spans="2:45" hidden="1" outlineLevel="1">
      <c r="B2030"/>
      <c r="C2030" s="816" t="s">
        <v>16</v>
      </c>
      <c r="D2030" s="9"/>
      <c r="E2030" s="20" t="s">
        <v>659</v>
      </c>
      <c r="F2030" s="20"/>
      <c r="G2030" s="20"/>
      <c r="H2030" s="20"/>
      <c r="I2030" s="20"/>
      <c r="J2030" s="20"/>
      <c r="K2030" s="20"/>
      <c r="L2030" s="20"/>
      <c r="M2030" s="20"/>
      <c r="N2030" s="20"/>
      <c r="O2030" s="20"/>
      <c r="P2030" s="20"/>
      <c r="Q2030" s="20"/>
      <c r="R2030" s="20"/>
      <c r="S2030" s="20"/>
      <c r="T2030" s="20"/>
      <c r="U2030" s="20"/>
      <c r="V2030" s="20"/>
      <c r="W2030" s="20"/>
      <c r="X2030" s="20"/>
      <c r="Y2030" s="20"/>
      <c r="Z2030" s="20"/>
      <c r="AA2030" s="20"/>
      <c r="AB2030" s="12">
        <v>1324895</v>
      </c>
      <c r="AC2030" s="12">
        <v>1324895</v>
      </c>
      <c r="AD2030" s="12">
        <v>1324895</v>
      </c>
      <c r="AE2030" s="12">
        <v>1324895</v>
      </c>
      <c r="AF2030" s="12">
        <v>1324895</v>
      </c>
      <c r="AG2030" s="12">
        <v>1324895</v>
      </c>
      <c r="AH2030" s="12">
        <v>943988</v>
      </c>
      <c r="AI2030" s="12">
        <v>943988</v>
      </c>
      <c r="AJ2030" s="21">
        <v>1006920</v>
      </c>
      <c r="AK2030" s="21">
        <v>1006920</v>
      </c>
      <c r="AL2030" s="21">
        <v>1006920</v>
      </c>
      <c r="AM2030" s="21">
        <v>1006920</v>
      </c>
      <c r="AN2030" s="1058">
        <v>918311</v>
      </c>
      <c r="AO2030" s="1058">
        <v>918311</v>
      </c>
      <c r="AP2030" s="1058">
        <v>918311</v>
      </c>
      <c r="AQ2030" s="1058">
        <v>918311</v>
      </c>
      <c r="AR2030" s="1044"/>
      <c r="AS2030" s="1044"/>
    </row>
    <row r="2031" spans="2:45" hidden="1" outlineLevel="1">
      <c r="B2031"/>
      <c r="C2031" s="816" t="s">
        <v>16</v>
      </c>
      <c r="D2031" s="9"/>
      <c r="E2031" s="20" t="s">
        <v>660</v>
      </c>
      <c r="F2031" s="20"/>
      <c r="G2031" s="20"/>
      <c r="H2031" s="20"/>
      <c r="I2031" s="20"/>
      <c r="J2031" s="20"/>
      <c r="K2031" s="20"/>
      <c r="L2031" s="20"/>
      <c r="M2031" s="20"/>
      <c r="N2031" s="20"/>
      <c r="O2031" s="20"/>
      <c r="P2031" s="20"/>
      <c r="Q2031" s="20"/>
      <c r="R2031" s="20"/>
      <c r="S2031" s="20"/>
      <c r="T2031" s="20"/>
      <c r="U2031" s="20"/>
      <c r="V2031" s="20"/>
      <c r="W2031" s="20"/>
      <c r="X2031" s="20"/>
      <c r="Y2031" s="20"/>
      <c r="Z2031" s="20"/>
      <c r="AA2031" s="20"/>
      <c r="AB2031" s="12">
        <v>1559966</v>
      </c>
      <c r="AC2031" s="12">
        <v>1559964</v>
      </c>
      <c r="AD2031" s="12">
        <v>1559966</v>
      </c>
      <c r="AE2031" s="12">
        <v>1559964</v>
      </c>
      <c r="AF2031" s="12">
        <v>1559965</v>
      </c>
      <c r="AG2031" s="12">
        <v>1559965</v>
      </c>
      <c r="AH2031" s="12">
        <v>1111475</v>
      </c>
      <c r="AI2031" s="12">
        <v>1111475</v>
      </c>
      <c r="AJ2031" s="21">
        <v>1185573</v>
      </c>
      <c r="AK2031" s="21">
        <v>1185573</v>
      </c>
      <c r="AL2031" s="21">
        <v>1185573</v>
      </c>
      <c r="AM2031" s="21">
        <v>1185573</v>
      </c>
      <c r="AN2031" s="1058">
        <v>973118</v>
      </c>
      <c r="AO2031" s="1058">
        <v>973118</v>
      </c>
      <c r="AP2031" s="1058">
        <v>973118</v>
      </c>
      <c r="AQ2031" s="1058">
        <v>973118</v>
      </c>
      <c r="AR2031" s="1044"/>
      <c r="AS2031" s="1044"/>
    </row>
    <row r="2032" spans="2:45" hidden="1" outlineLevel="1">
      <c r="B2032"/>
      <c r="C2032" s="816" t="s">
        <v>16</v>
      </c>
      <c r="D2032" s="9"/>
      <c r="E2032" s="20" t="s">
        <v>661</v>
      </c>
      <c r="F2032" s="20"/>
      <c r="G2032" s="20"/>
      <c r="H2032" s="20"/>
      <c r="I2032" s="20"/>
      <c r="J2032" s="20"/>
      <c r="K2032" s="20"/>
      <c r="L2032" s="20"/>
      <c r="M2032" s="20"/>
      <c r="N2032" s="20"/>
      <c r="O2032" s="20"/>
      <c r="P2032" s="20"/>
      <c r="Q2032" s="20"/>
      <c r="R2032" s="20"/>
      <c r="S2032" s="20"/>
      <c r="T2032" s="20"/>
      <c r="U2032" s="20"/>
      <c r="V2032" s="20"/>
      <c r="W2032" s="20"/>
      <c r="X2032" s="20"/>
      <c r="Y2032" s="20"/>
      <c r="Z2032" s="20"/>
      <c r="AA2032" s="20"/>
      <c r="AB2032" s="12">
        <v>2500000</v>
      </c>
      <c r="AC2032" s="12">
        <v>2500000</v>
      </c>
      <c r="AD2032" s="12">
        <v>31289250</v>
      </c>
      <c r="AE2032" s="12">
        <v>16710750</v>
      </c>
      <c r="AF2032" s="12">
        <v>28300000</v>
      </c>
      <c r="AG2032" s="12">
        <v>37300000</v>
      </c>
      <c r="AH2032" s="12">
        <v>23370000</v>
      </c>
      <c r="AI2032" s="12">
        <v>23370000</v>
      </c>
      <c r="AJ2032" s="21">
        <v>28044000</v>
      </c>
      <c r="AK2032" s="21">
        <v>28044000</v>
      </c>
      <c r="AL2032" s="21"/>
      <c r="AM2032" s="21"/>
      <c r="AN2032" s="1058"/>
      <c r="AO2032" s="1058"/>
      <c r="AP2032" s="1058"/>
      <c r="AQ2032" s="1058"/>
      <c r="AR2032" s="1044"/>
      <c r="AS2032" s="1044"/>
    </row>
    <row r="2033" spans="2:45" hidden="1" outlineLevel="1">
      <c r="B2033"/>
      <c r="C2033" s="816" t="s">
        <v>16</v>
      </c>
      <c r="D2033" s="9"/>
      <c r="E2033" s="224" t="s">
        <v>1494</v>
      </c>
      <c r="F2033" s="20"/>
      <c r="G2033" s="20"/>
      <c r="H2033" s="20"/>
      <c r="I2033" s="20"/>
      <c r="J2033" s="20"/>
      <c r="K2033" s="20"/>
      <c r="L2033" s="20"/>
      <c r="M2033" s="20"/>
      <c r="N2033" s="20"/>
      <c r="O2033" s="20"/>
      <c r="P2033" s="20"/>
      <c r="Q2033" s="20"/>
      <c r="R2033" s="20"/>
      <c r="S2033" s="20"/>
      <c r="T2033" s="20"/>
      <c r="U2033" s="20"/>
      <c r="V2033" s="20"/>
      <c r="W2033" s="20"/>
      <c r="X2033" s="20"/>
      <c r="Y2033" s="20"/>
      <c r="Z2033" s="20"/>
      <c r="AA2033" s="20"/>
      <c r="AB2033" s="12">
        <v>15000000</v>
      </c>
      <c r="AC2033" s="12">
        <v>1500000</v>
      </c>
      <c r="AD2033" s="12">
        <v>1500000</v>
      </c>
      <c r="AE2033" s="12">
        <v>1500000</v>
      </c>
      <c r="AF2033" s="12"/>
      <c r="AG2033" s="12"/>
      <c r="AH2033" s="12"/>
      <c r="AI2033" s="12"/>
      <c r="AJ2033" s="21"/>
      <c r="AK2033" s="21"/>
      <c r="AL2033" s="21"/>
      <c r="AM2033" s="21"/>
      <c r="AN2033" s="1058"/>
      <c r="AO2033" s="1058"/>
      <c r="AP2033" s="1058"/>
      <c r="AQ2033" s="1058"/>
      <c r="AR2033" s="1044"/>
      <c r="AS2033" s="1044"/>
    </row>
    <row r="2034" spans="2:45" hidden="1" outlineLevel="1">
      <c r="B2034"/>
      <c r="C2034" s="816" t="s">
        <v>16</v>
      </c>
      <c r="D2034" s="9"/>
      <c r="E2034" s="20" t="s">
        <v>662</v>
      </c>
      <c r="F2034" s="20"/>
      <c r="G2034" s="20"/>
      <c r="H2034" s="20"/>
      <c r="I2034" s="20"/>
      <c r="J2034" s="20"/>
      <c r="K2034" s="20"/>
      <c r="L2034" s="20"/>
      <c r="M2034" s="20"/>
      <c r="N2034" s="20"/>
      <c r="O2034" s="20"/>
      <c r="P2034" s="20"/>
      <c r="Q2034" s="20"/>
      <c r="R2034" s="20"/>
      <c r="S2034" s="20"/>
      <c r="T2034" s="20"/>
      <c r="U2034" s="20"/>
      <c r="V2034" s="20"/>
      <c r="W2034" s="20"/>
      <c r="X2034" s="20"/>
      <c r="Y2034" s="20"/>
      <c r="Z2034" s="20"/>
      <c r="AA2034" s="20"/>
      <c r="AB2034" s="12"/>
      <c r="AC2034" s="12"/>
      <c r="AD2034" s="12">
        <v>1016500</v>
      </c>
      <c r="AE2034" s="12">
        <v>0</v>
      </c>
      <c r="AF2034" s="12">
        <v>508250</v>
      </c>
      <c r="AG2034" s="12">
        <v>508250</v>
      </c>
      <c r="AH2034" s="12">
        <v>362128</v>
      </c>
      <c r="AI2034" s="12">
        <v>362128</v>
      </c>
      <c r="AJ2034" s="21">
        <v>386270</v>
      </c>
      <c r="AK2034" s="21">
        <v>386270</v>
      </c>
      <c r="AL2034" s="21">
        <v>386270</v>
      </c>
      <c r="AM2034" s="21">
        <v>386270</v>
      </c>
      <c r="AN2034" s="1058">
        <v>300363</v>
      </c>
      <c r="AO2034" s="1058">
        <v>300363</v>
      </c>
      <c r="AP2034" s="1058">
        <v>450363</v>
      </c>
      <c r="AQ2034" s="1058">
        <v>450363</v>
      </c>
      <c r="AR2034" s="1044"/>
      <c r="AS2034" s="1044"/>
    </row>
    <row r="2035" spans="2:45" hidden="1" outlineLevel="1">
      <c r="B2035"/>
      <c r="C2035" s="816" t="s">
        <v>16</v>
      </c>
      <c r="D2035" s="9"/>
      <c r="E2035" s="224" t="s">
        <v>1763</v>
      </c>
      <c r="F2035" s="20"/>
      <c r="G2035" s="20"/>
      <c r="H2035" s="20"/>
      <c r="I2035" s="20"/>
      <c r="J2035" s="20"/>
      <c r="K2035" s="20"/>
      <c r="L2035" s="20"/>
      <c r="M2035" s="20"/>
      <c r="N2035" s="20"/>
      <c r="O2035" s="20"/>
      <c r="P2035" s="20"/>
      <c r="Q2035" s="20"/>
      <c r="R2035" s="20"/>
      <c r="S2035" s="20"/>
      <c r="T2035" s="20"/>
      <c r="U2035" s="20"/>
      <c r="V2035" s="20"/>
      <c r="W2035" s="20"/>
      <c r="X2035" s="20"/>
      <c r="Y2035" s="20"/>
      <c r="Z2035" s="20"/>
      <c r="AA2035" s="20"/>
      <c r="AB2035" s="12"/>
      <c r="AC2035" s="12"/>
      <c r="AD2035" s="12"/>
      <c r="AE2035" s="12"/>
      <c r="AF2035" s="12"/>
      <c r="AG2035" s="12"/>
      <c r="AH2035" s="12"/>
      <c r="AI2035" s="12"/>
      <c r="AJ2035" s="21"/>
      <c r="AK2035" s="21"/>
      <c r="AL2035" s="21">
        <v>1165580</v>
      </c>
      <c r="AM2035" s="21">
        <v>1165580</v>
      </c>
      <c r="AN2035" s="1058">
        <v>1007061</v>
      </c>
      <c r="AO2035" s="1058">
        <v>1007061</v>
      </c>
      <c r="AP2035" s="1058">
        <v>1007061</v>
      </c>
      <c r="AQ2035" s="1058">
        <v>1007061</v>
      </c>
      <c r="AR2035" s="1044"/>
      <c r="AS2035" s="1044"/>
    </row>
    <row r="2036" spans="2:45" hidden="1" outlineLevel="1">
      <c r="B2036"/>
      <c r="C2036" s="816" t="s">
        <v>16</v>
      </c>
      <c r="D2036" s="9"/>
      <c r="E2036" s="20" t="s">
        <v>663</v>
      </c>
      <c r="F2036" s="20"/>
      <c r="G2036" s="20"/>
      <c r="H2036" s="20"/>
      <c r="I2036" s="20"/>
      <c r="J2036" s="20"/>
      <c r="K2036" s="20"/>
      <c r="L2036" s="20"/>
      <c r="M2036" s="20"/>
      <c r="N2036" s="20"/>
      <c r="O2036" s="20"/>
      <c r="P2036" s="20"/>
      <c r="Q2036" s="20"/>
      <c r="R2036" s="20"/>
      <c r="S2036" s="20"/>
      <c r="T2036" s="20"/>
      <c r="U2036" s="20"/>
      <c r="V2036" s="20"/>
      <c r="W2036" s="20"/>
      <c r="X2036" s="20"/>
      <c r="Y2036" s="20"/>
      <c r="Z2036" s="20"/>
      <c r="AA2036" s="20"/>
      <c r="AB2036" s="12">
        <v>600915</v>
      </c>
      <c r="AC2036" s="12">
        <v>600915</v>
      </c>
      <c r="AD2036" s="12">
        <v>600915</v>
      </c>
      <c r="AE2036" s="12">
        <v>600915</v>
      </c>
      <c r="AF2036" s="12">
        <v>600915</v>
      </c>
      <c r="AG2036" s="12">
        <v>600915</v>
      </c>
      <c r="AH2036" s="12">
        <v>428152</v>
      </c>
      <c r="AI2036" s="12">
        <v>428152</v>
      </c>
      <c r="AJ2036" s="21">
        <v>456695</v>
      </c>
      <c r="AK2036" s="21">
        <v>456695</v>
      </c>
      <c r="AL2036" s="21">
        <v>456695</v>
      </c>
      <c r="AM2036" s="21">
        <v>456695</v>
      </c>
      <c r="AN2036" s="1058">
        <v>374855</v>
      </c>
      <c r="AO2036" s="1058">
        <v>374855</v>
      </c>
      <c r="AP2036" s="1058">
        <v>374855</v>
      </c>
      <c r="AQ2036" s="1058">
        <v>374855</v>
      </c>
      <c r="AR2036" s="1044"/>
      <c r="AS2036" s="1044"/>
    </row>
    <row r="2037" spans="2:45" hidden="1" outlineLevel="1">
      <c r="B2037"/>
      <c r="C2037" s="816" t="s">
        <v>16</v>
      </c>
      <c r="D2037" s="9"/>
      <c r="E2037" s="20" t="s">
        <v>664</v>
      </c>
      <c r="F2037" s="20"/>
      <c r="G2037" s="20"/>
      <c r="H2037" s="20"/>
      <c r="I2037" s="20"/>
      <c r="J2037" s="20"/>
      <c r="K2037" s="20"/>
      <c r="L2037" s="20"/>
      <c r="M2037" s="20"/>
      <c r="N2037" s="20"/>
      <c r="O2037" s="20"/>
      <c r="P2037" s="20"/>
      <c r="Q2037" s="20"/>
      <c r="R2037" s="20"/>
      <c r="S2037" s="20"/>
      <c r="T2037" s="20"/>
      <c r="U2037" s="20"/>
      <c r="V2037" s="20"/>
      <c r="W2037" s="20"/>
      <c r="X2037" s="20"/>
      <c r="Y2037" s="20"/>
      <c r="Z2037" s="20"/>
      <c r="AA2037" s="20"/>
      <c r="AB2037" s="12">
        <v>387773</v>
      </c>
      <c r="AC2037" s="12">
        <v>387773</v>
      </c>
      <c r="AD2037" s="12">
        <v>387773</v>
      </c>
      <c r="AE2037" s="12">
        <v>387773</v>
      </c>
      <c r="AF2037" s="12">
        <v>387773</v>
      </c>
      <c r="AG2037" s="12">
        <v>387773</v>
      </c>
      <c r="AH2037" s="12">
        <v>276288</v>
      </c>
      <c r="AI2037" s="12">
        <v>276288</v>
      </c>
      <c r="AJ2037" s="21">
        <v>294707</v>
      </c>
      <c r="AK2037" s="21">
        <v>294707</v>
      </c>
      <c r="AL2037" s="21"/>
      <c r="AM2037" s="21"/>
      <c r="AN2037" s="1058"/>
      <c r="AO2037" s="1058"/>
      <c r="AP2037" s="1058"/>
      <c r="AQ2037" s="1058"/>
      <c r="AR2037" s="1044"/>
      <c r="AS2037" s="1044"/>
    </row>
    <row r="2038" spans="2:45" hidden="1" outlineLevel="1">
      <c r="B2038"/>
      <c r="C2038" s="816" t="s">
        <v>16</v>
      </c>
      <c r="D2038" s="9"/>
      <c r="E2038" s="20" t="s">
        <v>665</v>
      </c>
      <c r="F2038" s="20"/>
      <c r="G2038" s="20"/>
      <c r="H2038" s="20"/>
      <c r="I2038" s="20"/>
      <c r="J2038" s="20"/>
      <c r="K2038" s="20"/>
      <c r="L2038" s="20"/>
      <c r="M2038" s="20"/>
      <c r="N2038" s="20"/>
      <c r="O2038" s="20"/>
      <c r="P2038" s="20"/>
      <c r="Q2038" s="20"/>
      <c r="R2038" s="20"/>
      <c r="S2038" s="20"/>
      <c r="T2038" s="20"/>
      <c r="U2038" s="20"/>
      <c r="V2038" s="20"/>
      <c r="W2038" s="20"/>
      <c r="X2038" s="20"/>
      <c r="Y2038" s="20"/>
      <c r="Z2038" s="20"/>
      <c r="AA2038" s="20"/>
      <c r="AB2038" s="12">
        <f>134014+307785</f>
        <v>441799</v>
      </c>
      <c r="AC2038" s="12">
        <v>441799</v>
      </c>
      <c r="AD2038" s="12">
        <v>441799</v>
      </c>
      <c r="AE2038" s="12">
        <v>441799</v>
      </c>
      <c r="AF2038" s="12">
        <v>1941799</v>
      </c>
      <c r="AG2038" s="12">
        <v>1941799</v>
      </c>
      <c r="AH2038" s="12">
        <v>1383532</v>
      </c>
      <c r="AI2038" s="12">
        <v>1383532</v>
      </c>
      <c r="AJ2038" s="21">
        <v>1475767</v>
      </c>
      <c r="AK2038" s="21">
        <v>1475767</v>
      </c>
      <c r="AL2038" s="21">
        <v>1475767</v>
      </c>
      <c r="AM2038" s="21">
        <v>1475767</v>
      </c>
      <c r="AN2038" s="1058">
        <v>1211309</v>
      </c>
      <c r="AO2038" s="1058">
        <v>1211309</v>
      </c>
      <c r="AP2038" s="1058">
        <v>1211309</v>
      </c>
      <c r="AQ2038" s="1058">
        <v>1211309</v>
      </c>
      <c r="AR2038" s="1044"/>
      <c r="AS2038" s="1044"/>
    </row>
    <row r="2039" spans="2:45" hidden="1" outlineLevel="1">
      <c r="B2039"/>
      <c r="C2039" s="816" t="s">
        <v>16</v>
      </c>
      <c r="D2039" s="9"/>
      <c r="E2039" s="20" t="s">
        <v>666</v>
      </c>
      <c r="F2039" s="20"/>
      <c r="G2039" s="20"/>
      <c r="H2039" s="20"/>
      <c r="I2039" s="20"/>
      <c r="J2039" s="20"/>
      <c r="K2039" s="20"/>
      <c r="L2039" s="20"/>
      <c r="M2039" s="20"/>
      <c r="N2039" s="20"/>
      <c r="O2039" s="20"/>
      <c r="P2039" s="20"/>
      <c r="Q2039" s="20"/>
      <c r="R2039" s="20"/>
      <c r="S2039" s="20"/>
      <c r="T2039" s="20"/>
      <c r="U2039" s="20"/>
      <c r="V2039" s="20"/>
      <c r="W2039" s="20"/>
      <c r="X2039" s="20"/>
      <c r="Y2039" s="20"/>
      <c r="Z2039" s="20"/>
      <c r="AA2039" s="20"/>
      <c r="AB2039" s="12">
        <v>289140</v>
      </c>
      <c r="AC2039" s="12">
        <v>289140</v>
      </c>
      <c r="AD2039" s="12">
        <v>289140</v>
      </c>
      <c r="AE2039" s="12">
        <v>289140</v>
      </c>
      <c r="AF2039" s="12">
        <v>289140</v>
      </c>
      <c r="AG2039" s="12">
        <v>289140</v>
      </c>
      <c r="AH2039" s="12">
        <v>206012</v>
      </c>
      <c r="AI2039" s="12">
        <v>206012</v>
      </c>
      <c r="AJ2039" s="21">
        <v>219746</v>
      </c>
      <c r="AK2039" s="21">
        <v>219746</v>
      </c>
      <c r="AL2039" s="21"/>
      <c r="AM2039" s="21"/>
      <c r="AN2039" s="1058"/>
      <c r="AO2039" s="1058"/>
      <c r="AP2039" s="1058"/>
      <c r="AQ2039" s="1058"/>
      <c r="AR2039" s="1044"/>
      <c r="AS2039" s="1044"/>
    </row>
    <row r="2040" spans="2:45" hidden="1" outlineLevel="1">
      <c r="B2040"/>
      <c r="C2040" s="816" t="s">
        <v>16</v>
      </c>
      <c r="D2040" s="223" t="s">
        <v>1258</v>
      </c>
      <c r="E2040" s="278" t="s">
        <v>667</v>
      </c>
      <c r="F2040" s="20"/>
      <c r="G2040" s="20"/>
      <c r="H2040" s="20"/>
      <c r="I2040" s="20"/>
      <c r="J2040" s="20"/>
      <c r="K2040" s="20"/>
      <c r="L2040" s="20"/>
      <c r="M2040" s="20"/>
      <c r="N2040" s="20"/>
      <c r="O2040" s="20"/>
      <c r="P2040" s="20"/>
      <c r="Q2040" s="20"/>
      <c r="R2040" s="20"/>
      <c r="S2040" s="20"/>
      <c r="T2040" s="20"/>
      <c r="U2040" s="20"/>
      <c r="V2040" s="20"/>
      <c r="W2040" s="20"/>
      <c r="X2040" s="20"/>
      <c r="Y2040" s="20"/>
      <c r="Z2040" s="20"/>
      <c r="AA2040" s="20"/>
      <c r="AB2040" s="12"/>
      <c r="AC2040" s="12"/>
      <c r="AD2040" s="12"/>
      <c r="AE2040" s="12"/>
      <c r="AF2040" s="12">
        <v>4800000</v>
      </c>
      <c r="AG2040" s="12"/>
      <c r="AH2040" s="12">
        <v>1710000</v>
      </c>
      <c r="AI2040" s="12">
        <v>1710000</v>
      </c>
      <c r="AJ2040" s="21">
        <v>1824000</v>
      </c>
      <c r="AK2040" s="21">
        <v>1824000</v>
      </c>
      <c r="AL2040" s="21">
        <v>1824000</v>
      </c>
      <c r="AM2040" s="21">
        <v>1824000</v>
      </c>
      <c r="AN2040" s="1058">
        <v>1663488</v>
      </c>
      <c r="AO2040" s="1058">
        <v>1663488</v>
      </c>
      <c r="AP2040" s="1058">
        <v>1663488</v>
      </c>
      <c r="AQ2040" s="1058">
        <v>1663488</v>
      </c>
      <c r="AR2040" s="1044"/>
      <c r="AS2040" s="1044"/>
    </row>
    <row r="2041" spans="2:45" hidden="1" outlineLevel="1">
      <c r="B2041"/>
      <c r="C2041" s="816" t="s">
        <v>16</v>
      </c>
      <c r="D2041" s="9"/>
      <c r="E2041" s="20" t="s">
        <v>668</v>
      </c>
      <c r="F2041" s="20"/>
      <c r="G2041" s="20"/>
      <c r="H2041" s="20"/>
      <c r="I2041" s="20"/>
      <c r="J2041" s="20"/>
      <c r="K2041" s="20"/>
      <c r="L2041" s="20"/>
      <c r="M2041" s="20"/>
      <c r="N2041" s="20"/>
      <c r="O2041" s="20"/>
      <c r="P2041" s="20"/>
      <c r="Q2041" s="20"/>
      <c r="R2041" s="20"/>
      <c r="S2041" s="20"/>
      <c r="T2041" s="20"/>
      <c r="U2041" s="20"/>
      <c r="V2041" s="20"/>
      <c r="W2041" s="20"/>
      <c r="X2041" s="20"/>
      <c r="Y2041" s="20"/>
      <c r="Z2041" s="20"/>
      <c r="AA2041" s="20"/>
      <c r="AB2041" s="12">
        <v>1022164</v>
      </c>
      <c r="AC2041" s="12">
        <v>1022164</v>
      </c>
      <c r="AD2041" s="12">
        <v>1022164</v>
      </c>
      <c r="AE2041" s="12">
        <v>1022164</v>
      </c>
      <c r="AF2041" s="12">
        <v>1022164</v>
      </c>
      <c r="AG2041" s="12">
        <v>1022164</v>
      </c>
      <c r="AH2041" s="12">
        <v>728292</v>
      </c>
      <c r="AI2041" s="12">
        <v>728292</v>
      </c>
      <c r="AJ2041" s="21">
        <v>776845</v>
      </c>
      <c r="AK2041" s="21">
        <v>776845</v>
      </c>
      <c r="AL2041" s="21">
        <v>776845</v>
      </c>
      <c r="AM2041" s="21">
        <v>776845</v>
      </c>
      <c r="AN2041" s="1058">
        <v>708482</v>
      </c>
      <c r="AO2041" s="1058">
        <v>708482</v>
      </c>
      <c r="AP2041" s="1058">
        <v>3208482</v>
      </c>
      <c r="AQ2041" s="1058">
        <v>3208482</v>
      </c>
      <c r="AR2041" s="1044"/>
      <c r="AS2041" s="1044"/>
    </row>
    <row r="2042" spans="2:45" hidden="1" outlineLevel="1">
      <c r="B2042"/>
      <c r="C2042" s="816" t="s">
        <v>16</v>
      </c>
      <c r="D2042" s="9"/>
      <c r="E2042" s="20" t="s">
        <v>669</v>
      </c>
      <c r="F2042" s="20"/>
      <c r="G2042" s="20"/>
      <c r="H2042" s="20"/>
      <c r="I2042" s="20"/>
      <c r="J2042" s="20"/>
      <c r="K2042" s="20"/>
      <c r="L2042" s="20"/>
      <c r="M2042" s="20"/>
      <c r="N2042" s="20"/>
      <c r="O2042" s="20"/>
      <c r="P2042" s="20"/>
      <c r="Q2042" s="20"/>
      <c r="R2042" s="20"/>
      <c r="S2042" s="20"/>
      <c r="T2042" s="20"/>
      <c r="U2042" s="20"/>
      <c r="V2042" s="20"/>
      <c r="W2042" s="20"/>
      <c r="X2042" s="20"/>
      <c r="Y2042" s="20"/>
      <c r="Z2042" s="20"/>
      <c r="AA2042" s="20"/>
      <c r="AB2042" s="12"/>
      <c r="AC2042" s="12"/>
      <c r="AD2042" s="12"/>
      <c r="AE2042" s="12"/>
      <c r="AF2042" s="12">
        <v>0</v>
      </c>
      <c r="AG2042" s="12">
        <v>0</v>
      </c>
      <c r="AH2042" s="12">
        <v>2000000</v>
      </c>
      <c r="AI2042" s="12">
        <v>2000000</v>
      </c>
      <c r="AJ2042" s="21">
        <v>2000000</v>
      </c>
      <c r="AK2042" s="21">
        <v>2000000</v>
      </c>
      <c r="AL2042" s="21">
        <v>2000000</v>
      </c>
      <c r="AM2042" s="21">
        <v>2000000</v>
      </c>
      <c r="AN2042" s="1058">
        <v>1824000</v>
      </c>
      <c r="AO2042" s="1058">
        <v>1824000</v>
      </c>
      <c r="AP2042" s="1058">
        <v>1824000</v>
      </c>
      <c r="AQ2042" s="1058">
        <v>1824000</v>
      </c>
      <c r="AR2042" s="1044"/>
      <c r="AS2042" s="1044"/>
    </row>
    <row r="2043" spans="2:45" hidden="1" outlineLevel="1">
      <c r="B2043"/>
      <c r="C2043" s="816" t="s">
        <v>16</v>
      </c>
      <c r="D2043" s="223" t="s">
        <v>1612</v>
      </c>
      <c r="E2043" s="20" t="s">
        <v>670</v>
      </c>
      <c r="F2043" s="20"/>
      <c r="G2043" s="20"/>
      <c r="H2043" s="20"/>
      <c r="I2043" s="20"/>
      <c r="J2043" s="20"/>
      <c r="K2043" s="20"/>
      <c r="L2043" s="20"/>
      <c r="M2043" s="20"/>
      <c r="N2043" s="20"/>
      <c r="O2043" s="20"/>
      <c r="P2043" s="20"/>
      <c r="Q2043" s="20"/>
      <c r="R2043" s="20"/>
      <c r="S2043" s="20"/>
      <c r="T2043" s="20"/>
      <c r="U2043" s="20"/>
      <c r="V2043" s="20"/>
      <c r="W2043" s="20"/>
      <c r="X2043" s="20"/>
      <c r="Y2043" s="20"/>
      <c r="Z2043" s="20"/>
      <c r="AA2043" s="20"/>
      <c r="AB2043" s="12">
        <v>8850795</v>
      </c>
      <c r="AC2043" s="12">
        <v>8850795</v>
      </c>
      <c r="AD2043" s="12">
        <v>11550795</v>
      </c>
      <c r="AE2043" s="12">
        <v>11550795</v>
      </c>
      <c r="AF2043" s="12">
        <v>11550795</v>
      </c>
      <c r="AG2043" s="12">
        <v>11550795</v>
      </c>
      <c r="AH2043" s="12">
        <v>8229943</v>
      </c>
      <c r="AI2043" s="12">
        <v>8229943</v>
      </c>
      <c r="AJ2043" s="21">
        <v>8778606</v>
      </c>
      <c r="AK2043" s="21">
        <v>8778606</v>
      </c>
      <c r="AL2043" s="21">
        <v>8018606</v>
      </c>
      <c r="AM2043" s="21">
        <v>8018606</v>
      </c>
      <c r="AN2043" s="1058">
        <v>7697864</v>
      </c>
      <c r="AO2043" s="1058">
        <v>7697863</v>
      </c>
      <c r="AP2043" s="1058">
        <v>7697866</v>
      </c>
      <c r="AQ2043" s="1058">
        <v>7697865</v>
      </c>
      <c r="AR2043" s="1044"/>
      <c r="AS2043" s="1044"/>
    </row>
    <row r="2044" spans="2:45" hidden="1" outlineLevel="1">
      <c r="B2044"/>
      <c r="C2044" s="816" t="s">
        <v>16</v>
      </c>
      <c r="D2044" s="9"/>
      <c r="E2044" s="20" t="s">
        <v>671</v>
      </c>
      <c r="F2044" s="20"/>
      <c r="G2044" s="20"/>
      <c r="H2044" s="20"/>
      <c r="I2044" s="20"/>
      <c r="J2044" s="20"/>
      <c r="K2044" s="20"/>
      <c r="L2044" s="20"/>
      <c r="M2044" s="20"/>
      <c r="N2044" s="20"/>
      <c r="O2044" s="20"/>
      <c r="P2044" s="20"/>
      <c r="Q2044" s="20"/>
      <c r="R2044" s="20"/>
      <c r="S2044" s="20"/>
      <c r="T2044" s="20"/>
      <c r="U2044" s="20"/>
      <c r="V2044" s="20"/>
      <c r="W2044" s="20"/>
      <c r="X2044" s="20"/>
      <c r="Y2044" s="20"/>
      <c r="Z2044" s="20"/>
      <c r="AA2044" s="20"/>
      <c r="AB2044" s="12"/>
      <c r="AC2044" s="12"/>
      <c r="AD2044" s="12"/>
      <c r="AE2044" s="12"/>
      <c r="AF2044" s="12">
        <v>0</v>
      </c>
      <c r="AG2044" s="12">
        <v>0</v>
      </c>
      <c r="AH2044" s="12">
        <v>20078384</v>
      </c>
      <c r="AI2044" s="12">
        <v>0</v>
      </c>
      <c r="AJ2044" s="22"/>
      <c r="AK2044" s="22"/>
      <c r="AL2044" s="22"/>
      <c r="AM2044" s="22"/>
      <c r="AN2044" s="1059"/>
      <c r="AO2044" s="1059"/>
      <c r="AP2044" s="1059"/>
      <c r="AQ2044" s="1059"/>
      <c r="AR2044" s="1044"/>
      <c r="AS2044" s="1044"/>
    </row>
    <row r="2045" spans="2:45" ht="13.5" hidden="1" outlineLevel="1" thickBot="1">
      <c r="B2045"/>
      <c r="C2045" s="816" t="s">
        <v>16</v>
      </c>
      <c r="D2045" s="223" t="s">
        <v>1219</v>
      </c>
      <c r="E2045" s="1115" t="s">
        <v>672</v>
      </c>
      <c r="F2045" s="6"/>
      <c r="G2045" s="6"/>
      <c r="H2045" s="6"/>
      <c r="I2045" s="6"/>
      <c r="J2045" s="6"/>
      <c r="K2045" s="6"/>
      <c r="L2045" s="6"/>
      <c r="M2045" s="6"/>
      <c r="N2045" s="6"/>
      <c r="O2045" s="6"/>
      <c r="P2045" s="6"/>
      <c r="Q2045" s="6"/>
      <c r="R2045" s="6"/>
      <c r="S2045" s="6"/>
      <c r="T2045" s="6"/>
      <c r="U2045" s="6"/>
      <c r="V2045" s="6"/>
      <c r="W2045" s="6"/>
      <c r="X2045" s="6"/>
      <c r="Y2045" s="6"/>
      <c r="Z2045" s="6"/>
      <c r="AA2045" s="6"/>
      <c r="AB2045" s="7">
        <v>37166036</v>
      </c>
      <c r="AC2045" s="7">
        <v>23666034</v>
      </c>
      <c r="AD2045" s="7">
        <v>60971786</v>
      </c>
      <c r="AE2045" s="7">
        <v>40576784</v>
      </c>
      <c r="AF2045" s="7">
        <f>SUM(AF2027:AF2044)</f>
        <v>57474285</v>
      </c>
      <c r="AG2045" s="7">
        <f t="shared" ref="AG2045:AK2045" si="396">SUM(AG2027:AG2044)</f>
        <v>61674285</v>
      </c>
      <c r="AH2045" s="7">
        <f t="shared" si="396"/>
        <v>64525064</v>
      </c>
      <c r="AI2045" s="7">
        <f t="shared" si="396"/>
        <v>44446680</v>
      </c>
      <c r="AJ2045" s="7">
        <f t="shared" si="396"/>
        <v>50392457</v>
      </c>
      <c r="AK2045" s="7">
        <f t="shared" si="396"/>
        <v>50392457</v>
      </c>
      <c r="AL2045" s="60">
        <f>SUM(AL2030:AL2044)</f>
        <v>18296256</v>
      </c>
      <c r="AM2045" s="60">
        <f>SUM(AM2030:AM2044)</f>
        <v>18296256</v>
      </c>
      <c r="AN2045" s="1074">
        <f t="shared" ref="AN2045:AO2045" si="397">SUM(AN2030:AN2044)</f>
        <v>16678851</v>
      </c>
      <c r="AO2045" s="1074">
        <f t="shared" si="397"/>
        <v>16678850</v>
      </c>
      <c r="AP2045" s="1074">
        <f t="shared" ref="AP2045:AQ2045" si="398">SUM(AP2030:AP2044)</f>
        <v>19328853</v>
      </c>
      <c r="AQ2045" s="1074">
        <f t="shared" si="398"/>
        <v>19328852</v>
      </c>
      <c r="AR2045" s="1044"/>
      <c r="AS2045" s="1044"/>
    </row>
    <row r="2046" spans="2:45" s="173" customFormat="1" hidden="1" outlineLevel="1">
      <c r="B2046" s="566"/>
      <c r="C2046" s="816" t="s">
        <v>16</v>
      </c>
      <c r="D2046" s="1126"/>
      <c r="E2046" s="1129" t="s">
        <v>1768</v>
      </c>
      <c r="F2046" s="1130"/>
      <c r="G2046" s="23"/>
      <c r="H2046" s="23"/>
      <c r="I2046" s="23"/>
      <c r="J2046" s="23"/>
      <c r="K2046" s="23"/>
      <c r="L2046" s="23"/>
      <c r="M2046" s="23"/>
      <c r="N2046" s="23"/>
      <c r="O2046" s="23"/>
      <c r="P2046" s="23"/>
      <c r="Q2046" s="23"/>
      <c r="R2046" s="23"/>
      <c r="S2046" s="23"/>
      <c r="T2046" s="23"/>
      <c r="U2046" s="23"/>
      <c r="V2046" s="23"/>
      <c r="W2046" s="23"/>
      <c r="X2046" s="23"/>
      <c r="Y2046" s="23"/>
      <c r="Z2046" s="23"/>
      <c r="AA2046" s="23"/>
      <c r="AB2046" s="14"/>
      <c r="AC2046" s="14"/>
      <c r="AD2046" s="14"/>
      <c r="AE2046" s="14"/>
      <c r="AF2046" s="14"/>
      <c r="AG2046" s="14"/>
      <c r="AH2046" s="14"/>
      <c r="AI2046" s="14"/>
      <c r="AJ2046" s="14"/>
      <c r="AK2046" s="14"/>
      <c r="AL2046" s="14">
        <v>688734</v>
      </c>
      <c r="AM2046" s="14">
        <v>688734</v>
      </c>
      <c r="AN2046" s="1071">
        <v>565313</v>
      </c>
      <c r="AO2046" s="1071">
        <v>565313</v>
      </c>
      <c r="AP2046" s="1071">
        <v>565313</v>
      </c>
      <c r="AQ2046" s="1071">
        <v>565313</v>
      </c>
      <c r="AR2046" s="1044"/>
      <c r="AS2046" s="1044"/>
    </row>
    <row r="2047" spans="2:45" s="173" customFormat="1" hidden="1" outlineLevel="1">
      <c r="B2047" s="566"/>
      <c r="C2047" s="816" t="s">
        <v>16</v>
      </c>
      <c r="D2047" s="1126"/>
      <c r="E2047" s="1131" t="s">
        <v>1764</v>
      </c>
      <c r="F2047" s="1130"/>
      <c r="G2047" s="23"/>
      <c r="H2047" s="23"/>
      <c r="I2047" s="23"/>
      <c r="J2047" s="23"/>
      <c r="K2047" s="23"/>
      <c r="L2047" s="23"/>
      <c r="M2047" s="23"/>
      <c r="N2047" s="23"/>
      <c r="O2047" s="23"/>
      <c r="P2047" s="23"/>
      <c r="Q2047" s="23"/>
      <c r="R2047" s="23"/>
      <c r="S2047" s="23"/>
      <c r="T2047" s="23"/>
      <c r="U2047" s="23"/>
      <c r="V2047" s="23"/>
      <c r="W2047" s="23"/>
      <c r="X2047" s="23"/>
      <c r="Y2047" s="23"/>
      <c r="Z2047" s="23"/>
      <c r="AA2047" s="23"/>
      <c r="AB2047" s="14"/>
      <c r="AC2047" s="14"/>
      <c r="AD2047" s="14"/>
      <c r="AE2047" s="14"/>
      <c r="AF2047" s="14"/>
      <c r="AG2047" s="14"/>
      <c r="AH2047" s="14"/>
      <c r="AI2047" s="14"/>
      <c r="AJ2047" s="14"/>
      <c r="AK2047" s="14"/>
      <c r="AL2047" s="14">
        <v>299037</v>
      </c>
      <c r="AM2047" s="14">
        <v>299037</v>
      </c>
      <c r="AN2047" s="1071">
        <v>272722</v>
      </c>
      <c r="AO2047" s="1071">
        <v>272722</v>
      </c>
      <c r="AP2047" s="1071">
        <v>272722</v>
      </c>
      <c r="AQ2047" s="1071">
        <v>272722</v>
      </c>
      <c r="AR2047" s="1044"/>
      <c r="AS2047" s="1044"/>
    </row>
    <row r="2048" spans="2:45" s="173" customFormat="1" hidden="1" outlineLevel="1">
      <c r="B2048" s="566"/>
      <c r="C2048" s="816" t="s">
        <v>16</v>
      </c>
      <c r="D2048" s="1126"/>
      <c r="E2048" s="1131" t="s">
        <v>1765</v>
      </c>
      <c r="F2048" s="1130"/>
      <c r="G2048" s="23"/>
      <c r="H2048" s="23"/>
      <c r="I2048" s="23"/>
      <c r="J2048" s="23"/>
      <c r="K2048" s="23"/>
      <c r="L2048" s="23"/>
      <c r="M2048" s="23"/>
      <c r="N2048" s="23"/>
      <c r="O2048" s="23"/>
      <c r="P2048" s="23"/>
      <c r="Q2048" s="23"/>
      <c r="R2048" s="23"/>
      <c r="S2048" s="23"/>
      <c r="T2048" s="23"/>
      <c r="U2048" s="23"/>
      <c r="V2048" s="23"/>
      <c r="W2048" s="23"/>
      <c r="X2048" s="23"/>
      <c r="Y2048" s="23"/>
      <c r="Z2048" s="23"/>
      <c r="AA2048" s="23"/>
      <c r="AB2048" s="14"/>
      <c r="AC2048" s="14"/>
      <c r="AD2048" s="14"/>
      <c r="AE2048" s="14"/>
      <c r="AF2048" s="14"/>
      <c r="AG2048" s="14"/>
      <c r="AH2048" s="14"/>
      <c r="AI2048" s="14"/>
      <c r="AJ2048" s="14"/>
      <c r="AK2048" s="14"/>
      <c r="AL2048" s="14">
        <v>28044000</v>
      </c>
      <c r="AM2048" s="14">
        <v>28044000</v>
      </c>
      <c r="AN2048" s="1071">
        <v>25000000</v>
      </c>
      <c r="AO2048" s="1071">
        <v>25000000</v>
      </c>
      <c r="AP2048" s="1071">
        <v>15000000</v>
      </c>
      <c r="AQ2048" s="1071">
        <v>15000000</v>
      </c>
      <c r="AR2048" s="1044"/>
      <c r="AS2048" s="1044"/>
    </row>
    <row r="2049" spans="2:45" s="173" customFormat="1" hidden="1" outlineLevel="1">
      <c r="B2049" s="566"/>
      <c r="C2049" s="1053" t="s">
        <v>16</v>
      </c>
      <c r="D2049" s="1126"/>
      <c r="E2049" s="1131" t="s">
        <v>1947</v>
      </c>
      <c r="F2049" s="1130"/>
      <c r="G2049" s="1060"/>
      <c r="H2049" s="1060"/>
      <c r="I2049" s="1060"/>
      <c r="J2049" s="1060"/>
      <c r="K2049" s="1060"/>
      <c r="L2049" s="1060"/>
      <c r="M2049" s="1060"/>
      <c r="N2049" s="1060"/>
      <c r="O2049" s="1060"/>
      <c r="P2049" s="1060"/>
      <c r="Q2049" s="1060"/>
      <c r="R2049" s="1060"/>
      <c r="S2049" s="1060"/>
      <c r="T2049" s="1060"/>
      <c r="U2049" s="1060"/>
      <c r="V2049" s="1060"/>
      <c r="W2049" s="1060"/>
      <c r="X2049" s="1060"/>
      <c r="Y2049" s="1060"/>
      <c r="Z2049" s="1060"/>
      <c r="AA2049" s="1060"/>
      <c r="AB2049" s="1071"/>
      <c r="AC2049" s="1071"/>
      <c r="AD2049" s="1071"/>
      <c r="AE2049" s="1071"/>
      <c r="AF2049" s="1071"/>
      <c r="AG2049" s="1071"/>
      <c r="AH2049" s="1071"/>
      <c r="AI2049" s="1071"/>
      <c r="AJ2049" s="1071"/>
      <c r="AK2049" s="1071"/>
      <c r="AL2049" s="1071"/>
      <c r="AM2049" s="1071"/>
      <c r="AN2049" s="1071"/>
      <c r="AO2049" s="1071"/>
      <c r="AP2049" s="1071">
        <v>10000000</v>
      </c>
      <c r="AQ2049" s="1071">
        <v>10000000</v>
      </c>
      <c r="AR2049" s="1044"/>
      <c r="AS2049" s="1044"/>
    </row>
    <row r="2050" spans="2:45" s="173" customFormat="1" hidden="1" outlineLevel="1">
      <c r="B2050" s="566"/>
      <c r="C2050" s="816" t="s">
        <v>16</v>
      </c>
      <c r="D2050" s="1126"/>
      <c r="E2050" s="1131" t="s">
        <v>1766</v>
      </c>
      <c r="F2050" s="1130"/>
      <c r="G2050" s="23"/>
      <c r="H2050" s="23"/>
      <c r="I2050" s="23"/>
      <c r="J2050" s="23"/>
      <c r="K2050" s="23"/>
      <c r="L2050" s="23"/>
      <c r="M2050" s="23"/>
      <c r="N2050" s="23"/>
      <c r="O2050" s="23"/>
      <c r="P2050" s="23"/>
      <c r="Q2050" s="23"/>
      <c r="R2050" s="23"/>
      <c r="S2050" s="23"/>
      <c r="T2050" s="23"/>
      <c r="U2050" s="23"/>
      <c r="V2050" s="23"/>
      <c r="W2050" s="23"/>
      <c r="X2050" s="23"/>
      <c r="Y2050" s="23"/>
      <c r="Z2050" s="23"/>
      <c r="AA2050" s="23"/>
      <c r="AB2050" s="14"/>
      <c r="AC2050" s="14"/>
      <c r="AD2050" s="14"/>
      <c r="AE2050" s="14"/>
      <c r="AF2050" s="14"/>
      <c r="AG2050" s="14"/>
      <c r="AH2050" s="14"/>
      <c r="AI2050" s="14"/>
      <c r="AJ2050" s="14"/>
      <c r="AK2050" s="14"/>
      <c r="AL2050" s="14">
        <v>3250264</v>
      </c>
      <c r="AM2050" s="14">
        <v>3250264</v>
      </c>
      <c r="AN2050" s="1071">
        <v>2667816</v>
      </c>
      <c r="AO2050" s="1071">
        <v>2667816</v>
      </c>
      <c r="AP2050" s="1071">
        <v>2667817</v>
      </c>
      <c r="AQ2050" s="1071">
        <v>2667817</v>
      </c>
      <c r="AR2050" s="1044"/>
      <c r="AS2050" s="1044"/>
    </row>
    <row r="2051" spans="2:45" s="173" customFormat="1" hidden="1" outlineLevel="1">
      <c r="B2051" s="566"/>
      <c r="C2051" s="816" t="s">
        <v>16</v>
      </c>
      <c r="D2051" s="1113" t="s">
        <v>1258</v>
      </c>
      <c r="E2051" s="1121" t="s">
        <v>1767</v>
      </c>
      <c r="F2051" s="1130"/>
      <c r="G2051" s="23"/>
      <c r="H2051" s="23"/>
      <c r="I2051" s="23"/>
      <c r="J2051" s="23"/>
      <c r="K2051" s="23"/>
      <c r="L2051" s="23"/>
      <c r="M2051" s="23"/>
      <c r="N2051" s="23"/>
      <c r="O2051" s="23"/>
      <c r="P2051" s="23"/>
      <c r="Q2051" s="23"/>
      <c r="R2051" s="23"/>
      <c r="S2051" s="23"/>
      <c r="T2051" s="23"/>
      <c r="U2051" s="23"/>
      <c r="V2051" s="23"/>
      <c r="W2051" s="23"/>
      <c r="X2051" s="23"/>
      <c r="Y2051" s="23"/>
      <c r="Z2051" s="23"/>
      <c r="AA2051" s="23"/>
      <c r="AB2051" s="14"/>
      <c r="AC2051" s="14"/>
      <c r="AD2051" s="14"/>
      <c r="AE2051" s="14"/>
      <c r="AF2051" s="14"/>
      <c r="AG2051" s="14"/>
      <c r="AH2051" s="14"/>
      <c r="AI2051" s="14"/>
      <c r="AJ2051" s="14"/>
      <c r="AK2051" s="14"/>
      <c r="AL2051" s="14">
        <v>219746</v>
      </c>
      <c r="AM2051" s="14">
        <v>219746</v>
      </c>
      <c r="AN2051" s="1071">
        <v>200408</v>
      </c>
      <c r="AO2051" s="1071">
        <v>200408</v>
      </c>
      <c r="AP2051" s="1071">
        <v>200408</v>
      </c>
      <c r="AQ2051" s="1071">
        <v>200408</v>
      </c>
      <c r="AR2051" s="1044"/>
      <c r="AS2051" s="1044"/>
    </row>
    <row r="2052" spans="2:45" s="173" customFormat="1" hidden="1" outlineLevel="1">
      <c r="B2052" s="566"/>
      <c r="C2052" s="816" t="s">
        <v>16</v>
      </c>
      <c r="D2052" s="1113" t="s">
        <v>1612</v>
      </c>
      <c r="E2052" s="1131" t="s">
        <v>1932</v>
      </c>
      <c r="F2052" s="1130"/>
      <c r="G2052" s="23"/>
      <c r="H2052" s="23"/>
      <c r="I2052" s="23"/>
      <c r="J2052" s="23"/>
      <c r="K2052" s="23"/>
      <c r="L2052" s="23"/>
      <c r="M2052" s="23"/>
      <c r="N2052" s="23"/>
      <c r="O2052" s="23"/>
      <c r="P2052" s="23"/>
      <c r="Q2052" s="23"/>
      <c r="R2052" s="23"/>
      <c r="S2052" s="23"/>
      <c r="T2052" s="23"/>
      <c r="U2052" s="23"/>
      <c r="V2052" s="23"/>
      <c r="W2052" s="23"/>
      <c r="X2052" s="23"/>
      <c r="Y2052" s="23"/>
      <c r="Z2052" s="23"/>
      <c r="AA2052" s="23"/>
      <c r="AB2052" s="14"/>
      <c r="AC2052" s="14"/>
      <c r="AD2052" s="14"/>
      <c r="AE2052" s="14"/>
      <c r="AF2052" s="14"/>
      <c r="AG2052" s="14"/>
      <c r="AH2052" s="14"/>
      <c r="AI2052" s="14"/>
      <c r="AJ2052" s="14"/>
      <c r="AK2052" s="14"/>
      <c r="AL2052" s="14">
        <v>760000</v>
      </c>
      <c r="AM2052" s="14">
        <v>760000</v>
      </c>
      <c r="AN2052" s="1071">
        <v>729600</v>
      </c>
      <c r="AO2052" s="1071">
        <v>729600</v>
      </c>
      <c r="AP2052" s="1071">
        <v>729600</v>
      </c>
      <c r="AQ2052" s="1071">
        <v>729600</v>
      </c>
      <c r="AR2052" s="1044"/>
      <c r="AS2052" s="1044"/>
    </row>
    <row r="2053" spans="2:45" ht="13.5" hidden="1" outlineLevel="1" thickBot="1">
      <c r="C2053" s="816" t="s">
        <v>16</v>
      </c>
      <c r="D2053" s="1113" t="s">
        <v>1219</v>
      </c>
      <c r="E2053" s="1122" t="s">
        <v>2227</v>
      </c>
      <c r="F2053" s="1114"/>
      <c r="G2053" s="6"/>
      <c r="H2053" s="6"/>
      <c r="I2053" s="6"/>
      <c r="J2053" s="6"/>
      <c r="K2053" s="6"/>
      <c r="L2053" s="6"/>
      <c r="M2053" s="6"/>
      <c r="N2053" s="6"/>
      <c r="O2053" s="6"/>
      <c r="P2053" s="6"/>
      <c r="Q2053" s="6"/>
      <c r="R2053" s="6"/>
      <c r="S2053" s="6"/>
      <c r="T2053" s="6"/>
      <c r="U2053" s="6"/>
      <c r="V2053" s="6"/>
      <c r="W2053" s="6"/>
      <c r="X2053" s="6"/>
      <c r="Y2053" s="6"/>
      <c r="Z2053" s="6"/>
      <c r="AA2053" s="6"/>
      <c r="AB2053" s="7"/>
      <c r="AC2053" s="7"/>
      <c r="AD2053" s="7"/>
      <c r="AE2053" s="7"/>
      <c r="AF2053" s="7"/>
      <c r="AG2053" s="7"/>
      <c r="AH2053" s="7"/>
      <c r="AI2053" s="7"/>
      <c r="AJ2053" s="7"/>
      <c r="AK2053" s="7"/>
      <c r="AL2053" s="60">
        <f>SUM(AL2046:AL2052)</f>
        <v>33261781</v>
      </c>
      <c r="AM2053" s="60">
        <f>SUM(AM2046:AM2052)</f>
        <v>33261781</v>
      </c>
      <c r="AN2053" s="1074">
        <f t="shared" ref="AN2053:AO2053" si="399">SUM(AN2046:AN2052)</f>
        <v>29435859</v>
      </c>
      <c r="AO2053" s="1074">
        <f t="shared" si="399"/>
        <v>29435859</v>
      </c>
      <c r="AP2053" s="1074">
        <f t="shared" ref="AP2053:AQ2053" si="400">SUM(AP2046:AP2052)</f>
        <v>29435860</v>
      </c>
      <c r="AQ2053" s="1074">
        <f t="shared" si="400"/>
        <v>29435860</v>
      </c>
      <c r="AR2053" s="1044"/>
      <c r="AS2053" s="1044"/>
    </row>
    <row r="2054" spans="2:45" s="173" customFormat="1" hidden="1" outlineLevel="1">
      <c r="B2054" s="566"/>
      <c r="C2054" s="816" t="s">
        <v>16</v>
      </c>
      <c r="D2054" s="244"/>
      <c r="E2054" s="1128" t="s">
        <v>1769</v>
      </c>
      <c r="F2054" s="23"/>
      <c r="G2054" s="23"/>
      <c r="H2054" s="23"/>
      <c r="I2054" s="23"/>
      <c r="J2054" s="23"/>
      <c r="K2054" s="23"/>
      <c r="L2054" s="23"/>
      <c r="M2054" s="23"/>
      <c r="N2054" s="23"/>
      <c r="O2054" s="23"/>
      <c r="P2054" s="23"/>
      <c r="Q2054" s="23"/>
      <c r="R2054" s="23"/>
      <c r="S2054" s="23"/>
      <c r="T2054" s="23"/>
      <c r="U2054" s="23"/>
      <c r="V2054" s="23"/>
      <c r="W2054" s="23"/>
      <c r="X2054" s="23"/>
      <c r="Y2054" s="23"/>
      <c r="Z2054" s="23"/>
      <c r="AA2054" s="23"/>
      <c r="AB2054" s="14"/>
      <c r="AC2054" s="14"/>
      <c r="AD2054" s="14"/>
      <c r="AE2054" s="14"/>
      <c r="AF2054" s="14"/>
      <c r="AG2054" s="14"/>
      <c r="AH2054" s="14"/>
      <c r="AI2054" s="14"/>
      <c r="AJ2054" s="14"/>
      <c r="AK2054" s="14"/>
      <c r="AL2054" s="14">
        <v>4450000</v>
      </c>
      <c r="AM2054" s="14">
        <v>4450000</v>
      </c>
      <c r="AN2054" s="1071">
        <v>4058400</v>
      </c>
      <c r="AO2054" s="1071">
        <v>4058400</v>
      </c>
      <c r="AP2054" s="1071">
        <v>4058400</v>
      </c>
      <c r="AQ2054" s="1071">
        <v>4058400</v>
      </c>
      <c r="AR2054" s="1044"/>
      <c r="AS2054" s="1044"/>
    </row>
    <row r="2055" spans="2:45" hidden="1" outlineLevel="1">
      <c r="C2055" s="816" t="s">
        <v>16</v>
      </c>
      <c r="D2055" s="1050" t="s">
        <v>1201</v>
      </c>
      <c r="E2055" s="25" t="s">
        <v>1770</v>
      </c>
      <c r="F2055" s="6"/>
      <c r="G2055" s="6"/>
      <c r="H2055" s="6"/>
      <c r="I2055" s="6"/>
      <c r="J2055" s="6"/>
      <c r="K2055" s="6"/>
      <c r="L2055" s="6"/>
      <c r="M2055" s="6"/>
      <c r="N2055" s="6"/>
      <c r="O2055" s="6"/>
      <c r="P2055" s="6"/>
      <c r="Q2055" s="6"/>
      <c r="R2055" s="6"/>
      <c r="S2055" s="6"/>
      <c r="T2055" s="6"/>
      <c r="U2055" s="6"/>
      <c r="V2055" s="6"/>
      <c r="W2055" s="6"/>
      <c r="X2055" s="6"/>
      <c r="Y2055" s="6"/>
      <c r="Z2055" s="6"/>
      <c r="AA2055" s="6"/>
      <c r="AB2055" s="7"/>
      <c r="AC2055" s="7"/>
      <c r="AD2055" s="7"/>
      <c r="AE2055" s="7"/>
      <c r="AF2055" s="7"/>
      <c r="AG2055" s="7"/>
      <c r="AH2055" s="7"/>
      <c r="AI2055" s="7"/>
      <c r="AJ2055" s="7"/>
      <c r="AK2055" s="7"/>
      <c r="AL2055" s="60">
        <f>SUM(AL2054)</f>
        <v>4450000</v>
      </c>
      <c r="AM2055" s="60">
        <f>SUM(AM2054)</f>
        <v>4450000</v>
      </c>
      <c r="AN2055" s="1074">
        <f t="shared" ref="AN2055:AO2055" si="401">SUM(AN2054)</f>
        <v>4058400</v>
      </c>
      <c r="AO2055" s="1074">
        <f t="shared" si="401"/>
        <v>4058400</v>
      </c>
      <c r="AP2055" s="1074">
        <f t="shared" ref="AP2055:AQ2057" si="402">SUM(AP2054)</f>
        <v>4058400</v>
      </c>
      <c r="AQ2055" s="1074">
        <f t="shared" si="402"/>
        <v>4058400</v>
      </c>
      <c r="AR2055" s="1044"/>
      <c r="AS2055" s="1044"/>
    </row>
    <row r="2056" spans="2:45" s="1044" customFormat="1" hidden="1" outlineLevel="1">
      <c r="B2056" s="1045"/>
      <c r="C2056" s="1053" t="s">
        <v>16</v>
      </c>
      <c r="D2056" s="897"/>
      <c r="E2056" s="1054" t="s">
        <v>2015</v>
      </c>
      <c r="F2056" s="1047"/>
      <c r="G2056" s="1047"/>
      <c r="H2056" s="1047"/>
      <c r="I2056" s="1047"/>
      <c r="J2056" s="1047"/>
      <c r="K2056" s="1047"/>
      <c r="L2056" s="1047"/>
      <c r="M2056" s="1047"/>
      <c r="N2056" s="1047"/>
      <c r="O2056" s="1047"/>
      <c r="P2056" s="1047"/>
      <c r="Q2056" s="1047"/>
      <c r="R2056" s="1047"/>
      <c r="S2056" s="1047"/>
      <c r="T2056" s="1047"/>
      <c r="U2056" s="1047"/>
      <c r="V2056" s="1047"/>
      <c r="W2056" s="1047"/>
      <c r="X2056" s="1047"/>
      <c r="Y2056" s="1047"/>
      <c r="Z2056" s="1047"/>
      <c r="AA2056" s="1047"/>
      <c r="AB2056" s="1070"/>
      <c r="AC2056" s="1070"/>
      <c r="AD2056" s="1070"/>
      <c r="AE2056" s="1070"/>
      <c r="AF2056" s="1070"/>
      <c r="AG2056" s="1070"/>
      <c r="AH2056" s="1070"/>
      <c r="AI2056" s="1070"/>
      <c r="AJ2056" s="1058"/>
      <c r="AK2056" s="1058"/>
      <c r="AL2056" s="1064"/>
      <c r="AM2056" s="1064"/>
      <c r="AN2056" s="1064"/>
      <c r="AO2056" s="1064"/>
      <c r="AP2056" s="1064">
        <v>1250000</v>
      </c>
      <c r="AQ2056" s="1064">
        <v>1250000</v>
      </c>
    </row>
    <row r="2057" spans="2:45" s="1044" customFormat="1" hidden="1" outlineLevel="1">
      <c r="B2057" s="1045"/>
      <c r="C2057" s="1053" t="s">
        <v>16</v>
      </c>
      <c r="D2057" s="1050" t="s">
        <v>1201</v>
      </c>
      <c r="E2057" s="1048" t="s">
        <v>2014</v>
      </c>
      <c r="F2057" s="1038"/>
      <c r="G2057" s="1038"/>
      <c r="H2057" s="1038"/>
      <c r="I2057" s="1038"/>
      <c r="J2057" s="1038"/>
      <c r="K2057" s="1038"/>
      <c r="L2057" s="1038"/>
      <c r="M2057" s="1038"/>
      <c r="N2057" s="1038"/>
      <c r="O2057" s="1038"/>
      <c r="P2057" s="1038"/>
      <c r="Q2057" s="1038"/>
      <c r="R2057" s="1038"/>
      <c r="S2057" s="1038"/>
      <c r="T2057" s="1038"/>
      <c r="U2057" s="1038"/>
      <c r="V2057" s="1038"/>
      <c r="W2057" s="1038"/>
      <c r="X2057" s="1038"/>
      <c r="Y2057" s="1038"/>
      <c r="Z2057" s="1038"/>
      <c r="AA2057" s="1038"/>
      <c r="AB2057" s="1055"/>
      <c r="AC2057" s="1055"/>
      <c r="AD2057" s="1055"/>
      <c r="AE2057" s="1055"/>
      <c r="AF2057" s="1055"/>
      <c r="AG2057" s="1055"/>
      <c r="AH2057" s="1055"/>
      <c r="AI2057" s="1055"/>
      <c r="AJ2057" s="1055"/>
      <c r="AK2057" s="1055"/>
      <c r="AL2057" s="1074"/>
      <c r="AM2057" s="1074"/>
      <c r="AN2057" s="1074"/>
      <c r="AO2057" s="1074"/>
      <c r="AP2057" s="1074">
        <f t="shared" si="402"/>
        <v>1250000</v>
      </c>
      <c r="AQ2057" s="1074">
        <f t="shared" si="402"/>
        <v>1250000</v>
      </c>
    </row>
    <row r="2058" spans="2:45" hidden="1" outlineLevel="1">
      <c r="C2058" s="816" t="s">
        <v>16</v>
      </c>
      <c r="D2058" s="9"/>
      <c r="E2058" s="224" t="s">
        <v>1202</v>
      </c>
      <c r="F2058" s="20"/>
      <c r="G2058" s="20"/>
      <c r="H2058" s="20"/>
      <c r="I2058" s="20"/>
      <c r="J2058" s="20"/>
      <c r="K2058" s="20"/>
      <c r="L2058" s="20"/>
      <c r="M2058" s="20"/>
      <c r="N2058" s="20"/>
      <c r="O2058" s="20"/>
      <c r="P2058" s="20"/>
      <c r="Q2058" s="20"/>
      <c r="R2058" s="20"/>
      <c r="S2058" s="20"/>
      <c r="T2058" s="20"/>
      <c r="U2058" s="20"/>
      <c r="V2058" s="20"/>
      <c r="W2058" s="20"/>
      <c r="X2058" s="20"/>
      <c r="Y2058" s="20"/>
      <c r="Z2058" s="20"/>
      <c r="AA2058" s="20"/>
      <c r="AB2058" s="12"/>
      <c r="AC2058" s="12"/>
      <c r="AD2058" s="12">
        <v>500000</v>
      </c>
      <c r="AE2058" s="12">
        <v>500000</v>
      </c>
      <c r="AF2058" s="12">
        <v>500000</v>
      </c>
      <c r="AG2058" s="12">
        <v>500000</v>
      </c>
      <c r="AH2058" s="12">
        <v>356250</v>
      </c>
      <c r="AI2058" s="12">
        <v>356250</v>
      </c>
      <c r="AJ2058" s="21">
        <v>356250</v>
      </c>
      <c r="AK2058" s="21">
        <v>356250</v>
      </c>
      <c r="AL2058" s="263">
        <v>481250</v>
      </c>
      <c r="AM2058" s="263">
        <v>481250</v>
      </c>
      <c r="AN2058" s="1064">
        <v>438900</v>
      </c>
      <c r="AO2058" s="1064">
        <v>438900</v>
      </c>
      <c r="AP2058" s="1064">
        <v>438900</v>
      </c>
      <c r="AQ2058" s="1064">
        <v>438900</v>
      </c>
      <c r="AR2058" s="1044"/>
      <c r="AS2058" s="1044"/>
    </row>
    <row r="2059" spans="2:45" hidden="1" outlineLevel="1">
      <c r="C2059" s="816" t="s">
        <v>16</v>
      </c>
      <c r="D2059" s="9"/>
      <c r="E2059" s="224" t="s">
        <v>1933</v>
      </c>
      <c r="F2059" s="20"/>
      <c r="G2059" s="20"/>
      <c r="H2059" s="20"/>
      <c r="I2059" s="20"/>
      <c r="J2059" s="20"/>
      <c r="K2059" s="20"/>
      <c r="L2059" s="20"/>
      <c r="M2059" s="20"/>
      <c r="N2059" s="20"/>
      <c r="O2059" s="20"/>
      <c r="P2059" s="20"/>
      <c r="Q2059" s="20"/>
      <c r="R2059" s="20"/>
      <c r="S2059" s="20"/>
      <c r="T2059" s="20"/>
      <c r="U2059" s="20"/>
      <c r="V2059" s="20"/>
      <c r="W2059" s="20"/>
      <c r="X2059" s="20"/>
      <c r="Y2059" s="20"/>
      <c r="Z2059" s="20"/>
      <c r="AA2059" s="20"/>
      <c r="AB2059" s="12"/>
      <c r="AC2059" s="12"/>
      <c r="AD2059" s="12"/>
      <c r="AE2059" s="12"/>
      <c r="AF2059" s="12"/>
      <c r="AG2059" s="12"/>
      <c r="AH2059" s="12"/>
      <c r="AI2059" s="12"/>
      <c r="AJ2059" s="21"/>
      <c r="AK2059" s="21"/>
      <c r="AL2059" s="21">
        <v>5000000</v>
      </c>
      <c r="AM2059" s="263" t="s">
        <v>1771</v>
      </c>
      <c r="AN2059" s="1064">
        <v>4560000</v>
      </c>
      <c r="AO2059" s="1064" t="s">
        <v>1771</v>
      </c>
      <c r="AP2059" s="1064">
        <v>4560000</v>
      </c>
      <c r="AQ2059" s="1064" t="s">
        <v>1771</v>
      </c>
      <c r="AR2059" s="1044"/>
      <c r="AS2059" s="1044"/>
    </row>
    <row r="2060" spans="2:45" hidden="1" outlineLevel="1">
      <c r="C2060" s="816" t="s">
        <v>16</v>
      </c>
      <c r="D2060" s="223" t="s">
        <v>1201</v>
      </c>
      <c r="E2060" s="25" t="s">
        <v>673</v>
      </c>
      <c r="F2060" s="6"/>
      <c r="G2060" s="6"/>
      <c r="H2060" s="6"/>
      <c r="I2060" s="6"/>
      <c r="J2060" s="6"/>
      <c r="K2060" s="6"/>
      <c r="L2060" s="6"/>
      <c r="M2060" s="6"/>
      <c r="N2060" s="6"/>
      <c r="O2060" s="6"/>
      <c r="P2060" s="6"/>
      <c r="Q2060" s="6"/>
      <c r="R2060" s="6"/>
      <c r="S2060" s="6"/>
      <c r="T2060" s="6"/>
      <c r="U2060" s="6"/>
      <c r="V2060" s="6"/>
      <c r="W2060" s="6"/>
      <c r="X2060" s="6"/>
      <c r="Y2060" s="6"/>
      <c r="Z2060" s="6"/>
      <c r="AA2060" s="6"/>
      <c r="AB2060" s="7"/>
      <c r="AC2060" s="7"/>
      <c r="AD2060" s="7">
        <v>500000</v>
      </c>
      <c r="AE2060" s="7">
        <v>500000</v>
      </c>
      <c r="AF2060" s="7">
        <f>SUM(AF2058)</f>
        <v>500000</v>
      </c>
      <c r="AG2060" s="7">
        <f t="shared" ref="AG2060:AK2060" si="403">SUM(AG2058)</f>
        <v>500000</v>
      </c>
      <c r="AH2060" s="7">
        <f t="shared" si="403"/>
        <v>356250</v>
      </c>
      <c r="AI2060" s="7">
        <f t="shared" si="403"/>
        <v>356250</v>
      </c>
      <c r="AJ2060" s="7">
        <f t="shared" si="403"/>
        <v>356250</v>
      </c>
      <c r="AK2060" s="7">
        <f t="shared" si="403"/>
        <v>356250</v>
      </c>
      <c r="AL2060" s="60">
        <f>SUM(AL2058:AL2059)</f>
        <v>5481250</v>
      </c>
      <c r="AM2060" s="60">
        <f>SUM(AM2058:AM2059)</f>
        <v>481250</v>
      </c>
      <c r="AN2060" s="1074">
        <f t="shared" ref="AN2060:AO2060" si="404">SUM(AN2058:AN2059)</f>
        <v>4998900</v>
      </c>
      <c r="AO2060" s="1074">
        <f t="shared" si="404"/>
        <v>438900</v>
      </c>
      <c r="AP2060" s="1074">
        <f t="shared" ref="AP2060:AQ2060" si="405">SUM(AP2058:AP2059)</f>
        <v>4998900</v>
      </c>
      <c r="AQ2060" s="1074">
        <f t="shared" si="405"/>
        <v>438900</v>
      </c>
      <c r="AR2060" s="1044"/>
      <c r="AS2060" s="1044"/>
    </row>
    <row r="2061" spans="2:45" hidden="1" outlineLevel="1">
      <c r="C2061" s="816" t="s">
        <v>16</v>
      </c>
      <c r="D2061" s="9"/>
      <c r="E2061" s="20" t="s">
        <v>674</v>
      </c>
      <c r="F2061" s="20"/>
      <c r="G2061" s="20"/>
      <c r="H2061" s="20"/>
      <c r="I2061" s="20"/>
      <c r="J2061" s="20"/>
      <c r="K2061" s="20"/>
      <c r="L2061" s="20"/>
      <c r="M2061" s="20"/>
      <c r="N2061" s="20"/>
      <c r="O2061" s="20"/>
      <c r="P2061" s="20"/>
      <c r="Q2061" s="20"/>
      <c r="R2061" s="20"/>
      <c r="S2061" s="20"/>
      <c r="T2061" s="20"/>
      <c r="U2061" s="20"/>
      <c r="V2061" s="20"/>
      <c r="W2061" s="20"/>
      <c r="X2061" s="20"/>
      <c r="Y2061" s="20"/>
      <c r="Z2061" s="20"/>
      <c r="AA2061" s="20"/>
      <c r="AB2061" s="12">
        <v>331248</v>
      </c>
      <c r="AC2061" s="12">
        <v>331248</v>
      </c>
      <c r="AD2061" s="12">
        <v>356248</v>
      </c>
      <c r="AE2061" s="12">
        <v>356248</v>
      </c>
      <c r="AF2061" s="12">
        <v>356248</v>
      </c>
      <c r="AG2061" s="12">
        <v>356248</v>
      </c>
      <c r="AH2061" s="12">
        <v>253827</v>
      </c>
      <c r="AI2061" s="12">
        <v>253827</v>
      </c>
      <c r="AJ2061" s="12">
        <v>253827</v>
      </c>
      <c r="AK2061" s="12">
        <v>253827</v>
      </c>
      <c r="AL2061" s="12">
        <v>450000</v>
      </c>
      <c r="AM2061" s="12">
        <v>450000</v>
      </c>
      <c r="AN2061" s="1070">
        <v>410400</v>
      </c>
      <c r="AO2061" s="1070">
        <v>410400</v>
      </c>
      <c r="AP2061" s="1227">
        <v>136800</v>
      </c>
      <c r="AQ2061" s="1228">
        <v>0</v>
      </c>
      <c r="AR2061" s="1044"/>
      <c r="AS2061" s="1044"/>
    </row>
    <row r="2062" spans="2:45" hidden="1" outlineLevel="1">
      <c r="C2062" s="816" t="s">
        <v>16</v>
      </c>
      <c r="D2062" s="223" t="s">
        <v>1201</v>
      </c>
      <c r="E2062" s="25" t="s">
        <v>675</v>
      </c>
      <c r="F2062" s="6"/>
      <c r="G2062" s="6"/>
      <c r="H2062" s="6"/>
      <c r="I2062" s="6"/>
      <c r="J2062" s="6"/>
      <c r="K2062" s="6"/>
      <c r="L2062" s="6"/>
      <c r="M2062" s="6"/>
      <c r="N2062" s="6"/>
      <c r="O2062" s="6"/>
      <c r="P2062" s="6"/>
      <c r="Q2062" s="6"/>
      <c r="R2062" s="6"/>
      <c r="S2062" s="6"/>
      <c r="T2062" s="6"/>
      <c r="U2062" s="6"/>
      <c r="V2062" s="6"/>
      <c r="W2062" s="6"/>
      <c r="X2062" s="6"/>
      <c r="Y2062" s="6"/>
      <c r="Z2062" s="6"/>
      <c r="AA2062" s="6"/>
      <c r="AB2062" s="7">
        <v>331248</v>
      </c>
      <c r="AC2062" s="7">
        <v>331248</v>
      </c>
      <c r="AD2062" s="7">
        <v>356248</v>
      </c>
      <c r="AE2062" s="7">
        <v>356248</v>
      </c>
      <c r="AF2062" s="7">
        <f>SUM(AF2061)</f>
        <v>356248</v>
      </c>
      <c r="AG2062" s="7">
        <f t="shared" ref="AG2062:AK2065" si="406">SUM(AG2061)</f>
        <v>356248</v>
      </c>
      <c r="AH2062" s="7">
        <f t="shared" si="406"/>
        <v>253827</v>
      </c>
      <c r="AI2062" s="7">
        <f t="shared" si="406"/>
        <v>253827</v>
      </c>
      <c r="AJ2062" s="7">
        <f t="shared" si="406"/>
        <v>253827</v>
      </c>
      <c r="AK2062" s="7">
        <f t="shared" si="406"/>
        <v>253827</v>
      </c>
      <c r="AL2062" s="60">
        <f>SUM(AL2061)</f>
        <v>450000</v>
      </c>
      <c r="AM2062" s="60">
        <f>SUM(AM2061)</f>
        <v>450000</v>
      </c>
      <c r="AN2062" s="1074">
        <f t="shared" ref="AN2062:AO2062" si="407">SUM(AN2061)</f>
        <v>410400</v>
      </c>
      <c r="AO2062" s="1074">
        <f t="shared" si="407"/>
        <v>410400</v>
      </c>
      <c r="AP2062" s="1074">
        <f t="shared" ref="AP2062:AQ2062" si="408">SUM(AP2061)</f>
        <v>136800</v>
      </c>
      <c r="AQ2062" s="1074">
        <f t="shared" si="408"/>
        <v>0</v>
      </c>
      <c r="AR2062" s="1044"/>
      <c r="AS2062" s="1044"/>
    </row>
    <row r="2063" spans="2:45" s="1044" customFormat="1" hidden="1" outlineLevel="1">
      <c r="B2063" s="1045"/>
      <c r="C2063" s="1053" t="s">
        <v>16</v>
      </c>
      <c r="D2063" s="1030"/>
      <c r="E2063" s="1054" t="s">
        <v>2171</v>
      </c>
      <c r="F2063" s="1047"/>
      <c r="G2063" s="1047"/>
      <c r="H2063" s="1047"/>
      <c r="I2063" s="1047"/>
      <c r="J2063" s="1047"/>
      <c r="K2063" s="1047"/>
      <c r="L2063" s="1047"/>
      <c r="M2063" s="1047"/>
      <c r="N2063" s="1047"/>
      <c r="O2063" s="1047"/>
      <c r="P2063" s="1047"/>
      <c r="Q2063" s="1047"/>
      <c r="R2063" s="1047"/>
      <c r="S2063" s="1047"/>
      <c r="T2063" s="1047"/>
      <c r="U2063" s="1047"/>
      <c r="V2063" s="1047"/>
      <c r="W2063" s="1047"/>
      <c r="X2063" s="1047"/>
      <c r="Y2063" s="1047"/>
      <c r="Z2063" s="1047"/>
      <c r="AA2063" s="1047"/>
      <c r="AB2063" s="1070"/>
      <c r="AC2063" s="1070"/>
      <c r="AD2063" s="1070"/>
      <c r="AE2063" s="1070"/>
      <c r="AF2063" s="1070"/>
      <c r="AG2063" s="1070"/>
      <c r="AH2063" s="1070"/>
      <c r="AI2063" s="1070"/>
      <c r="AJ2063" s="1070"/>
      <c r="AK2063" s="1070"/>
      <c r="AL2063" s="1070"/>
      <c r="AM2063" s="1070"/>
      <c r="AN2063" s="1070"/>
      <c r="AO2063" s="1070"/>
      <c r="AP2063" s="1227">
        <v>500000</v>
      </c>
      <c r="AQ2063" s="1227">
        <v>500000</v>
      </c>
    </row>
    <row r="2064" spans="2:45" hidden="1" outlineLevel="1">
      <c r="C2064" s="816" t="s">
        <v>16</v>
      </c>
      <c r="D2064" s="9"/>
      <c r="E2064" s="20" t="s">
        <v>676</v>
      </c>
      <c r="F2064" s="20"/>
      <c r="G2064" s="20"/>
      <c r="H2064" s="20"/>
      <c r="I2064" s="20"/>
      <c r="J2064" s="20"/>
      <c r="K2064" s="20"/>
      <c r="L2064" s="20"/>
      <c r="M2064" s="20"/>
      <c r="N2064" s="20"/>
      <c r="O2064" s="20"/>
      <c r="P2064" s="20"/>
      <c r="Q2064" s="20"/>
      <c r="R2064" s="20"/>
      <c r="S2064" s="20"/>
      <c r="T2064" s="20"/>
      <c r="U2064" s="20"/>
      <c r="V2064" s="20"/>
      <c r="W2064" s="20"/>
      <c r="X2064" s="20"/>
      <c r="Y2064" s="20"/>
      <c r="Z2064" s="20"/>
      <c r="AA2064" s="20"/>
      <c r="AB2064" s="12"/>
      <c r="AC2064" s="12"/>
      <c r="AD2064" s="12"/>
      <c r="AE2064" s="12"/>
      <c r="AF2064" s="12"/>
      <c r="AG2064" s="12"/>
      <c r="AH2064" s="12"/>
      <c r="AI2064" s="12"/>
      <c r="AJ2064" s="12">
        <v>500000</v>
      </c>
      <c r="AK2064" s="12">
        <v>500000</v>
      </c>
      <c r="AL2064" s="12">
        <v>500000</v>
      </c>
      <c r="AM2064" s="12">
        <v>500000</v>
      </c>
      <c r="AN2064" s="1070">
        <v>0</v>
      </c>
      <c r="AO2064" s="1070">
        <v>0</v>
      </c>
      <c r="AP2064" s="1070">
        <v>0</v>
      </c>
      <c r="AQ2064" s="1070">
        <v>0</v>
      </c>
      <c r="AR2064" s="1044"/>
      <c r="AS2064" s="1044"/>
    </row>
    <row r="2065" spans="2:45" hidden="1" outlineLevel="1">
      <c r="C2065" s="816" t="s">
        <v>16</v>
      </c>
      <c r="D2065" s="223" t="s">
        <v>1201</v>
      </c>
      <c r="E2065" s="25" t="s">
        <v>677</v>
      </c>
      <c r="F2065" s="6"/>
      <c r="G2065" s="6"/>
      <c r="H2065" s="6"/>
      <c r="I2065" s="6"/>
      <c r="J2065" s="6"/>
      <c r="K2065" s="6"/>
      <c r="L2065" s="6"/>
      <c r="M2065" s="6"/>
      <c r="N2065" s="6"/>
      <c r="O2065" s="6"/>
      <c r="P2065" s="6"/>
      <c r="Q2065" s="6"/>
      <c r="R2065" s="6"/>
      <c r="S2065" s="6"/>
      <c r="T2065" s="6"/>
      <c r="U2065" s="6"/>
      <c r="V2065" s="6"/>
      <c r="W2065" s="6"/>
      <c r="X2065" s="6"/>
      <c r="Y2065" s="6"/>
      <c r="Z2065" s="6"/>
      <c r="AA2065" s="6"/>
      <c r="AB2065" s="7"/>
      <c r="AC2065" s="7"/>
      <c r="AD2065" s="7"/>
      <c r="AE2065" s="7"/>
      <c r="AF2065" s="7"/>
      <c r="AG2065" s="7"/>
      <c r="AH2065" s="7"/>
      <c r="AI2065" s="7"/>
      <c r="AJ2065" s="7">
        <f t="shared" si="406"/>
        <v>500000</v>
      </c>
      <c r="AK2065" s="7">
        <f t="shared" si="406"/>
        <v>500000</v>
      </c>
      <c r="AL2065" s="60">
        <f>SUM(AL2064)</f>
        <v>500000</v>
      </c>
      <c r="AM2065" s="60">
        <f>SUM(AM2063:AM2064)</f>
        <v>500000</v>
      </c>
      <c r="AN2065" s="1074">
        <f t="shared" ref="AN2065:AQ2065" si="409">SUM(AN2063:AN2064)</f>
        <v>0</v>
      </c>
      <c r="AO2065" s="1074">
        <f t="shared" si="409"/>
        <v>0</v>
      </c>
      <c r="AP2065" s="1074">
        <f t="shared" si="409"/>
        <v>500000</v>
      </c>
      <c r="AQ2065" s="1074">
        <f t="shared" si="409"/>
        <v>500000</v>
      </c>
      <c r="AR2065" s="1044"/>
      <c r="AS2065" s="1044"/>
    </row>
    <row r="2066" spans="2:45" hidden="1" outlineLevel="1">
      <c r="C2066" s="816" t="s">
        <v>16</v>
      </c>
      <c r="D2066" s="9"/>
      <c r="E2066" s="20" t="s">
        <v>678</v>
      </c>
      <c r="F2066" s="20"/>
      <c r="G2066" s="20"/>
      <c r="H2066" s="20"/>
      <c r="I2066" s="20"/>
      <c r="J2066" s="20"/>
      <c r="K2066" s="20"/>
      <c r="L2066" s="20"/>
      <c r="M2066" s="20"/>
      <c r="N2066" s="20"/>
      <c r="O2066" s="20"/>
      <c r="P2066" s="20"/>
      <c r="Q2066" s="20"/>
      <c r="R2066" s="20"/>
      <c r="S2066" s="20"/>
      <c r="T2066" s="20"/>
      <c r="U2066" s="20"/>
      <c r="V2066" s="20"/>
      <c r="W2066" s="20"/>
      <c r="X2066" s="20"/>
      <c r="Y2066" s="20"/>
      <c r="Z2066" s="20"/>
      <c r="AA2066" s="20"/>
      <c r="AB2066" s="12">
        <v>1365210</v>
      </c>
      <c r="AC2066" s="12">
        <v>1365210</v>
      </c>
      <c r="AD2066" s="12">
        <v>1501732</v>
      </c>
      <c r="AE2066" s="12">
        <v>1501733</v>
      </c>
      <c r="AF2066" s="12">
        <v>1651904</v>
      </c>
      <c r="AG2066" s="12">
        <v>1651904</v>
      </c>
      <c r="AH2066" s="12">
        <v>1651904</v>
      </c>
      <c r="AI2066" s="12">
        <v>1651904</v>
      </c>
      <c r="AJ2066" s="21">
        <v>1817094</v>
      </c>
      <c r="AK2066" s="21">
        <v>1817095</v>
      </c>
      <c r="AL2066" s="21">
        <v>1817095</v>
      </c>
      <c r="AM2066" s="1224">
        <v>1817094</v>
      </c>
      <c r="AN2066" s="1058">
        <v>1635385</v>
      </c>
      <c r="AO2066" s="1058">
        <v>1635385</v>
      </c>
      <c r="AP2066" s="1058">
        <v>1635385</v>
      </c>
      <c r="AQ2066" s="1058">
        <v>1635385</v>
      </c>
      <c r="AR2066" s="1044"/>
      <c r="AS2066" s="1044"/>
    </row>
    <row r="2067" spans="2:45" hidden="1" outlineLevel="1">
      <c r="C2067" s="816" t="s">
        <v>16</v>
      </c>
      <c r="D2067" s="9"/>
      <c r="E2067" s="20" t="s">
        <v>679</v>
      </c>
      <c r="F2067" s="20"/>
      <c r="G2067" s="20"/>
      <c r="H2067" s="20"/>
      <c r="I2067" s="20"/>
      <c r="J2067" s="20"/>
      <c r="K2067" s="20"/>
      <c r="L2067" s="20"/>
      <c r="M2067" s="20"/>
      <c r="N2067" s="20"/>
      <c r="O2067" s="20"/>
      <c r="P2067" s="20"/>
      <c r="Q2067" s="20"/>
      <c r="R2067" s="20"/>
      <c r="S2067" s="20"/>
      <c r="T2067" s="20"/>
      <c r="U2067" s="20"/>
      <c r="V2067" s="20"/>
      <c r="W2067" s="20"/>
      <c r="X2067" s="20"/>
      <c r="Y2067" s="20"/>
      <c r="Z2067" s="20"/>
      <c r="AA2067" s="20"/>
      <c r="AB2067" s="12">
        <v>0</v>
      </c>
      <c r="AC2067" s="12">
        <v>0</v>
      </c>
      <c r="AD2067" s="12">
        <v>135556</v>
      </c>
      <c r="AE2067" s="12">
        <v>135556</v>
      </c>
      <c r="AF2067" s="12">
        <v>280834</v>
      </c>
      <c r="AG2067" s="12">
        <v>280834</v>
      </c>
      <c r="AH2067" s="12">
        <v>200094</v>
      </c>
      <c r="AI2067" s="12">
        <v>200094</v>
      </c>
      <c r="AJ2067" s="21">
        <v>321204</v>
      </c>
      <c r="AK2067" s="21">
        <v>321204</v>
      </c>
      <c r="AL2067" s="21">
        <v>321204</v>
      </c>
      <c r="AM2067" s="21">
        <v>321204</v>
      </c>
      <c r="AN2067" s="1058">
        <v>292938</v>
      </c>
      <c r="AO2067" s="1058">
        <v>292938</v>
      </c>
      <c r="AP2067" s="1058">
        <v>292938</v>
      </c>
      <c r="AQ2067" s="1058">
        <v>292938</v>
      </c>
      <c r="AR2067" s="1044"/>
      <c r="AS2067" s="1044"/>
    </row>
    <row r="2068" spans="2:45" hidden="1" outlineLevel="1">
      <c r="C2068" s="816" t="s">
        <v>16</v>
      </c>
      <c r="D2068" s="223" t="s">
        <v>1201</v>
      </c>
      <c r="E2068" s="25" t="s">
        <v>680</v>
      </c>
      <c r="F2068" s="6"/>
      <c r="G2068" s="6"/>
      <c r="H2068" s="6"/>
      <c r="I2068" s="6"/>
      <c r="J2068" s="6"/>
      <c r="K2068" s="6"/>
      <c r="L2068" s="6"/>
      <c r="M2068" s="6"/>
      <c r="N2068" s="6"/>
      <c r="O2068" s="6"/>
      <c r="P2068" s="6"/>
      <c r="Q2068" s="6"/>
      <c r="R2068" s="6"/>
      <c r="S2068" s="6"/>
      <c r="T2068" s="6"/>
      <c r="U2068" s="6"/>
      <c r="V2068" s="6"/>
      <c r="W2068" s="6"/>
      <c r="X2068" s="6"/>
      <c r="Y2068" s="6"/>
      <c r="Z2068" s="6"/>
      <c r="AA2068" s="6"/>
      <c r="AB2068" s="7">
        <v>1365210</v>
      </c>
      <c r="AC2068" s="7">
        <v>1365210</v>
      </c>
      <c r="AD2068" s="7">
        <v>1637288</v>
      </c>
      <c r="AE2068" s="7">
        <v>1637289</v>
      </c>
      <c r="AF2068" s="7">
        <f>SUM(AF2066:AF2067)</f>
        <v>1932738</v>
      </c>
      <c r="AG2068" s="7">
        <f t="shared" ref="AG2068:AK2068" si="410">SUM(AG2066:AG2067)</f>
        <v>1932738</v>
      </c>
      <c r="AH2068" s="7">
        <f t="shared" si="410"/>
        <v>1851998</v>
      </c>
      <c r="AI2068" s="7">
        <f t="shared" si="410"/>
        <v>1851998</v>
      </c>
      <c r="AJ2068" s="7">
        <f t="shared" si="410"/>
        <v>2138298</v>
      </c>
      <c r="AK2068" s="7">
        <f t="shared" si="410"/>
        <v>2138299</v>
      </c>
      <c r="AL2068" s="60">
        <f>SUM(AL2066:AL2067)</f>
        <v>2138299</v>
      </c>
      <c r="AM2068" s="60">
        <f>SUM(AM2066:AM2067)</f>
        <v>2138298</v>
      </c>
      <c r="AN2068" s="1074">
        <f t="shared" ref="AN2068:AO2068" si="411">SUM(AN2066:AN2067)</f>
        <v>1928323</v>
      </c>
      <c r="AO2068" s="1074">
        <f t="shared" si="411"/>
        <v>1928323</v>
      </c>
      <c r="AP2068" s="1074">
        <f t="shared" ref="AP2068:AQ2068" si="412">SUM(AP2066:AP2067)</f>
        <v>1928323</v>
      </c>
      <c r="AQ2068" s="1074">
        <f t="shared" si="412"/>
        <v>1928323</v>
      </c>
      <c r="AR2068" s="1044"/>
      <c r="AS2068" s="1044"/>
    </row>
    <row r="2069" spans="2:45" hidden="1" outlineLevel="1">
      <c r="C2069" s="816" t="s">
        <v>16</v>
      </c>
      <c r="D2069" s="9"/>
      <c r="E2069" s="20" t="s">
        <v>681</v>
      </c>
      <c r="F2069" s="20"/>
      <c r="G2069" s="20"/>
      <c r="H2069" s="20"/>
      <c r="I2069" s="20"/>
      <c r="J2069" s="20"/>
      <c r="K2069" s="20"/>
      <c r="L2069" s="20"/>
      <c r="M2069" s="20"/>
      <c r="N2069" s="20"/>
      <c r="O2069" s="20"/>
      <c r="P2069" s="20"/>
      <c r="Q2069" s="20"/>
      <c r="R2069" s="20"/>
      <c r="S2069" s="20"/>
      <c r="T2069" s="20"/>
      <c r="U2069" s="20"/>
      <c r="V2069" s="20"/>
      <c r="W2069" s="20"/>
      <c r="X2069" s="20"/>
      <c r="Y2069" s="20"/>
      <c r="Z2069" s="20"/>
      <c r="AA2069" s="20"/>
      <c r="AB2069" s="12"/>
      <c r="AC2069" s="12"/>
      <c r="AD2069" s="12"/>
      <c r="AE2069" s="12"/>
      <c r="AF2069" s="12"/>
      <c r="AG2069" s="12"/>
      <c r="AH2069" s="12"/>
      <c r="AI2069" s="12"/>
      <c r="AJ2069" s="21">
        <v>50000</v>
      </c>
      <c r="AK2069" s="21">
        <v>50000</v>
      </c>
      <c r="AL2069" s="21">
        <f>200000+150000</f>
        <v>350000</v>
      </c>
      <c r="AM2069" s="21">
        <f>200000+150000</f>
        <v>350000</v>
      </c>
      <c r="AN2069" s="1058">
        <v>319200</v>
      </c>
      <c r="AO2069" s="1058">
        <v>319200</v>
      </c>
      <c r="AP2069" s="1058">
        <v>319200</v>
      </c>
      <c r="AQ2069" s="1058">
        <v>319200</v>
      </c>
      <c r="AR2069" s="1044"/>
      <c r="AS2069" s="1044"/>
    </row>
    <row r="2070" spans="2:45" hidden="1" outlineLevel="1">
      <c r="C2070" s="816" t="s">
        <v>16</v>
      </c>
      <c r="D2070" s="223" t="s">
        <v>1201</v>
      </c>
      <c r="E2070" s="25" t="s">
        <v>682</v>
      </c>
      <c r="F2070" s="6"/>
      <c r="G2070" s="6"/>
      <c r="H2070" s="6"/>
      <c r="I2070" s="6"/>
      <c r="J2070" s="6"/>
      <c r="K2070" s="6"/>
      <c r="L2070" s="6"/>
      <c r="M2070" s="6"/>
      <c r="N2070" s="6"/>
      <c r="O2070" s="6"/>
      <c r="P2070" s="6"/>
      <c r="Q2070" s="6"/>
      <c r="R2070" s="6"/>
      <c r="S2070" s="6"/>
      <c r="T2070" s="6"/>
      <c r="U2070" s="6"/>
      <c r="V2070" s="6"/>
      <c r="W2070" s="6"/>
      <c r="X2070" s="6"/>
      <c r="Y2070" s="6"/>
      <c r="Z2070" s="6"/>
      <c r="AA2070" s="6"/>
      <c r="AB2070" s="7"/>
      <c r="AC2070" s="7"/>
      <c r="AD2070" s="7"/>
      <c r="AE2070" s="7"/>
      <c r="AF2070" s="7">
        <f>SUM(AF2069)</f>
        <v>0</v>
      </c>
      <c r="AG2070" s="7">
        <f t="shared" ref="AG2070:AK2070" si="413">SUM(AG2069)</f>
        <v>0</v>
      </c>
      <c r="AH2070" s="7">
        <f t="shared" si="413"/>
        <v>0</v>
      </c>
      <c r="AI2070" s="7">
        <f t="shared" si="413"/>
        <v>0</v>
      </c>
      <c r="AJ2070" s="7">
        <f t="shared" si="413"/>
        <v>50000</v>
      </c>
      <c r="AK2070" s="7">
        <f t="shared" si="413"/>
        <v>50000</v>
      </c>
      <c r="AL2070" s="60">
        <f>SUM(AL2069)</f>
        <v>350000</v>
      </c>
      <c r="AM2070" s="60">
        <f>SUM(AM2069)</f>
        <v>350000</v>
      </c>
      <c r="AN2070" s="1074">
        <f t="shared" ref="AN2070:AO2070" si="414">SUM(AN2069)</f>
        <v>319200</v>
      </c>
      <c r="AO2070" s="1074">
        <f t="shared" si="414"/>
        <v>319200</v>
      </c>
      <c r="AP2070" s="1074">
        <f t="shared" ref="AP2070:AQ2070" si="415">SUM(AP2069)</f>
        <v>319200</v>
      </c>
      <c r="AQ2070" s="1074">
        <f t="shared" si="415"/>
        <v>319200</v>
      </c>
      <c r="AR2070" s="1044"/>
      <c r="AS2070" s="1044"/>
    </row>
    <row r="2071" spans="2:45" hidden="1" outlineLevel="1">
      <c r="C2071" s="816" t="s">
        <v>16</v>
      </c>
      <c r="D2071" s="9"/>
      <c r="E2071" s="20" t="s">
        <v>683</v>
      </c>
      <c r="F2071" s="20"/>
      <c r="G2071" s="20"/>
      <c r="H2071" s="20"/>
      <c r="I2071" s="20"/>
      <c r="J2071" s="20"/>
      <c r="K2071" s="20"/>
      <c r="L2071" s="20"/>
      <c r="M2071" s="20"/>
      <c r="N2071" s="20"/>
      <c r="O2071" s="20"/>
      <c r="P2071" s="20"/>
      <c r="Q2071" s="20"/>
      <c r="R2071" s="20"/>
      <c r="S2071" s="20"/>
      <c r="T2071" s="20"/>
      <c r="U2071" s="20"/>
      <c r="V2071" s="20"/>
      <c r="W2071" s="20"/>
      <c r="X2071" s="20"/>
      <c r="Y2071" s="20"/>
      <c r="Z2071" s="20"/>
      <c r="AA2071" s="20"/>
      <c r="AB2071" s="12">
        <v>360000</v>
      </c>
      <c r="AC2071" s="12">
        <v>360001</v>
      </c>
      <c r="AD2071" s="12">
        <v>360001</v>
      </c>
      <c r="AE2071" s="12">
        <v>360000</v>
      </c>
      <c r="AF2071" s="12">
        <v>360000</v>
      </c>
      <c r="AG2071" s="12">
        <v>360001</v>
      </c>
      <c r="AH2071" s="12">
        <v>256500</v>
      </c>
      <c r="AI2071" s="12">
        <v>256500</v>
      </c>
      <c r="AJ2071" s="21">
        <v>356500</v>
      </c>
      <c r="AK2071" s="21">
        <v>356500</v>
      </c>
      <c r="AL2071" s="21">
        <v>356500</v>
      </c>
      <c r="AM2071" s="21">
        <v>356500</v>
      </c>
      <c r="AN2071" s="1058">
        <v>325128</v>
      </c>
      <c r="AO2071" s="1058">
        <v>325128</v>
      </c>
      <c r="AP2071" s="1058">
        <v>325128</v>
      </c>
      <c r="AQ2071" s="1058">
        <v>325128</v>
      </c>
      <c r="AR2071" s="1044"/>
      <c r="AS2071" s="1044"/>
    </row>
    <row r="2072" spans="2:45" hidden="1" outlineLevel="1">
      <c r="C2072" s="816" t="s">
        <v>16</v>
      </c>
      <c r="D2072" s="223" t="s">
        <v>1201</v>
      </c>
      <c r="E2072" s="25" t="s">
        <v>684</v>
      </c>
      <c r="F2072" s="6"/>
      <c r="G2072" s="6"/>
      <c r="H2072" s="6"/>
      <c r="I2072" s="6"/>
      <c r="J2072" s="6"/>
      <c r="K2072" s="6"/>
      <c r="L2072" s="6"/>
      <c r="M2072" s="6"/>
      <c r="N2072" s="6"/>
      <c r="O2072" s="6"/>
      <c r="P2072" s="6"/>
      <c r="Q2072" s="6"/>
      <c r="R2072" s="6"/>
      <c r="S2072" s="6"/>
      <c r="T2072" s="6"/>
      <c r="U2072" s="6"/>
      <c r="V2072" s="6"/>
      <c r="W2072" s="6"/>
      <c r="X2072" s="6"/>
      <c r="Y2072" s="6"/>
      <c r="Z2072" s="6"/>
      <c r="AA2072" s="6"/>
      <c r="AB2072" s="7">
        <v>360000</v>
      </c>
      <c r="AC2072" s="7">
        <v>360001</v>
      </c>
      <c r="AD2072" s="7">
        <v>360001</v>
      </c>
      <c r="AE2072" s="7">
        <v>360000</v>
      </c>
      <c r="AF2072" s="7">
        <f t="shared" ref="AF2072:AQ2072" si="416">SUM(AF2071)</f>
        <v>360000</v>
      </c>
      <c r="AG2072" s="7">
        <f t="shared" si="416"/>
        <v>360001</v>
      </c>
      <c r="AH2072" s="7">
        <f t="shared" si="416"/>
        <v>256500</v>
      </c>
      <c r="AI2072" s="7">
        <f t="shared" si="416"/>
        <v>256500</v>
      </c>
      <c r="AJ2072" s="7">
        <f t="shared" si="416"/>
        <v>356500</v>
      </c>
      <c r="AK2072" s="7">
        <f t="shared" si="416"/>
        <v>356500</v>
      </c>
      <c r="AL2072" s="60">
        <f t="shared" si="416"/>
        <v>356500</v>
      </c>
      <c r="AM2072" s="60">
        <f t="shared" si="416"/>
        <v>356500</v>
      </c>
      <c r="AN2072" s="1074">
        <f t="shared" si="416"/>
        <v>325128</v>
      </c>
      <c r="AO2072" s="1074">
        <f t="shared" si="416"/>
        <v>325128</v>
      </c>
      <c r="AP2072" s="1074">
        <f t="shared" si="416"/>
        <v>325128</v>
      </c>
      <c r="AQ2072" s="1074">
        <f t="shared" si="416"/>
        <v>325128</v>
      </c>
      <c r="AR2072" s="1044"/>
      <c r="AS2072" s="1044"/>
    </row>
    <row r="2073" spans="2:45" s="1044" customFormat="1" hidden="1" outlineLevel="1">
      <c r="B2073" s="1045"/>
      <c r="C2073" s="1053" t="s">
        <v>16</v>
      </c>
      <c r="D2073" s="1030"/>
      <c r="E2073" s="1054" t="s">
        <v>1967</v>
      </c>
      <c r="F2073" s="1047"/>
      <c r="G2073" s="1047"/>
      <c r="H2073" s="1047"/>
      <c r="I2073" s="1047"/>
      <c r="J2073" s="1047"/>
      <c r="K2073" s="1047"/>
      <c r="L2073" s="1047"/>
      <c r="M2073" s="1047"/>
      <c r="N2073" s="1047"/>
      <c r="O2073" s="1047"/>
      <c r="P2073" s="1047"/>
      <c r="Q2073" s="1047"/>
      <c r="R2073" s="1047"/>
      <c r="S2073" s="1047"/>
      <c r="T2073" s="1047"/>
      <c r="U2073" s="1047"/>
      <c r="V2073" s="1047"/>
      <c r="W2073" s="1047"/>
      <c r="X2073" s="1047"/>
      <c r="Y2073" s="1047"/>
      <c r="Z2073" s="1047"/>
      <c r="AA2073" s="1047"/>
      <c r="AB2073" s="1070"/>
      <c r="AC2073" s="1070"/>
      <c r="AD2073" s="1070"/>
      <c r="AE2073" s="1070"/>
      <c r="AF2073" s="1070"/>
      <c r="AG2073" s="1070"/>
      <c r="AH2073" s="1070"/>
      <c r="AI2073" s="1070"/>
      <c r="AJ2073" s="1058"/>
      <c r="AK2073" s="1058"/>
      <c r="AL2073" s="1058"/>
      <c r="AM2073" s="1058"/>
      <c r="AN2073" s="1058"/>
      <c r="AO2073" s="1058"/>
      <c r="AP2073" s="1058">
        <v>1250000</v>
      </c>
      <c r="AQ2073" s="1058">
        <v>1250000</v>
      </c>
    </row>
    <row r="2074" spans="2:45" s="1044" customFormat="1" hidden="1" outlineLevel="1">
      <c r="B2074" s="1045"/>
      <c r="C2074" s="1053" t="s">
        <v>16</v>
      </c>
      <c r="D2074" s="1051" t="s">
        <v>1201</v>
      </c>
      <c r="E2074" s="1048" t="s">
        <v>1966</v>
      </c>
      <c r="F2074" s="1038"/>
      <c r="G2074" s="1038"/>
      <c r="H2074" s="1038"/>
      <c r="I2074" s="1038"/>
      <c r="J2074" s="1038"/>
      <c r="K2074" s="1038"/>
      <c r="L2074" s="1038"/>
      <c r="M2074" s="1038"/>
      <c r="N2074" s="1038"/>
      <c r="O2074" s="1038"/>
      <c r="P2074" s="1038"/>
      <c r="Q2074" s="1038"/>
      <c r="R2074" s="1038"/>
      <c r="S2074" s="1038"/>
      <c r="T2074" s="1038"/>
      <c r="U2074" s="1038"/>
      <c r="V2074" s="1038"/>
      <c r="W2074" s="1038"/>
      <c r="X2074" s="1038"/>
      <c r="Y2074" s="1038"/>
      <c r="Z2074" s="1038"/>
      <c r="AA2074" s="1038"/>
      <c r="AB2074" s="1055"/>
      <c r="AC2074" s="1055"/>
      <c r="AD2074" s="1055"/>
      <c r="AE2074" s="1055"/>
      <c r="AF2074" s="1055"/>
      <c r="AG2074" s="1055"/>
      <c r="AH2074" s="1055"/>
      <c r="AI2074" s="1055"/>
      <c r="AJ2074" s="1055"/>
      <c r="AK2074" s="1055"/>
      <c r="AL2074" s="1074"/>
      <c r="AM2074" s="1074"/>
      <c r="AN2074" s="1074"/>
      <c r="AO2074" s="1074"/>
      <c r="AP2074" s="1074">
        <f>SUM(AP2073)</f>
        <v>1250000</v>
      </c>
      <c r="AQ2074" s="1074">
        <f>SUM(AQ2073)</f>
        <v>1250000</v>
      </c>
    </row>
    <row r="2075" spans="2:45" hidden="1" outlineLevel="1">
      <c r="C2075" s="816" t="s">
        <v>16</v>
      </c>
      <c r="D2075" s="9"/>
      <c r="E2075" s="20" t="s">
        <v>685</v>
      </c>
      <c r="F2075" s="20"/>
      <c r="G2075" s="20"/>
      <c r="H2075" s="20"/>
      <c r="I2075" s="20"/>
      <c r="J2075" s="20"/>
      <c r="K2075" s="20"/>
      <c r="L2075" s="20"/>
      <c r="M2075" s="20"/>
      <c r="N2075" s="20"/>
      <c r="O2075" s="20"/>
      <c r="P2075" s="20"/>
      <c r="Q2075" s="20"/>
      <c r="R2075" s="20"/>
      <c r="S2075" s="20"/>
      <c r="T2075" s="20"/>
      <c r="U2075" s="20"/>
      <c r="V2075" s="20"/>
      <c r="W2075" s="20"/>
      <c r="X2075" s="20"/>
      <c r="Y2075" s="20"/>
      <c r="Z2075" s="20"/>
      <c r="AA2075" s="20"/>
      <c r="AB2075" s="12">
        <v>2734649</v>
      </c>
      <c r="AC2075" s="12">
        <v>2734649</v>
      </c>
      <c r="AD2075" s="12">
        <v>3734649</v>
      </c>
      <c r="AE2075" s="12">
        <v>2734649</v>
      </c>
      <c r="AF2075" s="12">
        <v>3100924</v>
      </c>
      <c r="AG2075" s="12">
        <v>3100923</v>
      </c>
      <c r="AH2075" s="12">
        <v>2651292</v>
      </c>
      <c r="AI2075" s="12">
        <v>2651293</v>
      </c>
      <c r="AJ2075" s="21">
        <v>2651293</v>
      </c>
      <c r="AK2075" s="21">
        <v>2651293</v>
      </c>
      <c r="AL2075" s="21">
        <v>2651293</v>
      </c>
      <c r="AM2075" s="21">
        <v>2651293</v>
      </c>
      <c r="AN2075" s="1058">
        <v>3326403</v>
      </c>
      <c r="AO2075" s="1058">
        <v>3326403</v>
      </c>
      <c r="AP2075" s="1058">
        <v>3326403</v>
      </c>
      <c r="AQ2075" s="1058">
        <v>3326403</v>
      </c>
      <c r="AR2075" s="1044"/>
      <c r="AS2075" s="1044"/>
    </row>
    <row r="2076" spans="2:45" hidden="1" outlineLevel="1">
      <c r="C2076" s="816" t="s">
        <v>16</v>
      </c>
      <c r="D2076" s="9"/>
      <c r="E2076" s="224" t="s">
        <v>1934</v>
      </c>
      <c r="F2076" s="20"/>
      <c r="G2076" s="20"/>
      <c r="H2076" s="20"/>
      <c r="I2076" s="20"/>
      <c r="J2076" s="20"/>
      <c r="K2076" s="20"/>
      <c r="L2076" s="20"/>
      <c r="M2076" s="20"/>
      <c r="N2076" s="20"/>
      <c r="O2076" s="20"/>
      <c r="P2076" s="20"/>
      <c r="Q2076" s="20"/>
      <c r="R2076" s="20"/>
      <c r="S2076" s="20"/>
      <c r="T2076" s="20"/>
      <c r="U2076" s="20"/>
      <c r="V2076" s="20"/>
      <c r="W2076" s="20"/>
      <c r="X2076" s="20"/>
      <c r="Y2076" s="20"/>
      <c r="Z2076" s="20"/>
      <c r="AA2076" s="20"/>
      <c r="AB2076" s="12"/>
      <c r="AC2076" s="12"/>
      <c r="AD2076" s="12"/>
      <c r="AE2076" s="12"/>
      <c r="AF2076" s="12"/>
      <c r="AG2076" s="12"/>
      <c r="AH2076" s="12"/>
      <c r="AI2076" s="12"/>
      <c r="AJ2076" s="21"/>
      <c r="AK2076" s="21"/>
      <c r="AL2076" s="21">
        <v>1992158</v>
      </c>
      <c r="AM2076" s="21">
        <v>0</v>
      </c>
      <c r="AN2076" s="1058"/>
      <c r="AO2076" s="1058"/>
      <c r="AP2076" s="1058"/>
      <c r="AQ2076" s="1058"/>
      <c r="AR2076" s="1044"/>
      <c r="AS2076" s="1044"/>
    </row>
    <row r="2077" spans="2:45" hidden="1" outlineLevel="1">
      <c r="C2077" s="816" t="s">
        <v>16</v>
      </c>
      <c r="D2077" s="223" t="s">
        <v>1201</v>
      </c>
      <c r="E2077" s="25" t="s">
        <v>686</v>
      </c>
      <c r="F2077" s="6"/>
      <c r="G2077" s="6"/>
      <c r="H2077" s="6"/>
      <c r="I2077" s="6"/>
      <c r="J2077" s="6"/>
      <c r="K2077" s="6"/>
      <c r="L2077" s="6"/>
      <c r="M2077" s="6"/>
      <c r="N2077" s="6"/>
      <c r="O2077" s="6"/>
      <c r="P2077" s="6"/>
      <c r="Q2077" s="6"/>
      <c r="R2077" s="6"/>
      <c r="S2077" s="6"/>
      <c r="T2077" s="6"/>
      <c r="U2077" s="6"/>
      <c r="V2077" s="6"/>
      <c r="W2077" s="6"/>
      <c r="X2077" s="6"/>
      <c r="Y2077" s="6"/>
      <c r="Z2077" s="6"/>
      <c r="AA2077" s="6"/>
      <c r="AB2077" s="7">
        <v>2734649</v>
      </c>
      <c r="AC2077" s="7">
        <v>2734649</v>
      </c>
      <c r="AD2077" s="7">
        <v>3734649</v>
      </c>
      <c r="AE2077" s="7">
        <v>2734649</v>
      </c>
      <c r="AF2077" s="7">
        <f>SUM(AF2075)</f>
        <v>3100924</v>
      </c>
      <c r="AG2077" s="7">
        <f t="shared" ref="AG2077:AK2077" si="417">SUM(AG2075)</f>
        <v>3100923</v>
      </c>
      <c r="AH2077" s="7">
        <f t="shared" si="417"/>
        <v>2651292</v>
      </c>
      <c r="AI2077" s="7">
        <f t="shared" si="417"/>
        <v>2651293</v>
      </c>
      <c r="AJ2077" s="7">
        <f t="shared" si="417"/>
        <v>2651293</v>
      </c>
      <c r="AK2077" s="7">
        <f t="shared" si="417"/>
        <v>2651293</v>
      </c>
      <c r="AL2077" s="60">
        <f>SUM(AL2075:AL2076)</f>
        <v>4643451</v>
      </c>
      <c r="AM2077" s="60">
        <f>SUM(AM2075:AM2076)</f>
        <v>2651293</v>
      </c>
      <c r="AN2077" s="1074">
        <f t="shared" ref="AN2077:AO2077" si="418">SUM(AN2075:AN2076)</f>
        <v>3326403</v>
      </c>
      <c r="AO2077" s="1074">
        <f t="shared" si="418"/>
        <v>3326403</v>
      </c>
      <c r="AP2077" s="1074">
        <f t="shared" ref="AP2077:AQ2077" si="419">SUM(AP2075:AP2076)</f>
        <v>3326403</v>
      </c>
      <c r="AQ2077" s="1074">
        <f t="shared" si="419"/>
        <v>3326403</v>
      </c>
      <c r="AR2077" s="1044"/>
      <c r="AS2077" s="1044"/>
    </row>
    <row r="2078" spans="2:45" hidden="1" outlineLevel="1">
      <c r="C2078" s="816" t="s">
        <v>16</v>
      </c>
      <c r="D2078" s="9"/>
      <c r="E2078" s="20" t="s">
        <v>687</v>
      </c>
      <c r="F2078" s="20"/>
      <c r="G2078" s="20"/>
      <c r="H2078" s="20"/>
      <c r="I2078" s="20"/>
      <c r="J2078" s="20"/>
      <c r="K2078" s="20"/>
      <c r="L2078" s="20"/>
      <c r="M2078" s="20"/>
      <c r="N2078" s="20"/>
      <c r="O2078" s="20"/>
      <c r="P2078" s="20"/>
      <c r="Q2078" s="20"/>
      <c r="R2078" s="20"/>
      <c r="S2078" s="20"/>
      <c r="T2078" s="20"/>
      <c r="U2078" s="20"/>
      <c r="V2078" s="20"/>
      <c r="W2078" s="20"/>
      <c r="X2078" s="20"/>
      <c r="Y2078" s="20"/>
      <c r="Z2078" s="20"/>
      <c r="AA2078" s="20"/>
      <c r="AB2078" s="12">
        <v>210887</v>
      </c>
      <c r="AC2078" s="12">
        <v>210888</v>
      </c>
      <c r="AD2078" s="12">
        <v>210888</v>
      </c>
      <c r="AE2078" s="12">
        <v>210887</v>
      </c>
      <c r="AF2078" s="12">
        <v>210888</v>
      </c>
      <c r="AG2078" s="12">
        <v>210887</v>
      </c>
      <c r="AH2078" s="12">
        <v>161195</v>
      </c>
      <c r="AI2078" s="12">
        <v>161195</v>
      </c>
      <c r="AJ2078" s="21">
        <v>165570</v>
      </c>
      <c r="AK2078" s="21">
        <v>165570</v>
      </c>
      <c r="AL2078" s="21">
        <v>165570</v>
      </c>
      <c r="AM2078" s="21">
        <v>165570</v>
      </c>
      <c r="AN2078" s="1058">
        <v>148594</v>
      </c>
      <c r="AO2078" s="1058">
        <v>148594</v>
      </c>
      <c r="AP2078" s="1058">
        <v>148594</v>
      </c>
      <c r="AQ2078" s="1058">
        <v>148594</v>
      </c>
      <c r="AR2078" s="1044"/>
      <c r="AS2078" s="1044"/>
    </row>
    <row r="2079" spans="2:45" hidden="1" outlineLevel="1">
      <c r="C2079" s="816" t="s">
        <v>16</v>
      </c>
      <c r="D2079" s="223" t="s">
        <v>1201</v>
      </c>
      <c r="E2079" s="25" t="s">
        <v>688</v>
      </c>
      <c r="F2079" s="6"/>
      <c r="G2079" s="6"/>
      <c r="H2079" s="6"/>
      <c r="I2079" s="6"/>
      <c r="J2079" s="6"/>
      <c r="K2079" s="6"/>
      <c r="L2079" s="6"/>
      <c r="M2079" s="6"/>
      <c r="N2079" s="6"/>
      <c r="O2079" s="6"/>
      <c r="P2079" s="6"/>
      <c r="Q2079" s="6"/>
      <c r="R2079" s="6"/>
      <c r="S2079" s="6"/>
      <c r="T2079" s="6"/>
      <c r="U2079" s="6"/>
      <c r="V2079" s="6"/>
      <c r="W2079" s="6"/>
      <c r="X2079" s="6"/>
      <c r="Y2079" s="6"/>
      <c r="Z2079" s="6"/>
      <c r="AA2079" s="6"/>
      <c r="AB2079" s="7">
        <v>210887</v>
      </c>
      <c r="AC2079" s="7">
        <v>210888</v>
      </c>
      <c r="AD2079" s="7">
        <v>210888</v>
      </c>
      <c r="AE2079" s="7">
        <v>210887</v>
      </c>
      <c r="AF2079" s="7">
        <f>SUM(AF2078)</f>
        <v>210888</v>
      </c>
      <c r="AG2079" s="7">
        <f t="shared" ref="AG2079:AK2079" si="420">SUM(AG2078)</f>
        <v>210887</v>
      </c>
      <c r="AH2079" s="7">
        <f t="shared" si="420"/>
        <v>161195</v>
      </c>
      <c r="AI2079" s="7">
        <f t="shared" si="420"/>
        <v>161195</v>
      </c>
      <c r="AJ2079" s="7">
        <f t="shared" si="420"/>
        <v>165570</v>
      </c>
      <c r="AK2079" s="7">
        <f t="shared" si="420"/>
        <v>165570</v>
      </c>
      <c r="AL2079" s="60">
        <f>SUM(AL2078)</f>
        <v>165570</v>
      </c>
      <c r="AM2079" s="60">
        <f>SUM(AM2078)</f>
        <v>165570</v>
      </c>
      <c r="AN2079" s="1074">
        <f t="shared" ref="AN2079:AO2079" si="421">SUM(AN2078)</f>
        <v>148594</v>
      </c>
      <c r="AO2079" s="1074">
        <f t="shared" si="421"/>
        <v>148594</v>
      </c>
      <c r="AP2079" s="1074">
        <f t="shared" ref="AP2079:AQ2079" si="422">SUM(AP2078)</f>
        <v>148594</v>
      </c>
      <c r="AQ2079" s="1074">
        <f t="shared" si="422"/>
        <v>148594</v>
      </c>
      <c r="AR2079" s="1044"/>
      <c r="AS2079" s="1044"/>
    </row>
    <row r="2080" spans="2:45" hidden="1" outlineLevel="1">
      <c r="C2080" s="816" t="s">
        <v>16</v>
      </c>
      <c r="D2080" s="9"/>
      <c r="E2080" s="20" t="s">
        <v>689</v>
      </c>
      <c r="F2080" s="20"/>
      <c r="G2080" s="20"/>
      <c r="H2080" s="20"/>
      <c r="I2080" s="20"/>
      <c r="J2080" s="20"/>
      <c r="K2080" s="20"/>
      <c r="L2080" s="20"/>
      <c r="M2080" s="20"/>
      <c r="N2080" s="20"/>
      <c r="O2080" s="20"/>
      <c r="P2080" s="20"/>
      <c r="Q2080" s="20"/>
      <c r="R2080" s="20"/>
      <c r="S2080" s="20"/>
      <c r="T2080" s="20"/>
      <c r="U2080" s="20"/>
      <c r="V2080" s="20"/>
      <c r="W2080" s="20"/>
      <c r="X2080" s="20"/>
      <c r="Y2080" s="20"/>
      <c r="Z2080" s="20"/>
      <c r="AA2080" s="20"/>
      <c r="AB2080" s="12">
        <v>498702</v>
      </c>
      <c r="AC2080" s="12">
        <v>498702</v>
      </c>
      <c r="AD2080" s="12">
        <v>498702</v>
      </c>
      <c r="AE2080" s="12">
        <v>498702</v>
      </c>
      <c r="AF2080" s="12">
        <v>498702</v>
      </c>
      <c r="AG2080" s="12">
        <v>498702</v>
      </c>
      <c r="AH2080" s="12">
        <v>355325</v>
      </c>
      <c r="AI2080" s="12">
        <v>355325</v>
      </c>
      <c r="AJ2080" s="21">
        <v>355325</v>
      </c>
      <c r="AK2080" s="21">
        <v>355325</v>
      </c>
      <c r="AL2080" s="21"/>
      <c r="AM2080" s="21"/>
      <c r="AN2080" s="1058"/>
      <c r="AO2080" s="1058"/>
      <c r="AP2080" s="1058"/>
      <c r="AQ2080" s="1058"/>
      <c r="AR2080" s="1044"/>
      <c r="AS2080" s="1044"/>
    </row>
    <row r="2081" spans="2:45" hidden="1" outlineLevel="1">
      <c r="C2081" s="816" t="s">
        <v>16</v>
      </c>
      <c r="D2081" s="9"/>
      <c r="E2081" s="224" t="s">
        <v>1772</v>
      </c>
      <c r="F2081" s="20"/>
      <c r="G2081" s="20"/>
      <c r="H2081" s="20"/>
      <c r="I2081" s="20"/>
      <c r="J2081" s="20"/>
      <c r="K2081" s="20"/>
      <c r="L2081" s="20"/>
      <c r="M2081" s="20"/>
      <c r="N2081" s="20"/>
      <c r="O2081" s="20"/>
      <c r="P2081" s="20"/>
      <c r="Q2081" s="20"/>
      <c r="R2081" s="20"/>
      <c r="S2081" s="20"/>
      <c r="T2081" s="20"/>
      <c r="U2081" s="20"/>
      <c r="V2081" s="20"/>
      <c r="W2081" s="20"/>
      <c r="X2081" s="20"/>
      <c r="Y2081" s="20"/>
      <c r="Z2081" s="20"/>
      <c r="AA2081" s="20"/>
      <c r="AB2081" s="12"/>
      <c r="AC2081" s="12"/>
      <c r="AD2081" s="12"/>
      <c r="AE2081" s="12"/>
      <c r="AF2081" s="12"/>
      <c r="AG2081" s="12"/>
      <c r="AH2081" s="12"/>
      <c r="AI2081" s="12"/>
      <c r="AJ2081" s="21"/>
      <c r="AK2081" s="21"/>
      <c r="AL2081" s="21">
        <v>355325</v>
      </c>
      <c r="AM2081" s="21">
        <v>355325</v>
      </c>
      <c r="AN2081" s="1058">
        <v>324056</v>
      </c>
      <c r="AO2081" s="1058">
        <v>324056</v>
      </c>
      <c r="AP2081" s="1058">
        <v>324057</v>
      </c>
      <c r="AQ2081" s="1058">
        <v>324056</v>
      </c>
      <c r="AR2081" s="1044"/>
      <c r="AS2081" s="1044"/>
    </row>
    <row r="2082" spans="2:45" hidden="1" outlineLevel="1">
      <c r="C2082" s="816" t="s">
        <v>16</v>
      </c>
      <c r="D2082" s="223" t="s">
        <v>1201</v>
      </c>
      <c r="E2082" s="25" t="s">
        <v>690</v>
      </c>
      <c r="F2082" s="6"/>
      <c r="G2082" s="6"/>
      <c r="H2082" s="6"/>
      <c r="I2082" s="6"/>
      <c r="J2082" s="6"/>
      <c r="K2082" s="6"/>
      <c r="L2082" s="6"/>
      <c r="M2082" s="6"/>
      <c r="N2082" s="6"/>
      <c r="O2082" s="6"/>
      <c r="P2082" s="6"/>
      <c r="Q2082" s="6"/>
      <c r="R2082" s="6"/>
      <c r="S2082" s="6"/>
      <c r="T2082" s="6"/>
      <c r="U2082" s="6"/>
      <c r="V2082" s="6"/>
      <c r="W2082" s="6"/>
      <c r="X2082" s="6"/>
      <c r="Y2082" s="6"/>
      <c r="Z2082" s="6"/>
      <c r="AA2082" s="6"/>
      <c r="AB2082" s="7">
        <v>498702</v>
      </c>
      <c r="AC2082" s="7">
        <v>498702</v>
      </c>
      <c r="AD2082" s="7">
        <v>498702</v>
      </c>
      <c r="AE2082" s="7">
        <v>498702</v>
      </c>
      <c r="AF2082" s="7">
        <f>SUM(AF2080)</f>
        <v>498702</v>
      </c>
      <c r="AG2082" s="7">
        <f t="shared" ref="AG2082:AK2082" si="423">SUM(AG2080)</f>
        <v>498702</v>
      </c>
      <c r="AH2082" s="7">
        <f t="shared" si="423"/>
        <v>355325</v>
      </c>
      <c r="AI2082" s="7">
        <f t="shared" si="423"/>
        <v>355325</v>
      </c>
      <c r="AJ2082" s="7">
        <f t="shared" si="423"/>
        <v>355325</v>
      </c>
      <c r="AK2082" s="7">
        <f t="shared" si="423"/>
        <v>355325</v>
      </c>
      <c r="AL2082" s="60">
        <f>SUM(AL2081)</f>
        <v>355325</v>
      </c>
      <c r="AM2082" s="60">
        <f>SUM(AM2081)</f>
        <v>355325</v>
      </c>
      <c r="AN2082" s="1074">
        <f t="shared" ref="AN2082:AO2082" si="424">SUM(AN2081)</f>
        <v>324056</v>
      </c>
      <c r="AO2082" s="1074">
        <f t="shared" si="424"/>
        <v>324056</v>
      </c>
      <c r="AP2082" s="1074">
        <f t="shared" ref="AP2082:AQ2082" si="425">SUM(AP2081)</f>
        <v>324057</v>
      </c>
      <c r="AQ2082" s="1074">
        <f t="shared" si="425"/>
        <v>324056</v>
      </c>
      <c r="AR2082" s="1044"/>
      <c r="AS2082" s="1044"/>
    </row>
    <row r="2083" spans="2:45" hidden="1" outlineLevel="1">
      <c r="C2083" s="816" t="s">
        <v>16</v>
      </c>
      <c r="D2083" s="244"/>
      <c r="E2083" s="20" t="s">
        <v>691</v>
      </c>
      <c r="F2083" s="20"/>
      <c r="G2083" s="20"/>
      <c r="H2083" s="20"/>
      <c r="I2083" s="20"/>
      <c r="J2083" s="20"/>
      <c r="K2083" s="20"/>
      <c r="L2083" s="20"/>
      <c r="M2083" s="20"/>
      <c r="N2083" s="20"/>
      <c r="O2083" s="20"/>
      <c r="P2083" s="20"/>
      <c r="Q2083" s="20"/>
      <c r="R2083" s="20"/>
      <c r="S2083" s="20"/>
      <c r="T2083" s="20"/>
      <c r="U2083" s="20"/>
      <c r="V2083" s="20"/>
      <c r="W2083" s="20"/>
      <c r="X2083" s="20"/>
      <c r="Y2083" s="20"/>
      <c r="Z2083" s="20"/>
      <c r="AA2083" s="20"/>
      <c r="AB2083" s="12">
        <v>1190459</v>
      </c>
      <c r="AC2083" s="12">
        <v>1307949</v>
      </c>
      <c r="AD2083" s="12">
        <v>1249204</v>
      </c>
      <c r="AE2083" s="12">
        <v>1249205</v>
      </c>
      <c r="AF2083" s="12">
        <v>1249204</v>
      </c>
      <c r="AG2083" s="12">
        <v>1249204</v>
      </c>
      <c r="AH2083" s="12">
        <v>916841</v>
      </c>
      <c r="AI2083" s="12">
        <v>916841</v>
      </c>
      <c r="AJ2083" s="21">
        <v>916841</v>
      </c>
      <c r="AK2083" s="21">
        <v>916841</v>
      </c>
      <c r="AL2083" s="21">
        <v>916841</v>
      </c>
      <c r="AM2083" s="21">
        <v>916841</v>
      </c>
      <c r="AN2083" s="1058">
        <v>631855</v>
      </c>
      <c r="AO2083" s="1058">
        <v>631855</v>
      </c>
      <c r="AP2083" s="1058">
        <v>631855</v>
      </c>
      <c r="AQ2083" s="1058">
        <v>631855</v>
      </c>
      <c r="AR2083" s="1044"/>
      <c r="AS2083" s="1044"/>
    </row>
    <row r="2084" spans="2:45" hidden="1" outlineLevel="1">
      <c r="C2084" s="816" t="s">
        <v>16</v>
      </c>
      <c r="D2084" s="244" t="s">
        <v>1496</v>
      </c>
      <c r="E2084" s="25" t="s">
        <v>692</v>
      </c>
      <c r="F2084" s="6"/>
      <c r="G2084" s="6"/>
      <c r="H2084" s="6"/>
      <c r="I2084" s="6"/>
      <c r="J2084" s="6"/>
      <c r="K2084" s="6"/>
      <c r="L2084" s="6"/>
      <c r="M2084" s="6"/>
      <c r="N2084" s="6"/>
      <c r="O2084" s="6"/>
      <c r="P2084" s="6"/>
      <c r="Q2084" s="6"/>
      <c r="R2084" s="6"/>
      <c r="S2084" s="6"/>
      <c r="T2084" s="6"/>
      <c r="U2084" s="6"/>
      <c r="V2084" s="6"/>
      <c r="W2084" s="6"/>
      <c r="X2084" s="6"/>
      <c r="Y2084" s="6"/>
      <c r="Z2084" s="6"/>
      <c r="AA2084" s="6"/>
      <c r="AB2084" s="7">
        <v>1190459</v>
      </c>
      <c r="AC2084" s="7">
        <v>1307949</v>
      </c>
      <c r="AD2084" s="7">
        <v>1249204</v>
      </c>
      <c r="AE2084" s="7">
        <v>1249205</v>
      </c>
      <c r="AF2084" s="7">
        <f>SUM(AF2083)</f>
        <v>1249204</v>
      </c>
      <c r="AG2084" s="7">
        <f t="shared" ref="AG2084:AK2084" si="426">SUM(AG2083)</f>
        <v>1249204</v>
      </c>
      <c r="AH2084" s="7">
        <f t="shared" si="426"/>
        <v>916841</v>
      </c>
      <c r="AI2084" s="7">
        <f t="shared" si="426"/>
        <v>916841</v>
      </c>
      <c r="AJ2084" s="7">
        <f t="shared" si="426"/>
        <v>916841</v>
      </c>
      <c r="AK2084" s="7">
        <f t="shared" si="426"/>
        <v>916841</v>
      </c>
      <c r="AL2084" s="60">
        <f>SUM(AL2083)</f>
        <v>916841</v>
      </c>
      <c r="AM2084" s="60">
        <f>SUM(AM2083)</f>
        <v>916841</v>
      </c>
      <c r="AN2084" s="1074">
        <f t="shared" ref="AN2084:AO2084" si="427">SUM(AN2083)</f>
        <v>631855</v>
      </c>
      <c r="AO2084" s="1074">
        <f t="shared" si="427"/>
        <v>631855</v>
      </c>
      <c r="AP2084" s="1074">
        <f t="shared" ref="AP2084:AQ2084" si="428">SUM(AP2083)</f>
        <v>631855</v>
      </c>
      <c r="AQ2084" s="1074">
        <f t="shared" si="428"/>
        <v>631855</v>
      </c>
      <c r="AR2084" s="1044"/>
      <c r="AS2084" s="1044"/>
    </row>
    <row r="2085" spans="2:45" hidden="1" outlineLevel="1">
      <c r="C2085" s="816" t="s">
        <v>16</v>
      </c>
      <c r="D2085" s="244"/>
      <c r="E2085" s="20" t="s">
        <v>693</v>
      </c>
      <c r="F2085" s="20"/>
      <c r="G2085" s="20"/>
      <c r="H2085" s="20"/>
      <c r="I2085" s="20"/>
      <c r="J2085" s="20"/>
      <c r="K2085" s="20"/>
      <c r="L2085" s="20"/>
      <c r="M2085" s="20"/>
      <c r="N2085" s="20"/>
      <c r="O2085" s="20"/>
      <c r="P2085" s="20"/>
      <c r="Q2085" s="20"/>
      <c r="R2085" s="20"/>
      <c r="S2085" s="20"/>
      <c r="T2085" s="20"/>
      <c r="U2085" s="20"/>
      <c r="V2085" s="20"/>
      <c r="W2085" s="20"/>
      <c r="X2085" s="20"/>
      <c r="Y2085" s="20"/>
      <c r="Z2085" s="20"/>
      <c r="AA2085" s="20"/>
      <c r="AB2085" s="12">
        <v>1437056</v>
      </c>
      <c r="AC2085" s="12">
        <v>1582588</v>
      </c>
      <c r="AD2085" s="12">
        <v>1509822</v>
      </c>
      <c r="AE2085" s="12">
        <v>1509823</v>
      </c>
      <c r="AF2085" s="12">
        <v>1509822</v>
      </c>
      <c r="AG2085" s="12">
        <v>1509823</v>
      </c>
      <c r="AH2085" s="12">
        <v>1099931</v>
      </c>
      <c r="AI2085" s="12">
        <v>1099931</v>
      </c>
      <c r="AJ2085" s="12">
        <v>1099931</v>
      </c>
      <c r="AK2085" s="12">
        <v>1099931</v>
      </c>
      <c r="AL2085" s="12">
        <v>1099931</v>
      </c>
      <c r="AM2085" s="12">
        <v>1099931</v>
      </c>
      <c r="AN2085" s="1070">
        <v>770446</v>
      </c>
      <c r="AO2085" s="1070">
        <v>770445</v>
      </c>
      <c r="AP2085" s="1070">
        <v>773986</v>
      </c>
      <c r="AQ2085" s="1070">
        <v>773984</v>
      </c>
      <c r="AR2085" s="1044"/>
      <c r="AS2085" s="1044"/>
    </row>
    <row r="2086" spans="2:45" hidden="1" outlineLevel="1">
      <c r="C2086" s="816" t="s">
        <v>16</v>
      </c>
      <c r="D2086" s="244" t="s">
        <v>1496</v>
      </c>
      <c r="E2086" s="25" t="s">
        <v>694</v>
      </c>
      <c r="F2086" s="6"/>
      <c r="G2086" s="6"/>
      <c r="H2086" s="6"/>
      <c r="I2086" s="6"/>
      <c r="J2086" s="6"/>
      <c r="K2086" s="6"/>
      <c r="L2086" s="6"/>
      <c r="M2086" s="6"/>
      <c r="N2086" s="6"/>
      <c r="O2086" s="6"/>
      <c r="P2086" s="6"/>
      <c r="Q2086" s="6"/>
      <c r="R2086" s="6"/>
      <c r="S2086" s="6"/>
      <c r="T2086" s="6"/>
      <c r="U2086" s="6"/>
      <c r="V2086" s="6"/>
      <c r="W2086" s="6"/>
      <c r="X2086" s="6"/>
      <c r="Y2086" s="6"/>
      <c r="Z2086" s="6"/>
      <c r="AA2086" s="6"/>
      <c r="AB2086" s="7">
        <v>1437056</v>
      </c>
      <c r="AC2086" s="7">
        <v>1582588</v>
      </c>
      <c r="AD2086" s="7">
        <v>1509822</v>
      </c>
      <c r="AE2086" s="7">
        <v>1509823</v>
      </c>
      <c r="AF2086" s="7">
        <f>SUM(AF2085)</f>
        <v>1509822</v>
      </c>
      <c r="AG2086" s="7">
        <f t="shared" ref="AG2086:AK2086" si="429">SUM(AG2085)</f>
        <v>1509823</v>
      </c>
      <c r="AH2086" s="7">
        <f t="shared" si="429"/>
        <v>1099931</v>
      </c>
      <c r="AI2086" s="7">
        <f t="shared" si="429"/>
        <v>1099931</v>
      </c>
      <c r="AJ2086" s="7">
        <f t="shared" si="429"/>
        <v>1099931</v>
      </c>
      <c r="AK2086" s="7">
        <f t="shared" si="429"/>
        <v>1099931</v>
      </c>
      <c r="AL2086" s="60">
        <f>SUM(AL2085)</f>
        <v>1099931</v>
      </c>
      <c r="AM2086" s="60">
        <f>SUM(AM2085)</f>
        <v>1099931</v>
      </c>
      <c r="AN2086" s="1074">
        <f t="shared" ref="AN2086:AO2086" si="430">SUM(AN2085)</f>
        <v>770446</v>
      </c>
      <c r="AO2086" s="1074">
        <f t="shared" si="430"/>
        <v>770445</v>
      </c>
      <c r="AP2086" s="1074">
        <f t="shared" ref="AP2086:AQ2086" si="431">SUM(AP2085)</f>
        <v>773986</v>
      </c>
      <c r="AQ2086" s="1074">
        <f t="shared" si="431"/>
        <v>773984</v>
      </c>
      <c r="AR2086" s="1044"/>
      <c r="AS2086" s="1044"/>
    </row>
    <row r="2087" spans="2:45" hidden="1" outlineLevel="1">
      <c r="C2087" s="816" t="s">
        <v>16</v>
      </c>
      <c r="D2087" s="244"/>
      <c r="E2087" s="20" t="s">
        <v>695</v>
      </c>
      <c r="F2087" s="20"/>
      <c r="G2087" s="20"/>
      <c r="H2087" s="20"/>
      <c r="I2087" s="20"/>
      <c r="J2087" s="20"/>
      <c r="K2087" s="20"/>
      <c r="L2087" s="20"/>
      <c r="M2087" s="20"/>
      <c r="N2087" s="20"/>
      <c r="O2087" s="20"/>
      <c r="P2087" s="20"/>
      <c r="Q2087" s="20"/>
      <c r="R2087" s="20"/>
      <c r="S2087" s="20"/>
      <c r="T2087" s="20"/>
      <c r="U2087" s="20"/>
      <c r="V2087" s="20"/>
      <c r="W2087" s="20"/>
      <c r="X2087" s="20"/>
      <c r="Y2087" s="20"/>
      <c r="Z2087" s="20"/>
      <c r="AA2087" s="20"/>
      <c r="AB2087" s="12">
        <v>1095543</v>
      </c>
      <c r="AC2087" s="12">
        <v>1093375</v>
      </c>
      <c r="AD2087" s="12">
        <v>1094459</v>
      </c>
      <c r="AE2087" s="12">
        <v>1094459</v>
      </c>
      <c r="AF2087" s="12">
        <v>1094459</v>
      </c>
      <c r="AG2087" s="12">
        <v>1094459</v>
      </c>
      <c r="AH2087" s="12">
        <v>783008</v>
      </c>
      <c r="AI2087" s="12">
        <v>783008</v>
      </c>
      <c r="AJ2087" s="12">
        <v>783008</v>
      </c>
      <c r="AK2087" s="12">
        <v>783008</v>
      </c>
      <c r="AL2087" s="12">
        <v>783008</v>
      </c>
      <c r="AM2087" s="12">
        <v>783008</v>
      </c>
      <c r="AN2087" s="1070">
        <v>547975</v>
      </c>
      <c r="AO2087" s="1070">
        <v>547974</v>
      </c>
      <c r="AP2087" s="1070">
        <v>547975</v>
      </c>
      <c r="AQ2087" s="1070">
        <v>547974</v>
      </c>
      <c r="AR2087" s="1044"/>
      <c r="AS2087" s="1044"/>
    </row>
    <row r="2088" spans="2:45" hidden="1" outlineLevel="1">
      <c r="C2088" s="816" t="s">
        <v>16</v>
      </c>
      <c r="D2088" s="244" t="s">
        <v>1496</v>
      </c>
      <c r="E2088" s="25" t="s">
        <v>696</v>
      </c>
      <c r="F2088" s="6"/>
      <c r="G2088" s="6"/>
      <c r="H2088" s="6"/>
      <c r="I2088" s="6"/>
      <c r="J2088" s="6"/>
      <c r="K2088" s="6"/>
      <c r="L2088" s="6"/>
      <c r="M2088" s="6"/>
      <c r="N2088" s="6"/>
      <c r="O2088" s="6"/>
      <c r="P2088" s="6"/>
      <c r="Q2088" s="6"/>
      <c r="R2088" s="6"/>
      <c r="S2088" s="6"/>
      <c r="T2088" s="6"/>
      <c r="U2088" s="6"/>
      <c r="V2088" s="6"/>
      <c r="W2088" s="6"/>
      <c r="X2088" s="6"/>
      <c r="Y2088" s="6"/>
      <c r="Z2088" s="6"/>
      <c r="AA2088" s="6"/>
      <c r="AB2088" s="7">
        <v>1095543</v>
      </c>
      <c r="AC2088" s="7">
        <v>1093375</v>
      </c>
      <c r="AD2088" s="7">
        <v>1094459</v>
      </c>
      <c r="AE2088" s="7">
        <v>1094459</v>
      </c>
      <c r="AF2088" s="7">
        <f>SUM(AF2087)</f>
        <v>1094459</v>
      </c>
      <c r="AG2088" s="7">
        <f t="shared" ref="AG2088:AK2088" si="432">SUM(AG2087)</f>
        <v>1094459</v>
      </c>
      <c r="AH2088" s="7">
        <f t="shared" si="432"/>
        <v>783008</v>
      </c>
      <c r="AI2088" s="7">
        <f t="shared" si="432"/>
        <v>783008</v>
      </c>
      <c r="AJ2088" s="7">
        <f t="shared" si="432"/>
        <v>783008</v>
      </c>
      <c r="AK2088" s="7">
        <f t="shared" si="432"/>
        <v>783008</v>
      </c>
      <c r="AL2088" s="60">
        <f>SUM(AL2087)</f>
        <v>783008</v>
      </c>
      <c r="AM2088" s="60">
        <f>SUM(AM2087)</f>
        <v>783008</v>
      </c>
      <c r="AN2088" s="1074">
        <f t="shared" ref="AN2088:AO2088" si="433">SUM(AN2087)</f>
        <v>547975</v>
      </c>
      <c r="AO2088" s="1074">
        <f t="shared" si="433"/>
        <v>547974</v>
      </c>
      <c r="AP2088" s="1074">
        <f t="shared" ref="AP2088:AQ2088" si="434">SUM(AP2087)</f>
        <v>547975</v>
      </c>
      <c r="AQ2088" s="1074">
        <f t="shared" si="434"/>
        <v>547974</v>
      </c>
      <c r="AR2088" s="1044"/>
      <c r="AS2088" s="1044"/>
    </row>
    <row r="2089" spans="2:45" hidden="1" outlineLevel="1">
      <c r="C2089" s="816" t="s">
        <v>16</v>
      </c>
      <c r="D2089" s="244"/>
      <c r="E2089" s="20" t="s">
        <v>697</v>
      </c>
      <c r="F2089" s="20"/>
      <c r="G2089" s="20"/>
      <c r="H2089" s="20"/>
      <c r="I2089" s="20"/>
      <c r="J2089" s="20"/>
      <c r="K2089" s="20"/>
      <c r="L2089" s="20"/>
      <c r="M2089" s="20"/>
      <c r="N2089" s="20"/>
      <c r="O2089" s="20"/>
      <c r="P2089" s="20"/>
      <c r="Q2089" s="20"/>
      <c r="R2089" s="20"/>
      <c r="S2089" s="20"/>
      <c r="T2089" s="20"/>
      <c r="U2089" s="20"/>
      <c r="V2089" s="20"/>
      <c r="W2089" s="20"/>
      <c r="X2089" s="20"/>
      <c r="Y2089" s="20"/>
      <c r="Z2089" s="20"/>
      <c r="AA2089" s="20"/>
      <c r="AB2089" s="12">
        <v>1508875</v>
      </c>
      <c r="AC2089" s="12">
        <v>1244205</v>
      </c>
      <c r="AD2089" s="12">
        <v>1508875</v>
      </c>
      <c r="AE2089" s="12">
        <v>1244205</v>
      </c>
      <c r="AF2089" s="12">
        <v>1376540</v>
      </c>
      <c r="AG2089" s="12">
        <v>1376540</v>
      </c>
      <c r="AH2089" s="12">
        <v>987225</v>
      </c>
      <c r="AI2089" s="12">
        <v>987225</v>
      </c>
      <c r="AJ2089" s="12">
        <v>987225</v>
      </c>
      <c r="AK2089" s="12">
        <v>987225</v>
      </c>
      <c r="AL2089" s="12">
        <v>987225</v>
      </c>
      <c r="AM2089" s="12">
        <v>987225</v>
      </c>
      <c r="AN2089" s="1070">
        <v>689724</v>
      </c>
      <c r="AO2089" s="1070">
        <v>689724</v>
      </c>
      <c r="AP2089" s="1070">
        <v>689724</v>
      </c>
      <c r="AQ2089" s="1070">
        <v>689724</v>
      </c>
      <c r="AR2089" s="1044"/>
      <c r="AS2089" s="1044"/>
    </row>
    <row r="2090" spans="2:45" hidden="1" outlineLevel="1">
      <c r="C2090" s="816" t="s">
        <v>16</v>
      </c>
      <c r="D2090" s="244"/>
      <c r="E2090" s="20" t="s">
        <v>698</v>
      </c>
      <c r="F2090" s="20"/>
      <c r="G2090" s="20"/>
      <c r="H2090" s="20"/>
      <c r="I2090" s="20"/>
      <c r="J2090" s="20"/>
      <c r="K2090" s="20"/>
      <c r="L2090" s="20"/>
      <c r="M2090" s="20"/>
      <c r="N2090" s="20"/>
      <c r="O2090" s="20"/>
      <c r="P2090" s="20"/>
      <c r="Q2090" s="20"/>
      <c r="R2090" s="20"/>
      <c r="S2090" s="20"/>
      <c r="T2090" s="20"/>
      <c r="U2090" s="20"/>
      <c r="V2090" s="20"/>
      <c r="W2090" s="20"/>
      <c r="X2090" s="20"/>
      <c r="Y2090" s="20"/>
      <c r="Z2090" s="20"/>
      <c r="AA2090" s="20"/>
      <c r="AB2090" s="12"/>
      <c r="AC2090" s="12"/>
      <c r="AD2090" s="12"/>
      <c r="AE2090" s="12"/>
      <c r="AF2090" s="12">
        <v>0</v>
      </c>
      <c r="AG2090" s="12">
        <v>0</v>
      </c>
      <c r="AH2090" s="12">
        <v>2000000</v>
      </c>
      <c r="AI2090" s="12">
        <v>0</v>
      </c>
      <c r="AJ2090" s="22"/>
      <c r="AK2090" s="22"/>
      <c r="AL2090" s="22"/>
      <c r="AM2090" s="22"/>
      <c r="AN2090" s="1059"/>
      <c r="AO2090" s="1059"/>
      <c r="AP2090" s="1059"/>
      <c r="AQ2090" s="1059"/>
      <c r="AR2090" s="1044"/>
      <c r="AS2090" s="1044"/>
    </row>
    <row r="2091" spans="2:45" hidden="1" outlineLevel="1">
      <c r="C2091" s="816" t="s">
        <v>16</v>
      </c>
      <c r="D2091" s="244" t="s">
        <v>1496</v>
      </c>
      <c r="E2091" s="25" t="s">
        <v>699</v>
      </c>
      <c r="F2091" s="6"/>
      <c r="G2091" s="6"/>
      <c r="H2091" s="6"/>
      <c r="I2091" s="6"/>
      <c r="J2091" s="6"/>
      <c r="K2091" s="6"/>
      <c r="L2091" s="6"/>
      <c r="M2091" s="6"/>
      <c r="N2091" s="6"/>
      <c r="O2091" s="6"/>
      <c r="P2091" s="6"/>
      <c r="Q2091" s="6"/>
      <c r="R2091" s="6"/>
      <c r="S2091" s="6"/>
      <c r="T2091" s="6"/>
      <c r="U2091" s="6"/>
      <c r="V2091" s="6"/>
      <c r="W2091" s="6"/>
      <c r="X2091" s="6"/>
      <c r="Y2091" s="6"/>
      <c r="Z2091" s="6"/>
      <c r="AA2091" s="6"/>
      <c r="AB2091" s="7">
        <v>1508875</v>
      </c>
      <c r="AC2091" s="7">
        <v>1244205</v>
      </c>
      <c r="AD2091" s="7">
        <v>1508875</v>
      </c>
      <c r="AE2091" s="7">
        <v>1244205</v>
      </c>
      <c r="AF2091" s="7">
        <f t="shared" ref="AF2091:AK2091" si="435">SUM(AF2089:AF2090)</f>
        <v>1376540</v>
      </c>
      <c r="AG2091" s="7">
        <f t="shared" si="435"/>
        <v>1376540</v>
      </c>
      <c r="AH2091" s="7">
        <f t="shared" si="435"/>
        <v>2987225</v>
      </c>
      <c r="AI2091" s="7">
        <f t="shared" si="435"/>
        <v>987225</v>
      </c>
      <c r="AJ2091" s="7">
        <f t="shared" si="435"/>
        <v>987225</v>
      </c>
      <c r="AK2091" s="7">
        <f t="shared" si="435"/>
        <v>987225</v>
      </c>
      <c r="AL2091" s="60">
        <f>SUM(AL2089:AL2090)</f>
        <v>987225</v>
      </c>
      <c r="AM2091" s="60">
        <f>SUM(AM2089:AM2090)</f>
        <v>987225</v>
      </c>
      <c r="AN2091" s="1074">
        <f t="shared" ref="AN2091:AO2091" si="436">SUM(AN2089:AN2090)</f>
        <v>689724</v>
      </c>
      <c r="AO2091" s="1074">
        <f t="shared" si="436"/>
        <v>689724</v>
      </c>
      <c r="AP2091" s="1074">
        <f t="shared" ref="AP2091:AQ2091" si="437">SUM(AP2089:AP2090)</f>
        <v>689724</v>
      </c>
      <c r="AQ2091" s="1074">
        <f t="shared" si="437"/>
        <v>689724</v>
      </c>
      <c r="AR2091" s="1044"/>
      <c r="AS2091" s="1044"/>
    </row>
    <row r="2092" spans="2:45" s="1035" customFormat="1" hidden="1" outlineLevel="1">
      <c r="B2092" s="1036"/>
      <c r="C2092" s="1046" t="s">
        <v>16</v>
      </c>
      <c r="D2092" s="1043"/>
      <c r="E2092" s="1042" t="s">
        <v>1883</v>
      </c>
      <c r="F2092" s="1060"/>
      <c r="G2092" s="1060"/>
      <c r="H2092" s="1060"/>
      <c r="I2092" s="1060"/>
      <c r="J2092" s="1060"/>
      <c r="K2092" s="1060"/>
      <c r="L2092" s="1060"/>
      <c r="M2092" s="1060"/>
      <c r="N2092" s="1060"/>
      <c r="O2092" s="1060"/>
      <c r="P2092" s="1060"/>
      <c r="Q2092" s="1060"/>
      <c r="R2092" s="1060"/>
      <c r="S2092" s="1060"/>
      <c r="T2092" s="1060"/>
      <c r="U2092" s="1060"/>
      <c r="V2092" s="1060"/>
      <c r="W2092" s="1060"/>
      <c r="X2092" s="1060"/>
      <c r="Y2092" s="1060"/>
      <c r="Z2092" s="1060"/>
      <c r="AA2092" s="1060"/>
      <c r="AB2092" s="1056"/>
      <c r="AC2092" s="1056"/>
      <c r="AD2092" s="1056"/>
      <c r="AE2092" s="1056"/>
      <c r="AF2092" s="1056"/>
      <c r="AG2092" s="1056"/>
      <c r="AH2092" s="1056"/>
      <c r="AI2092" s="1056"/>
      <c r="AJ2092" s="1056"/>
      <c r="AK2092" s="1056"/>
      <c r="AL2092" s="1057"/>
      <c r="AM2092" s="1057"/>
      <c r="AN2092" s="1071">
        <v>3280709</v>
      </c>
      <c r="AO2092" s="1071">
        <v>3280708</v>
      </c>
      <c r="AP2092" s="1071">
        <v>3280709</v>
      </c>
      <c r="AQ2092" s="1071">
        <v>3280708</v>
      </c>
      <c r="AR2092" s="1044"/>
      <c r="AS2092" s="1044"/>
    </row>
    <row r="2093" spans="2:45" s="1035" customFormat="1" hidden="1" outlineLevel="1">
      <c r="B2093" s="1036"/>
      <c r="C2093" s="1046" t="s">
        <v>16</v>
      </c>
      <c r="D2093" s="1043"/>
      <c r="E2093" s="1054" t="s">
        <v>1968</v>
      </c>
      <c r="F2093" s="1060"/>
      <c r="G2093" s="1060"/>
      <c r="H2093" s="1060"/>
      <c r="I2093" s="1060"/>
      <c r="J2093" s="1060"/>
      <c r="K2093" s="1060"/>
      <c r="L2093" s="1060"/>
      <c r="M2093" s="1060"/>
      <c r="N2093" s="1060"/>
      <c r="O2093" s="1060"/>
      <c r="P2093" s="1060"/>
      <c r="Q2093" s="1060"/>
      <c r="R2093" s="1060"/>
      <c r="S2093" s="1060"/>
      <c r="T2093" s="1060"/>
      <c r="U2093" s="1060"/>
      <c r="V2093" s="1060"/>
      <c r="W2093" s="1060"/>
      <c r="X2093" s="1060"/>
      <c r="Y2093" s="1060"/>
      <c r="Z2093" s="1060"/>
      <c r="AA2093" s="1060"/>
      <c r="AB2093" s="1056"/>
      <c r="AC2093" s="1056"/>
      <c r="AD2093" s="1056"/>
      <c r="AE2093" s="1056"/>
      <c r="AF2093" s="1056"/>
      <c r="AG2093" s="1056"/>
      <c r="AH2093" s="1056"/>
      <c r="AI2093" s="1056"/>
      <c r="AJ2093" s="1056"/>
      <c r="AK2093" s="1056"/>
      <c r="AL2093" s="1057"/>
      <c r="AM2093" s="1057"/>
      <c r="AN2093" s="1072"/>
      <c r="AO2093" s="1072"/>
      <c r="AP2093" s="1071">
        <v>747791</v>
      </c>
      <c r="AQ2093" s="1071">
        <v>747791</v>
      </c>
      <c r="AR2093" s="1044"/>
      <c r="AS2093" s="1044"/>
    </row>
    <row r="2094" spans="2:45" s="1035" customFormat="1" hidden="1" outlineLevel="1">
      <c r="B2094" s="1036"/>
      <c r="C2094" s="1046" t="s">
        <v>16</v>
      </c>
      <c r="D2094" s="1043" t="s">
        <v>1496</v>
      </c>
      <c r="E2094" s="1041" t="s">
        <v>1884</v>
      </c>
      <c r="F2094" s="1038"/>
      <c r="G2094" s="1038"/>
      <c r="H2094" s="1038"/>
      <c r="I2094" s="1038"/>
      <c r="J2094" s="1038"/>
      <c r="K2094" s="1038"/>
      <c r="L2094" s="1038"/>
      <c r="M2094" s="1038"/>
      <c r="N2094" s="1038"/>
      <c r="O2094" s="1038"/>
      <c r="P2094" s="1038"/>
      <c r="Q2094" s="1038"/>
      <c r="R2094" s="1038"/>
      <c r="S2094" s="1038"/>
      <c r="T2094" s="1038"/>
      <c r="U2094" s="1038"/>
      <c r="V2094" s="1038"/>
      <c r="W2094" s="1038"/>
      <c r="X2094" s="1038"/>
      <c r="Y2094" s="1038"/>
      <c r="Z2094" s="1038"/>
      <c r="AA2094" s="1038"/>
      <c r="AB2094" s="1039"/>
      <c r="AC2094" s="1039"/>
      <c r="AD2094" s="1039"/>
      <c r="AE2094" s="1039"/>
      <c r="AF2094" s="1039"/>
      <c r="AG2094" s="1039"/>
      <c r="AH2094" s="1039"/>
      <c r="AI2094" s="1039"/>
      <c r="AJ2094" s="1039"/>
      <c r="AK2094" s="1039"/>
      <c r="AL2094" s="1040"/>
      <c r="AM2094" s="1040"/>
      <c r="AN2094" s="1074">
        <f>SUM(AN2092:AN2093)</f>
        <v>3280709</v>
      </c>
      <c r="AO2094" s="1074">
        <f>SUM(AO2092:AO2093)</f>
        <v>3280708</v>
      </c>
      <c r="AP2094" s="1074">
        <f>SUM(AP2092:AP2093)</f>
        <v>4028500</v>
      </c>
      <c r="AQ2094" s="1074">
        <f>SUM(AQ2092:AQ2093)</f>
        <v>4028499</v>
      </c>
      <c r="AR2094" s="1044"/>
      <c r="AS2094" s="1044"/>
    </row>
    <row r="2095" spans="2:45" s="1035" customFormat="1" hidden="1" outlineLevel="1">
      <c r="B2095" s="1036"/>
      <c r="C2095" s="1046" t="s">
        <v>16</v>
      </c>
      <c r="D2095" s="1043"/>
      <c r="E2095" s="1042" t="s">
        <v>1885</v>
      </c>
      <c r="F2095" s="1060"/>
      <c r="G2095" s="1060"/>
      <c r="H2095" s="1060"/>
      <c r="I2095" s="1060"/>
      <c r="J2095" s="1060"/>
      <c r="K2095" s="1060"/>
      <c r="L2095" s="1060"/>
      <c r="M2095" s="1060"/>
      <c r="N2095" s="1060"/>
      <c r="O2095" s="1060"/>
      <c r="P2095" s="1060"/>
      <c r="Q2095" s="1060"/>
      <c r="R2095" s="1060"/>
      <c r="S2095" s="1060"/>
      <c r="T2095" s="1060"/>
      <c r="U2095" s="1060"/>
      <c r="V2095" s="1060"/>
      <c r="W2095" s="1060"/>
      <c r="X2095" s="1060"/>
      <c r="Y2095" s="1060"/>
      <c r="Z2095" s="1060"/>
      <c r="AA2095" s="1060"/>
      <c r="AB2095" s="1056"/>
      <c r="AC2095" s="1056"/>
      <c r="AD2095" s="1056"/>
      <c r="AE2095" s="1056"/>
      <c r="AF2095" s="1056"/>
      <c r="AG2095" s="1056"/>
      <c r="AH2095" s="1056"/>
      <c r="AI2095" s="1056"/>
      <c r="AJ2095" s="1056"/>
      <c r="AK2095" s="1056"/>
      <c r="AL2095" s="1057"/>
      <c r="AM2095" s="1057"/>
      <c r="AN2095" s="1071">
        <v>2093417</v>
      </c>
      <c r="AO2095" s="1071">
        <v>2093417</v>
      </c>
      <c r="AP2095" s="1071">
        <v>2093417</v>
      </c>
      <c r="AQ2095" s="1071">
        <v>2093417</v>
      </c>
      <c r="AR2095" s="1044"/>
      <c r="AS2095" s="1044"/>
    </row>
    <row r="2096" spans="2:45" s="1044" customFormat="1" hidden="1" outlineLevel="1">
      <c r="B2096" s="1045"/>
      <c r="C2096" s="1046" t="s">
        <v>16</v>
      </c>
      <c r="D2096" s="1050"/>
      <c r="E2096" s="1049" t="s">
        <v>1969</v>
      </c>
      <c r="F2096" s="1060"/>
      <c r="G2096" s="1060"/>
      <c r="H2096" s="1060"/>
      <c r="I2096" s="1060"/>
      <c r="J2096" s="1060"/>
      <c r="K2096" s="1060"/>
      <c r="L2096" s="1060"/>
      <c r="M2096" s="1060"/>
      <c r="N2096" s="1060"/>
      <c r="O2096" s="1060"/>
      <c r="P2096" s="1060"/>
      <c r="Q2096" s="1060"/>
      <c r="R2096" s="1060"/>
      <c r="S2096" s="1060"/>
      <c r="T2096" s="1060"/>
      <c r="U2096" s="1060"/>
      <c r="V2096" s="1060"/>
      <c r="W2096" s="1060"/>
      <c r="X2096" s="1060"/>
      <c r="Y2096" s="1060"/>
      <c r="Z2096" s="1060"/>
      <c r="AA2096" s="1060"/>
      <c r="AB2096" s="1056"/>
      <c r="AC2096" s="1056"/>
      <c r="AD2096" s="1056"/>
      <c r="AE2096" s="1056"/>
      <c r="AF2096" s="1056"/>
      <c r="AG2096" s="1056"/>
      <c r="AH2096" s="1056"/>
      <c r="AI2096" s="1056"/>
      <c r="AJ2096" s="1056"/>
      <c r="AK2096" s="1056"/>
      <c r="AL2096" s="1057"/>
      <c r="AM2096" s="1057"/>
      <c r="AN2096" s="1072"/>
      <c r="AO2096" s="1072"/>
      <c r="AP2096" s="1071">
        <v>161617</v>
      </c>
      <c r="AQ2096" s="1071">
        <v>161616</v>
      </c>
    </row>
    <row r="2097" spans="2:45" s="1035" customFormat="1" hidden="1" outlineLevel="1">
      <c r="B2097" s="1036"/>
      <c r="C2097" s="1046" t="s">
        <v>16</v>
      </c>
      <c r="D2097" s="1050" t="s">
        <v>1496</v>
      </c>
      <c r="E2097" s="1048" t="s">
        <v>1886</v>
      </c>
      <c r="F2097" s="1038"/>
      <c r="G2097" s="1038"/>
      <c r="H2097" s="1038"/>
      <c r="I2097" s="1038"/>
      <c r="J2097" s="1038"/>
      <c r="K2097" s="1038"/>
      <c r="L2097" s="1038"/>
      <c r="M2097" s="1038"/>
      <c r="N2097" s="1038"/>
      <c r="O2097" s="1038"/>
      <c r="P2097" s="1038"/>
      <c r="Q2097" s="1038"/>
      <c r="R2097" s="1038"/>
      <c r="S2097" s="1038"/>
      <c r="T2097" s="1038"/>
      <c r="U2097" s="1038"/>
      <c r="V2097" s="1038"/>
      <c r="W2097" s="1038"/>
      <c r="X2097" s="1038"/>
      <c r="Y2097" s="1038"/>
      <c r="Z2097" s="1038"/>
      <c r="AA2097" s="1038"/>
      <c r="AB2097" s="1039"/>
      <c r="AC2097" s="1039"/>
      <c r="AD2097" s="1039"/>
      <c r="AE2097" s="1039"/>
      <c r="AF2097" s="1039"/>
      <c r="AG2097" s="1039"/>
      <c r="AH2097" s="1039"/>
      <c r="AI2097" s="1039"/>
      <c r="AJ2097" s="1039"/>
      <c r="AK2097" s="1039"/>
      <c r="AL2097" s="1040"/>
      <c r="AM2097" s="1040"/>
      <c r="AN2097" s="1074">
        <f>SUM(AN2095:AN2096)</f>
        <v>2093417</v>
      </c>
      <c r="AO2097" s="1074">
        <f>SUM(AO2095:AO2096)</f>
        <v>2093417</v>
      </c>
      <c r="AP2097" s="1074">
        <f>SUM(AP2095:AP2096)</f>
        <v>2255034</v>
      </c>
      <c r="AQ2097" s="1074">
        <f>SUM(AQ2095:AQ2096)</f>
        <v>2255033</v>
      </c>
      <c r="AR2097" s="1044"/>
      <c r="AS2097" s="1044"/>
    </row>
    <row r="2098" spans="2:45" s="173" customFormat="1" hidden="1" outlineLevel="1">
      <c r="B2098" s="566"/>
      <c r="C2098" s="816" t="s">
        <v>16</v>
      </c>
      <c r="D2098" s="244"/>
      <c r="E2098" s="375" t="s">
        <v>1221</v>
      </c>
      <c r="F2098" s="23"/>
      <c r="G2098" s="23"/>
      <c r="H2098" s="23"/>
      <c r="I2098" s="23"/>
      <c r="J2098" s="23"/>
      <c r="K2098" s="23"/>
      <c r="L2098" s="23"/>
      <c r="M2098" s="23"/>
      <c r="N2098" s="23"/>
      <c r="O2098" s="23"/>
      <c r="P2098" s="23"/>
      <c r="Q2098" s="23"/>
      <c r="R2098" s="23"/>
      <c r="S2098" s="23"/>
      <c r="T2098" s="23"/>
      <c r="U2098" s="23"/>
      <c r="V2098" s="23"/>
      <c r="W2098" s="23"/>
      <c r="X2098" s="23"/>
      <c r="Y2098" s="23"/>
      <c r="Z2098" s="23"/>
      <c r="AA2098" s="23"/>
      <c r="AB2098" s="14"/>
      <c r="AC2098" s="14"/>
      <c r="AD2098" s="14"/>
      <c r="AE2098" s="14"/>
      <c r="AF2098" s="14"/>
      <c r="AG2098" s="14"/>
      <c r="AH2098" s="14"/>
      <c r="AI2098" s="14"/>
      <c r="AJ2098" s="14">
        <v>9242527</v>
      </c>
      <c r="AK2098" s="14">
        <v>2343255</v>
      </c>
      <c r="AL2098" s="14">
        <v>4000000</v>
      </c>
      <c r="AM2098" s="14">
        <v>4000000</v>
      </c>
      <c r="AN2098" s="1071">
        <v>666514</v>
      </c>
      <c r="AO2098" s="1071">
        <v>666513</v>
      </c>
      <c r="AP2098" s="1071">
        <v>599862</v>
      </c>
      <c r="AQ2098" s="1071">
        <v>599862</v>
      </c>
      <c r="AR2098" s="1044"/>
      <c r="AS2098" s="1044"/>
    </row>
    <row r="2099" spans="2:45" s="173" customFormat="1" hidden="1" outlineLevel="1">
      <c r="B2099" s="566"/>
      <c r="C2099" s="816" t="s">
        <v>16</v>
      </c>
      <c r="D2099" s="244"/>
      <c r="E2099" s="375" t="s">
        <v>1773</v>
      </c>
      <c r="F2099" s="23"/>
      <c r="G2099" s="23"/>
      <c r="H2099" s="23"/>
      <c r="I2099" s="23"/>
      <c r="J2099" s="23"/>
      <c r="K2099" s="23"/>
      <c r="L2099" s="23"/>
      <c r="M2099" s="23"/>
      <c r="N2099" s="23"/>
      <c r="O2099" s="23"/>
      <c r="P2099" s="23"/>
      <c r="Q2099" s="23"/>
      <c r="R2099" s="23"/>
      <c r="S2099" s="23"/>
      <c r="T2099" s="23"/>
      <c r="U2099" s="23"/>
      <c r="V2099" s="23"/>
      <c r="W2099" s="23"/>
      <c r="X2099" s="23"/>
      <c r="Y2099" s="23"/>
      <c r="Z2099" s="23"/>
      <c r="AA2099" s="23"/>
      <c r="AB2099" s="14"/>
      <c r="AC2099" s="14"/>
      <c r="AD2099" s="14"/>
      <c r="AE2099" s="14"/>
      <c r="AF2099" s="14"/>
      <c r="AG2099" s="14"/>
      <c r="AH2099" s="14"/>
      <c r="AI2099" s="14"/>
      <c r="AJ2099" s="14"/>
      <c r="AK2099" s="14"/>
      <c r="AL2099" s="14">
        <v>4500000</v>
      </c>
      <c r="AM2099" s="14">
        <v>4500000</v>
      </c>
      <c r="AN2099" s="1071"/>
      <c r="AO2099" s="1071"/>
      <c r="AP2099" s="1071"/>
      <c r="AQ2099" s="1071"/>
      <c r="AR2099" s="1044"/>
      <c r="AS2099" s="1044"/>
    </row>
    <row r="2100" spans="2:45" hidden="1" outlineLevel="1">
      <c r="C2100" s="816" t="s">
        <v>16</v>
      </c>
      <c r="D2100" s="244" t="s">
        <v>1496</v>
      </c>
      <c r="E2100" s="25" t="s">
        <v>1220</v>
      </c>
      <c r="F2100" s="6"/>
      <c r="G2100" s="6"/>
      <c r="H2100" s="6"/>
      <c r="I2100" s="6"/>
      <c r="J2100" s="6"/>
      <c r="K2100" s="6"/>
      <c r="L2100" s="6"/>
      <c r="M2100" s="6"/>
      <c r="N2100" s="6"/>
      <c r="O2100" s="6"/>
      <c r="P2100" s="6"/>
      <c r="Q2100" s="6"/>
      <c r="R2100" s="6"/>
      <c r="S2100" s="6"/>
      <c r="T2100" s="6"/>
      <c r="U2100" s="6"/>
      <c r="V2100" s="6"/>
      <c r="W2100" s="6"/>
      <c r="X2100" s="6"/>
      <c r="Y2100" s="6"/>
      <c r="Z2100" s="6"/>
      <c r="AA2100" s="6"/>
      <c r="AB2100" s="7"/>
      <c r="AC2100" s="7"/>
      <c r="AD2100" s="7"/>
      <c r="AE2100" s="7"/>
      <c r="AF2100" s="7"/>
      <c r="AG2100" s="7"/>
      <c r="AH2100" s="7"/>
      <c r="AI2100" s="7"/>
      <c r="AJ2100" s="7">
        <v>9242527</v>
      </c>
      <c r="AK2100" s="7">
        <v>2343255</v>
      </c>
      <c r="AL2100" s="60">
        <f>SUM(AL2098:AL2099)</f>
        <v>8500000</v>
      </c>
      <c r="AM2100" s="60">
        <f>SUM(AM2098:AM2099)</f>
        <v>8500000</v>
      </c>
      <c r="AN2100" s="1074">
        <f t="shared" ref="AN2100:AO2100" si="438">SUM(AN2098:AN2099)</f>
        <v>666514</v>
      </c>
      <c r="AO2100" s="1074">
        <f t="shared" si="438"/>
        <v>666513</v>
      </c>
      <c r="AP2100" s="1074">
        <f t="shared" ref="AP2100:AQ2100" si="439">SUM(AP2098:AP2099)</f>
        <v>599862</v>
      </c>
      <c r="AQ2100" s="1074">
        <f t="shared" si="439"/>
        <v>599862</v>
      </c>
      <c r="AR2100" s="1044"/>
      <c r="AS2100" s="1044"/>
    </row>
    <row r="2101" spans="2:45" hidden="1" outlineLevel="1">
      <c r="B2101"/>
      <c r="C2101" s="816" t="s">
        <v>16</v>
      </c>
      <c r="D2101" s="244"/>
      <c r="E2101" s="20" t="s">
        <v>700</v>
      </c>
      <c r="F2101" s="20"/>
      <c r="G2101" s="20"/>
      <c r="H2101" s="20"/>
      <c r="I2101" s="20"/>
      <c r="J2101" s="20"/>
      <c r="K2101" s="20"/>
      <c r="L2101" s="20"/>
      <c r="M2101" s="20"/>
      <c r="N2101" s="20"/>
      <c r="O2101" s="20"/>
      <c r="P2101" s="20"/>
      <c r="Q2101" s="20"/>
      <c r="R2101" s="20"/>
      <c r="S2101" s="20"/>
      <c r="T2101" s="20"/>
      <c r="U2101" s="20"/>
      <c r="V2101" s="20"/>
      <c r="W2101" s="20"/>
      <c r="X2101" s="20"/>
      <c r="Y2101" s="20"/>
      <c r="Z2101" s="20"/>
      <c r="AA2101" s="20"/>
      <c r="AB2101" s="12">
        <v>54092</v>
      </c>
      <c r="AC2101" s="12">
        <v>54092</v>
      </c>
      <c r="AD2101" s="12">
        <v>54092</v>
      </c>
      <c r="AE2101" s="12">
        <v>54092</v>
      </c>
      <c r="AF2101" s="12">
        <v>54092</v>
      </c>
      <c r="AG2101" s="12">
        <v>54092</v>
      </c>
      <c r="AH2101" s="12">
        <v>40569</v>
      </c>
      <c r="AI2101" s="12">
        <v>40569</v>
      </c>
      <c r="AJ2101" s="12">
        <v>40569</v>
      </c>
      <c r="AK2101" s="12">
        <v>40569</v>
      </c>
      <c r="AL2101" s="12">
        <v>40569</v>
      </c>
      <c r="AM2101" s="12">
        <v>40569</v>
      </c>
      <c r="AN2101" s="1070">
        <v>19271</v>
      </c>
      <c r="AO2101" s="1220">
        <v>19270</v>
      </c>
      <c r="AP2101" s="1070">
        <v>17343</v>
      </c>
      <c r="AQ2101" s="1070">
        <v>17343</v>
      </c>
      <c r="AR2101" s="1044"/>
      <c r="AS2101" s="1044"/>
    </row>
    <row r="2102" spans="2:45" hidden="1" outlineLevel="1">
      <c r="B2102"/>
      <c r="C2102" s="816" t="s">
        <v>16</v>
      </c>
      <c r="D2102" s="9"/>
      <c r="E2102" s="20" t="s">
        <v>701</v>
      </c>
      <c r="F2102" s="20"/>
      <c r="G2102" s="20"/>
      <c r="H2102" s="20"/>
      <c r="I2102" s="20"/>
      <c r="J2102" s="20"/>
      <c r="K2102" s="20"/>
      <c r="L2102" s="20"/>
      <c r="M2102" s="20"/>
      <c r="N2102" s="20"/>
      <c r="O2102" s="20"/>
      <c r="P2102" s="20"/>
      <c r="Q2102" s="20"/>
      <c r="R2102" s="20"/>
      <c r="S2102" s="20"/>
      <c r="T2102" s="20"/>
      <c r="U2102" s="20"/>
      <c r="V2102" s="20"/>
      <c r="W2102" s="20"/>
      <c r="X2102" s="20"/>
      <c r="Y2102" s="20"/>
      <c r="Z2102" s="20"/>
      <c r="AA2102" s="20"/>
      <c r="AB2102" s="12"/>
      <c r="AC2102" s="12"/>
      <c r="AD2102" s="12"/>
      <c r="AE2102" s="12"/>
      <c r="AF2102" s="12"/>
      <c r="AG2102" s="12"/>
      <c r="AH2102" s="12"/>
      <c r="AI2102" s="12"/>
      <c r="AJ2102" s="12">
        <v>500000</v>
      </c>
      <c r="AK2102" s="12">
        <v>500000</v>
      </c>
      <c r="AL2102" s="12">
        <v>500000</v>
      </c>
      <c r="AM2102" s="12">
        <v>500000</v>
      </c>
      <c r="AN2102" s="1070">
        <v>345870</v>
      </c>
      <c r="AO2102" s="1070">
        <v>345869</v>
      </c>
      <c r="AP2102" s="1070">
        <v>345870</v>
      </c>
      <c r="AQ2102" s="1070">
        <v>345869</v>
      </c>
      <c r="AR2102" s="1044"/>
      <c r="AS2102" s="1044"/>
    </row>
    <row r="2103" spans="2:45" hidden="1" outlineLevel="1">
      <c r="B2103"/>
      <c r="C2103" s="816" t="s">
        <v>16</v>
      </c>
      <c r="D2103" s="9"/>
      <c r="E2103" s="20" t="s">
        <v>702</v>
      </c>
      <c r="F2103" s="20"/>
      <c r="G2103" s="20"/>
      <c r="H2103" s="20"/>
      <c r="I2103" s="20"/>
      <c r="J2103" s="20"/>
      <c r="K2103" s="20"/>
      <c r="L2103" s="20"/>
      <c r="M2103" s="20"/>
      <c r="N2103" s="20"/>
      <c r="O2103" s="20"/>
      <c r="P2103" s="20"/>
      <c r="Q2103" s="20"/>
      <c r="R2103" s="20"/>
      <c r="S2103" s="20"/>
      <c r="T2103" s="20"/>
      <c r="U2103" s="20"/>
      <c r="V2103" s="20"/>
      <c r="W2103" s="20"/>
      <c r="X2103" s="20"/>
      <c r="Y2103" s="20"/>
      <c r="Z2103" s="20"/>
      <c r="AA2103" s="20"/>
      <c r="AB2103" s="12">
        <v>980585</v>
      </c>
      <c r="AC2103" s="12">
        <v>1290499</v>
      </c>
      <c r="AD2103" s="12">
        <v>1135542</v>
      </c>
      <c r="AE2103" s="12">
        <v>1135542</v>
      </c>
      <c r="AF2103" s="12">
        <v>1135542</v>
      </c>
      <c r="AG2103" s="12">
        <v>1135542</v>
      </c>
      <c r="AH2103" s="12">
        <v>807045</v>
      </c>
      <c r="AI2103" s="12">
        <v>807046</v>
      </c>
      <c r="AJ2103" s="21">
        <v>1307045</v>
      </c>
      <c r="AK2103" s="21">
        <v>1307045</v>
      </c>
      <c r="AL2103" s="21">
        <v>1307045</v>
      </c>
      <c r="AM2103" s="21">
        <v>1307045</v>
      </c>
      <c r="AN2103" s="1058">
        <v>890625</v>
      </c>
      <c r="AO2103" s="1058">
        <v>890624</v>
      </c>
      <c r="AP2103" s="1058">
        <v>890625</v>
      </c>
      <c r="AQ2103" s="1058">
        <v>890624</v>
      </c>
      <c r="AR2103" s="1044"/>
      <c r="AS2103" s="1044"/>
    </row>
    <row r="2104" spans="2:45" hidden="1" outlineLevel="1">
      <c r="B2104"/>
      <c r="C2104" s="816" t="s">
        <v>16</v>
      </c>
      <c r="D2104" s="9"/>
      <c r="E2104" s="224" t="s">
        <v>1774</v>
      </c>
      <c r="F2104" s="20"/>
      <c r="G2104" s="20"/>
      <c r="H2104" s="20"/>
      <c r="I2104" s="20"/>
      <c r="J2104" s="20"/>
      <c r="K2104" s="20"/>
      <c r="L2104" s="20"/>
      <c r="M2104" s="20"/>
      <c r="N2104" s="20"/>
      <c r="O2104" s="20"/>
      <c r="P2104" s="20"/>
      <c r="Q2104" s="20"/>
      <c r="R2104" s="20"/>
      <c r="S2104" s="20"/>
      <c r="T2104" s="20"/>
      <c r="U2104" s="20"/>
      <c r="V2104" s="20"/>
      <c r="W2104" s="20"/>
      <c r="X2104" s="20"/>
      <c r="Y2104" s="20"/>
      <c r="Z2104" s="20"/>
      <c r="AA2104" s="20"/>
      <c r="AB2104" s="12"/>
      <c r="AC2104" s="12"/>
      <c r="AD2104" s="12"/>
      <c r="AE2104" s="12"/>
      <c r="AF2104" s="12"/>
      <c r="AG2104" s="12"/>
      <c r="AH2104" s="12"/>
      <c r="AI2104" s="12"/>
      <c r="AJ2104" s="21"/>
      <c r="AK2104" s="21"/>
      <c r="AL2104" s="21">
        <v>250000</v>
      </c>
      <c r="AM2104" s="21">
        <v>250000</v>
      </c>
      <c r="AN2104" s="1058">
        <v>172935</v>
      </c>
      <c r="AO2104" s="1058">
        <v>172935</v>
      </c>
      <c r="AP2104" s="1058">
        <v>155642</v>
      </c>
      <c r="AQ2104" s="1058">
        <v>155642</v>
      </c>
      <c r="AR2104" s="1044"/>
      <c r="AS2104" s="1044"/>
    </row>
    <row r="2105" spans="2:45" s="1044" customFormat="1" hidden="1" outlineLevel="1">
      <c r="C2105" s="1053" t="s">
        <v>16</v>
      </c>
      <c r="D2105" s="1030"/>
      <c r="E2105" s="1054" t="s">
        <v>1970</v>
      </c>
      <c r="F2105" s="1047"/>
      <c r="G2105" s="1047"/>
      <c r="H2105" s="1047"/>
      <c r="I2105" s="1047"/>
      <c r="J2105" s="1047"/>
      <c r="K2105" s="1047"/>
      <c r="L2105" s="1047"/>
      <c r="M2105" s="1047"/>
      <c r="N2105" s="1047"/>
      <c r="O2105" s="1047"/>
      <c r="P2105" s="1047"/>
      <c r="Q2105" s="1047"/>
      <c r="R2105" s="1047"/>
      <c r="S2105" s="1047"/>
      <c r="T2105" s="1047"/>
      <c r="U2105" s="1047"/>
      <c r="V2105" s="1047"/>
      <c r="W2105" s="1047"/>
      <c r="X2105" s="1047"/>
      <c r="Y2105" s="1047"/>
      <c r="Z2105" s="1047"/>
      <c r="AA2105" s="1047"/>
      <c r="AB2105" s="1070"/>
      <c r="AC2105" s="1070"/>
      <c r="AD2105" s="1070"/>
      <c r="AE2105" s="1070"/>
      <c r="AF2105" s="1070"/>
      <c r="AG2105" s="1070"/>
      <c r="AH2105" s="1070"/>
      <c r="AI2105" s="1070"/>
      <c r="AJ2105" s="1058"/>
      <c r="AK2105" s="1058"/>
      <c r="AL2105" s="1058"/>
      <c r="AM2105" s="1058"/>
      <c r="AN2105" s="1058"/>
      <c r="AO2105" s="1058"/>
      <c r="AP2105" s="1058">
        <v>550000</v>
      </c>
      <c r="AQ2105" s="1058">
        <v>550000</v>
      </c>
    </row>
    <row r="2106" spans="2:45" hidden="1" outlineLevel="1">
      <c r="B2106"/>
      <c r="C2106" s="816" t="s">
        <v>16</v>
      </c>
      <c r="D2106" s="9"/>
      <c r="E2106" s="20" t="s">
        <v>703</v>
      </c>
      <c r="F2106" s="20"/>
      <c r="G2106" s="20"/>
      <c r="H2106" s="20"/>
      <c r="I2106" s="20"/>
      <c r="J2106" s="20"/>
      <c r="K2106" s="20"/>
      <c r="L2106" s="20"/>
      <c r="M2106" s="20"/>
      <c r="N2106" s="20"/>
      <c r="O2106" s="20"/>
      <c r="P2106" s="20"/>
      <c r="Q2106" s="20"/>
      <c r="R2106" s="20"/>
      <c r="S2106" s="20"/>
      <c r="T2106" s="20"/>
      <c r="U2106" s="20"/>
      <c r="V2106" s="20"/>
      <c r="W2106" s="20"/>
      <c r="X2106" s="20"/>
      <c r="Y2106" s="20"/>
      <c r="Z2106" s="20"/>
      <c r="AA2106" s="20"/>
      <c r="AB2106" s="12"/>
      <c r="AC2106" s="12"/>
      <c r="AD2106" s="12"/>
      <c r="AE2106" s="12"/>
      <c r="AF2106" s="12">
        <v>0</v>
      </c>
      <c r="AG2106" s="12">
        <v>0</v>
      </c>
      <c r="AH2106" s="12">
        <v>5000000</v>
      </c>
      <c r="AI2106" s="12">
        <v>0</v>
      </c>
      <c r="AJ2106" s="22"/>
      <c r="AK2106" s="22"/>
      <c r="AL2106" s="22"/>
      <c r="AM2106" s="22"/>
      <c r="AN2106" s="1059"/>
      <c r="AO2106" s="1059"/>
      <c r="AP2106" s="1059"/>
      <c r="AQ2106" s="1059"/>
      <c r="AR2106" s="1044"/>
      <c r="AS2106" s="1044"/>
    </row>
    <row r="2107" spans="2:45" hidden="1" outlineLevel="1">
      <c r="B2107"/>
      <c r="C2107" s="816" t="s">
        <v>16</v>
      </c>
      <c r="D2107" s="223" t="s">
        <v>1495</v>
      </c>
      <c r="E2107" s="25" t="s">
        <v>704</v>
      </c>
      <c r="F2107" s="6"/>
      <c r="G2107" s="6"/>
      <c r="H2107" s="6"/>
      <c r="I2107" s="6"/>
      <c r="J2107" s="6"/>
      <c r="K2107" s="6"/>
      <c r="L2107" s="6"/>
      <c r="M2107" s="6"/>
      <c r="N2107" s="6"/>
      <c r="O2107" s="6"/>
      <c r="P2107" s="6"/>
      <c r="Q2107" s="6"/>
      <c r="R2107" s="6"/>
      <c r="S2107" s="6"/>
      <c r="T2107" s="6"/>
      <c r="U2107" s="6"/>
      <c r="V2107" s="6"/>
      <c r="W2107" s="6"/>
      <c r="X2107" s="6"/>
      <c r="Y2107" s="6"/>
      <c r="Z2107" s="6"/>
      <c r="AA2107" s="6"/>
      <c r="AB2107" s="7">
        <v>1034677</v>
      </c>
      <c r="AC2107" s="7">
        <v>1344591</v>
      </c>
      <c r="AD2107" s="7">
        <v>1189634</v>
      </c>
      <c r="AE2107" s="7">
        <v>1189634</v>
      </c>
      <c r="AF2107" s="7">
        <f t="shared" ref="AF2107:AQ2107" si="440">SUM(AF2101:AF2106)</f>
        <v>1189634</v>
      </c>
      <c r="AG2107" s="7">
        <f t="shared" si="440"/>
        <v>1189634</v>
      </c>
      <c r="AH2107" s="7">
        <f t="shared" si="440"/>
        <v>5847614</v>
      </c>
      <c r="AI2107" s="7">
        <f t="shared" si="440"/>
        <v>847615</v>
      </c>
      <c r="AJ2107" s="7">
        <f t="shared" si="440"/>
        <v>1847614</v>
      </c>
      <c r="AK2107" s="7">
        <f t="shared" si="440"/>
        <v>1847614</v>
      </c>
      <c r="AL2107" s="60">
        <f t="shared" si="440"/>
        <v>2097614</v>
      </c>
      <c r="AM2107" s="60">
        <f t="shared" si="440"/>
        <v>2097614</v>
      </c>
      <c r="AN2107" s="1074">
        <f t="shared" si="440"/>
        <v>1428701</v>
      </c>
      <c r="AO2107" s="1074">
        <f t="shared" si="440"/>
        <v>1428698</v>
      </c>
      <c r="AP2107" s="1074">
        <f t="shared" si="440"/>
        <v>1959480</v>
      </c>
      <c r="AQ2107" s="1074">
        <f t="shared" si="440"/>
        <v>1959478</v>
      </c>
      <c r="AR2107" s="1044"/>
      <c r="AS2107" s="1044"/>
    </row>
    <row r="2108" spans="2:45" s="1044" customFormat="1" hidden="1" outlineLevel="1">
      <c r="C2108" s="1053" t="s">
        <v>16</v>
      </c>
      <c r="D2108" s="1051"/>
      <c r="E2108" s="1054" t="s">
        <v>1914</v>
      </c>
      <c r="F2108" s="1047"/>
      <c r="G2108" s="1047"/>
      <c r="H2108" s="1047"/>
      <c r="I2108" s="1047"/>
      <c r="J2108" s="1047"/>
      <c r="K2108" s="1047"/>
      <c r="L2108" s="1047"/>
      <c r="M2108" s="1047"/>
      <c r="N2108" s="1047"/>
      <c r="O2108" s="1047"/>
      <c r="P2108" s="1047"/>
      <c r="Q2108" s="1047"/>
      <c r="R2108" s="1047"/>
      <c r="S2108" s="1047"/>
      <c r="T2108" s="1047"/>
      <c r="U2108" s="1047"/>
      <c r="V2108" s="1047"/>
      <c r="W2108" s="1047"/>
      <c r="X2108" s="1047"/>
      <c r="Y2108" s="1047"/>
      <c r="Z2108" s="1047"/>
      <c r="AA2108" s="1047"/>
      <c r="AB2108" s="1047"/>
      <c r="AC2108" s="1047"/>
      <c r="AD2108" s="1047"/>
      <c r="AE2108" s="1047"/>
      <c r="AF2108" s="1047"/>
      <c r="AG2108" s="1047"/>
      <c r="AH2108" s="1047"/>
      <c r="AI2108" s="1047"/>
      <c r="AJ2108" s="1047"/>
      <c r="AK2108" s="1047"/>
      <c r="AL2108" s="1047"/>
      <c r="AM2108" s="1058">
        <v>577000</v>
      </c>
      <c r="AN2108" s="1058">
        <v>363656</v>
      </c>
      <c r="AO2108" s="1058">
        <v>363656</v>
      </c>
      <c r="AP2108" s="1058">
        <v>327290</v>
      </c>
      <c r="AQ2108" s="1058">
        <v>327290</v>
      </c>
    </row>
    <row r="2109" spans="2:45" s="1044" customFormat="1" hidden="1" outlineLevel="1">
      <c r="C2109" s="1053" t="s">
        <v>16</v>
      </c>
      <c r="D2109" s="1050" t="s">
        <v>2178</v>
      </c>
      <c r="E2109" s="1054" t="s">
        <v>1915</v>
      </c>
      <c r="F2109" s="1047"/>
      <c r="G2109" s="1047"/>
      <c r="H2109" s="1047"/>
      <c r="I2109" s="1047"/>
      <c r="J2109" s="1047"/>
      <c r="K2109" s="1047"/>
      <c r="L2109" s="1047"/>
      <c r="M2109" s="1047"/>
      <c r="N2109" s="1047"/>
      <c r="O2109" s="1047"/>
      <c r="P2109" s="1047"/>
      <c r="Q2109" s="1047"/>
      <c r="R2109" s="1047"/>
      <c r="S2109" s="1047"/>
      <c r="T2109" s="1047"/>
      <c r="U2109" s="1047"/>
      <c r="V2109" s="1047"/>
      <c r="W2109" s="1047"/>
      <c r="X2109" s="1047"/>
      <c r="Y2109" s="1047"/>
      <c r="Z2109" s="1047"/>
      <c r="AA2109" s="1047"/>
      <c r="AB2109" s="1047"/>
      <c r="AC2109" s="1047"/>
      <c r="AD2109" s="1047"/>
      <c r="AE2109" s="1047"/>
      <c r="AF2109" s="1047"/>
      <c r="AG2109" s="1047"/>
      <c r="AH2109" s="1047"/>
      <c r="AI2109" s="1047"/>
      <c r="AJ2109" s="1047"/>
      <c r="AK2109" s="1047"/>
      <c r="AL2109" s="1047"/>
      <c r="AM2109" s="1058">
        <v>500000</v>
      </c>
      <c r="AN2109" s="1058">
        <v>310196</v>
      </c>
      <c r="AO2109" s="1058">
        <v>310196</v>
      </c>
      <c r="AP2109" s="1058">
        <v>310196</v>
      </c>
      <c r="AQ2109" s="1058">
        <v>310196</v>
      </c>
    </row>
    <row r="2110" spans="2:45" hidden="1" outlineLevel="1">
      <c r="B2110"/>
      <c r="C2110" s="816" t="s">
        <v>16</v>
      </c>
      <c r="D2110" s="9"/>
      <c r="E2110" s="20" t="s">
        <v>705</v>
      </c>
      <c r="F2110" s="20"/>
      <c r="G2110" s="20"/>
      <c r="H2110" s="20"/>
      <c r="I2110" s="20"/>
      <c r="J2110" s="20"/>
      <c r="K2110" s="20"/>
      <c r="L2110" s="20"/>
      <c r="M2110" s="20"/>
      <c r="N2110" s="20"/>
      <c r="O2110" s="20"/>
      <c r="P2110" s="20"/>
      <c r="Q2110" s="20"/>
      <c r="R2110" s="20"/>
      <c r="S2110" s="20"/>
      <c r="T2110" s="20"/>
      <c r="U2110" s="20"/>
      <c r="V2110" s="20"/>
      <c r="W2110" s="20"/>
      <c r="X2110" s="20"/>
      <c r="Y2110" s="20"/>
      <c r="Z2110" s="20"/>
      <c r="AA2110" s="20"/>
      <c r="AB2110" s="12">
        <v>1529077</v>
      </c>
      <c r="AC2110" s="12">
        <v>1513021</v>
      </c>
      <c r="AD2110" s="12">
        <v>1521049</v>
      </c>
      <c r="AE2110" s="12">
        <v>1521049</v>
      </c>
      <c r="AF2110" s="12">
        <v>1521050</v>
      </c>
      <c r="AG2110" s="12">
        <v>1521050</v>
      </c>
      <c r="AH2110" s="12">
        <v>1083748</v>
      </c>
      <c r="AI2110" s="12">
        <v>1083748</v>
      </c>
      <c r="AJ2110" s="21">
        <v>1583748</v>
      </c>
      <c r="AK2110" s="21">
        <v>1583748</v>
      </c>
      <c r="AL2110" s="21">
        <v>1583748</v>
      </c>
      <c r="AM2110" s="21">
        <v>1583748</v>
      </c>
      <c r="AN2110" s="1058">
        <v>1157445</v>
      </c>
      <c r="AO2110" s="1058">
        <v>1157444</v>
      </c>
      <c r="AP2110" s="1058">
        <v>1594621</v>
      </c>
      <c r="AQ2110" s="1058">
        <v>1594619</v>
      </c>
      <c r="AR2110" s="1044"/>
      <c r="AS2110" s="1044"/>
    </row>
    <row r="2111" spans="2:45" hidden="1" outlineLevel="1">
      <c r="B2111"/>
      <c r="C2111" s="816" t="s">
        <v>16</v>
      </c>
      <c r="D2111" s="223" t="s">
        <v>1495</v>
      </c>
      <c r="E2111" s="25" t="s">
        <v>706</v>
      </c>
      <c r="F2111" s="6"/>
      <c r="G2111" s="6"/>
      <c r="H2111" s="6"/>
      <c r="I2111" s="6"/>
      <c r="J2111" s="6"/>
      <c r="K2111" s="6"/>
      <c r="L2111" s="6"/>
      <c r="M2111" s="6"/>
      <c r="N2111" s="6"/>
      <c r="O2111" s="6"/>
      <c r="P2111" s="6"/>
      <c r="Q2111" s="6"/>
      <c r="R2111" s="6"/>
      <c r="S2111" s="6"/>
      <c r="T2111" s="6"/>
      <c r="U2111" s="6"/>
      <c r="V2111" s="6"/>
      <c r="W2111" s="6"/>
      <c r="X2111" s="6"/>
      <c r="Y2111" s="6"/>
      <c r="Z2111" s="6"/>
      <c r="AA2111" s="6"/>
      <c r="AB2111" s="7">
        <v>1529077</v>
      </c>
      <c r="AC2111" s="7">
        <v>1513021</v>
      </c>
      <c r="AD2111" s="7">
        <v>1521049</v>
      </c>
      <c r="AE2111" s="7">
        <v>1521049</v>
      </c>
      <c r="AF2111" s="7">
        <f>SUM(AF2110)</f>
        <v>1521050</v>
      </c>
      <c r="AG2111" s="7">
        <f t="shared" ref="AG2111:AK2111" si="441">SUM(AG2110)</f>
        <v>1521050</v>
      </c>
      <c r="AH2111" s="7">
        <f t="shared" si="441"/>
        <v>1083748</v>
      </c>
      <c r="AI2111" s="7">
        <f t="shared" si="441"/>
        <v>1083748</v>
      </c>
      <c r="AJ2111" s="7">
        <f t="shared" si="441"/>
        <v>1583748</v>
      </c>
      <c r="AK2111" s="7">
        <f t="shared" si="441"/>
        <v>1583748</v>
      </c>
      <c r="AL2111" s="60">
        <f>SUM(AL2110)</f>
        <v>1583748</v>
      </c>
      <c r="AM2111" s="60">
        <f>SUM(AM2110)</f>
        <v>1583748</v>
      </c>
      <c r="AN2111" s="1074">
        <f>SUM(AN2108:AN2110)</f>
        <v>1831297</v>
      </c>
      <c r="AO2111" s="1074">
        <f>SUM(AO2108:AO2110)</f>
        <v>1831296</v>
      </c>
      <c r="AP2111" s="1074">
        <f>SUM(AP2108:AP2110)</f>
        <v>2232107</v>
      </c>
      <c r="AQ2111" s="1074">
        <f>SUM(AQ2108:AQ2110)</f>
        <v>2232105</v>
      </c>
      <c r="AR2111" s="1044"/>
      <c r="AS2111" s="1044"/>
    </row>
    <row r="2112" spans="2:45" s="173" customFormat="1" hidden="1" outlineLevel="1">
      <c r="C2112" s="816" t="s">
        <v>16</v>
      </c>
      <c r="D2112" s="244"/>
      <c r="E2112" s="224" t="s">
        <v>1775</v>
      </c>
      <c r="F2112" s="23"/>
      <c r="G2112" s="23"/>
      <c r="H2112" s="23"/>
      <c r="I2112" s="23"/>
      <c r="J2112" s="23"/>
      <c r="K2112" s="23"/>
      <c r="L2112" s="23"/>
      <c r="M2112" s="23"/>
      <c r="N2112" s="23"/>
      <c r="O2112" s="23"/>
      <c r="P2112" s="23"/>
      <c r="Q2112" s="23"/>
      <c r="R2112" s="23"/>
      <c r="S2112" s="23"/>
      <c r="T2112" s="23"/>
      <c r="U2112" s="23"/>
      <c r="V2112" s="23"/>
      <c r="W2112" s="23"/>
      <c r="X2112" s="23"/>
      <c r="Y2112" s="23"/>
      <c r="Z2112" s="23"/>
      <c r="AA2112" s="23"/>
      <c r="AB2112" s="14"/>
      <c r="AC2112" s="14"/>
      <c r="AD2112" s="14"/>
      <c r="AE2112" s="14"/>
      <c r="AF2112" s="14"/>
      <c r="AG2112" s="14"/>
      <c r="AH2112" s="14"/>
      <c r="AI2112" s="14"/>
      <c r="AJ2112" s="14"/>
      <c r="AK2112" s="14"/>
      <c r="AL2112" s="21">
        <v>250000</v>
      </c>
      <c r="AM2112" s="21">
        <v>250000</v>
      </c>
      <c r="AN2112" s="1058">
        <v>119166</v>
      </c>
      <c r="AO2112" s="1058">
        <v>119165</v>
      </c>
      <c r="AP2112" s="1058">
        <v>107249</v>
      </c>
      <c r="AQ2112" s="1058">
        <v>107249</v>
      </c>
      <c r="AR2112" s="1044"/>
      <c r="AS2112" s="1044"/>
    </row>
    <row r="2113" spans="2:45" hidden="1" outlineLevel="1">
      <c r="B2113"/>
      <c r="C2113" s="816" t="s">
        <v>16</v>
      </c>
      <c r="D2113" s="9"/>
      <c r="E2113" s="20" t="s">
        <v>707</v>
      </c>
      <c r="F2113" s="20"/>
      <c r="G2113" s="20"/>
      <c r="H2113" s="20"/>
      <c r="I2113" s="20"/>
      <c r="J2113" s="20"/>
      <c r="K2113" s="20"/>
      <c r="L2113" s="20"/>
      <c r="M2113" s="20"/>
      <c r="N2113" s="20"/>
      <c r="O2113" s="20"/>
      <c r="P2113" s="20"/>
      <c r="Q2113" s="20"/>
      <c r="R2113" s="20"/>
      <c r="S2113" s="20"/>
      <c r="T2113" s="20"/>
      <c r="U2113" s="20"/>
      <c r="V2113" s="20"/>
      <c r="W2113" s="20"/>
      <c r="X2113" s="20"/>
      <c r="Y2113" s="20"/>
      <c r="Z2113" s="20"/>
      <c r="AA2113" s="20"/>
      <c r="AB2113" s="12">
        <v>134904</v>
      </c>
      <c r="AC2113" s="12">
        <v>134904</v>
      </c>
      <c r="AD2113" s="12">
        <v>179904</v>
      </c>
      <c r="AE2113" s="12">
        <v>179904</v>
      </c>
      <c r="AF2113" s="12">
        <v>210000</v>
      </c>
      <c r="AG2113" s="12">
        <v>210000</v>
      </c>
      <c r="AH2113" s="12">
        <v>210000</v>
      </c>
      <c r="AI2113" s="12">
        <v>210000</v>
      </c>
      <c r="AJ2113" s="21">
        <v>231000</v>
      </c>
      <c r="AK2113" s="21">
        <v>231000</v>
      </c>
      <c r="AL2113" s="21">
        <v>231000</v>
      </c>
      <c r="AM2113" s="21">
        <v>231000</v>
      </c>
      <c r="AN2113" s="1226">
        <v>151939</v>
      </c>
      <c r="AO2113" s="1058">
        <v>151939</v>
      </c>
      <c r="AP2113" s="1226">
        <v>151939</v>
      </c>
      <c r="AQ2113" s="1058">
        <v>151939</v>
      </c>
      <c r="AR2113" s="1044"/>
      <c r="AS2113" s="1044"/>
    </row>
    <row r="2114" spans="2:45" hidden="1" outlineLevel="1">
      <c r="B2114"/>
      <c r="C2114" s="816" t="s">
        <v>16</v>
      </c>
      <c r="D2114" s="9"/>
      <c r="E2114" s="20" t="s">
        <v>708</v>
      </c>
      <c r="F2114" s="20"/>
      <c r="G2114" s="20"/>
      <c r="H2114" s="20"/>
      <c r="I2114" s="20"/>
      <c r="J2114" s="20"/>
      <c r="K2114" s="20"/>
      <c r="L2114" s="20"/>
      <c r="M2114" s="20"/>
      <c r="N2114" s="20"/>
      <c r="O2114" s="20"/>
      <c r="P2114" s="20"/>
      <c r="Q2114" s="20"/>
      <c r="R2114" s="20"/>
      <c r="S2114" s="20"/>
      <c r="T2114" s="20"/>
      <c r="U2114" s="20"/>
      <c r="V2114" s="20"/>
      <c r="W2114" s="20"/>
      <c r="X2114" s="20"/>
      <c r="Y2114" s="20"/>
      <c r="Z2114" s="20"/>
      <c r="AA2114" s="20"/>
      <c r="AB2114" s="12">
        <v>1118396</v>
      </c>
      <c r="AC2114" s="12">
        <v>1424887</v>
      </c>
      <c r="AD2114" s="12">
        <v>1143836</v>
      </c>
      <c r="AE2114" s="12">
        <v>1399447</v>
      </c>
      <c r="AF2114" s="12">
        <v>1143836</v>
      </c>
      <c r="AG2114" s="12">
        <v>1601748</v>
      </c>
      <c r="AH2114" s="12">
        <v>978114</v>
      </c>
      <c r="AI2114" s="12">
        <v>978115</v>
      </c>
      <c r="AJ2114" s="21">
        <v>1478114</v>
      </c>
      <c r="AK2114" s="21">
        <v>1478115</v>
      </c>
      <c r="AL2114" s="21">
        <v>1478115</v>
      </c>
      <c r="AM2114" s="21">
        <v>1478115</v>
      </c>
      <c r="AN2114" s="1058">
        <v>1080245</v>
      </c>
      <c r="AO2114" s="1058">
        <v>1080244</v>
      </c>
      <c r="AP2114" s="1058">
        <v>1938593</v>
      </c>
      <c r="AQ2114" s="1058">
        <v>1938592</v>
      </c>
      <c r="AR2114" s="1044"/>
      <c r="AS2114" s="1044"/>
    </row>
    <row r="2115" spans="2:45" hidden="1" outlineLevel="1">
      <c r="B2115"/>
      <c r="C2115" s="816" t="s">
        <v>16</v>
      </c>
      <c r="D2115" s="9"/>
      <c r="E2115" s="20" t="s">
        <v>709</v>
      </c>
      <c r="F2115" s="20"/>
      <c r="G2115" s="20"/>
      <c r="H2115" s="20"/>
      <c r="I2115" s="20"/>
      <c r="J2115" s="20"/>
      <c r="K2115" s="20"/>
      <c r="L2115" s="20"/>
      <c r="M2115" s="20"/>
      <c r="N2115" s="20"/>
      <c r="O2115" s="20"/>
      <c r="P2115" s="20"/>
      <c r="Q2115" s="20"/>
      <c r="R2115" s="20"/>
      <c r="S2115" s="20"/>
      <c r="T2115" s="20"/>
      <c r="U2115" s="20"/>
      <c r="V2115" s="20"/>
      <c r="W2115" s="20"/>
      <c r="X2115" s="20"/>
      <c r="Y2115" s="20"/>
      <c r="Z2115" s="20"/>
      <c r="AA2115" s="20"/>
      <c r="AB2115" s="12"/>
      <c r="AC2115" s="12"/>
      <c r="AD2115" s="12"/>
      <c r="AE2115" s="12"/>
      <c r="AF2115" s="12">
        <v>500000</v>
      </c>
      <c r="AG2115" s="12">
        <v>0</v>
      </c>
      <c r="AH2115" s="12">
        <v>0</v>
      </c>
      <c r="AI2115" s="12">
        <v>0</v>
      </c>
      <c r="AJ2115" s="22"/>
      <c r="AK2115" s="22"/>
      <c r="AL2115" s="22"/>
      <c r="AM2115" s="22"/>
      <c r="AN2115" s="1059"/>
      <c r="AO2115" s="1059"/>
      <c r="AP2115" s="1059"/>
      <c r="AQ2115" s="1059"/>
      <c r="AR2115" s="1044"/>
      <c r="AS2115" s="1044"/>
    </row>
    <row r="2116" spans="2:45" s="1044" customFormat="1" hidden="1" outlineLevel="1">
      <c r="C2116" s="1053" t="s">
        <v>16</v>
      </c>
      <c r="D2116" s="1030"/>
      <c r="E2116" s="1054" t="s">
        <v>2170</v>
      </c>
      <c r="F2116" s="1047"/>
      <c r="G2116" s="1047"/>
      <c r="H2116" s="1047"/>
      <c r="I2116" s="1047"/>
      <c r="J2116" s="1047"/>
      <c r="K2116" s="1047"/>
      <c r="L2116" s="1047"/>
      <c r="M2116" s="1047"/>
      <c r="N2116" s="1047"/>
      <c r="O2116" s="1047"/>
      <c r="P2116" s="1047"/>
      <c r="Q2116" s="1047"/>
      <c r="R2116" s="1047"/>
      <c r="S2116" s="1047"/>
      <c r="T2116" s="1047"/>
      <c r="U2116" s="1047"/>
      <c r="V2116" s="1047"/>
      <c r="W2116" s="1047"/>
      <c r="X2116" s="1047"/>
      <c r="Y2116" s="1047"/>
      <c r="Z2116" s="1047"/>
      <c r="AA2116" s="1047"/>
      <c r="AB2116" s="1070"/>
      <c r="AC2116" s="1070"/>
      <c r="AD2116" s="1070"/>
      <c r="AE2116" s="1070"/>
      <c r="AF2116" s="1070"/>
      <c r="AG2116" s="1070"/>
      <c r="AH2116" s="1070"/>
      <c r="AI2116" s="1070"/>
      <c r="AJ2116" s="1058"/>
      <c r="AK2116" s="1058"/>
      <c r="AL2116" s="1222">
        <v>750000</v>
      </c>
      <c r="AM2116" s="1222">
        <v>750000</v>
      </c>
      <c r="AN2116" s="1058"/>
      <c r="AO2116" s="1058"/>
      <c r="AP2116" s="1058"/>
      <c r="AQ2116" s="1058"/>
    </row>
    <row r="2117" spans="2:45" hidden="1" outlineLevel="1">
      <c r="B2117"/>
      <c r="C2117" s="816" t="s">
        <v>16</v>
      </c>
      <c r="D2117" s="223" t="s">
        <v>1495</v>
      </c>
      <c r="E2117" s="25" t="s">
        <v>710</v>
      </c>
      <c r="F2117" s="6"/>
      <c r="G2117" s="6"/>
      <c r="H2117" s="6"/>
      <c r="I2117" s="6"/>
      <c r="J2117" s="6"/>
      <c r="K2117" s="6"/>
      <c r="L2117" s="6"/>
      <c r="M2117" s="6"/>
      <c r="N2117" s="6"/>
      <c r="O2117" s="6"/>
      <c r="P2117" s="6"/>
      <c r="Q2117" s="6"/>
      <c r="R2117" s="6"/>
      <c r="S2117" s="6"/>
      <c r="T2117" s="6"/>
      <c r="U2117" s="6"/>
      <c r="V2117" s="6"/>
      <c r="W2117" s="6"/>
      <c r="X2117" s="6"/>
      <c r="Y2117" s="6"/>
      <c r="Z2117" s="6"/>
      <c r="AA2117" s="6"/>
      <c r="AB2117" s="7">
        <v>1253300</v>
      </c>
      <c r="AC2117" s="7">
        <v>1559791</v>
      </c>
      <c r="AD2117" s="7">
        <v>1323740</v>
      </c>
      <c r="AE2117" s="7">
        <v>1579351</v>
      </c>
      <c r="AF2117" s="7">
        <f t="shared" ref="AF2117:AK2117" si="442">SUM(AF2113:AF2116)</f>
        <v>1853836</v>
      </c>
      <c r="AG2117" s="7">
        <f t="shared" si="442"/>
        <v>1811748</v>
      </c>
      <c r="AH2117" s="7">
        <f t="shared" si="442"/>
        <v>1188114</v>
      </c>
      <c r="AI2117" s="7">
        <f t="shared" si="442"/>
        <v>1188115</v>
      </c>
      <c r="AJ2117" s="7">
        <f t="shared" si="442"/>
        <v>1709114</v>
      </c>
      <c r="AK2117" s="7">
        <f t="shared" si="442"/>
        <v>1709115</v>
      </c>
      <c r="AL2117" s="60">
        <f t="shared" ref="AL2117:AQ2117" si="443">SUM(AL2112:AL2116)</f>
        <v>2709115</v>
      </c>
      <c r="AM2117" s="60">
        <f t="shared" si="443"/>
        <v>2709115</v>
      </c>
      <c r="AN2117" s="1074">
        <f t="shared" si="443"/>
        <v>1351350</v>
      </c>
      <c r="AO2117" s="1074">
        <f t="shared" si="443"/>
        <v>1351348</v>
      </c>
      <c r="AP2117" s="1074">
        <f t="shared" si="443"/>
        <v>2197781</v>
      </c>
      <c r="AQ2117" s="1074">
        <f t="shared" si="443"/>
        <v>2197780</v>
      </c>
      <c r="AR2117" s="1044"/>
      <c r="AS2117" s="1044"/>
    </row>
    <row r="2118" spans="2:45" hidden="1" outlineLevel="1">
      <c r="B2118"/>
      <c r="C2118" s="816"/>
      <c r="D2118" s="5" t="s">
        <v>1200</v>
      </c>
      <c r="E2118" s="5" t="s">
        <v>2208</v>
      </c>
      <c r="F2118" s="20"/>
      <c r="G2118" s="20"/>
      <c r="H2118" s="20"/>
      <c r="I2118" s="20"/>
      <c r="J2118" s="20"/>
      <c r="K2118" s="20"/>
      <c r="L2118" s="20"/>
      <c r="M2118" s="20"/>
      <c r="N2118" s="20"/>
      <c r="O2118" s="20"/>
      <c r="P2118" s="20"/>
      <c r="Q2118" s="20"/>
      <c r="R2118" s="20"/>
      <c r="S2118" s="20"/>
      <c r="T2118" s="20"/>
      <c r="U2118" s="20"/>
      <c r="V2118" s="20"/>
      <c r="W2118" s="20"/>
      <c r="X2118" s="20"/>
      <c r="Y2118" s="20"/>
      <c r="Z2118" s="20"/>
      <c r="AA2118" s="20"/>
      <c r="AB2118" s="34">
        <f t="shared" ref="AB2118:AQ2128" si="444">SUMIF($D$1550:$D$2117,$D2118,AB$1550:AB$2117)</f>
        <v>286242398</v>
      </c>
      <c r="AC2118" s="34">
        <f t="shared" si="444"/>
        <v>280264741</v>
      </c>
      <c r="AD2118" s="34">
        <f t="shared" si="444"/>
        <v>341226254</v>
      </c>
      <c r="AE2118" s="34">
        <f t="shared" si="444"/>
        <v>309798832</v>
      </c>
      <c r="AF2118" s="34">
        <f t="shared" si="444"/>
        <v>324056366</v>
      </c>
      <c r="AG2118" s="34">
        <f t="shared" si="444"/>
        <v>306164760</v>
      </c>
      <c r="AH2118" s="34">
        <f t="shared" si="444"/>
        <v>265636166</v>
      </c>
      <c r="AI2118" s="34">
        <f t="shared" si="444"/>
        <v>247653527</v>
      </c>
      <c r="AJ2118" s="34">
        <f t="shared" si="444"/>
        <v>281925390</v>
      </c>
      <c r="AK2118" s="34">
        <f t="shared" si="444"/>
        <v>272123151</v>
      </c>
      <c r="AL2118" s="34">
        <f t="shared" si="444"/>
        <v>350332344</v>
      </c>
      <c r="AM2118" s="34">
        <f t="shared" si="444"/>
        <v>346384686</v>
      </c>
      <c r="AN2118" s="1073">
        <f t="shared" si="444"/>
        <v>234134360</v>
      </c>
      <c r="AO2118" s="1073">
        <f t="shared" si="444"/>
        <v>236905901</v>
      </c>
      <c r="AP2118" s="1073">
        <f t="shared" si="444"/>
        <v>424788604</v>
      </c>
      <c r="AQ2118" s="1073">
        <f t="shared" si="444"/>
        <v>379818501</v>
      </c>
      <c r="AR2118" s="222"/>
      <c r="AS2118" s="1044"/>
    </row>
    <row r="2119" spans="2:45" hidden="1" outlineLevel="1">
      <c r="B2119"/>
      <c r="C2119" s="816"/>
      <c r="D2119" s="28" t="s">
        <v>1354</v>
      </c>
      <c r="E2119" s="5" t="s">
        <v>1353</v>
      </c>
      <c r="F2119" s="20"/>
      <c r="G2119" s="20"/>
      <c r="H2119" s="20"/>
      <c r="I2119" s="20"/>
      <c r="J2119" s="20"/>
      <c r="K2119" s="20"/>
      <c r="L2119" s="20"/>
      <c r="M2119" s="20"/>
      <c r="N2119" s="20"/>
      <c r="O2119" s="20"/>
      <c r="P2119" s="20"/>
      <c r="Q2119" s="20"/>
      <c r="R2119" s="20"/>
      <c r="S2119" s="20"/>
      <c r="T2119" s="20"/>
      <c r="U2119" s="20"/>
      <c r="V2119" s="20"/>
      <c r="W2119" s="20"/>
      <c r="X2119" s="20"/>
      <c r="Y2119" s="20"/>
      <c r="Z2119" s="20"/>
      <c r="AA2119" s="20"/>
      <c r="AB2119" s="34">
        <f t="shared" si="444"/>
        <v>179253825</v>
      </c>
      <c r="AC2119" s="34">
        <f t="shared" si="444"/>
        <v>178725347</v>
      </c>
      <c r="AD2119" s="34">
        <f t="shared" si="444"/>
        <v>153757021</v>
      </c>
      <c r="AE2119" s="34">
        <f t="shared" si="444"/>
        <v>147058279</v>
      </c>
      <c r="AF2119" s="34">
        <f t="shared" si="444"/>
        <v>151727728</v>
      </c>
      <c r="AG2119" s="34">
        <f t="shared" si="444"/>
        <v>151707728</v>
      </c>
      <c r="AH2119" s="34">
        <f t="shared" si="444"/>
        <v>108425473</v>
      </c>
      <c r="AI2119" s="34">
        <f t="shared" si="444"/>
        <v>108424924</v>
      </c>
      <c r="AJ2119" s="34">
        <f t="shared" si="444"/>
        <v>117928716</v>
      </c>
      <c r="AK2119" s="34">
        <f t="shared" si="444"/>
        <v>117894173</v>
      </c>
      <c r="AL2119" s="34">
        <f t="shared" si="444"/>
        <v>117277241</v>
      </c>
      <c r="AM2119" s="34">
        <f t="shared" si="444"/>
        <v>118276618</v>
      </c>
      <c r="AN2119" s="1073">
        <f t="shared" si="444"/>
        <v>81258442</v>
      </c>
      <c r="AO2119" s="1073">
        <f t="shared" si="444"/>
        <v>81257422</v>
      </c>
      <c r="AP2119" s="1073">
        <f t="shared" si="444"/>
        <v>171717498</v>
      </c>
      <c r="AQ2119" s="1073">
        <f t="shared" si="444"/>
        <v>171717472</v>
      </c>
      <c r="AR2119" s="1241"/>
      <c r="AS2119" s="1044"/>
    </row>
    <row r="2120" spans="2:45" hidden="1" outlineLevel="1">
      <c r="B2120"/>
      <c r="C2120" s="816"/>
      <c r="D2120" s="432" t="s">
        <v>1254</v>
      </c>
      <c r="E2120" s="852" t="s">
        <v>1255</v>
      </c>
      <c r="F2120" s="20"/>
      <c r="G2120" s="20"/>
      <c r="H2120" s="20"/>
      <c r="I2120" s="20"/>
      <c r="J2120" s="20"/>
      <c r="K2120" s="20"/>
      <c r="L2120" s="20"/>
      <c r="M2120" s="20"/>
      <c r="N2120" s="20"/>
      <c r="O2120" s="20"/>
      <c r="P2120" s="20"/>
      <c r="Q2120" s="20"/>
      <c r="R2120" s="20"/>
      <c r="S2120" s="20"/>
      <c r="T2120" s="20"/>
      <c r="U2120" s="20"/>
      <c r="V2120" s="20"/>
      <c r="W2120" s="20"/>
      <c r="X2120" s="20"/>
      <c r="Y2120" s="20"/>
      <c r="Z2120" s="20"/>
      <c r="AA2120" s="20"/>
      <c r="AB2120" s="12">
        <f t="shared" si="444"/>
        <v>26548268</v>
      </c>
      <c r="AC2120" s="12">
        <f t="shared" si="444"/>
        <v>26042038</v>
      </c>
      <c r="AD2120" s="12">
        <f t="shared" si="444"/>
        <v>34631804</v>
      </c>
      <c r="AE2120" s="12">
        <f t="shared" si="444"/>
        <v>28633692</v>
      </c>
      <c r="AF2120" s="12">
        <f t="shared" si="444"/>
        <v>38266518</v>
      </c>
      <c r="AG2120" s="12">
        <f t="shared" si="444"/>
        <v>32287800</v>
      </c>
      <c r="AH2120" s="12">
        <f t="shared" si="444"/>
        <v>38223305</v>
      </c>
      <c r="AI2120" s="12">
        <f t="shared" si="444"/>
        <v>34441508</v>
      </c>
      <c r="AJ2120" s="12">
        <f t="shared" si="444"/>
        <v>37008234</v>
      </c>
      <c r="AK2120" s="12">
        <f t="shared" si="444"/>
        <v>37011838</v>
      </c>
      <c r="AL2120" s="12">
        <f t="shared" si="444"/>
        <v>50289423</v>
      </c>
      <c r="AM2120" s="12">
        <f t="shared" si="444"/>
        <v>47610311</v>
      </c>
      <c r="AN2120" s="1070">
        <f t="shared" si="444"/>
        <v>35982030</v>
      </c>
      <c r="AO2120" s="1070">
        <f t="shared" si="444"/>
        <v>35672005</v>
      </c>
      <c r="AP2120" s="1070">
        <f t="shared" si="444"/>
        <v>46571400</v>
      </c>
      <c r="AQ2120" s="1070">
        <f t="shared" si="444"/>
        <v>46571382</v>
      </c>
      <c r="AR2120" s="222"/>
      <c r="AS2120" s="1044"/>
    </row>
    <row r="2121" spans="2:45" hidden="1" outlineLevel="1">
      <c r="B2121"/>
      <c r="C2121" s="816"/>
      <c r="D2121" s="432" t="s">
        <v>958</v>
      </c>
      <c r="E2121" s="432" t="s">
        <v>2209</v>
      </c>
      <c r="F2121" s="20"/>
      <c r="G2121" s="20"/>
      <c r="H2121" s="20"/>
      <c r="I2121" s="20"/>
      <c r="J2121" s="20"/>
      <c r="K2121" s="20"/>
      <c r="L2121" s="20"/>
      <c r="M2121" s="20"/>
      <c r="N2121" s="20"/>
      <c r="O2121" s="20"/>
      <c r="P2121" s="20"/>
      <c r="Q2121" s="20"/>
      <c r="R2121" s="20"/>
      <c r="S2121" s="20"/>
      <c r="T2121" s="20"/>
      <c r="U2121" s="20"/>
      <c r="V2121" s="20"/>
      <c r="W2121" s="20"/>
      <c r="X2121" s="20"/>
      <c r="Y2121" s="20"/>
      <c r="Z2121" s="20"/>
      <c r="AA2121" s="20"/>
      <c r="AB2121" s="12">
        <f t="shared" si="444"/>
        <v>5750586</v>
      </c>
      <c r="AC2121" s="12">
        <f t="shared" si="444"/>
        <v>4672462</v>
      </c>
      <c r="AD2121" s="12">
        <f t="shared" si="444"/>
        <v>8712593</v>
      </c>
      <c r="AE2121" s="12">
        <f t="shared" si="444"/>
        <v>6634469</v>
      </c>
      <c r="AF2121" s="12">
        <f t="shared" si="444"/>
        <v>11381978</v>
      </c>
      <c r="AG2121" s="12">
        <f t="shared" si="444"/>
        <v>10555546</v>
      </c>
      <c r="AH2121" s="12">
        <f t="shared" si="444"/>
        <v>3397660</v>
      </c>
      <c r="AI2121" s="12">
        <f t="shared" si="444"/>
        <v>3397660</v>
      </c>
      <c r="AJ2121" s="12">
        <f t="shared" si="444"/>
        <v>3508660</v>
      </c>
      <c r="AK2121" s="12">
        <f t="shared" si="444"/>
        <v>3508660</v>
      </c>
      <c r="AL2121" s="12">
        <f t="shared" si="444"/>
        <v>4357373</v>
      </c>
      <c r="AM2121" s="12">
        <f t="shared" si="444"/>
        <v>5104514</v>
      </c>
      <c r="AN2121" s="1070">
        <f t="shared" si="444"/>
        <v>788535</v>
      </c>
      <c r="AO2121" s="1070">
        <f t="shared" si="444"/>
        <v>788534</v>
      </c>
      <c r="AP2121" s="1070">
        <f t="shared" si="444"/>
        <v>884263</v>
      </c>
      <c r="AQ2121" s="1070">
        <f t="shared" si="444"/>
        <v>884262</v>
      </c>
      <c r="AR2121" s="222"/>
      <c r="AS2121" s="1044"/>
    </row>
    <row r="2122" spans="2:45" hidden="1" outlineLevel="1">
      <c r="B2122"/>
      <c r="C2122" s="816"/>
      <c r="D2122" s="5" t="s">
        <v>1219</v>
      </c>
      <c r="E2122" s="5" t="s">
        <v>2210</v>
      </c>
      <c r="F2122" s="20"/>
      <c r="G2122" s="20"/>
      <c r="H2122" s="20"/>
      <c r="I2122" s="20"/>
      <c r="J2122" s="20"/>
      <c r="K2122" s="20"/>
      <c r="L2122" s="20"/>
      <c r="M2122" s="20"/>
      <c r="N2122" s="20"/>
      <c r="O2122" s="20"/>
      <c r="P2122" s="20"/>
      <c r="Q2122" s="20"/>
      <c r="R2122" s="20"/>
      <c r="S2122" s="20"/>
      <c r="T2122" s="20"/>
      <c r="U2122" s="20"/>
      <c r="V2122" s="20"/>
      <c r="W2122" s="20"/>
      <c r="X2122" s="20"/>
      <c r="Y2122" s="20"/>
      <c r="Z2122" s="20"/>
      <c r="AA2122" s="20"/>
      <c r="AB2122" s="34">
        <f t="shared" si="444"/>
        <v>138537769</v>
      </c>
      <c r="AC2122" s="34">
        <f t="shared" si="444"/>
        <v>122469972</v>
      </c>
      <c r="AD2122" s="34">
        <f t="shared" si="444"/>
        <v>222125339</v>
      </c>
      <c r="AE2122" s="34">
        <f t="shared" si="444"/>
        <v>165005930</v>
      </c>
      <c r="AF2122" s="34">
        <f t="shared" si="444"/>
        <v>228402884</v>
      </c>
      <c r="AG2122" s="34">
        <f t="shared" si="444"/>
        <v>198051800</v>
      </c>
      <c r="AH2122" s="34">
        <f t="shared" si="444"/>
        <v>278354721</v>
      </c>
      <c r="AI2122" s="34">
        <f t="shared" si="444"/>
        <v>152412259</v>
      </c>
      <c r="AJ2122" s="34">
        <f t="shared" si="444"/>
        <v>182345886</v>
      </c>
      <c r="AK2122" s="34">
        <f t="shared" si="444"/>
        <v>182345886</v>
      </c>
      <c r="AL2122" s="34">
        <f t="shared" si="444"/>
        <v>198909242</v>
      </c>
      <c r="AM2122" s="34">
        <f t="shared" si="444"/>
        <v>198611242</v>
      </c>
      <c r="AN2122" s="1073">
        <f t="shared" si="444"/>
        <v>198937434</v>
      </c>
      <c r="AO2122" s="1073">
        <f t="shared" si="444"/>
        <v>197662170</v>
      </c>
      <c r="AP2122" s="1073">
        <f t="shared" si="444"/>
        <v>162401164</v>
      </c>
      <c r="AQ2122" s="1073">
        <f t="shared" si="444"/>
        <v>162125900</v>
      </c>
      <c r="AR2122" s="222"/>
      <c r="AS2122" s="1044"/>
    </row>
    <row r="2123" spans="2:45" hidden="1" outlineLevel="1">
      <c r="B2123"/>
      <c r="C2123" s="816"/>
      <c r="D2123" s="5" t="s">
        <v>1612</v>
      </c>
      <c r="E2123" s="5" t="s">
        <v>1611</v>
      </c>
      <c r="F2123" s="20"/>
      <c r="G2123" s="20"/>
      <c r="H2123" s="20"/>
      <c r="I2123" s="20"/>
      <c r="J2123" s="20"/>
      <c r="K2123" s="20"/>
      <c r="L2123" s="20"/>
      <c r="M2123" s="20"/>
      <c r="N2123" s="20"/>
      <c r="O2123" s="20"/>
      <c r="P2123" s="20"/>
      <c r="Q2123" s="20"/>
      <c r="R2123" s="20"/>
      <c r="S2123" s="20"/>
      <c r="T2123" s="20"/>
      <c r="U2123" s="20"/>
      <c r="V2123" s="20"/>
      <c r="W2123" s="20"/>
      <c r="X2123" s="20"/>
      <c r="Y2123" s="20"/>
      <c r="Z2123" s="20"/>
      <c r="AA2123" s="20"/>
      <c r="AB2123" s="34">
        <f t="shared" si="444"/>
        <v>34207750</v>
      </c>
      <c r="AC2123" s="34">
        <f t="shared" si="444"/>
        <v>34060517</v>
      </c>
      <c r="AD2123" s="34">
        <f t="shared" si="444"/>
        <v>29560360</v>
      </c>
      <c r="AE2123" s="34">
        <f t="shared" si="444"/>
        <v>29702565</v>
      </c>
      <c r="AF2123" s="34">
        <f t="shared" si="444"/>
        <v>30831360</v>
      </c>
      <c r="AG2123" s="34">
        <f t="shared" si="444"/>
        <v>30966144</v>
      </c>
      <c r="AH2123" s="34">
        <f t="shared" si="444"/>
        <v>19750787</v>
      </c>
      <c r="AI2123" s="34">
        <f t="shared" si="444"/>
        <v>19774679</v>
      </c>
      <c r="AJ2123" s="34">
        <f t="shared" si="444"/>
        <v>20167204</v>
      </c>
      <c r="AK2123" s="34">
        <f t="shared" si="444"/>
        <v>20167204</v>
      </c>
      <c r="AL2123" s="34">
        <f t="shared" si="444"/>
        <v>20169368</v>
      </c>
      <c r="AM2123" s="34">
        <f t="shared" si="444"/>
        <v>20169368</v>
      </c>
      <c r="AN2123" s="1073">
        <f t="shared" si="444"/>
        <v>19344131</v>
      </c>
      <c r="AO2123" s="1073">
        <f t="shared" si="444"/>
        <v>19344131</v>
      </c>
      <c r="AP2123" s="1073">
        <f t="shared" si="444"/>
        <v>20145843</v>
      </c>
      <c r="AQ2123" s="1073">
        <f t="shared" si="444"/>
        <v>20145843</v>
      </c>
      <c r="AR2123" s="1044"/>
      <c r="AS2123" s="1044"/>
    </row>
    <row r="2124" spans="2:45" hidden="1" outlineLevel="1">
      <c r="B2124"/>
      <c r="C2124" s="816"/>
      <c r="D2124" s="432" t="s">
        <v>1258</v>
      </c>
      <c r="E2124" s="852" t="s">
        <v>1259</v>
      </c>
      <c r="F2124" s="20"/>
      <c r="G2124" s="20"/>
      <c r="H2124" s="20"/>
      <c r="I2124" s="20"/>
      <c r="J2124" s="20"/>
      <c r="K2124" s="20"/>
      <c r="L2124" s="20"/>
      <c r="M2124" s="20"/>
      <c r="N2124" s="20"/>
      <c r="O2124" s="20"/>
      <c r="P2124" s="20"/>
      <c r="Q2124" s="20"/>
      <c r="R2124" s="20"/>
      <c r="S2124" s="20"/>
      <c r="T2124" s="20"/>
      <c r="U2124" s="20"/>
      <c r="V2124" s="20"/>
      <c r="W2124" s="20"/>
      <c r="X2124" s="20"/>
      <c r="Y2124" s="20"/>
      <c r="Z2124" s="20"/>
      <c r="AA2124" s="20"/>
      <c r="AB2124" s="12">
        <f t="shared" si="444"/>
        <v>27049633</v>
      </c>
      <c r="AC2124" s="12">
        <f t="shared" si="444"/>
        <v>27048764</v>
      </c>
      <c r="AD2124" s="12">
        <f t="shared" si="444"/>
        <v>60387501</v>
      </c>
      <c r="AE2124" s="12">
        <f t="shared" si="444"/>
        <v>37518957</v>
      </c>
      <c r="AF2124" s="12">
        <f t="shared" si="444"/>
        <v>64535476</v>
      </c>
      <c r="AG2124" s="12">
        <f t="shared" si="444"/>
        <v>42031794</v>
      </c>
      <c r="AH2124" s="12">
        <f t="shared" si="444"/>
        <v>37958391</v>
      </c>
      <c r="AI2124" s="12">
        <f t="shared" si="444"/>
        <v>35958391</v>
      </c>
      <c r="AJ2124" s="12">
        <f t="shared" si="444"/>
        <v>56346213</v>
      </c>
      <c r="AK2124" s="12">
        <f t="shared" si="444"/>
        <v>56346213</v>
      </c>
      <c r="AL2124" s="12">
        <f t="shared" si="444"/>
        <v>65065959</v>
      </c>
      <c r="AM2124" s="12">
        <f t="shared" si="444"/>
        <v>65065959</v>
      </c>
      <c r="AN2124" s="1070">
        <f t="shared" si="444"/>
        <v>64424224</v>
      </c>
      <c r="AO2124" s="1070">
        <f t="shared" si="444"/>
        <v>63424224</v>
      </c>
      <c r="AP2124" s="1070">
        <f t="shared" si="444"/>
        <v>12484810</v>
      </c>
      <c r="AQ2124" s="1070">
        <f t="shared" si="444"/>
        <v>12484810</v>
      </c>
      <c r="AR2124" s="1044"/>
      <c r="AS2124" s="1044"/>
    </row>
    <row r="2125" spans="2:45" hidden="1" outlineLevel="1">
      <c r="B2125"/>
      <c r="C2125" s="816"/>
      <c r="D2125" s="5" t="s">
        <v>1201</v>
      </c>
      <c r="E2125" s="5" t="s">
        <v>2211</v>
      </c>
      <c r="F2125" s="20"/>
      <c r="G2125" s="20"/>
      <c r="H2125" s="20"/>
      <c r="I2125" s="20"/>
      <c r="J2125" s="20"/>
      <c r="K2125" s="20"/>
      <c r="L2125" s="20"/>
      <c r="M2125" s="20"/>
      <c r="N2125" s="20"/>
      <c r="O2125" s="20"/>
      <c r="P2125" s="20"/>
      <c r="Q2125" s="20"/>
      <c r="R2125" s="20"/>
      <c r="S2125" s="20"/>
      <c r="T2125" s="20"/>
      <c r="U2125" s="20"/>
      <c r="V2125" s="20"/>
      <c r="W2125" s="20"/>
      <c r="X2125" s="20"/>
      <c r="Y2125" s="20"/>
      <c r="Z2125" s="20"/>
      <c r="AA2125" s="20"/>
      <c r="AB2125" s="34">
        <f t="shared" si="444"/>
        <v>5500696</v>
      </c>
      <c r="AC2125" s="34">
        <f t="shared" si="444"/>
        <v>5500698</v>
      </c>
      <c r="AD2125" s="34">
        <f t="shared" si="444"/>
        <v>7297776</v>
      </c>
      <c r="AE2125" s="34">
        <f t="shared" si="444"/>
        <v>6297775</v>
      </c>
      <c r="AF2125" s="34">
        <f t="shared" si="444"/>
        <v>6959500</v>
      </c>
      <c r="AG2125" s="34">
        <f t="shared" si="444"/>
        <v>6959499</v>
      </c>
      <c r="AH2125" s="34">
        <f t="shared" si="444"/>
        <v>5886387</v>
      </c>
      <c r="AI2125" s="34">
        <f t="shared" si="444"/>
        <v>5886388</v>
      </c>
      <c r="AJ2125" s="34">
        <f t="shared" si="444"/>
        <v>6827063</v>
      </c>
      <c r="AK2125" s="34">
        <f t="shared" si="444"/>
        <v>6827064</v>
      </c>
      <c r="AL2125" s="34">
        <f t="shared" si="444"/>
        <v>18890395</v>
      </c>
      <c r="AM2125" s="34">
        <f t="shared" si="444"/>
        <v>11898236</v>
      </c>
      <c r="AN2125" s="1073">
        <f t="shared" si="444"/>
        <v>15839404</v>
      </c>
      <c r="AO2125" s="1073">
        <f t="shared" si="444"/>
        <v>11279404</v>
      </c>
      <c r="AP2125" s="1073">
        <f t="shared" si="444"/>
        <v>18565805</v>
      </c>
      <c r="AQ2125" s="1073">
        <f t="shared" si="444"/>
        <v>13869004</v>
      </c>
      <c r="AR2125" s="1044"/>
      <c r="AS2125" s="1044"/>
    </row>
    <row r="2126" spans="2:45" hidden="1" outlineLevel="1">
      <c r="B2126"/>
      <c r="C2126" s="816"/>
      <c r="D2126" s="5" t="s">
        <v>1496</v>
      </c>
      <c r="E2126" s="5" t="s">
        <v>2212</v>
      </c>
      <c r="F2126" s="20"/>
      <c r="G2126" s="20"/>
      <c r="H2126" s="20"/>
      <c r="I2126" s="20"/>
      <c r="J2126" s="20"/>
      <c r="K2126" s="20"/>
      <c r="L2126" s="20"/>
      <c r="M2126" s="20"/>
      <c r="N2126" s="20"/>
      <c r="O2126" s="20"/>
      <c r="P2126" s="20"/>
      <c r="Q2126" s="20"/>
      <c r="R2126" s="20"/>
      <c r="S2126" s="20"/>
      <c r="T2126" s="20"/>
      <c r="U2126" s="20"/>
      <c r="V2126" s="20"/>
      <c r="W2126" s="20"/>
      <c r="X2126" s="20"/>
      <c r="Y2126" s="20"/>
      <c r="Z2126" s="20"/>
      <c r="AA2126" s="20"/>
      <c r="AB2126" s="34">
        <f t="shared" si="444"/>
        <v>5231933</v>
      </c>
      <c r="AC2126" s="34">
        <f t="shared" si="444"/>
        <v>5228117</v>
      </c>
      <c r="AD2126" s="34">
        <f t="shared" si="444"/>
        <v>5362360</v>
      </c>
      <c r="AE2126" s="34">
        <f t="shared" si="444"/>
        <v>5097692</v>
      </c>
      <c r="AF2126" s="34">
        <f t="shared" si="444"/>
        <v>5230025</v>
      </c>
      <c r="AG2126" s="34">
        <f t="shared" si="444"/>
        <v>5230026</v>
      </c>
      <c r="AH2126" s="34">
        <f t="shared" si="444"/>
        <v>5787005</v>
      </c>
      <c r="AI2126" s="34">
        <f t="shared" si="444"/>
        <v>3787005</v>
      </c>
      <c r="AJ2126" s="34">
        <f t="shared" si="444"/>
        <v>13029532</v>
      </c>
      <c r="AK2126" s="34">
        <f t="shared" si="444"/>
        <v>6130260</v>
      </c>
      <c r="AL2126" s="34">
        <f t="shared" si="444"/>
        <v>12287005</v>
      </c>
      <c r="AM2126" s="34">
        <f t="shared" si="444"/>
        <v>12287005</v>
      </c>
      <c r="AN2126" s="1073">
        <f t="shared" si="444"/>
        <v>8680640</v>
      </c>
      <c r="AO2126" s="1073">
        <f t="shared" si="444"/>
        <v>8680636</v>
      </c>
      <c r="AP2126" s="1073">
        <f t="shared" si="444"/>
        <v>9526936</v>
      </c>
      <c r="AQ2126" s="1073">
        <f t="shared" si="444"/>
        <v>9526931</v>
      </c>
      <c r="AR2126" s="1044"/>
      <c r="AS2126" s="1044"/>
    </row>
    <row r="2127" spans="2:45" hidden="1" outlineLevel="1">
      <c r="B2127"/>
      <c r="C2127" s="816"/>
      <c r="D2127" s="5" t="s">
        <v>1495</v>
      </c>
      <c r="E2127" s="5" t="s">
        <v>2213</v>
      </c>
      <c r="F2127" s="20"/>
      <c r="G2127" s="20"/>
      <c r="H2127" s="20"/>
      <c r="I2127" s="20"/>
      <c r="J2127" s="20"/>
      <c r="K2127" s="20"/>
      <c r="L2127" s="20"/>
      <c r="M2127" s="20"/>
      <c r="N2127" s="20"/>
      <c r="O2127" s="20"/>
      <c r="P2127" s="20"/>
      <c r="Q2127" s="20"/>
      <c r="R2127" s="20"/>
      <c r="S2127" s="20"/>
      <c r="T2127" s="20"/>
      <c r="U2127" s="20"/>
      <c r="V2127" s="20"/>
      <c r="W2127" s="20"/>
      <c r="X2127" s="20"/>
      <c r="Y2127" s="20"/>
      <c r="Z2127" s="20"/>
      <c r="AA2127" s="20"/>
      <c r="AB2127" s="34">
        <f t="shared" si="444"/>
        <v>3817054</v>
      </c>
      <c r="AC2127" s="34">
        <f t="shared" si="444"/>
        <v>4417403</v>
      </c>
      <c r="AD2127" s="34">
        <f t="shared" si="444"/>
        <v>4034423</v>
      </c>
      <c r="AE2127" s="34">
        <f t="shared" si="444"/>
        <v>4290034</v>
      </c>
      <c r="AF2127" s="34">
        <f t="shared" si="444"/>
        <v>4564520</v>
      </c>
      <c r="AG2127" s="34">
        <f t="shared" si="444"/>
        <v>4522432</v>
      </c>
      <c r="AH2127" s="34">
        <f t="shared" si="444"/>
        <v>8119476</v>
      </c>
      <c r="AI2127" s="34">
        <f t="shared" si="444"/>
        <v>3119478</v>
      </c>
      <c r="AJ2127" s="34">
        <f t="shared" si="444"/>
        <v>5140476</v>
      </c>
      <c r="AK2127" s="34">
        <f t="shared" si="444"/>
        <v>5140477</v>
      </c>
      <c r="AL2127" s="34">
        <f t="shared" si="444"/>
        <v>6390477</v>
      </c>
      <c r="AM2127" s="34">
        <f t="shared" si="444"/>
        <v>6390477</v>
      </c>
      <c r="AN2127" s="1073">
        <f t="shared" si="444"/>
        <v>4611348</v>
      </c>
      <c r="AO2127" s="1073">
        <f t="shared" si="444"/>
        <v>4611342</v>
      </c>
      <c r="AP2127" s="1073">
        <f t="shared" si="444"/>
        <v>6389368</v>
      </c>
      <c r="AQ2127" s="1073">
        <f t="shared" si="444"/>
        <v>6389363</v>
      </c>
      <c r="AR2127" s="1044"/>
      <c r="AS2127" s="1044"/>
    </row>
    <row r="2128" spans="2:45" s="1044" customFormat="1" hidden="1" outlineLevel="1">
      <c r="C2128" s="1053"/>
      <c r="D2128" s="1053" t="s">
        <v>2178</v>
      </c>
      <c r="E2128" s="1260" t="s">
        <v>2197</v>
      </c>
      <c r="F2128" s="1047"/>
      <c r="G2128" s="1047"/>
      <c r="H2128" s="1047"/>
      <c r="I2128" s="1047"/>
      <c r="J2128" s="1047"/>
      <c r="K2128" s="1047"/>
      <c r="L2128" s="1047"/>
      <c r="M2128" s="1047"/>
      <c r="N2128" s="1047"/>
      <c r="O2128" s="1047"/>
      <c r="P2128" s="1047"/>
      <c r="Q2128" s="1047"/>
      <c r="R2128" s="1047"/>
      <c r="S2128" s="1047"/>
      <c r="T2128" s="1047"/>
      <c r="U2128" s="1047"/>
      <c r="V2128" s="1047"/>
      <c r="W2128" s="1047"/>
      <c r="X2128" s="1047"/>
      <c r="Y2128" s="1047"/>
      <c r="Z2128" s="1047"/>
      <c r="AA2128" s="1047"/>
      <c r="AB2128" s="1073">
        <f t="shared" si="444"/>
        <v>0</v>
      </c>
      <c r="AC2128" s="1073">
        <f t="shared" si="444"/>
        <v>0</v>
      </c>
      <c r="AD2128" s="1073">
        <f t="shared" si="444"/>
        <v>0</v>
      </c>
      <c r="AE2128" s="1073">
        <f t="shared" si="444"/>
        <v>0</v>
      </c>
      <c r="AF2128" s="1073">
        <f t="shared" si="444"/>
        <v>0</v>
      </c>
      <c r="AG2128" s="1073">
        <f t="shared" si="444"/>
        <v>0</v>
      </c>
      <c r="AH2128" s="1073">
        <f t="shared" si="444"/>
        <v>0</v>
      </c>
      <c r="AI2128" s="1073">
        <f t="shared" si="444"/>
        <v>0</v>
      </c>
      <c r="AJ2128" s="1073">
        <f t="shared" si="444"/>
        <v>0</v>
      </c>
      <c r="AK2128" s="1073">
        <f t="shared" si="444"/>
        <v>0</v>
      </c>
      <c r="AL2128" s="1073">
        <f t="shared" si="444"/>
        <v>0</v>
      </c>
      <c r="AM2128" s="1073">
        <f t="shared" si="444"/>
        <v>500000</v>
      </c>
      <c r="AN2128" s="1073">
        <f t="shared" si="444"/>
        <v>310196</v>
      </c>
      <c r="AO2128" s="1073">
        <f t="shared" si="444"/>
        <v>310196</v>
      </c>
      <c r="AP2128" s="1073">
        <f t="shared" si="444"/>
        <v>310196</v>
      </c>
      <c r="AQ2128" s="1073">
        <f t="shared" si="444"/>
        <v>310196</v>
      </c>
    </row>
    <row r="2129" spans="2:44" s="1044" customFormat="1" collapsed="1">
      <c r="C2129" s="1205" t="s">
        <v>2181</v>
      </c>
      <c r="D2129" s="1205"/>
      <c r="E2129" s="1206"/>
      <c r="F2129" s="1038"/>
      <c r="G2129" s="1038"/>
      <c r="H2129" s="1038"/>
      <c r="I2129" s="1038"/>
      <c r="J2129" s="1038"/>
      <c r="K2129" s="1038"/>
      <c r="L2129" s="1038"/>
      <c r="M2129" s="1038"/>
      <c r="N2129" s="1038"/>
      <c r="O2129" s="1038"/>
      <c r="P2129" s="1038"/>
      <c r="Q2129" s="1038"/>
      <c r="R2129" s="1038"/>
      <c r="S2129" s="1038"/>
      <c r="T2129" s="1038"/>
      <c r="U2129" s="1038"/>
      <c r="V2129" s="1038"/>
      <c r="W2129" s="1038"/>
      <c r="X2129" s="1038"/>
      <c r="Y2129" s="1038"/>
      <c r="Z2129" s="1038"/>
      <c r="AA2129" s="1038"/>
      <c r="AB2129" s="1055"/>
      <c r="AC2129" s="1055"/>
      <c r="AD2129" s="1055"/>
      <c r="AE2129" s="1055"/>
      <c r="AF2129" s="1300" t="s">
        <v>159</v>
      </c>
      <c r="AG2129" s="1301"/>
      <c r="AH2129" s="1300" t="s">
        <v>159</v>
      </c>
      <c r="AI2129" s="1301"/>
      <c r="AJ2129" s="1300" t="s">
        <v>159</v>
      </c>
      <c r="AK2129" s="1301"/>
      <c r="AL2129" s="1300" t="s">
        <v>159</v>
      </c>
      <c r="AM2129" s="1301"/>
      <c r="AN2129" s="1300" t="s">
        <v>159</v>
      </c>
      <c r="AO2129" s="1301"/>
      <c r="AP2129" s="1302" t="s">
        <v>159</v>
      </c>
      <c r="AQ2129" s="1303"/>
    </row>
    <row r="2130" spans="2:44" s="1044" customFormat="1" hidden="1" outlineLevel="1">
      <c r="B2130" s="1045"/>
      <c r="C2130" s="1053" t="s">
        <v>16</v>
      </c>
      <c r="D2130" s="1051" t="s">
        <v>1254</v>
      </c>
      <c r="E2130" s="1052" t="s">
        <v>1704</v>
      </c>
      <c r="F2130" s="1047"/>
      <c r="G2130" s="1047"/>
      <c r="H2130" s="1047"/>
      <c r="I2130" s="1047"/>
      <c r="J2130" s="1047"/>
      <c r="K2130" s="1047"/>
      <c r="L2130" s="1047"/>
      <c r="M2130" s="1047"/>
      <c r="N2130" s="1047"/>
      <c r="O2130" s="1047"/>
      <c r="P2130" s="1047"/>
      <c r="Q2130" s="1047"/>
      <c r="R2130" s="1047"/>
      <c r="S2130" s="1047"/>
      <c r="T2130" s="1047"/>
      <c r="U2130" s="1047"/>
      <c r="V2130" s="1047"/>
      <c r="W2130" s="1047"/>
      <c r="X2130" s="1047"/>
      <c r="Y2130" s="1047"/>
      <c r="Z2130" s="1047"/>
      <c r="AA2130" s="1047"/>
      <c r="AB2130" s="1070"/>
      <c r="AC2130" s="1070"/>
      <c r="AD2130" s="1070"/>
      <c r="AE2130" s="1070"/>
      <c r="AF2130" s="1070"/>
      <c r="AG2130" s="1070"/>
      <c r="AH2130" s="1070"/>
      <c r="AI2130" s="1070"/>
      <c r="AJ2130" s="1058"/>
      <c r="AK2130" s="1058"/>
      <c r="AL2130" s="1058">
        <v>35803319</v>
      </c>
      <c r="AM2130" s="1058">
        <v>32109299</v>
      </c>
      <c r="AN2130" s="1058">
        <v>27478939</v>
      </c>
      <c r="AO2130" s="1058">
        <v>27478939</v>
      </c>
      <c r="AP2130" s="1058">
        <v>32212871</v>
      </c>
      <c r="AQ2130" s="1058">
        <v>32212871</v>
      </c>
    </row>
    <row r="2131" spans="2:44" s="1044" customFormat="1" hidden="1" outlineLevel="1">
      <c r="B2131" s="1045"/>
      <c r="C2131" s="1053" t="s">
        <v>16</v>
      </c>
      <c r="D2131" s="1051" t="s">
        <v>1254</v>
      </c>
      <c r="E2131" s="1052" t="s">
        <v>1719</v>
      </c>
      <c r="F2131" s="1047"/>
      <c r="G2131" s="1047"/>
      <c r="H2131" s="1047"/>
      <c r="I2131" s="1047"/>
      <c r="J2131" s="1047"/>
      <c r="K2131" s="1047"/>
      <c r="L2131" s="1047"/>
      <c r="M2131" s="1047"/>
      <c r="N2131" s="1047"/>
      <c r="O2131" s="1047"/>
      <c r="P2131" s="1047"/>
      <c r="Q2131" s="1047"/>
      <c r="R2131" s="1047"/>
      <c r="S2131" s="1047"/>
      <c r="T2131" s="1047"/>
      <c r="U2131" s="1047"/>
      <c r="V2131" s="1047"/>
      <c r="W2131" s="1047"/>
      <c r="X2131" s="1047"/>
      <c r="Y2131" s="1047"/>
      <c r="Z2131" s="1047"/>
      <c r="AA2131" s="1047"/>
      <c r="AB2131" s="1070"/>
      <c r="AC2131" s="1070"/>
      <c r="AD2131" s="1070"/>
      <c r="AE2131" s="1070"/>
      <c r="AF2131" s="1070"/>
      <c r="AG2131" s="1070"/>
      <c r="AH2131" s="1070"/>
      <c r="AI2131" s="1070"/>
      <c r="AJ2131" s="1058"/>
      <c r="AK2131" s="1058"/>
      <c r="AL2131" s="1058">
        <v>41734578</v>
      </c>
      <c r="AM2131" s="1058">
        <v>37428598</v>
      </c>
      <c r="AN2131" s="1058">
        <v>35105168</v>
      </c>
      <c r="AO2131" s="1058">
        <v>35105168</v>
      </c>
      <c r="AP2131" s="1058">
        <v>41325026</v>
      </c>
      <c r="AQ2131" s="1058">
        <v>41325026</v>
      </c>
    </row>
    <row r="2132" spans="2:44" s="218" customFormat="1" hidden="1" outlineLevel="1">
      <c r="B2132" s="566"/>
      <c r="C2132" s="897" t="s">
        <v>16</v>
      </c>
      <c r="D2132" s="1051" t="s">
        <v>1254</v>
      </c>
      <c r="E2132" s="59" t="s">
        <v>2182</v>
      </c>
      <c r="F2132" s="1060"/>
      <c r="G2132" s="1060"/>
      <c r="H2132" s="1060"/>
      <c r="I2132" s="1060"/>
      <c r="J2132" s="1060"/>
      <c r="K2132" s="1060"/>
      <c r="L2132" s="1060"/>
      <c r="M2132" s="1060"/>
      <c r="N2132" s="1060"/>
      <c r="O2132" s="1060"/>
      <c r="P2132" s="1060"/>
      <c r="Q2132" s="1060"/>
      <c r="R2132" s="1060"/>
      <c r="S2132" s="1060"/>
      <c r="T2132" s="1060"/>
      <c r="U2132" s="1060"/>
      <c r="V2132" s="1060"/>
      <c r="W2132" s="1060"/>
      <c r="X2132" s="1060"/>
      <c r="Y2132" s="1060"/>
      <c r="Z2132" s="1060"/>
      <c r="AA2132" s="1060"/>
      <c r="AB2132" s="1072"/>
      <c r="AC2132" s="1072"/>
      <c r="AD2132" s="1072"/>
      <c r="AE2132" s="1072"/>
      <c r="AF2132" s="1072">
        <f t="shared" ref="AF2132:AK2132" si="445">SUM(AF2130:AF2131)</f>
        <v>0</v>
      </c>
      <c r="AG2132" s="1072">
        <f t="shared" si="445"/>
        <v>0</v>
      </c>
      <c r="AH2132" s="1072">
        <f t="shared" si="445"/>
        <v>0</v>
      </c>
      <c r="AI2132" s="1072">
        <f t="shared" si="445"/>
        <v>0</v>
      </c>
      <c r="AJ2132" s="1072">
        <f t="shared" si="445"/>
        <v>0</v>
      </c>
      <c r="AK2132" s="1072">
        <f t="shared" si="445"/>
        <v>0</v>
      </c>
      <c r="AL2132" s="1072">
        <f>SUM(AL2130:AL2131)</f>
        <v>77537897</v>
      </c>
      <c r="AM2132" s="1072">
        <f t="shared" ref="AM2132:AQ2132" si="446">SUM(AM2130:AM2131)</f>
        <v>69537897</v>
      </c>
      <c r="AN2132" s="1072">
        <f t="shared" si="446"/>
        <v>62584107</v>
      </c>
      <c r="AO2132" s="1072">
        <f t="shared" si="446"/>
        <v>62584107</v>
      </c>
      <c r="AP2132" s="1072">
        <f t="shared" si="446"/>
        <v>73537897</v>
      </c>
      <c r="AQ2132" s="1072">
        <f t="shared" si="446"/>
        <v>73537897</v>
      </c>
      <c r="AR2132" s="1044"/>
    </row>
    <row r="2133" spans="2:44" s="1044" customFormat="1" collapsed="1">
      <c r="C2133" s="1246" t="s">
        <v>2190</v>
      </c>
      <c r="D2133" s="1205"/>
      <c r="E2133" s="1206"/>
      <c r="F2133" s="1038"/>
      <c r="G2133" s="1038"/>
      <c r="H2133" s="1038"/>
      <c r="I2133" s="1038"/>
      <c r="J2133" s="1038"/>
      <c r="K2133" s="1038"/>
      <c r="L2133" s="1038"/>
      <c r="M2133" s="1038"/>
      <c r="N2133" s="1038"/>
      <c r="O2133" s="1038"/>
      <c r="P2133" s="1038"/>
      <c r="Q2133" s="1038"/>
      <c r="R2133" s="1038"/>
      <c r="S2133" s="1038"/>
      <c r="T2133" s="1038"/>
      <c r="U2133" s="1038"/>
      <c r="V2133" s="1038"/>
      <c r="W2133" s="1038"/>
      <c r="X2133" s="1038"/>
      <c r="Y2133" s="1038"/>
      <c r="Z2133" s="1038"/>
      <c r="AA2133" s="1038"/>
      <c r="AB2133" s="1248"/>
      <c r="AC2133" s="1248"/>
      <c r="AD2133" s="1248"/>
      <c r="AE2133" s="1248"/>
      <c r="AF2133" s="1300" t="s">
        <v>159</v>
      </c>
      <c r="AG2133" s="1301"/>
      <c r="AH2133" s="1300" t="s">
        <v>159</v>
      </c>
      <c r="AI2133" s="1301"/>
      <c r="AJ2133" s="1300" t="s">
        <v>159</v>
      </c>
      <c r="AK2133" s="1301"/>
      <c r="AL2133" s="1300" t="s">
        <v>159</v>
      </c>
      <c r="AM2133" s="1301"/>
      <c r="AN2133" s="1300" t="s">
        <v>159</v>
      </c>
      <c r="AO2133" s="1301"/>
      <c r="AP2133" s="1302" t="s">
        <v>159</v>
      </c>
      <c r="AQ2133" s="1303"/>
    </row>
    <row r="2134" spans="2:44" s="1044" customFormat="1" hidden="1" outlineLevel="1">
      <c r="B2134" s="1045"/>
      <c r="C2134" s="1053" t="s">
        <v>16</v>
      </c>
      <c r="D2134" s="1051" t="s">
        <v>1254</v>
      </c>
      <c r="E2134" s="1052" t="s">
        <v>2142</v>
      </c>
      <c r="F2134" s="1047"/>
      <c r="G2134" s="1047"/>
      <c r="H2134" s="1047"/>
      <c r="I2134" s="1047"/>
      <c r="J2134" s="1047"/>
      <c r="K2134" s="1047"/>
      <c r="L2134" s="1047"/>
      <c r="M2134" s="1047"/>
      <c r="N2134" s="1047"/>
      <c r="O2134" s="1047"/>
      <c r="P2134" s="1047"/>
      <c r="Q2134" s="1047"/>
      <c r="R2134" s="1047"/>
      <c r="S2134" s="1047"/>
      <c r="T2134" s="1047"/>
      <c r="U2134" s="1047"/>
      <c r="V2134" s="1047"/>
      <c r="W2134" s="1047"/>
      <c r="X2134" s="1047"/>
      <c r="Y2134" s="1047"/>
      <c r="Z2134" s="1047"/>
      <c r="AA2134" s="1047"/>
      <c r="AB2134" s="1070">
        <v>1764200</v>
      </c>
      <c r="AC2134" s="1070">
        <v>1764201</v>
      </c>
      <c r="AD2134" s="1070">
        <v>3182092</v>
      </c>
      <c r="AE2134" s="1070">
        <v>3182092</v>
      </c>
      <c r="AF2134" s="1070">
        <v>3452814</v>
      </c>
      <c r="AG2134" s="1070">
        <v>3452814</v>
      </c>
      <c r="AH2134" s="1070">
        <v>3016377</v>
      </c>
      <c r="AI2134" s="1070">
        <v>3016377</v>
      </c>
      <c r="AJ2134" s="1058">
        <v>3289309</v>
      </c>
      <c r="AK2134" s="1058">
        <v>3289309</v>
      </c>
      <c r="AL2134" s="1058">
        <v>6738468</v>
      </c>
      <c r="AM2134" s="1058">
        <v>6738468</v>
      </c>
      <c r="AN2134" s="1058">
        <v>5790907</v>
      </c>
      <c r="AO2134" s="1058">
        <v>5790907</v>
      </c>
      <c r="AP2134" s="1058">
        <v>6757244</v>
      </c>
      <c r="AQ2134" s="1058">
        <v>6757244</v>
      </c>
    </row>
    <row r="2135" spans="2:44" s="1044" customFormat="1" hidden="1" outlineLevel="1">
      <c r="B2135" s="1045"/>
      <c r="C2135" s="1053" t="s">
        <v>16</v>
      </c>
      <c r="D2135" s="1051" t="s">
        <v>1254</v>
      </c>
      <c r="E2135" s="1052" t="s">
        <v>1705</v>
      </c>
      <c r="F2135" s="1047"/>
      <c r="G2135" s="1047"/>
      <c r="H2135" s="1047"/>
      <c r="I2135" s="1047"/>
      <c r="J2135" s="1047"/>
      <c r="K2135" s="1047"/>
      <c r="L2135" s="1047"/>
      <c r="M2135" s="1047"/>
      <c r="N2135" s="1047"/>
      <c r="O2135" s="1047"/>
      <c r="P2135" s="1047"/>
      <c r="Q2135" s="1047"/>
      <c r="R2135" s="1047"/>
      <c r="S2135" s="1047"/>
      <c r="T2135" s="1047"/>
      <c r="U2135" s="1047"/>
      <c r="V2135" s="1047"/>
      <c r="W2135" s="1047"/>
      <c r="X2135" s="1047"/>
      <c r="Y2135" s="1047"/>
      <c r="Z2135" s="1047"/>
      <c r="AA2135" s="1047"/>
      <c r="AB2135" s="1070">
        <v>1815144</v>
      </c>
      <c r="AC2135" s="1070">
        <v>1815144</v>
      </c>
      <c r="AD2135" s="1070">
        <v>4932680</v>
      </c>
      <c r="AE2135" s="1070">
        <v>4932680</v>
      </c>
      <c r="AF2135" s="1070">
        <v>5627594</v>
      </c>
      <c r="AG2135" s="1070">
        <v>5627594</v>
      </c>
      <c r="AH2135" s="1070">
        <v>4212943</v>
      </c>
      <c r="AI2135" s="1070">
        <v>4212943</v>
      </c>
      <c r="AJ2135" s="1058">
        <v>4532630</v>
      </c>
      <c r="AK2135" s="1058">
        <v>4532630</v>
      </c>
      <c r="AL2135" s="1058">
        <v>9176901</v>
      </c>
      <c r="AM2135" s="1058">
        <v>9176901</v>
      </c>
      <c r="AN2135" s="1058">
        <v>8010380</v>
      </c>
      <c r="AO2135" s="1058">
        <v>8010380</v>
      </c>
      <c r="AP2135" s="1058">
        <v>8580387</v>
      </c>
      <c r="AQ2135" s="1058">
        <v>8580387</v>
      </c>
    </row>
    <row r="2136" spans="2:44" s="1044" customFormat="1" hidden="1" outlineLevel="1">
      <c r="B2136" s="1045"/>
      <c r="C2136" s="1053" t="s">
        <v>16</v>
      </c>
      <c r="D2136" s="1051" t="s">
        <v>1254</v>
      </c>
      <c r="E2136" s="1052" t="s">
        <v>1707</v>
      </c>
      <c r="F2136" s="1047"/>
      <c r="G2136" s="1047"/>
      <c r="H2136" s="1047"/>
      <c r="I2136" s="1047"/>
      <c r="J2136" s="1047"/>
      <c r="K2136" s="1047"/>
      <c r="L2136" s="1047"/>
      <c r="M2136" s="1047"/>
      <c r="N2136" s="1047"/>
      <c r="O2136" s="1047"/>
      <c r="P2136" s="1047"/>
      <c r="Q2136" s="1047"/>
      <c r="R2136" s="1047"/>
      <c r="S2136" s="1047"/>
      <c r="T2136" s="1047"/>
      <c r="U2136" s="1047"/>
      <c r="V2136" s="1047"/>
      <c r="W2136" s="1047"/>
      <c r="X2136" s="1047"/>
      <c r="Y2136" s="1047"/>
      <c r="Z2136" s="1047"/>
      <c r="AA2136" s="1047"/>
      <c r="AB2136" s="1070">
        <v>1824154</v>
      </c>
      <c r="AC2136" s="1070">
        <v>1824154</v>
      </c>
      <c r="AD2136" s="1070">
        <v>4207215</v>
      </c>
      <c r="AE2136" s="1070">
        <v>4207215</v>
      </c>
      <c r="AF2136" s="1070">
        <v>4263330</v>
      </c>
      <c r="AG2136" s="1070">
        <v>4263330</v>
      </c>
      <c r="AH2136" s="1070">
        <v>3462520</v>
      </c>
      <c r="AI2136" s="1070">
        <v>3462520</v>
      </c>
      <c r="AJ2136" s="1058">
        <v>4219537</v>
      </c>
      <c r="AK2136" s="1058">
        <v>4219537</v>
      </c>
      <c r="AL2136" s="1058">
        <v>7901644</v>
      </c>
      <c r="AM2136" s="1058">
        <v>7901644</v>
      </c>
      <c r="AN2136" s="1058">
        <v>7105174</v>
      </c>
      <c r="AO2136" s="1058">
        <v>7105174</v>
      </c>
      <c r="AP2136" s="1058">
        <v>7447977</v>
      </c>
      <c r="AQ2136" s="1058">
        <v>7447977</v>
      </c>
    </row>
    <row r="2137" spans="2:44" s="1044" customFormat="1" hidden="1" outlineLevel="1">
      <c r="B2137" s="1045"/>
      <c r="C2137" s="1053" t="s">
        <v>16</v>
      </c>
      <c r="D2137" s="1051" t="s">
        <v>1254</v>
      </c>
      <c r="E2137" s="1052" t="s">
        <v>1715</v>
      </c>
      <c r="F2137" s="1047"/>
      <c r="G2137" s="1047"/>
      <c r="H2137" s="1047"/>
      <c r="I2137" s="1047"/>
      <c r="J2137" s="1047"/>
      <c r="K2137" s="1047"/>
      <c r="L2137" s="1047"/>
      <c r="M2137" s="1047"/>
      <c r="N2137" s="1047"/>
      <c r="O2137" s="1047"/>
      <c r="P2137" s="1047"/>
      <c r="Q2137" s="1047"/>
      <c r="R2137" s="1047"/>
      <c r="S2137" s="1047"/>
      <c r="T2137" s="1047"/>
      <c r="U2137" s="1047"/>
      <c r="V2137" s="1047"/>
      <c r="W2137" s="1047"/>
      <c r="X2137" s="1047"/>
      <c r="Y2137" s="1047"/>
      <c r="Z2137" s="1047"/>
      <c r="AA2137" s="1047"/>
      <c r="AB2137" s="1070">
        <v>1093377</v>
      </c>
      <c r="AC2137" s="1070">
        <v>1093377</v>
      </c>
      <c r="AD2137" s="1070">
        <v>2981369</v>
      </c>
      <c r="AE2137" s="1070">
        <v>2981369</v>
      </c>
      <c r="AF2137" s="1070">
        <v>3402524</v>
      </c>
      <c r="AG2137" s="1070">
        <v>3402524</v>
      </c>
      <c r="AH2137" s="1070">
        <v>2745648</v>
      </c>
      <c r="AI2137" s="1070">
        <v>2745648</v>
      </c>
      <c r="AJ2137" s="1058">
        <v>3164952</v>
      </c>
      <c r="AK2137" s="1058">
        <v>3164952</v>
      </c>
      <c r="AL2137" s="1058">
        <v>5311001</v>
      </c>
      <c r="AM2137" s="1058">
        <v>5311001</v>
      </c>
      <c r="AN2137" s="1058">
        <v>4239941</v>
      </c>
      <c r="AO2137" s="1058">
        <v>4239941</v>
      </c>
      <c r="AP2137" s="1058">
        <v>5215844</v>
      </c>
      <c r="AQ2137" s="1058">
        <v>5215844</v>
      </c>
    </row>
    <row r="2138" spans="2:44" s="1044" customFormat="1" hidden="1" outlineLevel="1">
      <c r="B2138" s="1045"/>
      <c r="C2138" s="1053" t="s">
        <v>16</v>
      </c>
      <c r="D2138" s="1051" t="s">
        <v>1254</v>
      </c>
      <c r="E2138" s="1052" t="s">
        <v>1735</v>
      </c>
      <c r="F2138" s="1047"/>
      <c r="G2138" s="1047"/>
      <c r="H2138" s="1047"/>
      <c r="I2138" s="1047"/>
      <c r="J2138" s="1047"/>
      <c r="K2138" s="1047"/>
      <c r="L2138" s="1047"/>
      <c r="M2138" s="1047"/>
      <c r="N2138" s="1047"/>
      <c r="O2138" s="1047"/>
      <c r="P2138" s="1047"/>
      <c r="Q2138" s="1047"/>
      <c r="R2138" s="1047"/>
      <c r="S2138" s="1047"/>
      <c r="T2138" s="1047"/>
      <c r="U2138" s="1047"/>
      <c r="V2138" s="1047"/>
      <c r="W2138" s="1047"/>
      <c r="X2138" s="1047"/>
      <c r="Y2138" s="1047"/>
      <c r="Z2138" s="1047"/>
      <c r="AA2138" s="1047"/>
      <c r="AB2138" s="1070">
        <v>5137629</v>
      </c>
      <c r="AC2138" s="1070">
        <v>5137629</v>
      </c>
      <c r="AD2138" s="1070">
        <v>7494929</v>
      </c>
      <c r="AE2138" s="1070">
        <v>7494929</v>
      </c>
      <c r="AF2138" s="1070">
        <v>6380651</v>
      </c>
      <c r="AG2138" s="1070">
        <v>6380651</v>
      </c>
      <c r="AH2138" s="1070">
        <v>5352736</v>
      </c>
      <c r="AI2138" s="1070">
        <v>5352736</v>
      </c>
      <c r="AJ2138" s="1058">
        <v>5618894</v>
      </c>
      <c r="AK2138" s="1058">
        <v>5618894</v>
      </c>
      <c r="AL2138" s="1058">
        <v>10887408</v>
      </c>
      <c r="AM2138" s="1058">
        <v>10887408</v>
      </c>
      <c r="AN2138" s="1058">
        <v>10416961</v>
      </c>
      <c r="AO2138" s="1058">
        <v>10416961</v>
      </c>
      <c r="AP2138" s="1058">
        <v>11479285</v>
      </c>
      <c r="AQ2138" s="1058">
        <v>11479285</v>
      </c>
    </row>
    <row r="2139" spans="2:44" s="1044" customFormat="1" hidden="1" outlineLevel="1">
      <c r="B2139" s="1045"/>
      <c r="C2139" s="1053" t="s">
        <v>16</v>
      </c>
      <c r="D2139" s="1051" t="s">
        <v>1254</v>
      </c>
      <c r="E2139" s="1052" t="s">
        <v>2189</v>
      </c>
      <c r="F2139" s="1047"/>
      <c r="G2139" s="1047"/>
      <c r="H2139" s="1047"/>
      <c r="I2139" s="1047"/>
      <c r="J2139" s="1047"/>
      <c r="K2139" s="1047"/>
      <c r="L2139" s="1047"/>
      <c r="M2139" s="1047"/>
      <c r="N2139" s="1047"/>
      <c r="O2139" s="1047"/>
      <c r="P2139" s="1047"/>
      <c r="Q2139" s="1047"/>
      <c r="R2139" s="1047"/>
      <c r="S2139" s="1047"/>
      <c r="T2139" s="1047"/>
      <c r="U2139" s="1047"/>
      <c r="V2139" s="1047"/>
      <c r="W2139" s="1047"/>
      <c r="X2139" s="1047"/>
      <c r="Y2139" s="1047"/>
      <c r="Z2139" s="1047"/>
      <c r="AA2139" s="1047"/>
      <c r="AB2139" s="1247">
        <v>1121371</v>
      </c>
      <c r="AC2139" s="1247">
        <v>1121371</v>
      </c>
      <c r="AD2139" s="1247">
        <v>1857230</v>
      </c>
      <c r="AE2139" s="1247">
        <v>1857230</v>
      </c>
      <c r="AF2139" s="1247">
        <v>1602313</v>
      </c>
      <c r="AG2139" s="1247">
        <v>1602313</v>
      </c>
      <c r="AH2139" s="1247">
        <v>1247724</v>
      </c>
      <c r="AI2139" s="1247">
        <v>1247724</v>
      </c>
      <c r="AJ2139" s="1247">
        <v>1543869</v>
      </c>
      <c r="AK2139" s="1247">
        <v>1543869</v>
      </c>
      <c r="AL2139" s="1247">
        <v>3229429</v>
      </c>
      <c r="AM2139" s="1247">
        <v>3229429</v>
      </c>
      <c r="AN2139" s="1247">
        <v>2407395</v>
      </c>
      <c r="AO2139" s="1247">
        <v>2407395</v>
      </c>
      <c r="AP2139" s="1247">
        <v>2437730</v>
      </c>
      <c r="AQ2139" s="1247">
        <v>2437730</v>
      </c>
    </row>
    <row r="2140" spans="2:44" s="1044" customFormat="1" hidden="1" outlineLevel="1">
      <c r="B2140" s="1045"/>
      <c r="C2140" s="1053" t="s">
        <v>16</v>
      </c>
      <c r="D2140" s="1051" t="s">
        <v>1254</v>
      </c>
      <c r="E2140" s="1052" t="s">
        <v>1744</v>
      </c>
      <c r="F2140" s="1047"/>
      <c r="G2140" s="1047"/>
      <c r="H2140" s="1047"/>
      <c r="I2140" s="1047"/>
      <c r="J2140" s="1047"/>
      <c r="K2140" s="1047"/>
      <c r="L2140" s="1047"/>
      <c r="M2140" s="1047"/>
      <c r="N2140" s="1047"/>
      <c r="O2140" s="1047"/>
      <c r="P2140" s="1047"/>
      <c r="Q2140" s="1047"/>
      <c r="R2140" s="1047"/>
      <c r="S2140" s="1047"/>
      <c r="T2140" s="1047"/>
      <c r="U2140" s="1047"/>
      <c r="V2140" s="1047"/>
      <c r="W2140" s="1047"/>
      <c r="X2140" s="1047"/>
      <c r="Y2140" s="1047"/>
      <c r="Z2140" s="1047"/>
      <c r="AA2140" s="1047"/>
      <c r="AB2140" s="1070">
        <v>2998969</v>
      </c>
      <c r="AC2140" s="1070">
        <v>2998969</v>
      </c>
      <c r="AD2140" s="1070">
        <v>5479373</v>
      </c>
      <c r="AE2140" s="1070">
        <v>5479373</v>
      </c>
      <c r="AF2140" s="1070">
        <v>4868296</v>
      </c>
      <c r="AG2140" s="1070">
        <v>4868296</v>
      </c>
      <c r="AH2140" s="1070">
        <v>4163801</v>
      </c>
      <c r="AI2140" s="1070">
        <v>4163801</v>
      </c>
      <c r="AJ2140" s="1058">
        <v>5098396</v>
      </c>
      <c r="AK2140" s="1058">
        <v>5098396</v>
      </c>
      <c r="AL2140" s="1058">
        <v>11339575</v>
      </c>
      <c r="AM2140" s="1058">
        <v>11339575</v>
      </c>
      <c r="AN2140" s="1058">
        <v>10622253</v>
      </c>
      <c r="AO2140" s="1058">
        <v>10622253</v>
      </c>
      <c r="AP2140" s="1058">
        <v>11608277</v>
      </c>
      <c r="AQ2140" s="1058">
        <v>11608277</v>
      </c>
    </row>
    <row r="2141" spans="2:44" s="1044" customFormat="1" hidden="1" outlineLevel="1">
      <c r="B2141" s="1045"/>
      <c r="C2141" s="1053" t="s">
        <v>16</v>
      </c>
      <c r="D2141" s="1051" t="s">
        <v>1254</v>
      </c>
      <c r="E2141" s="1052" t="s">
        <v>1783</v>
      </c>
      <c r="F2141" s="1047"/>
      <c r="G2141" s="1047"/>
      <c r="H2141" s="1047"/>
      <c r="I2141" s="1047"/>
      <c r="J2141" s="1047"/>
      <c r="K2141" s="1047"/>
      <c r="L2141" s="1047"/>
      <c r="M2141" s="1047"/>
      <c r="N2141" s="1047"/>
      <c r="O2141" s="1047"/>
      <c r="P2141" s="1047"/>
      <c r="Q2141" s="1047"/>
      <c r="R2141" s="1047"/>
      <c r="S2141" s="1047"/>
      <c r="T2141" s="1047"/>
      <c r="U2141" s="1047"/>
      <c r="V2141" s="1047"/>
      <c r="W2141" s="1047"/>
      <c r="X2141" s="1047"/>
      <c r="Y2141" s="1047"/>
      <c r="Z2141" s="1047"/>
      <c r="AA2141" s="1047"/>
      <c r="AB2141" s="1070">
        <v>656855</v>
      </c>
      <c r="AC2141" s="1070">
        <v>656855</v>
      </c>
      <c r="AD2141" s="1070">
        <v>948772</v>
      </c>
      <c r="AE2141" s="1070">
        <v>948772</v>
      </c>
      <c r="AF2141" s="1070">
        <v>1352702</v>
      </c>
      <c r="AG2141" s="1070">
        <v>1352702</v>
      </c>
      <c r="AH2141" s="1070">
        <v>1560582</v>
      </c>
      <c r="AI2141" s="1070">
        <v>1560582</v>
      </c>
      <c r="AJ2141" s="1058">
        <v>2041615</v>
      </c>
      <c r="AK2141" s="1058">
        <v>2041615</v>
      </c>
      <c r="AL2141" s="1070">
        <v>3971281</v>
      </c>
      <c r="AM2141" s="1070">
        <v>3971281</v>
      </c>
      <c r="AN2141" s="1070">
        <v>4107123</v>
      </c>
      <c r="AO2141" s="1070">
        <v>4107123</v>
      </c>
      <c r="AP2141" s="1070">
        <v>5028961</v>
      </c>
      <c r="AQ2141" s="1070">
        <v>5028961</v>
      </c>
    </row>
    <row r="2142" spans="2:44" s="218" customFormat="1" hidden="1" outlineLevel="1">
      <c r="B2142" s="566"/>
      <c r="C2142" s="897" t="s">
        <v>16</v>
      </c>
      <c r="D2142" s="1051" t="s">
        <v>1254</v>
      </c>
      <c r="E2142" s="59" t="s">
        <v>2192</v>
      </c>
      <c r="F2142" s="1060"/>
      <c r="G2142" s="1060"/>
      <c r="H2142" s="1060"/>
      <c r="I2142" s="1060"/>
      <c r="J2142" s="1060"/>
      <c r="K2142" s="1060"/>
      <c r="L2142" s="1060"/>
      <c r="M2142" s="1060"/>
      <c r="N2142" s="1060"/>
      <c r="O2142" s="1060"/>
      <c r="P2142" s="1060"/>
      <c r="Q2142" s="1060"/>
      <c r="R2142" s="1060"/>
      <c r="S2142" s="1060"/>
      <c r="T2142" s="1060"/>
      <c r="U2142" s="1060"/>
      <c r="V2142" s="1060"/>
      <c r="W2142" s="1060"/>
      <c r="X2142" s="1060"/>
      <c r="Y2142" s="1060"/>
      <c r="Z2142" s="1060"/>
      <c r="AA2142" s="1060"/>
      <c r="AB2142" s="1072">
        <f t="shared" ref="AB2142:AE2142" si="447">SUM(AB2134:AB2141)</f>
        <v>16411699</v>
      </c>
      <c r="AC2142" s="1072">
        <f t="shared" si="447"/>
        <v>16411700</v>
      </c>
      <c r="AD2142" s="1072">
        <f t="shared" si="447"/>
        <v>31083660</v>
      </c>
      <c r="AE2142" s="1072">
        <f t="shared" si="447"/>
        <v>31083660</v>
      </c>
      <c r="AF2142" s="1072">
        <f t="shared" ref="AF2142:AQ2142" si="448">SUM(AF2134:AF2141)</f>
        <v>30950224</v>
      </c>
      <c r="AG2142" s="1072">
        <f t="shared" si="448"/>
        <v>30950224</v>
      </c>
      <c r="AH2142" s="1072">
        <f t="shared" si="448"/>
        <v>25762331</v>
      </c>
      <c r="AI2142" s="1072">
        <f t="shared" si="448"/>
        <v>25762331</v>
      </c>
      <c r="AJ2142" s="1072">
        <f t="shared" si="448"/>
        <v>29509202</v>
      </c>
      <c r="AK2142" s="1072">
        <f t="shared" si="448"/>
        <v>29509202</v>
      </c>
      <c r="AL2142" s="1072">
        <f t="shared" si="448"/>
        <v>58555707</v>
      </c>
      <c r="AM2142" s="1072">
        <f t="shared" si="448"/>
        <v>58555707</v>
      </c>
      <c r="AN2142" s="1072">
        <f t="shared" si="448"/>
        <v>52700134</v>
      </c>
      <c r="AO2142" s="1072">
        <f t="shared" si="448"/>
        <v>52700134</v>
      </c>
      <c r="AP2142" s="1072">
        <f t="shared" si="448"/>
        <v>58555705</v>
      </c>
      <c r="AQ2142" s="1072">
        <f t="shared" si="448"/>
        <v>58555705</v>
      </c>
      <c r="AR2142" s="1044"/>
    </row>
    <row r="2143" spans="2:44" s="1044" customFormat="1" collapsed="1">
      <c r="C2143" s="1205" t="s">
        <v>2191</v>
      </c>
      <c r="D2143" s="1205"/>
      <c r="E2143" s="1206"/>
      <c r="F2143" s="1038"/>
      <c r="G2143" s="1038"/>
      <c r="H2143" s="1038"/>
      <c r="I2143" s="1038"/>
      <c r="J2143" s="1038"/>
      <c r="K2143" s="1038"/>
      <c r="L2143" s="1038"/>
      <c r="M2143" s="1038"/>
      <c r="N2143" s="1038"/>
      <c r="O2143" s="1038"/>
      <c r="P2143" s="1038"/>
      <c r="Q2143" s="1038"/>
      <c r="R2143" s="1038"/>
      <c r="S2143" s="1038"/>
      <c r="T2143" s="1038"/>
      <c r="U2143" s="1038"/>
      <c r="V2143" s="1038"/>
      <c r="W2143" s="1038"/>
      <c r="X2143" s="1038"/>
      <c r="Y2143" s="1038"/>
      <c r="Z2143" s="1038"/>
      <c r="AA2143" s="1038"/>
      <c r="AB2143" s="1055"/>
      <c r="AC2143" s="1055"/>
      <c r="AD2143" s="1055"/>
      <c r="AE2143" s="1055"/>
      <c r="AF2143" s="1300" t="s">
        <v>159</v>
      </c>
      <c r="AG2143" s="1301"/>
      <c r="AH2143" s="1300" t="s">
        <v>159</v>
      </c>
      <c r="AI2143" s="1301"/>
      <c r="AJ2143" s="1300" t="s">
        <v>159</v>
      </c>
      <c r="AK2143" s="1301"/>
      <c r="AL2143" s="1300" t="s">
        <v>159</v>
      </c>
      <c r="AM2143" s="1301"/>
      <c r="AN2143" s="1300" t="s">
        <v>159</v>
      </c>
      <c r="AO2143" s="1301"/>
      <c r="AP2143" s="1302" t="s">
        <v>159</v>
      </c>
      <c r="AQ2143" s="1303"/>
    </row>
    <row r="2144" spans="2:44" s="1044" customFormat="1" hidden="1" outlineLevel="1">
      <c r="B2144" s="1045"/>
      <c r="C2144" s="1053" t="s">
        <v>16</v>
      </c>
      <c r="D2144" s="1051" t="s">
        <v>1254</v>
      </c>
      <c r="E2144" s="278" t="s">
        <v>1684</v>
      </c>
      <c r="F2144" s="1060"/>
      <c r="G2144" s="1060"/>
      <c r="H2144" s="1060"/>
      <c r="I2144" s="1060"/>
      <c r="J2144" s="1060"/>
      <c r="K2144" s="1060"/>
      <c r="L2144" s="1060"/>
      <c r="M2144" s="1060"/>
      <c r="N2144" s="1060"/>
      <c r="O2144" s="1060"/>
      <c r="P2144" s="1060"/>
      <c r="Q2144" s="1060"/>
      <c r="R2144" s="1060"/>
      <c r="S2144" s="1060"/>
      <c r="T2144" s="1060"/>
      <c r="U2144" s="1060"/>
      <c r="V2144" s="1060"/>
      <c r="W2144" s="1060"/>
      <c r="X2144" s="1060"/>
      <c r="Y2144" s="1060"/>
      <c r="Z2144" s="1060"/>
      <c r="AA2144" s="1060"/>
      <c r="AB2144" s="1071"/>
      <c r="AC2144" s="1071"/>
      <c r="AD2144" s="1071"/>
      <c r="AE2144" s="1071"/>
      <c r="AF2144" s="1071"/>
      <c r="AG2144" s="1071"/>
      <c r="AH2144" s="1071"/>
      <c r="AI2144" s="1071"/>
      <c r="AJ2144" s="1071"/>
      <c r="AK2144" s="1071"/>
      <c r="AL2144" s="1071"/>
      <c r="AM2144" s="1071"/>
      <c r="AN2144" s="1071"/>
      <c r="AO2144" s="1071"/>
      <c r="AP2144" s="1071"/>
      <c r="AQ2144" s="1071"/>
    </row>
    <row r="2145" spans="2:43" s="1044" customFormat="1" hidden="1" outlineLevel="1">
      <c r="B2145" s="1045"/>
      <c r="C2145" s="1053" t="s">
        <v>16</v>
      </c>
      <c r="D2145" s="1051" t="s">
        <v>1254</v>
      </c>
      <c r="E2145" s="278" t="s">
        <v>350</v>
      </c>
      <c r="F2145" s="1047"/>
      <c r="G2145" s="1047"/>
      <c r="H2145" s="1047"/>
      <c r="I2145" s="1047"/>
      <c r="J2145" s="1047"/>
      <c r="K2145" s="1047"/>
      <c r="L2145" s="1047"/>
      <c r="M2145" s="1047"/>
      <c r="N2145" s="1047"/>
      <c r="O2145" s="1047"/>
      <c r="P2145" s="1047"/>
      <c r="Q2145" s="1047"/>
      <c r="R2145" s="1047"/>
      <c r="S2145" s="1047"/>
      <c r="T2145" s="1047"/>
      <c r="U2145" s="1047"/>
      <c r="V2145" s="1047"/>
      <c r="W2145" s="1047"/>
      <c r="X2145" s="1047"/>
      <c r="Y2145" s="1047"/>
      <c r="Z2145" s="1047"/>
      <c r="AA2145" s="1047"/>
      <c r="AB2145" s="1247">
        <v>197694</v>
      </c>
      <c r="AC2145" s="1247">
        <v>197694</v>
      </c>
      <c r="AD2145" s="1247">
        <v>691139</v>
      </c>
      <c r="AE2145" s="1247">
        <v>691139</v>
      </c>
      <c r="AF2145" s="1070">
        <v>668711</v>
      </c>
      <c r="AG2145" s="1070">
        <v>668711</v>
      </c>
      <c r="AH2145" s="1070">
        <v>451256</v>
      </c>
      <c r="AI2145" s="1070">
        <v>451256</v>
      </c>
      <c r="AJ2145" s="1058">
        <v>558101</v>
      </c>
      <c r="AK2145" s="1058">
        <v>558101</v>
      </c>
      <c r="AL2145" s="1058"/>
      <c r="AM2145" s="1058"/>
      <c r="AN2145" s="1058"/>
      <c r="AO2145" s="1058"/>
      <c r="AP2145" s="1058"/>
      <c r="AQ2145" s="1058"/>
    </row>
    <row r="2146" spans="2:43" s="1044" customFormat="1" hidden="1" outlineLevel="1">
      <c r="B2146" s="1045"/>
      <c r="C2146" s="1053" t="s">
        <v>16</v>
      </c>
      <c r="D2146" s="1051" t="s">
        <v>1254</v>
      </c>
      <c r="E2146" s="278" t="s">
        <v>346</v>
      </c>
      <c r="F2146" s="1047"/>
      <c r="G2146" s="1047"/>
      <c r="H2146" s="1047"/>
      <c r="I2146" s="1047"/>
      <c r="J2146" s="1047"/>
      <c r="K2146" s="1047"/>
      <c r="L2146" s="1047"/>
      <c r="M2146" s="1047"/>
      <c r="N2146" s="1047"/>
      <c r="O2146" s="1047"/>
      <c r="P2146" s="1047"/>
      <c r="Q2146" s="1047"/>
      <c r="R2146" s="1047"/>
      <c r="S2146" s="1047"/>
      <c r="T2146" s="1047"/>
      <c r="U2146" s="1047"/>
      <c r="V2146" s="1047"/>
      <c r="W2146" s="1047"/>
      <c r="X2146" s="1047"/>
      <c r="Y2146" s="1047"/>
      <c r="Z2146" s="1047"/>
      <c r="AA2146" s="1047"/>
      <c r="AB2146" s="1247">
        <v>216396</v>
      </c>
      <c r="AC2146" s="1247">
        <v>216396</v>
      </c>
      <c r="AD2146" s="1247">
        <v>654719</v>
      </c>
      <c r="AE2146" s="1247">
        <v>654719</v>
      </c>
      <c r="AF2146" s="1070">
        <v>740210</v>
      </c>
      <c r="AG2146" s="1070">
        <v>740210</v>
      </c>
      <c r="AH2146" s="1070">
        <v>573919</v>
      </c>
      <c r="AI2146" s="1070">
        <v>573919</v>
      </c>
      <c r="AJ2146" s="1058">
        <v>550907</v>
      </c>
      <c r="AK2146" s="1058">
        <v>550907</v>
      </c>
      <c r="AL2146" s="1058"/>
      <c r="AM2146" s="1058"/>
      <c r="AN2146" s="1058"/>
      <c r="AO2146" s="1058"/>
      <c r="AP2146" s="1058"/>
      <c r="AQ2146" s="1058"/>
    </row>
    <row r="2147" spans="2:43" s="1044" customFormat="1" hidden="1" outlineLevel="1">
      <c r="B2147" s="1045"/>
      <c r="C2147" s="1053" t="s">
        <v>16</v>
      </c>
      <c r="D2147" s="1051" t="s">
        <v>1254</v>
      </c>
      <c r="E2147" s="278" t="s">
        <v>358</v>
      </c>
      <c r="F2147" s="1047"/>
      <c r="G2147" s="1047"/>
      <c r="H2147" s="1047"/>
      <c r="I2147" s="1047"/>
      <c r="J2147" s="1047"/>
      <c r="K2147" s="1047"/>
      <c r="L2147" s="1047"/>
      <c r="M2147" s="1047"/>
      <c r="N2147" s="1047"/>
      <c r="O2147" s="1047"/>
      <c r="P2147" s="1047"/>
      <c r="Q2147" s="1047"/>
      <c r="R2147" s="1047"/>
      <c r="S2147" s="1047"/>
      <c r="T2147" s="1047"/>
      <c r="U2147" s="1047"/>
      <c r="V2147" s="1047"/>
      <c r="W2147" s="1047"/>
      <c r="X2147" s="1047"/>
      <c r="Y2147" s="1047"/>
      <c r="Z2147" s="1047"/>
      <c r="AA2147" s="1047"/>
      <c r="AB2147" s="1247">
        <v>125000</v>
      </c>
      <c r="AC2147" s="1247">
        <v>125000</v>
      </c>
      <c r="AD2147" s="1247">
        <v>203877</v>
      </c>
      <c r="AE2147" s="1247">
        <v>203877</v>
      </c>
      <c r="AF2147" s="1070">
        <v>250623</v>
      </c>
      <c r="AG2147" s="1070">
        <v>250623</v>
      </c>
      <c r="AH2147" s="1070">
        <v>153204</v>
      </c>
      <c r="AI2147" s="1070">
        <v>153204</v>
      </c>
      <c r="AJ2147" s="1058">
        <v>109910</v>
      </c>
      <c r="AK2147" s="1058">
        <v>109910</v>
      </c>
      <c r="AL2147" s="1058"/>
      <c r="AM2147" s="1058"/>
      <c r="AN2147" s="1058"/>
      <c r="AO2147" s="1058"/>
      <c r="AP2147" s="1058"/>
      <c r="AQ2147" s="1058"/>
    </row>
    <row r="2148" spans="2:43" s="1044" customFormat="1" hidden="1" outlineLevel="1">
      <c r="B2148" s="1045"/>
      <c r="C2148" s="1053" t="s">
        <v>16</v>
      </c>
      <c r="D2148" s="1051" t="s">
        <v>1254</v>
      </c>
      <c r="E2148" s="278" t="s">
        <v>374</v>
      </c>
      <c r="F2148" s="1047"/>
      <c r="G2148" s="1047"/>
      <c r="H2148" s="1047"/>
      <c r="I2148" s="1047"/>
      <c r="J2148" s="1047"/>
      <c r="K2148" s="1047"/>
      <c r="L2148" s="1047"/>
      <c r="M2148" s="1047"/>
      <c r="N2148" s="1047"/>
      <c r="O2148" s="1047"/>
      <c r="P2148" s="1047"/>
      <c r="Q2148" s="1047"/>
      <c r="R2148" s="1047"/>
      <c r="S2148" s="1047"/>
      <c r="T2148" s="1047"/>
      <c r="U2148" s="1047"/>
      <c r="V2148" s="1047"/>
      <c r="W2148" s="1047"/>
      <c r="X2148" s="1047"/>
      <c r="Y2148" s="1047"/>
      <c r="Z2148" s="1047"/>
      <c r="AA2148" s="1047"/>
      <c r="AB2148" s="1247">
        <v>125000</v>
      </c>
      <c r="AC2148" s="1247">
        <v>125000</v>
      </c>
      <c r="AD2148" s="1247">
        <v>119630</v>
      </c>
      <c r="AE2148" s="1247">
        <v>119630</v>
      </c>
      <c r="AF2148" s="1070">
        <v>228118</v>
      </c>
      <c r="AG2148" s="1070">
        <v>228118</v>
      </c>
      <c r="AH2148" s="1070">
        <v>217036</v>
      </c>
      <c r="AI2148" s="1070">
        <v>217036</v>
      </c>
      <c r="AJ2148" s="1058">
        <v>231029</v>
      </c>
      <c r="AK2148" s="1058">
        <v>231029</v>
      </c>
      <c r="AL2148" s="1058"/>
      <c r="AM2148" s="1058"/>
      <c r="AN2148" s="1058"/>
      <c r="AO2148" s="1058"/>
      <c r="AP2148" s="1058"/>
      <c r="AQ2148" s="1058"/>
    </row>
    <row r="2149" spans="2:43" s="1044" customFormat="1" hidden="1" outlineLevel="1">
      <c r="B2149" s="1045"/>
      <c r="C2149" s="1053" t="s">
        <v>16</v>
      </c>
      <c r="D2149" s="1051" t="s">
        <v>1254</v>
      </c>
      <c r="E2149" s="278" t="s">
        <v>387</v>
      </c>
      <c r="F2149" s="1047"/>
      <c r="G2149" s="1047"/>
      <c r="H2149" s="1047"/>
      <c r="I2149" s="1047"/>
      <c r="J2149" s="1047"/>
      <c r="K2149" s="1047"/>
      <c r="L2149" s="1047"/>
      <c r="M2149" s="1047"/>
      <c r="N2149" s="1047"/>
      <c r="O2149" s="1047"/>
      <c r="P2149" s="1047"/>
      <c r="Q2149" s="1047"/>
      <c r="R2149" s="1047"/>
      <c r="S2149" s="1047"/>
      <c r="T2149" s="1047"/>
      <c r="U2149" s="1047"/>
      <c r="V2149" s="1047"/>
      <c r="W2149" s="1047"/>
      <c r="X2149" s="1047"/>
      <c r="Y2149" s="1047"/>
      <c r="Z2149" s="1047"/>
      <c r="AA2149" s="1047"/>
      <c r="AB2149" s="1247">
        <v>265321</v>
      </c>
      <c r="AC2149" s="1247">
        <v>265321</v>
      </c>
      <c r="AD2149" s="1247">
        <v>579142</v>
      </c>
      <c r="AE2149" s="1247">
        <v>579142</v>
      </c>
      <c r="AF2149" s="1070">
        <v>407402</v>
      </c>
      <c r="AG2149" s="1070">
        <v>407402</v>
      </c>
      <c r="AH2149" s="1070">
        <v>300171</v>
      </c>
      <c r="AI2149" s="1070">
        <v>300171</v>
      </c>
      <c r="AJ2149" s="1058">
        <v>345682</v>
      </c>
      <c r="AK2149" s="1058">
        <v>345682</v>
      </c>
      <c r="AL2149" s="1058"/>
      <c r="AM2149" s="1058"/>
      <c r="AN2149" s="1058"/>
      <c r="AO2149" s="1058"/>
      <c r="AP2149" s="1058"/>
      <c r="AQ2149" s="1058"/>
    </row>
    <row r="2150" spans="2:43" s="1044" customFormat="1" hidden="1" outlineLevel="1">
      <c r="B2150" s="1045"/>
      <c r="C2150" s="1053" t="s">
        <v>16</v>
      </c>
      <c r="D2150" s="1051" t="s">
        <v>1254</v>
      </c>
      <c r="E2150" s="278" t="s">
        <v>407</v>
      </c>
      <c r="F2150" s="1047"/>
      <c r="G2150" s="1047"/>
      <c r="H2150" s="1047"/>
      <c r="I2150" s="1047"/>
      <c r="J2150" s="1047"/>
      <c r="K2150" s="1047"/>
      <c r="L2150" s="1047"/>
      <c r="M2150" s="1047"/>
      <c r="N2150" s="1047"/>
      <c r="O2150" s="1047"/>
      <c r="P2150" s="1047"/>
      <c r="Q2150" s="1047"/>
      <c r="R2150" s="1047"/>
      <c r="S2150" s="1047"/>
      <c r="T2150" s="1047"/>
      <c r="U2150" s="1047"/>
      <c r="V2150" s="1047"/>
      <c r="W2150" s="1047"/>
      <c r="X2150" s="1047"/>
      <c r="Y2150" s="1047"/>
      <c r="Z2150" s="1047"/>
      <c r="AA2150" s="1047"/>
      <c r="AB2150" s="1070">
        <v>604246</v>
      </c>
      <c r="AC2150" s="1070">
        <v>604246</v>
      </c>
      <c r="AD2150" s="1070">
        <v>1292371</v>
      </c>
      <c r="AE2150" s="1070">
        <v>1292371</v>
      </c>
      <c r="AF2150" s="1070">
        <v>1115775</v>
      </c>
      <c r="AG2150" s="1070">
        <v>1115775</v>
      </c>
      <c r="AH2150" s="1070">
        <v>793198</v>
      </c>
      <c r="AI2150" s="1070">
        <v>793198</v>
      </c>
      <c r="AJ2150" s="1058">
        <v>686794</v>
      </c>
      <c r="AK2150" s="1058">
        <v>686794</v>
      </c>
      <c r="AL2150" s="1058"/>
      <c r="AM2150" s="1058"/>
      <c r="AN2150" s="1058"/>
      <c r="AO2150" s="1058"/>
      <c r="AP2150" s="1058"/>
      <c r="AQ2150" s="1058"/>
    </row>
    <row r="2151" spans="2:43" s="1044" customFormat="1" hidden="1" outlineLevel="1">
      <c r="B2151" s="1045"/>
      <c r="C2151" s="1053" t="s">
        <v>16</v>
      </c>
      <c r="D2151" s="1113" t="s">
        <v>1254</v>
      </c>
      <c r="E2151" s="1121" t="s">
        <v>1082</v>
      </c>
      <c r="F2151" s="638"/>
      <c r="G2151" s="1047"/>
      <c r="H2151" s="1047"/>
      <c r="I2151" s="1047"/>
      <c r="J2151" s="1047"/>
      <c r="K2151" s="1047"/>
      <c r="L2151" s="1047"/>
      <c r="M2151" s="1047"/>
      <c r="N2151" s="1047"/>
      <c r="O2151" s="1047"/>
      <c r="P2151" s="1047"/>
      <c r="Q2151" s="1047"/>
      <c r="R2151" s="1047"/>
      <c r="S2151" s="1047"/>
      <c r="T2151" s="1047"/>
      <c r="U2151" s="1047"/>
      <c r="V2151" s="1047"/>
      <c r="W2151" s="1047"/>
      <c r="X2151" s="1047"/>
      <c r="Y2151" s="1047"/>
      <c r="Z2151" s="1047"/>
      <c r="AA2151" s="1047"/>
      <c r="AB2151" s="1070">
        <v>728751</v>
      </c>
      <c r="AC2151" s="1070">
        <v>728751</v>
      </c>
      <c r="AD2151" s="1070">
        <v>1175925</v>
      </c>
      <c r="AE2151" s="1070">
        <v>1175925</v>
      </c>
      <c r="AF2151" s="1070">
        <v>1495540</v>
      </c>
      <c r="AG2151" s="1070">
        <v>1495540</v>
      </c>
      <c r="AH2151" s="1070">
        <v>1106178</v>
      </c>
      <c r="AI2151" s="1070">
        <v>1106178</v>
      </c>
      <c r="AJ2151" s="1058">
        <v>1052867</v>
      </c>
      <c r="AK2151" s="1058">
        <v>1052867</v>
      </c>
      <c r="AL2151" s="1058"/>
      <c r="AM2151" s="1058"/>
      <c r="AN2151" s="1058"/>
      <c r="AO2151" s="1058"/>
      <c r="AP2151" s="1058"/>
      <c r="AQ2151" s="1058"/>
    </row>
    <row r="2152" spans="2:43" s="1044" customFormat="1" hidden="1" outlineLevel="1">
      <c r="B2152" s="1045"/>
      <c r="C2152" s="1053" t="s">
        <v>16</v>
      </c>
      <c r="D2152" s="1113" t="s">
        <v>1254</v>
      </c>
      <c r="E2152" s="1120" t="s">
        <v>430</v>
      </c>
      <c r="F2152" s="638"/>
      <c r="G2152" s="1047"/>
      <c r="H2152" s="1047"/>
      <c r="I2152" s="1047"/>
      <c r="J2152" s="1047"/>
      <c r="K2152" s="1047"/>
      <c r="L2152" s="1047"/>
      <c r="M2152" s="1047"/>
      <c r="N2152" s="1047"/>
      <c r="O2152" s="1047"/>
      <c r="P2152" s="1047"/>
      <c r="Q2152" s="1047"/>
      <c r="R2152" s="1047"/>
      <c r="S2152" s="1047"/>
      <c r="T2152" s="1047"/>
      <c r="U2152" s="1047"/>
      <c r="V2152" s="1047"/>
      <c r="W2152" s="1047"/>
      <c r="X2152" s="1047"/>
      <c r="Y2152" s="1047"/>
      <c r="Z2152" s="1047"/>
      <c r="AA2152" s="1047"/>
      <c r="AB2152" s="1070">
        <v>601041</v>
      </c>
      <c r="AC2152" s="1070">
        <v>601041</v>
      </c>
      <c r="AD2152" s="1070">
        <v>1326883</v>
      </c>
      <c r="AE2152" s="1070">
        <v>1326883</v>
      </c>
      <c r="AF2152" s="1070">
        <v>1267265</v>
      </c>
      <c r="AG2152" s="1070">
        <v>1267265</v>
      </c>
      <c r="AH2152" s="1070">
        <v>923103</v>
      </c>
      <c r="AI2152" s="1070">
        <v>923103</v>
      </c>
      <c r="AJ2152" s="1058">
        <v>1014711</v>
      </c>
      <c r="AK2152" s="1058">
        <v>1014711</v>
      </c>
      <c r="AL2152" s="1058"/>
      <c r="AM2152" s="1058"/>
      <c r="AN2152" s="1058"/>
      <c r="AO2152" s="1058"/>
      <c r="AP2152" s="1058"/>
      <c r="AQ2152" s="1058"/>
    </row>
    <row r="2153" spans="2:43" s="1044" customFormat="1" hidden="1" outlineLevel="1">
      <c r="B2153" s="1045"/>
      <c r="C2153" s="1053" t="s">
        <v>16</v>
      </c>
      <c r="D2153" s="1113" t="s">
        <v>1254</v>
      </c>
      <c r="E2153" s="1120" t="s">
        <v>439</v>
      </c>
      <c r="F2153" s="638"/>
      <c r="G2153" s="1047"/>
      <c r="H2153" s="1047"/>
      <c r="I2153" s="1047"/>
      <c r="J2153" s="1047"/>
      <c r="K2153" s="1047"/>
      <c r="L2153" s="1047"/>
      <c r="M2153" s="1047"/>
      <c r="N2153" s="1047"/>
      <c r="O2153" s="1047"/>
      <c r="P2153" s="1047"/>
      <c r="Q2153" s="1047"/>
      <c r="R2153" s="1047"/>
      <c r="S2153" s="1047"/>
      <c r="T2153" s="1047"/>
      <c r="U2153" s="1047"/>
      <c r="V2153" s="1047"/>
      <c r="W2153" s="1047"/>
      <c r="X2153" s="1047"/>
      <c r="Y2153" s="1047"/>
      <c r="Z2153" s="1047"/>
      <c r="AA2153" s="1047"/>
      <c r="AB2153" s="1070">
        <v>12752</v>
      </c>
      <c r="AC2153" s="1070">
        <v>12752</v>
      </c>
      <c r="AD2153" s="1070">
        <v>21820</v>
      </c>
      <c r="AE2153" s="1070">
        <v>21820</v>
      </c>
      <c r="AF2153" s="1070">
        <v>34904</v>
      </c>
      <c r="AG2153" s="1070">
        <v>34904</v>
      </c>
      <c r="AH2153" s="1070">
        <v>126623</v>
      </c>
      <c r="AI2153" s="1070">
        <v>126623</v>
      </c>
      <c r="AJ2153" s="1058">
        <v>247339</v>
      </c>
      <c r="AK2153" s="1058">
        <v>247339</v>
      </c>
      <c r="AL2153" s="1058"/>
      <c r="AM2153" s="1058"/>
      <c r="AN2153" s="1058"/>
      <c r="AO2153" s="1058"/>
      <c r="AP2153" s="1058"/>
      <c r="AQ2153" s="1058"/>
    </row>
    <row r="2154" spans="2:43" s="1044" customFormat="1" hidden="1" outlineLevel="1">
      <c r="B2154" s="1045"/>
      <c r="C2154" s="1053" t="s">
        <v>16</v>
      </c>
      <c r="D2154" s="1051" t="s">
        <v>1254</v>
      </c>
      <c r="E2154" s="278" t="s">
        <v>447</v>
      </c>
      <c r="F2154" s="1047"/>
      <c r="G2154" s="1047"/>
      <c r="H2154" s="1047"/>
      <c r="I2154" s="1047"/>
      <c r="J2154" s="1047"/>
      <c r="K2154" s="1047"/>
      <c r="L2154" s="1047"/>
      <c r="M2154" s="1047"/>
      <c r="N2154" s="1047"/>
      <c r="O2154" s="1047"/>
      <c r="P2154" s="1047"/>
      <c r="Q2154" s="1047"/>
      <c r="R2154" s="1047"/>
      <c r="S2154" s="1047"/>
      <c r="T2154" s="1047"/>
      <c r="U2154" s="1047"/>
      <c r="V2154" s="1047"/>
      <c r="W2154" s="1047"/>
      <c r="X2154" s="1047"/>
      <c r="Y2154" s="1047"/>
      <c r="Z2154" s="1047"/>
      <c r="AA2154" s="1047"/>
      <c r="AB2154" s="1070">
        <v>251509</v>
      </c>
      <c r="AC2154" s="1070">
        <v>251509</v>
      </c>
      <c r="AD2154" s="1070">
        <v>486266</v>
      </c>
      <c r="AE2154" s="1070">
        <v>486266</v>
      </c>
      <c r="AF2154" s="1070">
        <v>527219</v>
      </c>
      <c r="AG2154" s="1070">
        <v>527219</v>
      </c>
      <c r="AH2154" s="1070">
        <v>340876</v>
      </c>
      <c r="AI2154" s="1070">
        <v>340876</v>
      </c>
      <c r="AJ2154" s="1058">
        <v>300368</v>
      </c>
      <c r="AK2154" s="1058">
        <v>300368</v>
      </c>
      <c r="AL2154" s="1058"/>
      <c r="AM2154" s="1058"/>
      <c r="AN2154" s="1058"/>
      <c r="AO2154" s="1058"/>
      <c r="AP2154" s="1058"/>
      <c r="AQ2154" s="1058"/>
    </row>
    <row r="2155" spans="2:43" s="1044" customFormat="1" hidden="1" outlineLevel="1">
      <c r="B2155" s="1045"/>
      <c r="C2155" s="1053" t="s">
        <v>16</v>
      </c>
      <c r="D2155" s="1051" t="s">
        <v>1254</v>
      </c>
      <c r="E2155" s="278" t="s">
        <v>450</v>
      </c>
      <c r="F2155" s="1047"/>
      <c r="G2155" s="1047"/>
      <c r="H2155" s="1047"/>
      <c r="I2155" s="1047"/>
      <c r="J2155" s="1047"/>
      <c r="K2155" s="1047"/>
      <c r="L2155" s="1047"/>
      <c r="M2155" s="1047"/>
      <c r="N2155" s="1047"/>
      <c r="O2155" s="1047"/>
      <c r="P2155" s="1047"/>
      <c r="Q2155" s="1047"/>
      <c r="R2155" s="1047"/>
      <c r="S2155" s="1047"/>
      <c r="T2155" s="1047"/>
      <c r="U2155" s="1047"/>
      <c r="V2155" s="1047"/>
      <c r="W2155" s="1047"/>
      <c r="X2155" s="1047"/>
      <c r="Y2155" s="1047"/>
      <c r="Z2155" s="1047"/>
      <c r="AA2155" s="1047"/>
      <c r="AB2155" s="1070">
        <v>24031</v>
      </c>
      <c r="AC2155" s="1070">
        <v>24031</v>
      </c>
      <c r="AD2155" s="1070">
        <v>118151</v>
      </c>
      <c r="AE2155" s="1070">
        <v>118151</v>
      </c>
      <c r="AF2155" s="1070">
        <v>218046</v>
      </c>
      <c r="AG2155" s="1070">
        <v>218046</v>
      </c>
      <c r="AH2155" s="1070">
        <v>218376</v>
      </c>
      <c r="AI2155" s="1070">
        <v>218376</v>
      </c>
      <c r="AJ2155" s="1058">
        <v>184998</v>
      </c>
      <c r="AK2155" s="1058">
        <v>184998</v>
      </c>
      <c r="AL2155" s="1058"/>
      <c r="AM2155" s="1058"/>
      <c r="AN2155" s="1058"/>
      <c r="AO2155" s="1058"/>
      <c r="AP2155" s="1058"/>
      <c r="AQ2155" s="1058"/>
    </row>
    <row r="2156" spans="2:43" s="1044" customFormat="1" hidden="1" outlineLevel="1">
      <c r="B2156" s="1045"/>
      <c r="C2156" s="1053" t="s">
        <v>16</v>
      </c>
      <c r="D2156" s="1051" t="s">
        <v>1254</v>
      </c>
      <c r="E2156" s="278" t="s">
        <v>457</v>
      </c>
      <c r="F2156" s="1047"/>
      <c r="G2156" s="1047"/>
      <c r="H2156" s="1047"/>
      <c r="I2156" s="1047"/>
      <c r="J2156" s="1047"/>
      <c r="K2156" s="1047"/>
      <c r="L2156" s="1047"/>
      <c r="M2156" s="1047"/>
      <c r="N2156" s="1047"/>
      <c r="O2156" s="1047"/>
      <c r="P2156" s="1047"/>
      <c r="Q2156" s="1047"/>
      <c r="R2156" s="1047"/>
      <c r="S2156" s="1047"/>
      <c r="T2156" s="1047"/>
      <c r="U2156" s="1047"/>
      <c r="V2156" s="1047"/>
      <c r="W2156" s="1047"/>
      <c r="X2156" s="1047"/>
      <c r="Y2156" s="1047"/>
      <c r="Z2156" s="1047"/>
      <c r="AA2156" s="1047"/>
      <c r="AB2156" s="1070">
        <v>0</v>
      </c>
      <c r="AC2156" s="1070">
        <v>0</v>
      </c>
      <c r="AD2156" s="1070">
        <v>0</v>
      </c>
      <c r="AE2156" s="1070">
        <v>0</v>
      </c>
      <c r="AF2156" s="1070">
        <v>0</v>
      </c>
      <c r="AG2156" s="1070">
        <v>0</v>
      </c>
      <c r="AH2156" s="1070">
        <v>4504</v>
      </c>
      <c r="AI2156" s="1070">
        <v>4504</v>
      </c>
      <c r="AJ2156" s="1058">
        <v>13777</v>
      </c>
      <c r="AK2156" s="1058">
        <v>13777</v>
      </c>
      <c r="AL2156" s="1058"/>
      <c r="AM2156" s="1058"/>
      <c r="AN2156" s="1058"/>
      <c r="AO2156" s="1058"/>
      <c r="AP2156" s="1058"/>
      <c r="AQ2156" s="1058"/>
    </row>
    <row r="2157" spans="2:43" s="1044" customFormat="1" hidden="1" outlineLevel="1">
      <c r="B2157" s="1045"/>
      <c r="C2157" s="1053" t="s">
        <v>16</v>
      </c>
      <c r="D2157" s="1051" t="s">
        <v>1254</v>
      </c>
      <c r="E2157" s="278" t="s">
        <v>480</v>
      </c>
      <c r="F2157" s="1047"/>
      <c r="G2157" s="1047"/>
      <c r="H2157" s="1047"/>
      <c r="I2157" s="1047"/>
      <c r="J2157" s="1047"/>
      <c r="K2157" s="1047"/>
      <c r="L2157" s="1047"/>
      <c r="M2157" s="1047"/>
      <c r="N2157" s="1047"/>
      <c r="O2157" s="1047"/>
      <c r="P2157" s="1047"/>
      <c r="Q2157" s="1047"/>
      <c r="R2157" s="1047"/>
      <c r="S2157" s="1047"/>
      <c r="T2157" s="1047"/>
      <c r="U2157" s="1047"/>
      <c r="V2157" s="1047"/>
      <c r="W2157" s="1047"/>
      <c r="X2157" s="1047"/>
      <c r="Y2157" s="1047"/>
      <c r="Z2157" s="1047"/>
      <c r="AA2157" s="1047"/>
      <c r="AB2157" s="1070">
        <v>316070</v>
      </c>
      <c r="AC2157" s="1070">
        <v>316070</v>
      </c>
      <c r="AD2157" s="1070">
        <v>106264</v>
      </c>
      <c r="AE2157" s="1070">
        <v>106264</v>
      </c>
      <c r="AF2157" s="1070">
        <v>74975</v>
      </c>
      <c r="AG2157" s="1070">
        <v>74975</v>
      </c>
      <c r="AH2157" s="1070">
        <v>54196</v>
      </c>
      <c r="AI2157" s="1070">
        <v>54196</v>
      </c>
      <c r="AJ2157" s="1058">
        <v>120613</v>
      </c>
      <c r="AK2157" s="1058">
        <v>120613</v>
      </c>
      <c r="AL2157" s="1058"/>
      <c r="AM2157" s="1058"/>
      <c r="AN2157" s="1058"/>
      <c r="AO2157" s="1058"/>
      <c r="AP2157" s="1058"/>
      <c r="AQ2157" s="1058"/>
    </row>
    <row r="2158" spans="2:43" s="1044" customFormat="1" hidden="1" outlineLevel="1">
      <c r="B2158" s="1045"/>
      <c r="C2158" s="1053" t="s">
        <v>16</v>
      </c>
      <c r="D2158" s="1051" t="s">
        <v>1254</v>
      </c>
      <c r="E2158" s="278" t="s">
        <v>484</v>
      </c>
      <c r="F2158" s="1047"/>
      <c r="G2158" s="1047"/>
      <c r="H2158" s="1047"/>
      <c r="I2158" s="1047"/>
      <c r="J2158" s="1047"/>
      <c r="K2158" s="1047"/>
      <c r="L2158" s="1047"/>
      <c r="M2158" s="1047"/>
      <c r="N2158" s="1047"/>
      <c r="O2158" s="1047"/>
      <c r="P2158" s="1047"/>
      <c r="Q2158" s="1047"/>
      <c r="R2158" s="1047"/>
      <c r="S2158" s="1047"/>
      <c r="T2158" s="1047"/>
      <c r="U2158" s="1047"/>
      <c r="V2158" s="1047"/>
      <c r="W2158" s="1047"/>
      <c r="X2158" s="1047"/>
      <c r="Y2158" s="1047"/>
      <c r="Z2158" s="1047"/>
      <c r="AA2158" s="1047"/>
      <c r="AB2158" s="1070">
        <v>64085</v>
      </c>
      <c r="AC2158" s="1070">
        <v>64085</v>
      </c>
      <c r="AD2158" s="1070">
        <v>86925</v>
      </c>
      <c r="AE2158" s="1070">
        <v>86925</v>
      </c>
      <c r="AF2158" s="1070">
        <v>56984</v>
      </c>
      <c r="AG2158" s="1070">
        <v>56984</v>
      </c>
      <c r="AH2158" s="1070">
        <v>52124</v>
      </c>
      <c r="AI2158" s="1070">
        <v>52124</v>
      </c>
      <c r="AJ2158" s="1058">
        <v>133343</v>
      </c>
      <c r="AK2158" s="1058">
        <v>133343</v>
      </c>
      <c r="AL2158" s="1058"/>
      <c r="AM2158" s="1058"/>
      <c r="AN2158" s="1058"/>
      <c r="AO2158" s="1058"/>
      <c r="AP2158" s="1058"/>
      <c r="AQ2158" s="1058"/>
    </row>
    <row r="2159" spans="2:43" s="1044" customFormat="1" hidden="1" outlineLevel="1">
      <c r="B2159" s="1045"/>
      <c r="C2159" s="1053" t="s">
        <v>16</v>
      </c>
      <c r="D2159" s="1051" t="s">
        <v>1254</v>
      </c>
      <c r="E2159" s="278" t="s">
        <v>491</v>
      </c>
      <c r="F2159" s="1047"/>
      <c r="G2159" s="1047"/>
      <c r="H2159" s="1047"/>
      <c r="I2159" s="1047"/>
      <c r="J2159" s="1047"/>
      <c r="K2159" s="1047"/>
      <c r="L2159" s="1047"/>
      <c r="M2159" s="1047"/>
      <c r="N2159" s="1047"/>
      <c r="O2159" s="1047"/>
      <c r="P2159" s="1047"/>
      <c r="Q2159" s="1047"/>
      <c r="R2159" s="1047"/>
      <c r="S2159" s="1047"/>
      <c r="T2159" s="1047"/>
      <c r="U2159" s="1047"/>
      <c r="V2159" s="1047"/>
      <c r="W2159" s="1047"/>
      <c r="X2159" s="1047"/>
      <c r="Y2159" s="1047"/>
      <c r="Z2159" s="1047"/>
      <c r="AA2159" s="1047"/>
      <c r="AB2159" s="1070"/>
      <c r="AC2159" s="1070"/>
      <c r="AD2159" s="1070">
        <v>837</v>
      </c>
      <c r="AE2159" s="1070">
        <v>837</v>
      </c>
      <c r="AF2159" s="1070">
        <v>0</v>
      </c>
      <c r="AG2159" s="1070">
        <v>0</v>
      </c>
      <c r="AH2159" s="1070">
        <v>1127</v>
      </c>
      <c r="AI2159" s="1070">
        <v>1127</v>
      </c>
      <c r="AJ2159" s="1058">
        <v>1043</v>
      </c>
      <c r="AK2159" s="1058">
        <v>1043</v>
      </c>
      <c r="AL2159" s="1058"/>
      <c r="AM2159" s="1058"/>
      <c r="AN2159" s="1058"/>
      <c r="AO2159" s="1058"/>
      <c r="AP2159" s="1058"/>
      <c r="AQ2159" s="1058"/>
    </row>
    <row r="2160" spans="2:43" s="1044" customFormat="1" hidden="1" outlineLevel="1">
      <c r="B2160" s="1045"/>
      <c r="C2160" s="1053" t="s">
        <v>16</v>
      </c>
      <c r="D2160" s="1051" t="s">
        <v>1254</v>
      </c>
      <c r="E2160" s="278" t="s">
        <v>495</v>
      </c>
      <c r="F2160" s="1047"/>
      <c r="G2160" s="1047"/>
      <c r="H2160" s="1047"/>
      <c r="I2160" s="1047"/>
      <c r="J2160" s="1047"/>
      <c r="K2160" s="1047"/>
      <c r="L2160" s="1047"/>
      <c r="M2160" s="1047"/>
      <c r="N2160" s="1047"/>
      <c r="O2160" s="1047"/>
      <c r="P2160" s="1047"/>
      <c r="Q2160" s="1047"/>
      <c r="R2160" s="1047"/>
      <c r="S2160" s="1047"/>
      <c r="T2160" s="1047"/>
      <c r="U2160" s="1047"/>
      <c r="V2160" s="1047"/>
      <c r="W2160" s="1047"/>
      <c r="X2160" s="1047"/>
      <c r="Y2160" s="1047"/>
      <c r="Z2160" s="1047"/>
      <c r="AA2160" s="1047"/>
      <c r="AB2160" s="1070">
        <v>9470</v>
      </c>
      <c r="AC2160" s="1070">
        <v>9470</v>
      </c>
      <c r="AD2160" s="1070">
        <v>16846</v>
      </c>
      <c r="AE2160" s="1070">
        <v>16846</v>
      </c>
      <c r="AF2160" s="1070">
        <v>8286</v>
      </c>
      <c r="AG2160" s="1070">
        <v>8286</v>
      </c>
      <c r="AH2160" s="1070">
        <v>15033</v>
      </c>
      <c r="AI2160" s="1070">
        <v>15033</v>
      </c>
      <c r="AJ2160" s="1058">
        <v>37405</v>
      </c>
      <c r="AK2160" s="1058">
        <v>37405</v>
      </c>
      <c r="AL2160" s="1058"/>
      <c r="AM2160" s="1058"/>
      <c r="AN2160" s="1058"/>
      <c r="AO2160" s="1058"/>
      <c r="AP2160" s="1058"/>
      <c r="AQ2160" s="1058"/>
    </row>
    <row r="2161" spans="2:43" s="1044" customFormat="1" hidden="1" outlineLevel="1">
      <c r="B2161" s="1045"/>
      <c r="C2161" s="1053" t="s">
        <v>16</v>
      </c>
      <c r="D2161" s="1051" t="s">
        <v>1254</v>
      </c>
      <c r="E2161" s="278" t="s">
        <v>506</v>
      </c>
      <c r="F2161" s="1047"/>
      <c r="G2161" s="1047"/>
      <c r="H2161" s="1047"/>
      <c r="I2161" s="1047"/>
      <c r="J2161" s="1047"/>
      <c r="K2161" s="1047"/>
      <c r="L2161" s="1047"/>
      <c r="M2161" s="1047"/>
      <c r="N2161" s="1047"/>
      <c r="O2161" s="1047"/>
      <c r="P2161" s="1047"/>
      <c r="Q2161" s="1047"/>
      <c r="R2161" s="1047"/>
      <c r="S2161" s="1047"/>
      <c r="T2161" s="1047"/>
      <c r="U2161" s="1047"/>
      <c r="V2161" s="1047"/>
      <c r="W2161" s="1047"/>
      <c r="X2161" s="1047"/>
      <c r="Y2161" s="1047"/>
      <c r="Z2161" s="1047"/>
      <c r="AA2161" s="1047"/>
      <c r="AB2161" s="1070">
        <v>1121371</v>
      </c>
      <c r="AC2161" s="1070"/>
      <c r="AD2161" s="1070"/>
      <c r="AE2161" s="1070"/>
      <c r="AF2161" s="1070"/>
      <c r="AG2161" s="1070"/>
      <c r="AH2161" s="1070"/>
      <c r="AI2161" s="1070"/>
      <c r="AJ2161" s="1059">
        <v>998</v>
      </c>
      <c r="AK2161" s="1059">
        <v>998</v>
      </c>
      <c r="AL2161" s="1059"/>
      <c r="AM2161" s="1059"/>
      <c r="AN2161" s="1059"/>
      <c r="AO2161" s="1059"/>
      <c r="AP2161" s="1059"/>
      <c r="AQ2161" s="1059"/>
    </row>
    <row r="2162" spans="2:43" s="1044" customFormat="1" hidden="1" outlineLevel="1">
      <c r="B2162" s="1045"/>
      <c r="C2162" s="1053" t="s">
        <v>16</v>
      </c>
      <c r="D2162" s="1051" t="s">
        <v>1254</v>
      </c>
      <c r="E2162" s="278" t="s">
        <v>514</v>
      </c>
      <c r="F2162" s="1047"/>
      <c r="G2162" s="1047"/>
      <c r="H2162" s="1047"/>
      <c r="I2162" s="1047"/>
      <c r="J2162" s="1047"/>
      <c r="K2162" s="1047"/>
      <c r="L2162" s="1047"/>
      <c r="M2162" s="1047"/>
      <c r="N2162" s="1047"/>
      <c r="O2162" s="1047"/>
      <c r="P2162" s="1047"/>
      <c r="Q2162" s="1047"/>
      <c r="R2162" s="1047"/>
      <c r="S2162" s="1047"/>
      <c r="T2162" s="1047"/>
      <c r="U2162" s="1047"/>
      <c r="V2162" s="1047"/>
      <c r="W2162" s="1047"/>
      <c r="X2162" s="1047"/>
      <c r="Y2162" s="1047"/>
      <c r="Z2162" s="1047"/>
      <c r="AA2162" s="1047"/>
      <c r="AB2162" s="1070">
        <v>271591</v>
      </c>
      <c r="AC2162" s="1070">
        <v>271591</v>
      </c>
      <c r="AD2162" s="1070">
        <v>494148</v>
      </c>
      <c r="AE2162" s="1070">
        <v>494148</v>
      </c>
      <c r="AF2162" s="1070">
        <v>634501</v>
      </c>
      <c r="AG2162" s="1070">
        <v>634501</v>
      </c>
      <c r="AH2162" s="1070">
        <v>447848</v>
      </c>
      <c r="AI2162" s="1070">
        <v>447848</v>
      </c>
      <c r="AJ2162" s="1058">
        <v>319803</v>
      </c>
      <c r="AK2162" s="1058">
        <v>319803</v>
      </c>
      <c r="AL2162" s="1058"/>
      <c r="AM2162" s="1058"/>
      <c r="AN2162" s="1058"/>
      <c r="AO2162" s="1058"/>
      <c r="AP2162" s="1058"/>
      <c r="AQ2162" s="1058"/>
    </row>
    <row r="2163" spans="2:43" s="1044" customFormat="1" hidden="1" outlineLevel="1">
      <c r="B2163" s="1045"/>
      <c r="C2163" s="1053" t="s">
        <v>16</v>
      </c>
      <c r="D2163" s="1051" t="s">
        <v>1254</v>
      </c>
      <c r="E2163" s="278" t="s">
        <v>525</v>
      </c>
      <c r="F2163" s="1047"/>
      <c r="G2163" s="1047"/>
      <c r="H2163" s="1047"/>
      <c r="I2163" s="1047"/>
      <c r="J2163" s="1047"/>
      <c r="K2163" s="1047"/>
      <c r="L2163" s="1047"/>
      <c r="M2163" s="1047"/>
      <c r="N2163" s="1047"/>
      <c r="O2163" s="1047"/>
      <c r="P2163" s="1047"/>
      <c r="Q2163" s="1047"/>
      <c r="R2163" s="1047"/>
      <c r="S2163" s="1047"/>
      <c r="T2163" s="1047"/>
      <c r="U2163" s="1047"/>
      <c r="V2163" s="1047"/>
      <c r="W2163" s="1047"/>
      <c r="X2163" s="1047"/>
      <c r="Y2163" s="1047"/>
      <c r="Z2163" s="1047"/>
      <c r="AA2163" s="1047"/>
      <c r="AB2163" s="1070">
        <v>459790</v>
      </c>
      <c r="AC2163" s="1070">
        <v>459790</v>
      </c>
      <c r="AD2163" s="1070">
        <v>655294</v>
      </c>
      <c r="AE2163" s="1070">
        <v>655294</v>
      </c>
      <c r="AF2163" s="1070">
        <v>430341</v>
      </c>
      <c r="AG2163" s="1070">
        <v>430341</v>
      </c>
      <c r="AH2163" s="1070">
        <v>169290</v>
      </c>
      <c r="AI2163" s="1070">
        <v>169290</v>
      </c>
      <c r="AJ2163" s="1058">
        <v>166225</v>
      </c>
      <c r="AK2163" s="1058">
        <v>166225</v>
      </c>
      <c r="AL2163" s="1058"/>
      <c r="AM2163" s="1058"/>
      <c r="AN2163" s="1058"/>
      <c r="AO2163" s="1058"/>
      <c r="AP2163" s="1058"/>
      <c r="AQ2163" s="1058"/>
    </row>
    <row r="2164" spans="2:43" s="1044" customFormat="1" hidden="1" outlineLevel="1">
      <c r="B2164" s="1045"/>
      <c r="C2164" s="1053" t="s">
        <v>16</v>
      </c>
      <c r="D2164" s="1051" t="s">
        <v>1254</v>
      </c>
      <c r="E2164" s="278" t="s">
        <v>1963</v>
      </c>
      <c r="F2164" s="1047"/>
      <c r="G2164" s="1047"/>
      <c r="H2164" s="1047"/>
      <c r="I2164" s="1047"/>
      <c r="J2164" s="1047"/>
      <c r="K2164" s="1047"/>
      <c r="L2164" s="1047"/>
      <c r="M2164" s="1047"/>
      <c r="N2164" s="1047"/>
      <c r="O2164" s="1047"/>
      <c r="P2164" s="1047"/>
      <c r="Q2164" s="1047"/>
      <c r="R2164" s="1047"/>
      <c r="S2164" s="1047"/>
      <c r="T2164" s="1047"/>
      <c r="U2164" s="1047"/>
      <c r="V2164" s="1047"/>
      <c r="W2164" s="1047"/>
      <c r="X2164" s="1047"/>
      <c r="Y2164" s="1047"/>
      <c r="Z2164" s="1047"/>
      <c r="AA2164" s="1047"/>
      <c r="AB2164" s="1070">
        <v>37682</v>
      </c>
      <c r="AC2164" s="1070">
        <v>37682</v>
      </c>
      <c r="AD2164" s="1070">
        <v>63044</v>
      </c>
      <c r="AE2164" s="1070">
        <v>63044</v>
      </c>
      <c r="AF2164" s="1070">
        <v>41632</v>
      </c>
      <c r="AG2164" s="1070">
        <v>41632</v>
      </c>
      <c r="AH2164" s="1070">
        <v>61588</v>
      </c>
      <c r="AI2164" s="1070">
        <v>61588</v>
      </c>
      <c r="AJ2164" s="1058">
        <v>38791</v>
      </c>
      <c r="AK2164" s="1058">
        <v>38791</v>
      </c>
      <c r="AL2164" s="1058"/>
      <c r="AM2164" s="1058"/>
      <c r="AN2164" s="1058"/>
      <c r="AO2164" s="1058"/>
      <c r="AP2164" s="1058"/>
      <c r="AQ2164" s="1058"/>
    </row>
    <row r="2165" spans="2:43" s="1044" customFormat="1" hidden="1" outlineLevel="1">
      <c r="B2165" s="1045"/>
      <c r="C2165" s="1053" t="s">
        <v>16</v>
      </c>
      <c r="D2165" s="1051" t="s">
        <v>1254</v>
      </c>
      <c r="E2165" s="278" t="s">
        <v>544</v>
      </c>
      <c r="F2165" s="1047"/>
      <c r="G2165" s="1047"/>
      <c r="H2165" s="1047"/>
      <c r="I2165" s="1047"/>
      <c r="J2165" s="1047"/>
      <c r="K2165" s="1047"/>
      <c r="L2165" s="1047"/>
      <c r="M2165" s="1047"/>
      <c r="N2165" s="1047"/>
      <c r="O2165" s="1047"/>
      <c r="P2165" s="1047"/>
      <c r="Q2165" s="1047"/>
      <c r="R2165" s="1047"/>
      <c r="S2165" s="1047"/>
      <c r="T2165" s="1047"/>
      <c r="U2165" s="1047"/>
      <c r="V2165" s="1047"/>
      <c r="W2165" s="1047"/>
      <c r="X2165" s="1047"/>
      <c r="Y2165" s="1047"/>
      <c r="Z2165" s="1047"/>
      <c r="AA2165" s="1047"/>
      <c r="AB2165" s="1070">
        <v>175954</v>
      </c>
      <c r="AC2165" s="1070">
        <v>175954</v>
      </c>
      <c r="AD2165" s="1070">
        <v>217796</v>
      </c>
      <c r="AE2165" s="1070">
        <v>217796</v>
      </c>
      <c r="AF2165" s="1070">
        <v>171113</v>
      </c>
      <c r="AG2165" s="1070">
        <v>171113</v>
      </c>
      <c r="AH2165" s="1070">
        <v>133076</v>
      </c>
      <c r="AI2165" s="1070">
        <v>133076</v>
      </c>
      <c r="AJ2165" s="1058">
        <v>146731</v>
      </c>
      <c r="AK2165" s="1058">
        <v>146731</v>
      </c>
      <c r="AL2165" s="1058"/>
      <c r="AM2165" s="1058"/>
      <c r="AN2165" s="1058"/>
      <c r="AO2165" s="1058"/>
      <c r="AP2165" s="1058"/>
      <c r="AQ2165" s="1058"/>
    </row>
    <row r="2166" spans="2:43" s="1044" customFormat="1" hidden="1" outlineLevel="1">
      <c r="B2166" s="1045"/>
      <c r="C2166" s="1053" t="s">
        <v>16</v>
      </c>
      <c r="D2166" s="1051" t="s">
        <v>1254</v>
      </c>
      <c r="E2166" s="278" t="s">
        <v>554</v>
      </c>
      <c r="F2166" s="1047"/>
      <c r="G2166" s="1047"/>
      <c r="H2166" s="1047"/>
      <c r="I2166" s="1047"/>
      <c r="J2166" s="1047"/>
      <c r="K2166" s="1047"/>
      <c r="L2166" s="1047"/>
      <c r="M2166" s="1047"/>
      <c r="N2166" s="1047"/>
      <c r="O2166" s="1047"/>
      <c r="P2166" s="1047"/>
      <c r="Q2166" s="1047"/>
      <c r="R2166" s="1047"/>
      <c r="S2166" s="1047"/>
      <c r="T2166" s="1047"/>
      <c r="U2166" s="1047"/>
      <c r="V2166" s="1047"/>
      <c r="W2166" s="1047"/>
      <c r="X2166" s="1047"/>
      <c r="Y2166" s="1047"/>
      <c r="Z2166" s="1047"/>
      <c r="AA2166" s="1047"/>
      <c r="AB2166" s="1070">
        <v>226427</v>
      </c>
      <c r="AC2166" s="1070">
        <v>226427</v>
      </c>
      <c r="AD2166" s="1070">
        <v>233239</v>
      </c>
      <c r="AE2166" s="1070">
        <v>233239</v>
      </c>
      <c r="AF2166" s="1070">
        <v>437890</v>
      </c>
      <c r="AG2166" s="1070">
        <v>437890</v>
      </c>
      <c r="AH2166" s="1070">
        <v>410005</v>
      </c>
      <c r="AI2166" s="1070">
        <v>410005</v>
      </c>
      <c r="AJ2166" s="1058">
        <v>348757</v>
      </c>
      <c r="AK2166" s="1058">
        <v>348757</v>
      </c>
      <c r="AL2166" s="1058"/>
      <c r="AM2166" s="1058"/>
      <c r="AN2166" s="1058"/>
      <c r="AO2166" s="1058"/>
      <c r="AP2166" s="1070"/>
      <c r="AQ2166" s="1070"/>
    </row>
    <row r="2167" spans="2:43" s="1044" customFormat="1" hidden="1" outlineLevel="1">
      <c r="B2167" s="1045"/>
      <c r="C2167" s="1053" t="s">
        <v>16</v>
      </c>
      <c r="D2167" s="1051" t="s">
        <v>1254</v>
      </c>
      <c r="E2167" s="278" t="s">
        <v>564</v>
      </c>
      <c r="F2167" s="1047"/>
      <c r="G2167" s="1047"/>
      <c r="H2167" s="1047"/>
      <c r="I2167" s="1047"/>
      <c r="J2167" s="1047"/>
      <c r="K2167" s="1047"/>
      <c r="L2167" s="1047"/>
      <c r="M2167" s="1047"/>
      <c r="N2167" s="1047"/>
      <c r="O2167" s="1047"/>
      <c r="P2167" s="1047"/>
      <c r="Q2167" s="1047"/>
      <c r="R2167" s="1047"/>
      <c r="S2167" s="1047"/>
      <c r="T2167" s="1047"/>
      <c r="U2167" s="1047"/>
      <c r="V2167" s="1047"/>
      <c r="W2167" s="1047"/>
      <c r="X2167" s="1047"/>
      <c r="Y2167" s="1047"/>
      <c r="Z2167" s="1047"/>
      <c r="AA2167" s="1047"/>
      <c r="AB2167" s="1070">
        <v>205230</v>
      </c>
      <c r="AC2167" s="1070">
        <v>205230</v>
      </c>
      <c r="AD2167" s="1070">
        <v>499400</v>
      </c>
      <c r="AE2167" s="1070">
        <v>499400</v>
      </c>
      <c r="AF2167" s="1070">
        <v>381074</v>
      </c>
      <c r="AG2167" s="1070">
        <v>381074</v>
      </c>
      <c r="AH2167" s="1070">
        <v>181287</v>
      </c>
      <c r="AI2167" s="1070">
        <v>181287</v>
      </c>
      <c r="AJ2167" s="1058">
        <v>277753</v>
      </c>
      <c r="AK2167" s="1058">
        <v>277753</v>
      </c>
      <c r="AL2167" s="1058"/>
      <c r="AM2167" s="1058"/>
      <c r="AN2167" s="1058"/>
      <c r="AO2167" s="1058"/>
      <c r="AP2167" s="1058"/>
      <c r="AQ2167" s="1058"/>
    </row>
    <row r="2168" spans="2:43" s="1044" customFormat="1" hidden="1" outlineLevel="1">
      <c r="B2168" s="1045"/>
      <c r="C2168" s="1053" t="s">
        <v>16</v>
      </c>
      <c r="D2168" s="1113" t="s">
        <v>1254</v>
      </c>
      <c r="E2168" s="1120" t="s">
        <v>576</v>
      </c>
      <c r="F2168" s="638"/>
      <c r="G2168" s="1047"/>
      <c r="H2168" s="1047"/>
      <c r="I2168" s="1047"/>
      <c r="J2168" s="1047"/>
      <c r="K2168" s="1047"/>
      <c r="L2168" s="1047"/>
      <c r="M2168" s="1047"/>
      <c r="N2168" s="1047"/>
      <c r="O2168" s="1047"/>
      <c r="P2168" s="1047"/>
      <c r="Q2168" s="1047"/>
      <c r="R2168" s="1047"/>
      <c r="S2168" s="1047"/>
      <c r="T2168" s="1047"/>
      <c r="U2168" s="1047"/>
      <c r="V2168" s="1047"/>
      <c r="W2168" s="1047"/>
      <c r="X2168" s="1047"/>
      <c r="Y2168" s="1047"/>
      <c r="Z2168" s="1047"/>
      <c r="AA2168" s="1047"/>
      <c r="AB2168" s="1070">
        <v>55006</v>
      </c>
      <c r="AC2168" s="1070">
        <v>55006</v>
      </c>
      <c r="AD2168" s="1070">
        <v>304038</v>
      </c>
      <c r="AE2168" s="1070">
        <v>304038</v>
      </c>
      <c r="AF2168" s="1070">
        <v>290581</v>
      </c>
      <c r="AG2168" s="1070">
        <v>290581</v>
      </c>
      <c r="AH2168" s="1070">
        <v>152020</v>
      </c>
      <c r="AI2168" s="1070">
        <v>152020</v>
      </c>
      <c r="AJ2168" s="1058">
        <v>142743</v>
      </c>
      <c r="AK2168" s="1058">
        <v>142743</v>
      </c>
      <c r="AL2168" s="1058"/>
      <c r="AM2168" s="1058"/>
      <c r="AN2168" s="1058"/>
      <c r="AO2168" s="1058"/>
      <c r="AP2168" s="1058"/>
      <c r="AQ2168" s="1058"/>
    </row>
    <row r="2169" spans="2:43" s="1044" customFormat="1" hidden="1" outlineLevel="1">
      <c r="C2169" s="897" t="s">
        <v>16</v>
      </c>
      <c r="D2169" s="1053"/>
      <c r="E2169" s="1053"/>
      <c r="F2169" s="1047"/>
      <c r="G2169" s="1047"/>
      <c r="H2169" s="1047"/>
      <c r="I2169" s="1047"/>
      <c r="J2169" s="1047"/>
      <c r="K2169" s="1047"/>
      <c r="L2169" s="1047"/>
      <c r="M2169" s="1047"/>
      <c r="N2169" s="1047"/>
      <c r="O2169" s="1047"/>
      <c r="P2169" s="1047"/>
      <c r="Q2169" s="1047"/>
      <c r="R2169" s="1047"/>
      <c r="S2169" s="1047"/>
      <c r="T2169" s="1047"/>
      <c r="U2169" s="1047"/>
      <c r="V2169" s="1047"/>
      <c r="W2169" s="1047"/>
      <c r="X2169" s="1047"/>
      <c r="Y2169" s="1047"/>
      <c r="Z2169" s="1047"/>
      <c r="AA2169" s="1047"/>
      <c r="AB2169" s="1073"/>
      <c r="AC2169" s="1073"/>
      <c r="AD2169" s="1073"/>
      <c r="AE2169" s="1073"/>
      <c r="AF2169" s="1073"/>
      <c r="AG2169" s="1073"/>
      <c r="AH2169" s="1073"/>
      <c r="AI2169" s="1073"/>
      <c r="AJ2169" s="1073"/>
      <c r="AK2169" s="1073"/>
      <c r="AL2169" s="1073"/>
      <c r="AM2169" s="1073"/>
      <c r="AN2169" s="1073"/>
      <c r="AO2169" s="1073"/>
      <c r="AP2169" s="1073"/>
      <c r="AQ2169" s="1073"/>
    </row>
    <row r="2170" spans="2:43" s="1044" customFormat="1" hidden="1" outlineLevel="1">
      <c r="B2170" s="1045"/>
      <c r="C2170" s="1053" t="s">
        <v>16</v>
      </c>
      <c r="D2170" s="1051" t="s">
        <v>1254</v>
      </c>
      <c r="E2170" s="1052" t="s">
        <v>1708</v>
      </c>
      <c r="F2170" s="1060"/>
      <c r="G2170" s="1060"/>
      <c r="H2170" s="1060"/>
      <c r="I2170" s="1060"/>
      <c r="J2170" s="1060"/>
      <c r="K2170" s="1060"/>
      <c r="L2170" s="1060"/>
      <c r="M2170" s="1060"/>
      <c r="N2170" s="1060"/>
      <c r="O2170" s="1060"/>
      <c r="P2170" s="1060"/>
      <c r="Q2170" s="1060"/>
      <c r="R2170" s="1060"/>
      <c r="S2170" s="1060"/>
      <c r="T2170" s="1060"/>
      <c r="U2170" s="1060"/>
      <c r="V2170" s="1060"/>
      <c r="W2170" s="1060"/>
      <c r="X2170" s="1060"/>
      <c r="Y2170" s="1060"/>
      <c r="Z2170" s="1060"/>
      <c r="AA2170" s="1060"/>
      <c r="AB2170" s="1071"/>
      <c r="AC2170" s="1071"/>
      <c r="AD2170" s="1071"/>
      <c r="AE2170" s="1071"/>
      <c r="AF2170" s="1071"/>
      <c r="AG2170" s="1071"/>
      <c r="AH2170" s="1071"/>
      <c r="AI2170" s="1071"/>
      <c r="AJ2170" s="1071"/>
      <c r="AK2170" s="1071"/>
      <c r="AL2170" s="1071">
        <v>1169648</v>
      </c>
      <c r="AM2170" s="1071">
        <v>1169648</v>
      </c>
      <c r="AN2170" s="1071">
        <v>848779</v>
      </c>
      <c r="AO2170" s="1071">
        <v>848779</v>
      </c>
      <c r="AP2170" s="1071">
        <v>838076</v>
      </c>
      <c r="AQ2170" s="1071">
        <v>838076</v>
      </c>
    </row>
    <row r="2171" spans="2:43" s="1044" customFormat="1" hidden="1" outlineLevel="1">
      <c r="B2171" s="1045"/>
      <c r="C2171" s="1053" t="s">
        <v>16</v>
      </c>
      <c r="D2171" s="1051" t="s">
        <v>1254</v>
      </c>
      <c r="E2171" s="1052" t="s">
        <v>2186</v>
      </c>
      <c r="F2171" s="1047"/>
      <c r="G2171" s="1047"/>
      <c r="H2171" s="1047"/>
      <c r="I2171" s="1047"/>
      <c r="J2171" s="1047"/>
      <c r="K2171" s="1047"/>
      <c r="L2171" s="1047"/>
      <c r="M2171" s="1047"/>
      <c r="N2171" s="1047"/>
      <c r="O2171" s="1047"/>
      <c r="P2171" s="1047"/>
      <c r="Q2171" s="1047"/>
      <c r="R2171" s="1047"/>
      <c r="S2171" s="1047"/>
      <c r="T2171" s="1047"/>
      <c r="U2171" s="1047"/>
      <c r="V2171" s="1047"/>
      <c r="W2171" s="1047"/>
      <c r="X2171" s="1047"/>
      <c r="Y2171" s="1047"/>
      <c r="Z2171" s="1047"/>
      <c r="AA2171" s="1047"/>
      <c r="AB2171" s="1070"/>
      <c r="AC2171" s="1070"/>
      <c r="AD2171" s="1070"/>
      <c r="AE2171" s="1070"/>
      <c r="AF2171" s="1070"/>
      <c r="AG2171" s="1070"/>
      <c r="AH2171" s="1070"/>
      <c r="AI2171" s="1070"/>
      <c r="AJ2171" s="1058"/>
      <c r="AK2171" s="1058"/>
      <c r="AL2171" s="1058">
        <v>49950</v>
      </c>
      <c r="AM2171" s="1058">
        <v>49950</v>
      </c>
      <c r="AN2171" s="1058">
        <v>11526</v>
      </c>
      <c r="AO2171" s="1058">
        <v>11526</v>
      </c>
      <c r="AP2171" s="1058">
        <v>41866</v>
      </c>
      <c r="AQ2171" s="1058">
        <v>41866</v>
      </c>
    </row>
    <row r="2172" spans="2:43" s="1044" customFormat="1" hidden="1" outlineLevel="1">
      <c r="B2172" s="1045"/>
      <c r="C2172" s="1053" t="s">
        <v>16</v>
      </c>
      <c r="D2172" s="1051" t="s">
        <v>1254</v>
      </c>
      <c r="E2172" s="1052" t="s">
        <v>1716</v>
      </c>
      <c r="F2172" s="1047"/>
      <c r="G2172" s="1047"/>
      <c r="H2172" s="1047"/>
      <c r="I2172" s="1047"/>
      <c r="J2172" s="1047"/>
      <c r="K2172" s="1047"/>
      <c r="L2172" s="1047"/>
      <c r="M2172" s="1047"/>
      <c r="N2172" s="1047"/>
      <c r="O2172" s="1047"/>
      <c r="P2172" s="1047"/>
      <c r="Q2172" s="1047"/>
      <c r="R2172" s="1047"/>
      <c r="S2172" s="1047"/>
      <c r="T2172" s="1047"/>
      <c r="U2172" s="1047"/>
      <c r="V2172" s="1047"/>
      <c r="W2172" s="1047"/>
      <c r="X2172" s="1047"/>
      <c r="Y2172" s="1047"/>
      <c r="Z2172" s="1047"/>
      <c r="AA2172" s="1047"/>
      <c r="AB2172" s="1070"/>
      <c r="AC2172" s="1070"/>
      <c r="AD2172" s="1070"/>
      <c r="AE2172" s="1070"/>
      <c r="AF2172" s="1070"/>
      <c r="AG2172" s="1070"/>
      <c r="AH2172" s="1070"/>
      <c r="AI2172" s="1070"/>
      <c r="AJ2172" s="1058"/>
      <c r="AK2172" s="1058"/>
      <c r="AL2172" s="1058">
        <v>169235</v>
      </c>
      <c r="AM2172" s="1058">
        <v>169235</v>
      </c>
      <c r="AN2172" s="1058">
        <v>70994</v>
      </c>
      <c r="AO2172" s="1058">
        <v>70994</v>
      </c>
      <c r="AP2172" s="1058">
        <v>100099</v>
      </c>
      <c r="AQ2172" s="1058">
        <v>100099</v>
      </c>
    </row>
    <row r="2173" spans="2:43" s="1044" customFormat="1" hidden="1" outlineLevel="1">
      <c r="B2173" s="1045"/>
      <c r="C2173" s="1053" t="s">
        <v>16</v>
      </c>
      <c r="D2173" s="1051" t="s">
        <v>1254</v>
      </c>
      <c r="E2173" s="1052" t="s">
        <v>2187</v>
      </c>
      <c r="F2173" s="1047"/>
      <c r="G2173" s="1047"/>
      <c r="H2173" s="1047"/>
      <c r="I2173" s="1047"/>
      <c r="J2173" s="1047"/>
      <c r="K2173" s="1047"/>
      <c r="L2173" s="1047"/>
      <c r="M2173" s="1047"/>
      <c r="N2173" s="1047"/>
      <c r="O2173" s="1047"/>
      <c r="P2173" s="1047"/>
      <c r="Q2173" s="1047"/>
      <c r="R2173" s="1047"/>
      <c r="S2173" s="1047"/>
      <c r="T2173" s="1047"/>
      <c r="U2173" s="1047"/>
      <c r="V2173" s="1047"/>
      <c r="W2173" s="1047"/>
      <c r="X2173" s="1047"/>
      <c r="Y2173" s="1047"/>
      <c r="Z2173" s="1047"/>
      <c r="AA2173" s="1047"/>
      <c r="AB2173" s="1070"/>
      <c r="AC2173" s="1070"/>
      <c r="AD2173" s="1070"/>
      <c r="AE2173" s="1070"/>
      <c r="AF2173" s="1070"/>
      <c r="AG2173" s="1070"/>
      <c r="AH2173" s="1070"/>
      <c r="AI2173" s="1070"/>
      <c r="AJ2173" s="1058"/>
      <c r="AK2173" s="1058"/>
      <c r="AL2173" s="1058">
        <v>297347</v>
      </c>
      <c r="AM2173" s="1058">
        <v>297347</v>
      </c>
      <c r="AN2173" s="1058">
        <v>354620</v>
      </c>
      <c r="AO2173" s="1058">
        <v>354620</v>
      </c>
      <c r="AP2173" s="1058">
        <v>447836</v>
      </c>
      <c r="AQ2173" s="1058">
        <v>447836</v>
      </c>
    </row>
    <row r="2174" spans="2:43" s="1044" customFormat="1" hidden="1" outlineLevel="1">
      <c r="B2174" s="1045"/>
      <c r="C2174" s="1053" t="s">
        <v>16</v>
      </c>
      <c r="D2174" s="1051" t="s">
        <v>1254</v>
      </c>
      <c r="E2174" s="1052" t="s">
        <v>1720</v>
      </c>
      <c r="F2174" s="1047"/>
      <c r="G2174" s="1047"/>
      <c r="H2174" s="1047"/>
      <c r="I2174" s="1047"/>
      <c r="J2174" s="1047"/>
      <c r="K2174" s="1047"/>
      <c r="L2174" s="1047"/>
      <c r="M2174" s="1047"/>
      <c r="N2174" s="1047"/>
      <c r="O2174" s="1047"/>
      <c r="P2174" s="1047"/>
      <c r="Q2174" s="1047"/>
      <c r="R2174" s="1047"/>
      <c r="S2174" s="1047"/>
      <c r="T2174" s="1047"/>
      <c r="U2174" s="1047"/>
      <c r="V2174" s="1047"/>
      <c r="W2174" s="1047"/>
      <c r="X2174" s="1047"/>
      <c r="Y2174" s="1047"/>
      <c r="Z2174" s="1047"/>
      <c r="AA2174" s="1047"/>
      <c r="AB2174" s="1070"/>
      <c r="AC2174" s="1070"/>
      <c r="AD2174" s="1070"/>
      <c r="AE2174" s="1070"/>
      <c r="AF2174" s="1070"/>
      <c r="AG2174" s="1070"/>
      <c r="AH2174" s="1070"/>
      <c r="AI2174" s="1070"/>
      <c r="AJ2174" s="1058"/>
      <c r="AK2174" s="1058"/>
      <c r="AL2174" s="1058">
        <v>824692</v>
      </c>
      <c r="AM2174" s="1058">
        <v>824692</v>
      </c>
      <c r="AN2174" s="1058">
        <v>657667</v>
      </c>
      <c r="AO2174" s="1058">
        <v>657667</v>
      </c>
      <c r="AP2174" s="1058">
        <v>657941</v>
      </c>
      <c r="AQ2174" s="1058">
        <v>657941</v>
      </c>
    </row>
    <row r="2175" spans="2:43" s="1044" customFormat="1" hidden="1" outlineLevel="1">
      <c r="B2175" s="1045"/>
      <c r="C2175" s="1053" t="s">
        <v>16</v>
      </c>
      <c r="D2175" s="1051" t="s">
        <v>1254</v>
      </c>
      <c r="E2175" s="1052" t="s">
        <v>1722</v>
      </c>
      <c r="F2175" s="1047"/>
      <c r="G2175" s="1047"/>
      <c r="H2175" s="1047"/>
      <c r="I2175" s="1047"/>
      <c r="J2175" s="1047"/>
      <c r="K2175" s="1047"/>
      <c r="L2175" s="1047"/>
      <c r="M2175" s="1047"/>
      <c r="N2175" s="1047"/>
      <c r="O2175" s="1047"/>
      <c r="P2175" s="1047"/>
      <c r="Q2175" s="1047"/>
      <c r="R2175" s="1047"/>
      <c r="S2175" s="1047"/>
      <c r="T2175" s="1047"/>
      <c r="U2175" s="1047"/>
      <c r="V2175" s="1047"/>
      <c r="W2175" s="1047"/>
      <c r="X2175" s="1047"/>
      <c r="Y2175" s="1047"/>
      <c r="Z2175" s="1047"/>
      <c r="AA2175" s="1047"/>
      <c r="AB2175" s="1070"/>
      <c r="AC2175" s="1070"/>
      <c r="AD2175" s="1070"/>
      <c r="AE2175" s="1070"/>
      <c r="AF2175" s="1070"/>
      <c r="AG2175" s="1070"/>
      <c r="AH2175" s="1070"/>
      <c r="AI2175" s="1070"/>
      <c r="AJ2175" s="1058"/>
      <c r="AK2175" s="1058"/>
      <c r="AL2175" s="1058">
        <v>534104</v>
      </c>
      <c r="AM2175" s="1058">
        <v>534104</v>
      </c>
      <c r="AN2175" s="1058">
        <v>464093</v>
      </c>
      <c r="AO2175" s="1058">
        <v>464093</v>
      </c>
      <c r="AP2175" s="1058">
        <v>481073</v>
      </c>
      <c r="AQ2175" s="1058">
        <v>481073</v>
      </c>
    </row>
    <row r="2176" spans="2:43" s="1044" customFormat="1" hidden="1" outlineLevel="1">
      <c r="B2176" s="1045"/>
      <c r="C2176" s="1053" t="s">
        <v>16</v>
      </c>
      <c r="D2176" s="1113" t="s">
        <v>1254</v>
      </c>
      <c r="E2176" s="1121" t="s">
        <v>1724</v>
      </c>
      <c r="F2176" s="638"/>
      <c r="G2176" s="1047"/>
      <c r="H2176" s="1047"/>
      <c r="I2176" s="1047"/>
      <c r="J2176" s="1047"/>
      <c r="K2176" s="1047"/>
      <c r="L2176" s="1047"/>
      <c r="M2176" s="1047"/>
      <c r="N2176" s="1047"/>
      <c r="O2176" s="1047"/>
      <c r="P2176" s="1047"/>
      <c r="Q2176" s="1047"/>
      <c r="R2176" s="1047"/>
      <c r="S2176" s="1047"/>
      <c r="T2176" s="1047"/>
      <c r="U2176" s="1047"/>
      <c r="V2176" s="1047"/>
      <c r="W2176" s="1047"/>
      <c r="X2176" s="1047"/>
      <c r="Y2176" s="1047"/>
      <c r="Z2176" s="1047"/>
      <c r="AA2176" s="1047"/>
      <c r="AB2176" s="1070"/>
      <c r="AC2176" s="1070"/>
      <c r="AD2176" s="1070"/>
      <c r="AE2176" s="1070"/>
      <c r="AF2176" s="1070"/>
      <c r="AG2176" s="1070"/>
      <c r="AH2176" s="1070"/>
      <c r="AI2176" s="1070"/>
      <c r="AJ2176" s="1058"/>
      <c r="AK2176" s="1058"/>
      <c r="AL2176" s="1058">
        <v>1041937</v>
      </c>
      <c r="AM2176" s="1058">
        <v>1041937</v>
      </c>
      <c r="AN2176" s="1058">
        <v>1194905</v>
      </c>
      <c r="AO2176" s="1058">
        <v>1194905</v>
      </c>
      <c r="AP2176" s="1058">
        <v>1435502</v>
      </c>
      <c r="AQ2176" s="1058">
        <v>1435502</v>
      </c>
    </row>
    <row r="2177" spans="2:43" s="1044" customFormat="1" hidden="1" outlineLevel="1">
      <c r="B2177" s="1045"/>
      <c r="C2177" s="1053" t="s">
        <v>16</v>
      </c>
      <c r="D2177" s="1113" t="s">
        <v>1254</v>
      </c>
      <c r="E2177" s="1121" t="s">
        <v>1725</v>
      </c>
      <c r="F2177" s="638"/>
      <c r="G2177" s="1047"/>
      <c r="H2177" s="1047"/>
      <c r="I2177" s="1047"/>
      <c r="J2177" s="1047"/>
      <c r="K2177" s="1047"/>
      <c r="L2177" s="1047"/>
      <c r="M2177" s="1047"/>
      <c r="N2177" s="1047"/>
      <c r="O2177" s="1047"/>
      <c r="P2177" s="1047"/>
      <c r="Q2177" s="1047"/>
      <c r="R2177" s="1047"/>
      <c r="S2177" s="1047"/>
      <c r="T2177" s="1047"/>
      <c r="U2177" s="1047"/>
      <c r="V2177" s="1047"/>
      <c r="W2177" s="1047"/>
      <c r="X2177" s="1047"/>
      <c r="Y2177" s="1047"/>
      <c r="Z2177" s="1047"/>
      <c r="AA2177" s="1047"/>
      <c r="AB2177" s="1070"/>
      <c r="AC2177" s="1070"/>
      <c r="AD2177" s="1070"/>
      <c r="AE2177" s="1070"/>
      <c r="AF2177" s="1070"/>
      <c r="AG2177" s="1070"/>
      <c r="AH2177" s="1070"/>
      <c r="AI2177" s="1070"/>
      <c r="AJ2177" s="1058"/>
      <c r="AK2177" s="1058"/>
      <c r="AL2177" s="1058">
        <v>1084285</v>
      </c>
      <c r="AM2177" s="1058">
        <v>1084285</v>
      </c>
      <c r="AN2177" s="1058">
        <v>1109585</v>
      </c>
      <c r="AO2177" s="1058">
        <v>1109585</v>
      </c>
      <c r="AP2177" s="1058">
        <v>1120815</v>
      </c>
      <c r="AQ2177" s="1058">
        <v>1120815</v>
      </c>
    </row>
    <row r="2178" spans="2:43" s="1044" customFormat="1" hidden="1" outlineLevel="1">
      <c r="B2178" s="1045"/>
      <c r="C2178" s="1053" t="s">
        <v>16</v>
      </c>
      <c r="D2178" s="1113" t="s">
        <v>1254</v>
      </c>
      <c r="E2178" s="1121" t="s">
        <v>1726</v>
      </c>
      <c r="F2178" s="638"/>
      <c r="G2178" s="1047"/>
      <c r="H2178" s="1047"/>
      <c r="I2178" s="1047"/>
      <c r="J2178" s="1047"/>
      <c r="K2178" s="1047"/>
      <c r="L2178" s="1047"/>
      <c r="M2178" s="1047"/>
      <c r="N2178" s="1047"/>
      <c r="O2178" s="1047"/>
      <c r="P2178" s="1047"/>
      <c r="Q2178" s="1047"/>
      <c r="R2178" s="1047"/>
      <c r="S2178" s="1047"/>
      <c r="T2178" s="1047"/>
      <c r="U2178" s="1047"/>
      <c r="V2178" s="1047"/>
      <c r="W2178" s="1047"/>
      <c r="X2178" s="1047"/>
      <c r="Y2178" s="1047"/>
      <c r="Z2178" s="1047"/>
      <c r="AA2178" s="1047"/>
      <c r="AB2178" s="1070"/>
      <c r="AC2178" s="1070"/>
      <c r="AD2178" s="1070"/>
      <c r="AE2178" s="1070"/>
      <c r="AF2178" s="1070"/>
      <c r="AG2178" s="1070"/>
      <c r="AH2178" s="1070"/>
      <c r="AI2178" s="1070"/>
      <c r="AJ2178" s="1058"/>
      <c r="AK2178" s="1058"/>
      <c r="AL2178" s="1058">
        <v>5090</v>
      </c>
      <c r="AM2178" s="1058">
        <v>5090</v>
      </c>
      <c r="AN2178" s="1058">
        <v>12317</v>
      </c>
      <c r="AO2178" s="1058">
        <v>12317</v>
      </c>
      <c r="AP2178" s="1058">
        <v>13882</v>
      </c>
      <c r="AQ2178" s="1058">
        <v>13882</v>
      </c>
    </row>
    <row r="2179" spans="2:43" s="1044" customFormat="1" hidden="1" outlineLevel="1">
      <c r="B2179" s="1045"/>
      <c r="C2179" s="1053" t="s">
        <v>16</v>
      </c>
      <c r="D2179" s="1113" t="s">
        <v>1254</v>
      </c>
      <c r="E2179" s="1121" t="s">
        <v>1728</v>
      </c>
      <c r="F2179" s="638"/>
      <c r="G2179" s="1047"/>
      <c r="H2179" s="1047"/>
      <c r="I2179" s="1047"/>
      <c r="J2179" s="1047"/>
      <c r="K2179" s="1047"/>
      <c r="L2179" s="1047"/>
      <c r="M2179" s="1047"/>
      <c r="N2179" s="1047"/>
      <c r="O2179" s="1047"/>
      <c r="P2179" s="1047"/>
      <c r="Q2179" s="1047"/>
      <c r="R2179" s="1047"/>
      <c r="S2179" s="1047"/>
      <c r="T2179" s="1047"/>
      <c r="U2179" s="1047"/>
      <c r="V2179" s="1047"/>
      <c r="W2179" s="1047"/>
      <c r="X2179" s="1047"/>
      <c r="Y2179" s="1047"/>
      <c r="Z2179" s="1047"/>
      <c r="AA2179" s="1047"/>
      <c r="AB2179" s="1070"/>
      <c r="AC2179" s="1070"/>
      <c r="AD2179" s="1070"/>
      <c r="AE2179" s="1070"/>
      <c r="AF2179" s="1070"/>
      <c r="AG2179" s="1070"/>
      <c r="AH2179" s="1070"/>
      <c r="AI2179" s="1070"/>
      <c r="AJ2179" s="1058"/>
      <c r="AK2179" s="1058"/>
      <c r="AL2179" s="1058">
        <v>213309</v>
      </c>
      <c r="AM2179" s="1058">
        <v>213309</v>
      </c>
      <c r="AN2179" s="1058">
        <v>152586</v>
      </c>
      <c r="AO2179" s="1058">
        <v>152586</v>
      </c>
      <c r="AP2179" s="1058">
        <v>221013</v>
      </c>
      <c r="AQ2179" s="1058">
        <v>221013</v>
      </c>
    </row>
    <row r="2180" spans="2:43" s="1044" customFormat="1" hidden="1" outlineLevel="1">
      <c r="B2180" s="1045"/>
      <c r="C2180" s="1053" t="s">
        <v>16</v>
      </c>
      <c r="D2180" s="1051" t="s">
        <v>1254</v>
      </c>
      <c r="E2180" s="1052" t="s">
        <v>1729</v>
      </c>
      <c r="F2180" s="1047"/>
      <c r="G2180" s="1047"/>
      <c r="H2180" s="1047"/>
      <c r="I2180" s="1047"/>
      <c r="J2180" s="1047"/>
      <c r="K2180" s="1047"/>
      <c r="L2180" s="1047"/>
      <c r="M2180" s="1047"/>
      <c r="N2180" s="1047"/>
      <c r="O2180" s="1047"/>
      <c r="P2180" s="1047"/>
      <c r="Q2180" s="1047"/>
      <c r="R2180" s="1047"/>
      <c r="S2180" s="1047"/>
      <c r="T2180" s="1047"/>
      <c r="U2180" s="1047"/>
      <c r="V2180" s="1047"/>
      <c r="W2180" s="1047"/>
      <c r="X2180" s="1047"/>
      <c r="Y2180" s="1047"/>
      <c r="Z2180" s="1047"/>
      <c r="AA2180" s="1047"/>
      <c r="AB2180" s="1070"/>
      <c r="AC2180" s="1070"/>
      <c r="AD2180" s="1070"/>
      <c r="AE2180" s="1070"/>
      <c r="AF2180" s="1070"/>
      <c r="AG2180" s="1070"/>
      <c r="AH2180" s="1070"/>
      <c r="AI2180" s="1070"/>
      <c r="AJ2180" s="1058"/>
      <c r="AK2180" s="1058"/>
      <c r="AL2180" s="1058">
        <v>221695</v>
      </c>
      <c r="AM2180" s="1058">
        <v>221695</v>
      </c>
      <c r="AN2180" s="1058">
        <v>174159</v>
      </c>
      <c r="AO2180" s="1058">
        <v>174159</v>
      </c>
      <c r="AP2180" s="1058">
        <v>152514</v>
      </c>
      <c r="AQ2180" s="1058">
        <v>152514</v>
      </c>
    </row>
    <row r="2181" spans="2:43" s="1044" customFormat="1" hidden="1" outlineLevel="1">
      <c r="B2181" s="1045"/>
      <c r="C2181" s="1053" t="s">
        <v>16</v>
      </c>
      <c r="D2181" s="1051" t="s">
        <v>1254</v>
      </c>
      <c r="E2181" s="1052" t="s">
        <v>1730</v>
      </c>
      <c r="F2181" s="1047"/>
      <c r="G2181" s="1047"/>
      <c r="H2181" s="1047"/>
      <c r="I2181" s="1047"/>
      <c r="J2181" s="1047"/>
      <c r="K2181" s="1047"/>
      <c r="L2181" s="1047"/>
      <c r="M2181" s="1047"/>
      <c r="N2181" s="1047"/>
      <c r="O2181" s="1047"/>
      <c r="P2181" s="1047"/>
      <c r="Q2181" s="1047"/>
      <c r="R2181" s="1047"/>
      <c r="S2181" s="1047"/>
      <c r="T2181" s="1047"/>
      <c r="U2181" s="1047"/>
      <c r="V2181" s="1047"/>
      <c r="W2181" s="1047"/>
      <c r="X2181" s="1047"/>
      <c r="Y2181" s="1047"/>
      <c r="Z2181" s="1047"/>
      <c r="AA2181" s="1047"/>
      <c r="AB2181" s="1070"/>
      <c r="AC2181" s="1070"/>
      <c r="AD2181" s="1070"/>
      <c r="AE2181" s="1070"/>
      <c r="AF2181" s="1070"/>
      <c r="AG2181" s="1070"/>
      <c r="AH2181" s="1070"/>
      <c r="AI2181" s="1070"/>
      <c r="AJ2181" s="1058"/>
      <c r="AK2181" s="1058"/>
      <c r="AL2181" s="1058">
        <v>144573</v>
      </c>
      <c r="AM2181" s="1058">
        <v>144573</v>
      </c>
      <c r="AN2181" s="1058">
        <v>141210</v>
      </c>
      <c r="AO2181" s="1058">
        <v>141210</v>
      </c>
      <c r="AP2181" s="1058">
        <v>136949</v>
      </c>
      <c r="AQ2181" s="1058">
        <v>136949</v>
      </c>
    </row>
    <row r="2182" spans="2:43" s="1044" customFormat="1" hidden="1" outlineLevel="1">
      <c r="B2182" s="1045"/>
      <c r="C2182" s="1053" t="s">
        <v>16</v>
      </c>
      <c r="D2182" s="1051" t="s">
        <v>1254</v>
      </c>
      <c r="E2182" s="1052" t="s">
        <v>1731</v>
      </c>
      <c r="F2182" s="1047"/>
      <c r="G2182" s="1047"/>
      <c r="H2182" s="1047"/>
      <c r="I2182" s="1047"/>
      <c r="J2182" s="1047"/>
      <c r="K2182" s="1047"/>
      <c r="L2182" s="1047"/>
      <c r="M2182" s="1047"/>
      <c r="N2182" s="1047"/>
      <c r="O2182" s="1047"/>
      <c r="P2182" s="1047"/>
      <c r="Q2182" s="1047"/>
      <c r="R2182" s="1047"/>
      <c r="S2182" s="1047"/>
      <c r="T2182" s="1047"/>
      <c r="U2182" s="1047"/>
      <c r="V2182" s="1047"/>
      <c r="W2182" s="1047"/>
      <c r="X2182" s="1047"/>
      <c r="Y2182" s="1047"/>
      <c r="Z2182" s="1047"/>
      <c r="AA2182" s="1047"/>
      <c r="AB2182" s="1070"/>
      <c r="AC2182" s="1070"/>
      <c r="AD2182" s="1070"/>
      <c r="AE2182" s="1070"/>
      <c r="AF2182" s="1070"/>
      <c r="AG2182" s="1070"/>
      <c r="AH2182" s="1070"/>
      <c r="AI2182" s="1070"/>
      <c r="AJ2182" s="1058"/>
      <c r="AK2182" s="1058"/>
      <c r="AL2182" s="1058">
        <v>6488</v>
      </c>
      <c r="AM2182" s="1058">
        <v>6488</v>
      </c>
      <c r="AN2182" s="1058">
        <v>1080</v>
      </c>
      <c r="AO2182" s="1058">
        <v>1080</v>
      </c>
      <c r="AP2182" s="1058">
        <v>766</v>
      </c>
      <c r="AQ2182" s="1058">
        <v>766</v>
      </c>
    </row>
    <row r="2183" spans="2:43" s="1044" customFormat="1" hidden="1" outlineLevel="1">
      <c r="B2183" s="1045"/>
      <c r="C2183" s="1053" t="s">
        <v>16</v>
      </c>
      <c r="D2183" s="1051" t="s">
        <v>1254</v>
      </c>
      <c r="E2183" s="1052" t="s">
        <v>2188</v>
      </c>
      <c r="F2183" s="1047"/>
      <c r="G2183" s="1047"/>
      <c r="H2183" s="1047"/>
      <c r="I2183" s="1047"/>
      <c r="J2183" s="1047"/>
      <c r="K2183" s="1047"/>
      <c r="L2183" s="1047"/>
      <c r="M2183" s="1047"/>
      <c r="N2183" s="1047"/>
      <c r="O2183" s="1047"/>
      <c r="P2183" s="1047"/>
      <c r="Q2183" s="1047"/>
      <c r="R2183" s="1047"/>
      <c r="S2183" s="1047"/>
      <c r="T2183" s="1047"/>
      <c r="U2183" s="1047"/>
      <c r="V2183" s="1047"/>
      <c r="W2183" s="1047"/>
      <c r="X2183" s="1047"/>
      <c r="Y2183" s="1047"/>
      <c r="Z2183" s="1047"/>
      <c r="AA2183" s="1047"/>
      <c r="AB2183" s="1070"/>
      <c r="AC2183" s="1070"/>
      <c r="AD2183" s="1070"/>
      <c r="AE2183" s="1070"/>
      <c r="AF2183" s="1070"/>
      <c r="AG2183" s="1070"/>
      <c r="AH2183" s="1070"/>
      <c r="AI2183" s="1070"/>
      <c r="AJ2183" s="1058"/>
      <c r="AK2183" s="1058"/>
      <c r="AL2183" s="1058">
        <v>104878</v>
      </c>
      <c r="AM2183" s="1058">
        <v>104878</v>
      </c>
      <c r="AN2183" s="1058">
        <v>72285</v>
      </c>
      <c r="AO2183" s="1058">
        <v>72284</v>
      </c>
      <c r="AP2183" s="1058">
        <v>90413</v>
      </c>
      <c r="AQ2183" s="1058">
        <v>90413</v>
      </c>
    </row>
    <row r="2184" spans="2:43" s="1044" customFormat="1" hidden="1" outlineLevel="1">
      <c r="B2184" s="1045"/>
      <c r="C2184" s="1053" t="s">
        <v>16</v>
      </c>
      <c r="D2184" s="1051" t="s">
        <v>1254</v>
      </c>
      <c r="E2184" s="1052" t="s">
        <v>1782</v>
      </c>
      <c r="F2184" s="1047"/>
      <c r="G2184" s="1047"/>
      <c r="H2184" s="1047"/>
      <c r="I2184" s="1047"/>
      <c r="J2184" s="1047"/>
      <c r="K2184" s="1047"/>
      <c r="L2184" s="1047"/>
      <c r="M2184" s="1047"/>
      <c r="N2184" s="1047"/>
      <c r="O2184" s="1047"/>
      <c r="P2184" s="1047"/>
      <c r="Q2184" s="1047"/>
      <c r="R2184" s="1047"/>
      <c r="S2184" s="1047"/>
      <c r="T2184" s="1047"/>
      <c r="U2184" s="1047"/>
      <c r="V2184" s="1047"/>
      <c r="W2184" s="1047"/>
      <c r="X2184" s="1047"/>
      <c r="Y2184" s="1047"/>
      <c r="Z2184" s="1047"/>
      <c r="AA2184" s="1047"/>
      <c r="AB2184" s="1070"/>
      <c r="AC2184" s="1070"/>
      <c r="AD2184" s="1070"/>
      <c r="AE2184" s="1070"/>
      <c r="AF2184" s="1070"/>
      <c r="AG2184" s="1070"/>
      <c r="AH2184" s="1070"/>
      <c r="AI2184" s="1070"/>
      <c r="AJ2184" s="1058"/>
      <c r="AK2184" s="1058"/>
      <c r="AL2184" s="1058">
        <v>166791</v>
      </c>
      <c r="AM2184" s="1058">
        <v>166791</v>
      </c>
      <c r="AN2184" s="1226">
        <v>150876</v>
      </c>
      <c r="AO2184" s="1226">
        <v>150876</v>
      </c>
      <c r="AP2184" s="1058">
        <v>182433</v>
      </c>
      <c r="AQ2184" s="1058">
        <v>182433</v>
      </c>
    </row>
    <row r="2185" spans="2:43" s="1044" customFormat="1" hidden="1" outlineLevel="1">
      <c r="B2185" s="1045"/>
      <c r="C2185" s="1053" t="s">
        <v>16</v>
      </c>
      <c r="D2185" s="1051" t="s">
        <v>1254</v>
      </c>
      <c r="E2185" s="1052" t="s">
        <v>1738</v>
      </c>
      <c r="F2185" s="1047"/>
      <c r="G2185" s="1047"/>
      <c r="H2185" s="1047"/>
      <c r="I2185" s="1047"/>
      <c r="J2185" s="1047"/>
      <c r="K2185" s="1047"/>
      <c r="L2185" s="1047"/>
      <c r="M2185" s="1047"/>
      <c r="N2185" s="1047"/>
      <c r="O2185" s="1047"/>
      <c r="P2185" s="1047"/>
      <c r="Q2185" s="1047"/>
      <c r="R2185" s="1047"/>
      <c r="S2185" s="1047"/>
      <c r="T2185" s="1047"/>
      <c r="U2185" s="1047"/>
      <c r="V2185" s="1047"/>
      <c r="W2185" s="1047"/>
      <c r="X2185" s="1047"/>
      <c r="Y2185" s="1047"/>
      <c r="Z2185" s="1047"/>
      <c r="AA2185" s="1047"/>
      <c r="AB2185" s="1070"/>
      <c r="AC2185" s="1070"/>
      <c r="AD2185" s="1070"/>
      <c r="AE2185" s="1070"/>
      <c r="AF2185" s="1070"/>
      <c r="AG2185" s="1070"/>
      <c r="AH2185" s="1070"/>
      <c r="AI2185" s="1070"/>
      <c r="AJ2185" s="1058"/>
      <c r="AK2185" s="1058"/>
      <c r="AL2185" s="1058">
        <v>1316</v>
      </c>
      <c r="AM2185" s="1058">
        <v>1316</v>
      </c>
      <c r="AN2185" s="1058">
        <v>11347</v>
      </c>
      <c r="AO2185" s="1058">
        <v>11347</v>
      </c>
      <c r="AP2185" s="1058">
        <v>20608</v>
      </c>
      <c r="AQ2185" s="1058">
        <v>20608</v>
      </c>
    </row>
    <row r="2186" spans="2:43" s="1044" customFormat="1" hidden="1" outlineLevel="1">
      <c r="B2186" s="1045"/>
      <c r="C2186" s="1053" t="s">
        <v>16</v>
      </c>
      <c r="D2186" s="1051" t="s">
        <v>1254</v>
      </c>
      <c r="E2186" s="1052" t="s">
        <v>1739</v>
      </c>
      <c r="F2186" s="1047"/>
      <c r="G2186" s="1047"/>
      <c r="H2186" s="1047"/>
      <c r="I2186" s="1047"/>
      <c r="J2186" s="1047"/>
      <c r="K2186" s="1047"/>
      <c r="L2186" s="1047"/>
      <c r="M2186" s="1047"/>
      <c r="N2186" s="1047"/>
      <c r="O2186" s="1047"/>
      <c r="P2186" s="1047"/>
      <c r="Q2186" s="1047"/>
      <c r="R2186" s="1047"/>
      <c r="S2186" s="1047"/>
      <c r="T2186" s="1047"/>
      <c r="U2186" s="1047"/>
      <c r="V2186" s="1047"/>
      <c r="W2186" s="1047"/>
      <c r="X2186" s="1047"/>
      <c r="Y2186" s="1047"/>
      <c r="Z2186" s="1047"/>
      <c r="AA2186" s="1047"/>
      <c r="AB2186" s="1070"/>
      <c r="AC2186" s="1070"/>
      <c r="AD2186" s="1070"/>
      <c r="AE2186" s="1070"/>
      <c r="AF2186" s="1070"/>
      <c r="AG2186" s="1070"/>
      <c r="AH2186" s="1070"/>
      <c r="AI2186" s="1070"/>
      <c r="AJ2186" s="1058"/>
      <c r="AK2186" s="1058"/>
      <c r="AL2186" s="1058">
        <v>40893</v>
      </c>
      <c r="AM2186" s="1058">
        <v>40893</v>
      </c>
      <c r="AN2186" s="1058">
        <v>34478</v>
      </c>
      <c r="AO2186" s="1058">
        <v>34478</v>
      </c>
      <c r="AP2186" s="1058">
        <v>40370</v>
      </c>
      <c r="AQ2186" s="1058">
        <v>40370</v>
      </c>
    </row>
    <row r="2187" spans="2:43" s="1044" customFormat="1" hidden="1" outlineLevel="1">
      <c r="B2187" s="1045"/>
      <c r="C2187" s="1053" t="s">
        <v>16</v>
      </c>
      <c r="D2187" s="1051" t="s">
        <v>1254</v>
      </c>
      <c r="E2187" s="1052" t="s">
        <v>1740</v>
      </c>
      <c r="F2187" s="1047"/>
      <c r="G2187" s="1047"/>
      <c r="H2187" s="1047"/>
      <c r="I2187" s="1047"/>
      <c r="J2187" s="1047"/>
      <c r="K2187" s="1047"/>
      <c r="L2187" s="1047"/>
      <c r="M2187" s="1047"/>
      <c r="N2187" s="1047"/>
      <c r="O2187" s="1047"/>
      <c r="P2187" s="1047"/>
      <c r="Q2187" s="1047"/>
      <c r="R2187" s="1047"/>
      <c r="S2187" s="1047"/>
      <c r="T2187" s="1047"/>
      <c r="U2187" s="1047"/>
      <c r="V2187" s="1047"/>
      <c r="W2187" s="1047"/>
      <c r="X2187" s="1047"/>
      <c r="Y2187" s="1047"/>
      <c r="Z2187" s="1047"/>
      <c r="AA2187" s="1047"/>
      <c r="AB2187" s="1070"/>
      <c r="AC2187" s="1070"/>
      <c r="AD2187" s="1070"/>
      <c r="AE2187" s="1070"/>
      <c r="AF2187" s="1070"/>
      <c r="AG2187" s="1070"/>
      <c r="AH2187" s="1070"/>
      <c r="AI2187" s="1070"/>
      <c r="AJ2187" s="1059"/>
      <c r="AK2187" s="1059"/>
      <c r="AL2187" s="1058">
        <v>2439</v>
      </c>
      <c r="AM2187" s="1058">
        <v>2439</v>
      </c>
      <c r="AN2187" s="1058">
        <v>1528</v>
      </c>
      <c r="AO2187" s="1058">
        <v>1528</v>
      </c>
      <c r="AP2187" s="1058">
        <v>2883</v>
      </c>
      <c r="AQ2187" s="1058">
        <v>2883</v>
      </c>
    </row>
    <row r="2188" spans="2:43" s="1044" customFormat="1" hidden="1" outlineLevel="1">
      <c r="B2188" s="1045"/>
      <c r="C2188" s="1053" t="s">
        <v>16</v>
      </c>
      <c r="D2188" s="1051" t="s">
        <v>1254</v>
      </c>
      <c r="E2188" s="1052" t="s">
        <v>1741</v>
      </c>
      <c r="F2188" s="1047"/>
      <c r="G2188" s="1047"/>
      <c r="H2188" s="1047"/>
      <c r="I2188" s="1047"/>
      <c r="J2188" s="1047"/>
      <c r="K2188" s="1047"/>
      <c r="L2188" s="1047"/>
      <c r="M2188" s="1047"/>
      <c r="N2188" s="1047"/>
      <c r="O2188" s="1047"/>
      <c r="P2188" s="1047"/>
      <c r="Q2188" s="1047"/>
      <c r="R2188" s="1047"/>
      <c r="S2188" s="1047"/>
      <c r="T2188" s="1047"/>
      <c r="U2188" s="1047"/>
      <c r="V2188" s="1047"/>
      <c r="W2188" s="1047"/>
      <c r="X2188" s="1047"/>
      <c r="Y2188" s="1047"/>
      <c r="Z2188" s="1047"/>
      <c r="AA2188" s="1047"/>
      <c r="AB2188" s="1070"/>
      <c r="AC2188" s="1070"/>
      <c r="AD2188" s="1070"/>
      <c r="AE2188" s="1070"/>
      <c r="AF2188" s="1070"/>
      <c r="AG2188" s="1070"/>
      <c r="AH2188" s="1070"/>
      <c r="AI2188" s="1070"/>
      <c r="AJ2188" s="1058"/>
      <c r="AK2188" s="1058"/>
      <c r="AL2188" s="1058">
        <v>215495</v>
      </c>
      <c r="AM2188" s="1058">
        <v>215495</v>
      </c>
      <c r="AN2188" s="1058">
        <v>199494</v>
      </c>
      <c r="AO2188" s="1058">
        <v>199494</v>
      </c>
      <c r="AP2188" s="1058">
        <v>171476</v>
      </c>
      <c r="AQ2188" s="1058">
        <v>171476</v>
      </c>
    </row>
    <row r="2189" spans="2:43" s="1044" customFormat="1" hidden="1" outlineLevel="1">
      <c r="B2189" s="1045"/>
      <c r="C2189" s="1053" t="s">
        <v>16</v>
      </c>
      <c r="D2189" s="1051" t="s">
        <v>1254</v>
      </c>
      <c r="E2189" s="1052" t="s">
        <v>1743</v>
      </c>
      <c r="F2189" s="1047"/>
      <c r="G2189" s="1047"/>
      <c r="H2189" s="1047"/>
      <c r="I2189" s="1047"/>
      <c r="J2189" s="1047"/>
      <c r="K2189" s="1047"/>
      <c r="L2189" s="1047"/>
      <c r="M2189" s="1047"/>
      <c r="N2189" s="1047"/>
      <c r="O2189" s="1047"/>
      <c r="P2189" s="1047"/>
      <c r="Q2189" s="1047"/>
      <c r="R2189" s="1047"/>
      <c r="S2189" s="1047"/>
      <c r="T2189" s="1047"/>
      <c r="U2189" s="1047"/>
      <c r="V2189" s="1047"/>
      <c r="W2189" s="1047"/>
      <c r="X2189" s="1047"/>
      <c r="Y2189" s="1047"/>
      <c r="Z2189" s="1047"/>
      <c r="AA2189" s="1047"/>
      <c r="AB2189" s="1070"/>
      <c r="AC2189" s="1070"/>
      <c r="AD2189" s="1070"/>
      <c r="AE2189" s="1070"/>
      <c r="AF2189" s="1070"/>
      <c r="AG2189" s="1070"/>
      <c r="AH2189" s="1070"/>
      <c r="AI2189" s="1070"/>
      <c r="AJ2189" s="1058"/>
      <c r="AK2189" s="1058"/>
      <c r="AL2189" s="1058">
        <v>102421</v>
      </c>
      <c r="AM2189" s="1058">
        <v>102421</v>
      </c>
      <c r="AN2189" s="1058">
        <v>186158</v>
      </c>
      <c r="AO2189" s="1058">
        <v>186158</v>
      </c>
      <c r="AP2189" s="1058">
        <v>323882</v>
      </c>
      <c r="AQ2189" s="1058">
        <v>323882</v>
      </c>
    </row>
    <row r="2190" spans="2:43" s="1044" customFormat="1" hidden="1" outlineLevel="1">
      <c r="B2190" s="1045"/>
      <c r="C2190" s="1053" t="s">
        <v>16</v>
      </c>
      <c r="D2190" s="1051" t="s">
        <v>1254</v>
      </c>
      <c r="E2190" s="1052" t="s">
        <v>1964</v>
      </c>
      <c r="F2190" s="1047"/>
      <c r="G2190" s="1047"/>
      <c r="H2190" s="1047"/>
      <c r="I2190" s="1047"/>
      <c r="J2190" s="1047"/>
      <c r="K2190" s="1047"/>
      <c r="L2190" s="1047"/>
      <c r="M2190" s="1047"/>
      <c r="N2190" s="1047"/>
      <c r="O2190" s="1047"/>
      <c r="P2190" s="1047"/>
      <c r="Q2190" s="1047"/>
      <c r="R2190" s="1047"/>
      <c r="S2190" s="1047"/>
      <c r="T2190" s="1047"/>
      <c r="U2190" s="1047"/>
      <c r="V2190" s="1047"/>
      <c r="W2190" s="1047"/>
      <c r="X2190" s="1047"/>
      <c r="Y2190" s="1047"/>
      <c r="Z2190" s="1047"/>
      <c r="AA2190" s="1047"/>
      <c r="AB2190" s="1070"/>
      <c r="AC2190" s="1070"/>
      <c r="AD2190" s="1070"/>
      <c r="AE2190" s="1070"/>
      <c r="AF2190" s="1070"/>
      <c r="AG2190" s="1070"/>
      <c r="AH2190" s="1070"/>
      <c r="AI2190" s="1070"/>
      <c r="AJ2190" s="1058"/>
      <c r="AK2190" s="1058"/>
      <c r="AL2190" s="1058">
        <v>18066</v>
      </c>
      <c r="AM2190" s="1058">
        <v>18066</v>
      </c>
      <c r="AN2190" s="1058">
        <v>18804</v>
      </c>
      <c r="AO2190" s="1058">
        <v>18804</v>
      </c>
      <c r="AP2190" s="1058">
        <v>20265</v>
      </c>
      <c r="AQ2190" s="1058">
        <v>20265</v>
      </c>
    </row>
    <row r="2191" spans="2:43" s="1044" customFormat="1" hidden="1" outlineLevel="1">
      <c r="B2191" s="1045"/>
      <c r="C2191" s="1053" t="s">
        <v>16</v>
      </c>
      <c r="D2191" s="1051" t="s">
        <v>1254</v>
      </c>
      <c r="E2191" s="1052" t="s">
        <v>1748</v>
      </c>
      <c r="F2191" s="1047"/>
      <c r="G2191" s="1047"/>
      <c r="H2191" s="1047"/>
      <c r="I2191" s="1047"/>
      <c r="J2191" s="1047"/>
      <c r="K2191" s="1047"/>
      <c r="L2191" s="1047"/>
      <c r="M2191" s="1047"/>
      <c r="N2191" s="1047"/>
      <c r="O2191" s="1047"/>
      <c r="P2191" s="1047"/>
      <c r="Q2191" s="1047"/>
      <c r="R2191" s="1047"/>
      <c r="S2191" s="1047"/>
      <c r="T2191" s="1047"/>
      <c r="U2191" s="1047"/>
      <c r="V2191" s="1047"/>
      <c r="W2191" s="1047"/>
      <c r="X2191" s="1047"/>
      <c r="Y2191" s="1047"/>
      <c r="Z2191" s="1047"/>
      <c r="AA2191" s="1047"/>
      <c r="AB2191" s="1070"/>
      <c r="AC2191" s="1070"/>
      <c r="AD2191" s="1070"/>
      <c r="AE2191" s="1070"/>
      <c r="AF2191" s="1070"/>
      <c r="AG2191" s="1070"/>
      <c r="AH2191" s="1070"/>
      <c r="AI2191" s="1070"/>
      <c r="AJ2191" s="1058"/>
      <c r="AK2191" s="1058"/>
      <c r="AL2191" s="1058">
        <v>135042</v>
      </c>
      <c r="AM2191" s="1058">
        <v>135042</v>
      </c>
      <c r="AN2191" s="1058">
        <v>107572</v>
      </c>
      <c r="AO2191" s="1058">
        <v>107572</v>
      </c>
      <c r="AP2191" s="1058">
        <v>152152</v>
      </c>
      <c r="AQ2191" s="1058">
        <v>152152</v>
      </c>
    </row>
    <row r="2192" spans="2:43" s="1044" customFormat="1" hidden="1" outlineLevel="1">
      <c r="B2192" s="1045"/>
      <c r="C2192" s="1053" t="s">
        <v>16</v>
      </c>
      <c r="D2192" s="1051" t="s">
        <v>1254</v>
      </c>
      <c r="E2192" s="1052" t="s">
        <v>1745</v>
      </c>
      <c r="F2192" s="1047"/>
      <c r="G2192" s="1047"/>
      <c r="H2192" s="1047"/>
      <c r="I2192" s="1047"/>
      <c r="J2192" s="1047"/>
      <c r="K2192" s="1047"/>
      <c r="L2192" s="1047"/>
      <c r="M2192" s="1047"/>
      <c r="N2192" s="1047"/>
      <c r="O2192" s="1047"/>
      <c r="P2192" s="1047"/>
      <c r="Q2192" s="1047"/>
      <c r="R2192" s="1047"/>
      <c r="S2192" s="1047"/>
      <c r="T2192" s="1047"/>
      <c r="U2192" s="1047"/>
      <c r="V2192" s="1047"/>
      <c r="W2192" s="1047"/>
      <c r="X2192" s="1047"/>
      <c r="Y2192" s="1047"/>
      <c r="Z2192" s="1047"/>
      <c r="AA2192" s="1047"/>
      <c r="AB2192" s="1070"/>
      <c r="AC2192" s="1070"/>
      <c r="AD2192" s="1070"/>
      <c r="AE2192" s="1070"/>
      <c r="AF2192" s="1070"/>
      <c r="AG2192" s="1070"/>
      <c r="AH2192" s="1070"/>
      <c r="AI2192" s="1070"/>
      <c r="AJ2192" s="1058"/>
      <c r="AK2192" s="1058"/>
      <c r="AL2192" s="1058">
        <v>211093</v>
      </c>
      <c r="AM2192" s="1058">
        <v>211093</v>
      </c>
      <c r="AN2192" s="1058">
        <v>136048</v>
      </c>
      <c r="AO2192" s="1058">
        <v>136048</v>
      </c>
      <c r="AP2192" s="1058">
        <v>133605</v>
      </c>
      <c r="AQ2192" s="1058">
        <v>133605</v>
      </c>
    </row>
    <row r="2193" spans="2:45" s="1044" customFormat="1" hidden="1" outlineLevel="1">
      <c r="B2193" s="1045"/>
      <c r="C2193" s="1053" t="s">
        <v>16</v>
      </c>
      <c r="D2193" s="1051" t="s">
        <v>1254</v>
      </c>
      <c r="E2193" s="1052" t="s">
        <v>1750</v>
      </c>
      <c r="F2193" s="1047"/>
      <c r="G2193" s="1047"/>
      <c r="H2193" s="1047"/>
      <c r="I2193" s="1047"/>
      <c r="J2193" s="1047"/>
      <c r="K2193" s="1047"/>
      <c r="L2193" s="1047"/>
      <c r="M2193" s="1047"/>
      <c r="N2193" s="1047"/>
      <c r="O2193" s="1047"/>
      <c r="P2193" s="1047"/>
      <c r="Q2193" s="1047"/>
      <c r="R2193" s="1047"/>
      <c r="S2193" s="1047"/>
      <c r="T2193" s="1047"/>
      <c r="U2193" s="1047"/>
      <c r="V2193" s="1047"/>
      <c r="W2193" s="1047"/>
      <c r="X2193" s="1047"/>
      <c r="Y2193" s="1047"/>
      <c r="Z2193" s="1047"/>
      <c r="AA2193" s="1047"/>
      <c r="AB2193" s="1070"/>
      <c r="AC2193" s="1070"/>
      <c r="AD2193" s="1070"/>
      <c r="AE2193" s="1070"/>
      <c r="AF2193" s="1070"/>
      <c r="AG2193" s="1070"/>
      <c r="AH2193" s="1070"/>
      <c r="AI2193" s="1070"/>
      <c r="AJ2193" s="1058"/>
      <c r="AK2193" s="1058"/>
      <c r="AL2193" s="1058">
        <v>255781</v>
      </c>
      <c r="AM2193" s="1058">
        <v>255781</v>
      </c>
      <c r="AN2193" s="1058">
        <v>202059</v>
      </c>
      <c r="AO2193" s="1058">
        <v>202059</v>
      </c>
      <c r="AP2193" s="1058">
        <v>236356</v>
      </c>
      <c r="AQ2193" s="1058">
        <v>236356</v>
      </c>
    </row>
    <row r="2194" spans="2:45" s="1044" customFormat="1" hidden="1" outlineLevel="1">
      <c r="B2194" s="1045"/>
      <c r="C2194" s="1053" t="s">
        <v>16</v>
      </c>
      <c r="D2194" s="1113" t="s">
        <v>1254</v>
      </c>
      <c r="E2194" s="1121" t="s">
        <v>1752</v>
      </c>
      <c r="F2194" s="638"/>
      <c r="G2194" s="1047"/>
      <c r="H2194" s="1047"/>
      <c r="I2194" s="1047"/>
      <c r="J2194" s="1047"/>
      <c r="K2194" s="1047"/>
      <c r="L2194" s="1047"/>
      <c r="M2194" s="1047"/>
      <c r="N2194" s="1047"/>
      <c r="O2194" s="1047"/>
      <c r="P2194" s="1047"/>
      <c r="Q2194" s="1047"/>
      <c r="R2194" s="1047"/>
      <c r="S2194" s="1047"/>
      <c r="T2194" s="1047"/>
      <c r="U2194" s="1047"/>
      <c r="V2194" s="1047"/>
      <c r="W2194" s="1047"/>
      <c r="X2194" s="1047"/>
      <c r="Y2194" s="1047"/>
      <c r="Z2194" s="1047"/>
      <c r="AA2194" s="1047"/>
      <c r="AB2194" s="1070"/>
      <c r="AC2194" s="1070"/>
      <c r="AD2194" s="1070"/>
      <c r="AE2194" s="1070"/>
      <c r="AF2194" s="1070"/>
      <c r="AG2194" s="1070"/>
      <c r="AH2194" s="1070"/>
      <c r="AI2194" s="1070"/>
      <c r="AJ2194" s="1058"/>
      <c r="AK2194" s="1058"/>
      <c r="AL2194" s="1058">
        <v>119625</v>
      </c>
      <c r="AM2194" s="1058">
        <v>119625</v>
      </c>
      <c r="AN2194" s="1058">
        <v>108409</v>
      </c>
      <c r="AO2194" s="1058">
        <v>108409</v>
      </c>
      <c r="AP2194" s="1058">
        <v>113412</v>
      </c>
      <c r="AQ2194" s="1058">
        <v>113412</v>
      </c>
    </row>
    <row r="2195" spans="2:45" s="218" customFormat="1" hidden="1" outlineLevel="1">
      <c r="B2195" s="566"/>
      <c r="C2195" s="897" t="s">
        <v>16</v>
      </c>
      <c r="D2195" s="1113" t="s">
        <v>1254</v>
      </c>
      <c r="E2195" s="59" t="s">
        <v>2193</v>
      </c>
      <c r="F2195" s="1060"/>
      <c r="G2195" s="1060"/>
      <c r="H2195" s="1060"/>
      <c r="I2195" s="1060"/>
      <c r="J2195" s="1060"/>
      <c r="K2195" s="1060"/>
      <c r="L2195" s="1060"/>
      <c r="M2195" s="1060"/>
      <c r="N2195" s="1060"/>
      <c r="O2195" s="1060"/>
      <c r="P2195" s="1060"/>
      <c r="Q2195" s="1060"/>
      <c r="R2195" s="1060"/>
      <c r="S2195" s="1060"/>
      <c r="T2195" s="1060"/>
      <c r="U2195" s="1060"/>
      <c r="V2195" s="1060"/>
      <c r="W2195" s="1060"/>
      <c r="X2195" s="1060"/>
      <c r="Y2195" s="1060"/>
      <c r="Z2195" s="1060"/>
      <c r="AA2195" s="1060"/>
      <c r="AB2195" s="1072">
        <f t="shared" ref="AB2195:AE2195" si="449">SUM(AB2144:AB2194)</f>
        <v>6094417</v>
      </c>
      <c r="AC2195" s="1072">
        <f t="shared" si="449"/>
        <v>4973046</v>
      </c>
      <c r="AD2195" s="1072">
        <f t="shared" si="449"/>
        <v>9347754</v>
      </c>
      <c r="AE2195" s="1072">
        <f t="shared" si="449"/>
        <v>9347754</v>
      </c>
      <c r="AF2195" s="1072">
        <f t="shared" ref="AF2195:AQ2195" si="450">SUM(AF2144:AF2194)</f>
        <v>9481190</v>
      </c>
      <c r="AG2195" s="1072">
        <f t="shared" si="450"/>
        <v>9481190</v>
      </c>
      <c r="AH2195" s="1072">
        <f t="shared" si="450"/>
        <v>6886038</v>
      </c>
      <c r="AI2195" s="1072">
        <f t="shared" si="450"/>
        <v>6886038</v>
      </c>
      <c r="AJ2195" s="1072">
        <f t="shared" si="450"/>
        <v>7030688</v>
      </c>
      <c r="AK2195" s="1072">
        <f t="shared" si="450"/>
        <v>7030688</v>
      </c>
      <c r="AL2195" s="1072">
        <f t="shared" si="450"/>
        <v>7136193</v>
      </c>
      <c r="AM2195" s="1072">
        <f t="shared" si="450"/>
        <v>7136193</v>
      </c>
      <c r="AN2195" s="1072">
        <f t="shared" si="450"/>
        <v>6422579</v>
      </c>
      <c r="AO2195" s="1072">
        <f t="shared" si="450"/>
        <v>6422578</v>
      </c>
      <c r="AP2195" s="1072">
        <f t="shared" si="450"/>
        <v>7136187</v>
      </c>
      <c r="AQ2195" s="1072">
        <f t="shared" si="450"/>
        <v>7136187</v>
      </c>
      <c r="AR2195" s="1044"/>
      <c r="AS2195" s="1044"/>
    </row>
    <row r="2196" spans="2:45" s="1044" customFormat="1" collapsed="1">
      <c r="C2196" s="1205" t="s">
        <v>2180</v>
      </c>
      <c r="D2196" s="1205"/>
      <c r="E2196" s="1206"/>
      <c r="F2196" s="1038"/>
      <c r="G2196" s="1038"/>
      <c r="H2196" s="1038"/>
      <c r="I2196" s="1038"/>
      <c r="J2196" s="1038"/>
      <c r="K2196" s="1038"/>
      <c r="L2196" s="1038"/>
      <c r="M2196" s="1038"/>
      <c r="N2196" s="1038"/>
      <c r="O2196" s="1038"/>
      <c r="P2196" s="1038"/>
      <c r="Q2196" s="1038"/>
      <c r="R2196" s="1038"/>
      <c r="S2196" s="1038"/>
      <c r="T2196" s="1038"/>
      <c r="U2196" s="1038"/>
      <c r="V2196" s="1038"/>
      <c r="W2196" s="1038"/>
      <c r="X2196" s="1038"/>
      <c r="Y2196" s="1038"/>
      <c r="Z2196" s="1038"/>
      <c r="AA2196" s="1038"/>
      <c r="AB2196" s="1055"/>
      <c r="AC2196" s="1055"/>
      <c r="AD2196" s="1055"/>
      <c r="AE2196" s="1055"/>
      <c r="AF2196" s="1300" t="s">
        <v>159</v>
      </c>
      <c r="AG2196" s="1301"/>
      <c r="AH2196" s="1300" t="s">
        <v>159</v>
      </c>
      <c r="AI2196" s="1301"/>
      <c r="AJ2196" s="1300" t="s">
        <v>159</v>
      </c>
      <c r="AK2196" s="1301"/>
      <c r="AL2196" s="1300" t="s">
        <v>159</v>
      </c>
      <c r="AM2196" s="1301"/>
      <c r="AN2196" s="1300" t="s">
        <v>159</v>
      </c>
      <c r="AO2196" s="1301"/>
      <c r="AP2196" s="1302" t="s">
        <v>159</v>
      </c>
      <c r="AQ2196" s="1303"/>
    </row>
    <row r="2197" spans="2:45" s="1044" customFormat="1" hidden="1" outlineLevel="1">
      <c r="B2197" s="1045"/>
      <c r="C2197" s="1053" t="s">
        <v>16</v>
      </c>
      <c r="D2197" s="1051" t="s">
        <v>1254</v>
      </c>
      <c r="E2197" s="278" t="s">
        <v>290</v>
      </c>
      <c r="F2197" s="1047"/>
      <c r="G2197" s="1047"/>
      <c r="H2197" s="1047"/>
      <c r="I2197" s="1047"/>
      <c r="J2197" s="1047"/>
      <c r="K2197" s="1047"/>
      <c r="L2197" s="1047"/>
      <c r="M2197" s="1047"/>
      <c r="N2197" s="1047"/>
      <c r="O2197" s="1047"/>
      <c r="P2197" s="1047"/>
      <c r="Q2197" s="1047"/>
      <c r="R2197" s="1047"/>
      <c r="S2197" s="1047"/>
      <c r="T2197" s="1047"/>
      <c r="U2197" s="1047"/>
      <c r="V2197" s="1047"/>
      <c r="W2197" s="1047"/>
      <c r="X2197" s="1047"/>
      <c r="Y2197" s="1047"/>
      <c r="Z2197" s="1047"/>
      <c r="AA2197" s="1047"/>
      <c r="AB2197" s="1070">
        <v>0</v>
      </c>
      <c r="AC2197" s="1070">
        <v>0</v>
      </c>
      <c r="AD2197" s="1070">
        <v>0</v>
      </c>
      <c r="AE2197" s="1070">
        <v>0</v>
      </c>
      <c r="AF2197" s="1070">
        <v>0</v>
      </c>
      <c r="AG2197" s="1070">
        <v>0</v>
      </c>
      <c r="AH2197" s="1070">
        <v>0</v>
      </c>
      <c r="AI2197" s="1070">
        <v>0</v>
      </c>
      <c r="AJ2197" s="1058">
        <v>3117353</v>
      </c>
      <c r="AK2197" s="1058">
        <v>3117353</v>
      </c>
      <c r="AL2197" s="1058"/>
      <c r="AM2197" s="1058"/>
      <c r="AN2197" s="1058"/>
      <c r="AO2197" s="1058"/>
      <c r="AP2197" s="1058"/>
      <c r="AQ2197" s="1058"/>
    </row>
    <row r="2198" spans="2:45" s="1044" customFormat="1" hidden="1" outlineLevel="1">
      <c r="B2198" s="1045"/>
      <c r="C2198" s="1053" t="s">
        <v>16</v>
      </c>
      <c r="D2198" s="1051" t="s">
        <v>1254</v>
      </c>
      <c r="E2198" s="278" t="s">
        <v>307</v>
      </c>
      <c r="F2198" s="1047"/>
      <c r="G2198" s="1047"/>
      <c r="H2198" s="1047"/>
      <c r="I2198" s="1047"/>
      <c r="J2198" s="1047"/>
      <c r="K2198" s="1047"/>
      <c r="L2198" s="1047"/>
      <c r="M2198" s="1047"/>
      <c r="N2198" s="1047"/>
      <c r="O2198" s="1047"/>
      <c r="P2198" s="1047"/>
      <c r="Q2198" s="1047"/>
      <c r="R2198" s="1047"/>
      <c r="S2198" s="1047"/>
      <c r="T2198" s="1047"/>
      <c r="U2198" s="1047"/>
      <c r="V2198" s="1047"/>
      <c r="W2198" s="1047"/>
      <c r="X2198" s="1047"/>
      <c r="Y2198" s="1047"/>
      <c r="Z2198" s="1047"/>
      <c r="AA2198" s="1047"/>
      <c r="AB2198" s="1070">
        <v>0</v>
      </c>
      <c r="AC2198" s="1070">
        <v>0</v>
      </c>
      <c r="AD2198" s="1070">
        <v>19694386</v>
      </c>
      <c r="AE2198" s="1070">
        <v>19694386</v>
      </c>
      <c r="AF2198" s="1070">
        <v>27534452</v>
      </c>
      <c r="AG2198" s="1070">
        <v>27534452</v>
      </c>
      <c r="AH2198" s="1070">
        <v>18391782</v>
      </c>
      <c r="AI2198" s="1070">
        <v>18391782</v>
      </c>
      <c r="AJ2198" s="1058">
        <v>26702103</v>
      </c>
      <c r="AK2198" s="1058">
        <v>26702103</v>
      </c>
      <c r="AL2198" s="1058"/>
      <c r="AM2198" s="1058"/>
      <c r="AN2198" s="1058"/>
      <c r="AO2198" s="1058"/>
      <c r="AP2198" s="1058"/>
      <c r="AQ2198" s="1058"/>
    </row>
    <row r="2199" spans="2:45" s="1044" customFormat="1" hidden="1" outlineLevel="1">
      <c r="B2199" s="1045"/>
      <c r="C2199" s="1053" t="s">
        <v>16</v>
      </c>
      <c r="D2199" s="1051" t="s">
        <v>1254</v>
      </c>
      <c r="E2199" s="278" t="s">
        <v>316</v>
      </c>
      <c r="F2199" s="1047"/>
      <c r="G2199" s="1047"/>
      <c r="H2199" s="1047"/>
      <c r="I2199" s="1047"/>
      <c r="J2199" s="1047"/>
      <c r="K2199" s="1047"/>
      <c r="L2199" s="1047"/>
      <c r="M2199" s="1047"/>
      <c r="N2199" s="1047"/>
      <c r="O2199" s="1047"/>
      <c r="P2199" s="1047"/>
      <c r="Q2199" s="1047"/>
      <c r="R2199" s="1047"/>
      <c r="S2199" s="1047"/>
      <c r="T2199" s="1047"/>
      <c r="U2199" s="1047"/>
      <c r="V2199" s="1047"/>
      <c r="W2199" s="1047"/>
      <c r="X2199" s="1047"/>
      <c r="Y2199" s="1047"/>
      <c r="Z2199" s="1047"/>
      <c r="AA2199" s="1047"/>
      <c r="AB2199" s="1070"/>
      <c r="AC2199" s="1070"/>
      <c r="AD2199" s="1070"/>
      <c r="AE2199" s="1070"/>
      <c r="AF2199" s="1070">
        <v>0</v>
      </c>
      <c r="AG2199" s="1070">
        <v>0</v>
      </c>
      <c r="AH2199" s="1070">
        <v>2365121</v>
      </c>
      <c r="AI2199" s="1070">
        <v>2365121</v>
      </c>
      <c r="AJ2199" s="1058">
        <v>4126471</v>
      </c>
      <c r="AK2199" s="1058">
        <v>4126471</v>
      </c>
      <c r="AL2199" s="1058"/>
      <c r="AM2199" s="1058"/>
      <c r="AN2199" s="1058"/>
      <c r="AO2199" s="1058"/>
      <c r="AP2199" s="1058"/>
      <c r="AQ2199" s="1058"/>
    </row>
    <row r="2200" spans="2:45" s="1044" customFormat="1" hidden="1" outlineLevel="1">
      <c r="B2200" s="1045"/>
      <c r="C2200" s="1053" t="s">
        <v>16</v>
      </c>
      <c r="D2200" s="1051" t="s">
        <v>1254</v>
      </c>
      <c r="E2200" s="278" t="s">
        <v>332</v>
      </c>
      <c r="F2200" s="1047"/>
      <c r="G2200" s="1047"/>
      <c r="H2200" s="1047"/>
      <c r="I2200" s="1047"/>
      <c r="J2200" s="1047"/>
      <c r="K2200" s="1047"/>
      <c r="L2200" s="1047"/>
      <c r="M2200" s="1047"/>
      <c r="N2200" s="1047"/>
      <c r="O2200" s="1047"/>
      <c r="P2200" s="1047"/>
      <c r="Q2200" s="1047"/>
      <c r="R2200" s="1047"/>
      <c r="S2200" s="1047"/>
      <c r="T2200" s="1047"/>
      <c r="U2200" s="1047"/>
      <c r="V2200" s="1047"/>
      <c r="W2200" s="1047"/>
      <c r="X2200" s="1047"/>
      <c r="Y2200" s="1047"/>
      <c r="Z2200" s="1047"/>
      <c r="AA2200" s="1047"/>
      <c r="AB2200" s="1070"/>
      <c r="AC2200" s="1070"/>
      <c r="AD2200" s="1070"/>
      <c r="AE2200" s="1070"/>
      <c r="AF2200" s="1070"/>
      <c r="AG2200" s="1070"/>
      <c r="AH2200" s="1070"/>
      <c r="AI2200" s="1070"/>
      <c r="AJ2200" s="1058">
        <v>3218880</v>
      </c>
      <c r="AK2200" s="1058">
        <v>3218880</v>
      </c>
      <c r="AL2200" s="1058"/>
      <c r="AM2200" s="1058"/>
      <c r="AN2200" s="1058"/>
      <c r="AO2200" s="1058"/>
      <c r="AP2200" s="1058"/>
      <c r="AQ2200" s="1058"/>
    </row>
    <row r="2201" spans="2:45" s="1044" customFormat="1" hidden="1" outlineLevel="1">
      <c r="B2201" s="1045"/>
      <c r="C2201" s="1053" t="s">
        <v>16</v>
      </c>
      <c r="D2201" s="1051" t="s">
        <v>1254</v>
      </c>
      <c r="E2201" s="278" t="s">
        <v>369</v>
      </c>
      <c r="F2201" s="1047"/>
      <c r="G2201" s="1047"/>
      <c r="H2201" s="1047"/>
      <c r="I2201" s="1047"/>
      <c r="J2201" s="1047"/>
      <c r="K2201" s="1047"/>
      <c r="L2201" s="1047"/>
      <c r="M2201" s="1047"/>
      <c r="N2201" s="1047"/>
      <c r="O2201" s="1047"/>
      <c r="P2201" s="1047"/>
      <c r="Q2201" s="1047"/>
      <c r="R2201" s="1047"/>
      <c r="S2201" s="1047"/>
      <c r="T2201" s="1047"/>
      <c r="U2201" s="1047"/>
      <c r="V2201" s="1047"/>
      <c r="W2201" s="1047"/>
      <c r="X2201" s="1047"/>
      <c r="Y2201" s="1047"/>
      <c r="Z2201" s="1047"/>
      <c r="AA2201" s="1047"/>
      <c r="AB2201" s="1070"/>
      <c r="AC2201" s="1070"/>
      <c r="AD2201" s="1070"/>
      <c r="AE2201" s="1070"/>
      <c r="AF2201" s="1070"/>
      <c r="AG2201" s="1070"/>
      <c r="AH2201" s="1070"/>
      <c r="AI2201" s="1070"/>
      <c r="AJ2201" s="1058">
        <v>2500000</v>
      </c>
      <c r="AK2201" s="1058">
        <v>2500000</v>
      </c>
      <c r="AL2201" s="1058"/>
      <c r="AM2201" s="1058"/>
      <c r="AN2201" s="1058"/>
      <c r="AO2201" s="1058"/>
      <c r="AP2201" s="1058"/>
      <c r="AQ2201" s="1058"/>
    </row>
    <row r="2202" spans="2:45" s="1044" customFormat="1" hidden="1" outlineLevel="1">
      <c r="B2202" s="1045"/>
      <c r="C2202" s="1053" t="s">
        <v>16</v>
      </c>
      <c r="D2202" s="1051" t="s">
        <v>1254</v>
      </c>
      <c r="E2202" s="278" t="s">
        <v>382</v>
      </c>
      <c r="F2202" s="1047"/>
      <c r="G2202" s="1047"/>
      <c r="H2202" s="1047"/>
      <c r="I2202" s="1047"/>
      <c r="J2202" s="1047"/>
      <c r="K2202" s="1047"/>
      <c r="L2202" s="1047"/>
      <c r="M2202" s="1047"/>
      <c r="N2202" s="1047"/>
      <c r="O2202" s="1047"/>
      <c r="P2202" s="1047"/>
      <c r="Q2202" s="1047"/>
      <c r="R2202" s="1047"/>
      <c r="S2202" s="1047"/>
      <c r="T2202" s="1047"/>
      <c r="U2202" s="1047"/>
      <c r="V2202" s="1047"/>
      <c r="W2202" s="1047"/>
      <c r="X2202" s="1047"/>
      <c r="Y2202" s="1047"/>
      <c r="Z2202" s="1047"/>
      <c r="AA2202" s="1047"/>
      <c r="AB2202" s="1070"/>
      <c r="AC2202" s="1070"/>
      <c r="AD2202" s="1070">
        <v>20263734</v>
      </c>
      <c r="AE2202" s="1070">
        <v>20263732</v>
      </c>
      <c r="AF2202" s="1070">
        <v>28068280</v>
      </c>
      <c r="AG2202" s="1070">
        <v>28068280</v>
      </c>
      <c r="AH2202" s="1070">
        <v>19903235</v>
      </c>
      <c r="AI2202" s="1070">
        <v>19903235</v>
      </c>
      <c r="AJ2202" s="1058">
        <v>29350994</v>
      </c>
      <c r="AK2202" s="1058">
        <v>29350994</v>
      </c>
      <c r="AL2202" s="1058"/>
      <c r="AM2202" s="1058"/>
      <c r="AN2202" s="1058"/>
      <c r="AO2202" s="1058"/>
      <c r="AP2202" s="1058"/>
      <c r="AQ2202" s="1058"/>
    </row>
    <row r="2203" spans="2:45" s="1044" customFormat="1" hidden="1" outlineLevel="1">
      <c r="B2203" s="1045"/>
      <c r="C2203" s="1053" t="s">
        <v>16</v>
      </c>
      <c r="D2203" s="1051" t="s">
        <v>1254</v>
      </c>
      <c r="E2203" s="278" t="s">
        <v>475</v>
      </c>
      <c r="F2203" s="1047"/>
      <c r="G2203" s="1047"/>
      <c r="H2203" s="1047"/>
      <c r="I2203" s="1047"/>
      <c r="J2203" s="1047"/>
      <c r="K2203" s="1047"/>
      <c r="L2203" s="1047"/>
      <c r="M2203" s="1047"/>
      <c r="N2203" s="1047"/>
      <c r="O2203" s="1047"/>
      <c r="P2203" s="1047"/>
      <c r="Q2203" s="1047"/>
      <c r="R2203" s="1047"/>
      <c r="S2203" s="1047"/>
      <c r="T2203" s="1047"/>
      <c r="U2203" s="1047"/>
      <c r="V2203" s="1047"/>
      <c r="W2203" s="1047"/>
      <c r="X2203" s="1047"/>
      <c r="Y2203" s="1047"/>
      <c r="Z2203" s="1047"/>
      <c r="AA2203" s="1047"/>
      <c r="AB2203" s="1070"/>
      <c r="AC2203" s="1070"/>
      <c r="AD2203" s="1070">
        <v>4099811</v>
      </c>
      <c r="AE2203" s="1070">
        <v>4099810</v>
      </c>
      <c r="AF2203" s="1070">
        <v>4535210</v>
      </c>
      <c r="AG2203" s="1070">
        <v>4535210</v>
      </c>
      <c r="AH2203" s="1070">
        <v>3061979</v>
      </c>
      <c r="AI2203" s="1070">
        <v>3061979</v>
      </c>
      <c r="AJ2203" s="1058">
        <v>4382321</v>
      </c>
      <c r="AK2203" s="1058">
        <v>4382321</v>
      </c>
      <c r="AL2203" s="1058"/>
      <c r="AM2203" s="1058"/>
      <c r="AN2203" s="1058"/>
      <c r="AO2203" s="1058"/>
      <c r="AP2203" s="1058"/>
      <c r="AQ2203" s="1058"/>
    </row>
    <row r="2204" spans="2:45" s="1044" customFormat="1" hidden="1" outlineLevel="1">
      <c r="B2204" s="1045"/>
      <c r="C2204" s="1053" t="s">
        <v>16</v>
      </c>
      <c r="D2204" s="1051" t="s">
        <v>1254</v>
      </c>
      <c r="E2204" s="278" t="s">
        <v>537</v>
      </c>
      <c r="F2204" s="1047"/>
      <c r="G2204" s="1047"/>
      <c r="H2204" s="1047"/>
      <c r="I2204" s="1047"/>
      <c r="J2204" s="1047"/>
      <c r="K2204" s="1047"/>
      <c r="L2204" s="1047"/>
      <c r="M2204" s="1047"/>
      <c r="N2204" s="1047"/>
      <c r="O2204" s="1047"/>
      <c r="P2204" s="1047"/>
      <c r="Q2204" s="1047"/>
      <c r="R2204" s="1047"/>
      <c r="S2204" s="1047"/>
      <c r="T2204" s="1047"/>
      <c r="U2204" s="1047"/>
      <c r="V2204" s="1047"/>
      <c r="W2204" s="1047"/>
      <c r="X2204" s="1047"/>
      <c r="Y2204" s="1047"/>
      <c r="Z2204" s="1047"/>
      <c r="AA2204" s="1047"/>
      <c r="AB2204" s="1070"/>
      <c r="AC2204" s="1070"/>
      <c r="AD2204" s="1070">
        <v>2545879</v>
      </c>
      <c r="AE2204" s="1070">
        <v>2545877</v>
      </c>
      <c r="AF2204" s="1070">
        <v>2965865</v>
      </c>
      <c r="AG2204" s="1070">
        <v>2965865</v>
      </c>
      <c r="AH2204" s="1070">
        <v>3020595</v>
      </c>
      <c r="AI2204" s="1070">
        <v>3020595</v>
      </c>
      <c r="AJ2204" s="1058">
        <v>6223241</v>
      </c>
      <c r="AK2204" s="1058">
        <v>6223241</v>
      </c>
      <c r="AL2204" s="1058"/>
      <c r="AM2204" s="1058"/>
      <c r="AN2204" s="1058"/>
      <c r="AO2204" s="1058"/>
      <c r="AP2204" s="1058"/>
      <c r="AQ2204" s="1058"/>
    </row>
    <row r="2205" spans="2:45" s="218" customFormat="1" hidden="1" outlineLevel="1">
      <c r="B2205" s="566"/>
      <c r="C2205" s="897" t="s">
        <v>16</v>
      </c>
      <c r="D2205" s="1051" t="s">
        <v>1254</v>
      </c>
      <c r="E2205" s="59" t="s">
        <v>2183</v>
      </c>
      <c r="F2205" s="1060"/>
      <c r="G2205" s="1060"/>
      <c r="H2205" s="1060"/>
      <c r="I2205" s="1060"/>
      <c r="J2205" s="1060"/>
      <c r="K2205" s="1060"/>
      <c r="L2205" s="1060"/>
      <c r="M2205" s="1060"/>
      <c r="N2205" s="1060"/>
      <c r="O2205" s="1060"/>
      <c r="P2205" s="1060"/>
      <c r="Q2205" s="1060"/>
      <c r="R2205" s="1060"/>
      <c r="S2205" s="1060"/>
      <c r="T2205" s="1060"/>
      <c r="U2205" s="1060"/>
      <c r="V2205" s="1060"/>
      <c r="W2205" s="1060"/>
      <c r="X2205" s="1060"/>
      <c r="Y2205" s="1060"/>
      <c r="Z2205" s="1060"/>
      <c r="AA2205" s="1060"/>
      <c r="AB2205" s="1072"/>
      <c r="AC2205" s="1072"/>
      <c r="AD2205" s="1072">
        <f t="shared" ref="AD2205:AQ2205" si="451">SUM(AD2197:AD2204)</f>
        <v>46603810</v>
      </c>
      <c r="AE2205" s="1072">
        <f t="shared" si="451"/>
        <v>46603805</v>
      </c>
      <c r="AF2205" s="1072">
        <f t="shared" si="451"/>
        <v>63103807</v>
      </c>
      <c r="AG2205" s="1072">
        <f t="shared" si="451"/>
        <v>63103807</v>
      </c>
      <c r="AH2205" s="1072">
        <f t="shared" si="451"/>
        <v>46742712</v>
      </c>
      <c r="AI2205" s="1072">
        <f t="shared" si="451"/>
        <v>46742712</v>
      </c>
      <c r="AJ2205" s="1072">
        <f t="shared" si="451"/>
        <v>79621363</v>
      </c>
      <c r="AK2205" s="1072">
        <f t="shared" si="451"/>
        <v>79621363</v>
      </c>
      <c r="AL2205" s="1072">
        <f t="shared" si="451"/>
        <v>0</v>
      </c>
      <c r="AM2205" s="1072">
        <f t="shared" si="451"/>
        <v>0</v>
      </c>
      <c r="AN2205" s="1072">
        <f t="shared" si="451"/>
        <v>0</v>
      </c>
      <c r="AO2205" s="1072">
        <f t="shared" si="451"/>
        <v>0</v>
      </c>
      <c r="AP2205" s="1072">
        <f t="shared" si="451"/>
        <v>0</v>
      </c>
      <c r="AQ2205" s="1072">
        <f t="shared" si="451"/>
        <v>0</v>
      </c>
      <c r="AR2205" s="1044"/>
    </row>
    <row r="2206" spans="2:45" s="1044" customFormat="1" collapsed="1">
      <c r="C2206" s="1246" t="s">
        <v>2184</v>
      </c>
      <c r="D2206" s="1205"/>
      <c r="E2206" s="1206"/>
      <c r="F2206" s="1038"/>
      <c r="G2206" s="1038"/>
      <c r="H2206" s="1038"/>
      <c r="I2206" s="1038"/>
      <c r="J2206" s="1038"/>
      <c r="K2206" s="1038"/>
      <c r="L2206" s="1038"/>
      <c r="M2206" s="1038"/>
      <c r="N2206" s="1038"/>
      <c r="O2206" s="1038"/>
      <c r="P2206" s="1038"/>
      <c r="Q2206" s="1038"/>
      <c r="R2206" s="1038"/>
      <c r="S2206" s="1038"/>
      <c r="T2206" s="1038"/>
      <c r="U2206" s="1038"/>
      <c r="V2206" s="1038"/>
      <c r="W2206" s="1038"/>
      <c r="X2206" s="1038"/>
      <c r="Y2206" s="1038"/>
      <c r="Z2206" s="1038"/>
      <c r="AA2206" s="1038"/>
      <c r="AB2206" s="1055"/>
      <c r="AC2206" s="1055"/>
      <c r="AD2206" s="1055"/>
      <c r="AE2206" s="1055"/>
      <c r="AF2206" s="1055"/>
      <c r="AG2206" s="1055"/>
      <c r="AH2206" s="1055"/>
      <c r="AI2206" s="1055"/>
      <c r="AJ2206" s="31"/>
      <c r="AK2206" s="31"/>
      <c r="AL2206" s="31"/>
      <c r="AM2206" s="31"/>
      <c r="AN2206" s="1300"/>
      <c r="AO2206" s="1301"/>
      <c r="AP2206" s="1302"/>
      <c r="AQ2206" s="1303"/>
    </row>
    <row r="2207" spans="2:45" s="1044" customFormat="1" hidden="1" outlineLevel="1">
      <c r="C2207" s="1053" t="s">
        <v>16</v>
      </c>
      <c r="D2207" s="1051" t="s">
        <v>1254</v>
      </c>
      <c r="E2207" s="1052" t="s">
        <v>2194</v>
      </c>
      <c r="F2207" s="1047"/>
      <c r="G2207" s="1047"/>
      <c r="H2207" s="1047"/>
      <c r="I2207" s="1047"/>
      <c r="J2207" s="1047"/>
      <c r="K2207" s="1047"/>
      <c r="L2207" s="1047"/>
      <c r="M2207" s="1047"/>
      <c r="N2207" s="1047"/>
      <c r="O2207" s="1047"/>
      <c r="P2207" s="1047"/>
      <c r="Q2207" s="1047"/>
      <c r="R2207" s="1047"/>
      <c r="S2207" s="1047"/>
      <c r="T2207" s="1047"/>
      <c r="U2207" s="1047"/>
      <c r="V2207" s="1047"/>
      <c r="W2207" s="1047"/>
      <c r="X2207" s="1047"/>
      <c r="Y2207" s="1047"/>
      <c r="Z2207" s="1047"/>
      <c r="AA2207" s="1047"/>
      <c r="AB2207" s="1073"/>
      <c r="AC2207" s="1073"/>
      <c r="AD2207" s="1073"/>
      <c r="AE2207" s="1073"/>
      <c r="AF2207" s="1073"/>
      <c r="AG2207" s="1073"/>
      <c r="AH2207" s="1070"/>
      <c r="AI2207" s="1070"/>
      <c r="AJ2207" s="1070"/>
      <c r="AK2207" s="1070"/>
      <c r="AL2207" s="1070"/>
      <c r="AM2207" s="1070"/>
      <c r="AN2207" s="1070">
        <v>7590867.8399999999</v>
      </c>
      <c r="AO2207" s="1070">
        <v>7833560.7000000002</v>
      </c>
      <c r="AP2207" s="1070">
        <v>8151518.6600000001</v>
      </c>
      <c r="AQ2207" s="1073"/>
    </row>
    <row r="2208" spans="2:45" s="1044" customFormat="1" hidden="1" outlineLevel="1">
      <c r="C2208" s="1053" t="s">
        <v>16</v>
      </c>
      <c r="D2208" s="1051" t="s">
        <v>1254</v>
      </c>
      <c r="E2208" s="1052" t="s">
        <v>2195</v>
      </c>
      <c r="F2208" s="1047"/>
      <c r="G2208" s="1047"/>
      <c r="H2208" s="1047"/>
      <c r="I2208" s="1047"/>
      <c r="J2208" s="1047"/>
      <c r="K2208" s="1047"/>
      <c r="L2208" s="1047"/>
      <c r="M2208" s="1047"/>
      <c r="N2208" s="1047"/>
      <c r="O2208" s="1047"/>
      <c r="P2208" s="1047"/>
      <c r="Q2208" s="1047"/>
      <c r="R2208" s="1047"/>
      <c r="S2208" s="1047"/>
      <c r="T2208" s="1047"/>
      <c r="U2208" s="1047"/>
      <c r="V2208" s="1047"/>
      <c r="W2208" s="1047"/>
      <c r="X2208" s="1047"/>
      <c r="Y2208" s="1047"/>
      <c r="Z2208" s="1047"/>
      <c r="AA2208" s="1047"/>
      <c r="AB2208" s="1073"/>
      <c r="AC2208" s="1073"/>
      <c r="AD2208" s="1073"/>
      <c r="AE2208" s="1073"/>
      <c r="AF2208" s="1073"/>
      <c r="AG2208" s="1073"/>
      <c r="AH2208" s="1070">
        <v>7877932.04</v>
      </c>
      <c r="AI2208" s="1070">
        <v>8453949.25</v>
      </c>
      <c r="AJ2208" s="1070">
        <v>8815806</v>
      </c>
      <c r="AK2208" s="1070">
        <v>9131232.7300000004</v>
      </c>
      <c r="AL2208" s="1070">
        <v>9454322.1099999994</v>
      </c>
      <c r="AM2208" s="1070">
        <v>7420950.2699999996</v>
      </c>
      <c r="AN2208" s="1070">
        <v>7590867.8399999999</v>
      </c>
      <c r="AO2208" s="1070">
        <v>7833560.7000000002</v>
      </c>
      <c r="AP2208" s="1070">
        <v>8151518.6600000001</v>
      </c>
      <c r="AQ2208" s="1073"/>
    </row>
    <row r="2209" spans="2:45" s="1044" customFormat="1" hidden="1" outlineLevel="1">
      <c r="C2209" s="1053" t="s">
        <v>16</v>
      </c>
      <c r="D2209" s="1051" t="s">
        <v>1254</v>
      </c>
      <c r="E2209" s="1052" t="s">
        <v>2196</v>
      </c>
      <c r="F2209" s="1047"/>
      <c r="G2209" s="1047"/>
      <c r="H2209" s="1047"/>
      <c r="I2209" s="1047"/>
      <c r="J2209" s="1047"/>
      <c r="K2209" s="1047"/>
      <c r="L2209" s="1047"/>
      <c r="M2209" s="1047"/>
      <c r="N2209" s="1047"/>
      <c r="O2209" s="1047"/>
      <c r="P2209" s="1047"/>
      <c r="Q2209" s="1047"/>
      <c r="R2209" s="1047"/>
      <c r="S2209" s="1047"/>
      <c r="T2209" s="1047"/>
      <c r="U2209" s="1047"/>
      <c r="V2209" s="1047"/>
      <c r="W2209" s="1047"/>
      <c r="X2209" s="1047"/>
      <c r="Y2209" s="1047"/>
      <c r="Z2209" s="1047"/>
      <c r="AA2209" s="1047"/>
      <c r="AB2209" s="1073"/>
      <c r="AC2209" s="1073"/>
      <c r="AD2209" s="1073"/>
      <c r="AE2209" s="1073"/>
      <c r="AF2209" s="1073"/>
      <c r="AG2209" s="1073"/>
      <c r="AH2209" s="1070">
        <v>7877932.04</v>
      </c>
      <c r="AI2209" s="1070">
        <v>8453949.25</v>
      </c>
      <c r="AJ2209" s="1070">
        <v>8815806</v>
      </c>
      <c r="AK2209" s="1070">
        <v>9131232.7300000004</v>
      </c>
      <c r="AL2209" s="1070">
        <v>9454322.1099999994</v>
      </c>
      <c r="AM2209" s="1070">
        <v>7420950.2699999996</v>
      </c>
      <c r="AN2209" s="1070">
        <v>7590867.8399999999</v>
      </c>
      <c r="AO2209" s="1070">
        <v>7833560.7000000002</v>
      </c>
      <c r="AP2209" s="1070">
        <v>8151518.6600000001</v>
      </c>
      <c r="AQ2209" s="1073"/>
    </row>
    <row r="2210" spans="2:45" s="218" customFormat="1" hidden="1" outlineLevel="1">
      <c r="B2210" s="566"/>
      <c r="C2210" s="897" t="s">
        <v>16</v>
      </c>
      <c r="D2210" s="897"/>
      <c r="E2210" s="59" t="s">
        <v>2185</v>
      </c>
      <c r="F2210" s="1060"/>
      <c r="G2210" s="1060"/>
      <c r="H2210" s="1060"/>
      <c r="I2210" s="1060"/>
      <c r="J2210" s="1060"/>
      <c r="K2210" s="1060"/>
      <c r="L2210" s="1060"/>
      <c r="M2210" s="1060"/>
      <c r="N2210" s="1060"/>
      <c r="O2210" s="1060"/>
      <c r="P2210" s="1060"/>
      <c r="Q2210" s="1060"/>
      <c r="R2210" s="1060"/>
      <c r="S2210" s="1060"/>
      <c r="T2210" s="1060"/>
      <c r="U2210" s="1060"/>
      <c r="V2210" s="1060"/>
      <c r="W2210" s="1060"/>
      <c r="X2210" s="1060"/>
      <c r="Y2210" s="1060"/>
      <c r="Z2210" s="1060"/>
      <c r="AA2210" s="1060"/>
      <c r="AB2210" s="1072"/>
      <c r="AC2210" s="1072"/>
      <c r="AD2210" s="1072"/>
      <c r="AE2210" s="1072"/>
      <c r="AF2210" s="1072">
        <f t="shared" ref="AF2210:AQ2210" si="452">SUM(AF2207:AF2209)</f>
        <v>0</v>
      </c>
      <c r="AG2210" s="1072">
        <f t="shared" si="452"/>
        <v>0</v>
      </c>
      <c r="AH2210" s="1072">
        <f t="shared" si="452"/>
        <v>15755864.08</v>
      </c>
      <c r="AI2210" s="1072">
        <f t="shared" si="452"/>
        <v>16907898.5</v>
      </c>
      <c r="AJ2210" s="1072">
        <f t="shared" si="452"/>
        <v>17631612</v>
      </c>
      <c r="AK2210" s="1072">
        <f t="shared" si="452"/>
        <v>18262465.460000001</v>
      </c>
      <c r="AL2210" s="1072">
        <f t="shared" si="452"/>
        <v>18908644.219999999</v>
      </c>
      <c r="AM2210" s="1072">
        <f t="shared" si="452"/>
        <v>14841900.539999999</v>
      </c>
      <c r="AN2210" s="1072">
        <f t="shared" si="452"/>
        <v>22772603.52</v>
      </c>
      <c r="AO2210" s="1072">
        <f t="shared" si="452"/>
        <v>23500682.100000001</v>
      </c>
      <c r="AP2210" s="1072">
        <f t="shared" si="452"/>
        <v>24454555.98</v>
      </c>
      <c r="AQ2210" s="1072">
        <f t="shared" si="452"/>
        <v>0</v>
      </c>
      <c r="AR2210"/>
    </row>
    <row r="2211" spans="2:45" s="1044" customFormat="1" collapsed="1">
      <c r="C2211" s="1205" t="s">
        <v>753</v>
      </c>
      <c r="D2211" s="1205"/>
      <c r="E2211" s="1206"/>
      <c r="F2211" s="1038"/>
      <c r="G2211" s="1038"/>
      <c r="H2211" s="1038"/>
      <c r="I2211" s="1038"/>
      <c r="J2211" s="1038"/>
      <c r="K2211" s="1038"/>
      <c r="L2211" s="1038"/>
      <c r="M2211" s="1038"/>
      <c r="N2211" s="1038"/>
      <c r="O2211" s="1038"/>
      <c r="P2211" s="1038"/>
      <c r="Q2211" s="1038"/>
      <c r="R2211" s="1038"/>
      <c r="S2211" s="1038"/>
      <c r="T2211" s="1038"/>
      <c r="U2211" s="1038"/>
      <c r="V2211" s="1038"/>
      <c r="W2211" s="1038"/>
      <c r="X2211" s="1038"/>
      <c r="Y2211" s="1038"/>
      <c r="Z2211" s="1038"/>
      <c r="AA2211" s="1038"/>
      <c r="AB2211" s="1055"/>
      <c r="AC2211" s="1055"/>
      <c r="AD2211" s="1055"/>
      <c r="AE2211" s="1055"/>
      <c r="AF2211" s="1300" t="s">
        <v>2198</v>
      </c>
      <c r="AG2211" s="1301"/>
      <c r="AH2211" s="1300" t="s">
        <v>2198</v>
      </c>
      <c r="AI2211" s="1301"/>
      <c r="AJ2211" s="1300" t="s">
        <v>2198</v>
      </c>
      <c r="AK2211" s="1301"/>
      <c r="AL2211" s="1300" t="s">
        <v>2198</v>
      </c>
      <c r="AM2211" s="1301"/>
      <c r="AN2211" s="1300" t="s">
        <v>2198</v>
      </c>
      <c r="AO2211" s="1301"/>
      <c r="AP2211" s="1304" t="s">
        <v>2198</v>
      </c>
      <c r="AQ2211" s="1303"/>
      <c r="AR2211"/>
    </row>
    <row r="2212" spans="2:45" hidden="1" outlineLevel="1">
      <c r="B2212" s="566"/>
      <c r="C2212" s="41" t="s">
        <v>16</v>
      </c>
      <c r="D2212" s="41"/>
      <c r="E2212" s="41" t="s">
        <v>754</v>
      </c>
      <c r="F2212" s="23"/>
      <c r="G2212" s="23"/>
      <c r="H2212" s="23"/>
      <c r="I2212" s="23"/>
      <c r="J2212" s="23"/>
      <c r="K2212" s="23"/>
      <c r="L2212" s="23"/>
      <c r="M2212" s="23"/>
      <c r="N2212" s="23"/>
      <c r="O2212" s="23"/>
      <c r="P2212" s="23"/>
      <c r="Q2212" s="23"/>
      <c r="R2212" s="23"/>
      <c r="S2212" s="23"/>
      <c r="T2212" s="23"/>
      <c r="U2212" s="23"/>
      <c r="V2212" s="23"/>
      <c r="W2212" s="23"/>
      <c r="X2212" s="23"/>
      <c r="Y2212" s="23"/>
      <c r="Z2212" s="23"/>
      <c r="AA2212" s="23"/>
      <c r="AB2212" s="14"/>
      <c r="AC2212" s="14"/>
      <c r="AD2212" s="14"/>
      <c r="AE2212" s="14"/>
      <c r="AF2212" s="14">
        <v>281230</v>
      </c>
      <c r="AG2212" s="14">
        <v>253107</v>
      </c>
      <c r="AH2212" s="14">
        <v>90663</v>
      </c>
      <c r="AI2212" s="14">
        <v>1214817</v>
      </c>
      <c r="AJ2212" s="14">
        <v>217500</v>
      </c>
      <c r="AK2212" s="14">
        <v>325000</v>
      </c>
      <c r="AL2212" s="14">
        <v>7159022</v>
      </c>
      <c r="AM2212" s="14">
        <v>3030758</v>
      </c>
      <c r="AN2212" s="1071">
        <v>2511500</v>
      </c>
      <c r="AO2212" s="1071">
        <v>513500</v>
      </c>
      <c r="AP2212" s="1071">
        <v>275000</v>
      </c>
      <c r="AQ2212" s="1071">
        <v>487500</v>
      </c>
    </row>
    <row r="2213" spans="2:45" hidden="1" outlineLevel="1">
      <c r="B2213" s="566"/>
      <c r="C2213" s="41" t="s">
        <v>16</v>
      </c>
      <c r="D2213" s="41"/>
      <c r="E2213" s="41" t="s">
        <v>755</v>
      </c>
      <c r="F2213" s="23"/>
      <c r="G2213" s="23"/>
      <c r="H2213" s="23"/>
      <c r="I2213" s="23"/>
      <c r="J2213" s="23"/>
      <c r="K2213" s="23"/>
      <c r="L2213" s="23"/>
      <c r="M2213" s="23"/>
      <c r="N2213" s="23"/>
      <c r="O2213" s="23"/>
      <c r="P2213" s="23"/>
      <c r="Q2213" s="23"/>
      <c r="R2213" s="23"/>
      <c r="S2213" s="23"/>
      <c r="T2213" s="23"/>
      <c r="U2213" s="23"/>
      <c r="V2213" s="23"/>
      <c r="W2213" s="23"/>
      <c r="X2213" s="23"/>
      <c r="Y2213" s="23"/>
      <c r="Z2213" s="23"/>
      <c r="AA2213" s="23"/>
      <c r="AB2213" s="14"/>
      <c r="AC2213" s="14"/>
      <c r="AD2213" s="14"/>
      <c r="AE2213" s="14"/>
      <c r="AF2213" s="14">
        <v>7727502</v>
      </c>
      <c r="AG2213" s="14">
        <v>6954751</v>
      </c>
      <c r="AH2213" s="14">
        <v>1715388</v>
      </c>
      <c r="AI2213" s="14">
        <v>21254984</v>
      </c>
      <c r="AJ2213" s="14">
        <v>2549950</v>
      </c>
      <c r="AK2213" s="14">
        <v>3042124</v>
      </c>
      <c r="AL2213" s="14">
        <v>32383099</v>
      </c>
      <c r="AM2213" s="14">
        <v>7728440</v>
      </c>
      <c r="AN2213" s="1071">
        <v>150000</v>
      </c>
      <c r="AO2213" s="1071" t="s">
        <v>1887</v>
      </c>
      <c r="AP2213" s="1071">
        <v>3885819.4200000018</v>
      </c>
      <c r="AQ2213" s="1071">
        <v>2184180.5799999982</v>
      </c>
    </row>
    <row r="2214" spans="2:45" hidden="1" outlineLevel="1">
      <c r="B2214" s="566"/>
      <c r="C2214" s="41" t="s">
        <v>16</v>
      </c>
      <c r="D2214" s="41"/>
      <c r="E2214" s="41" t="s">
        <v>756</v>
      </c>
      <c r="F2214" s="23"/>
      <c r="G2214" s="23"/>
      <c r="H2214" s="23"/>
      <c r="I2214" s="23"/>
      <c r="J2214" s="23"/>
      <c r="K2214" s="23"/>
      <c r="L2214" s="23"/>
      <c r="M2214" s="23"/>
      <c r="N2214" s="23"/>
      <c r="O2214" s="23"/>
      <c r="P2214" s="23"/>
      <c r="Q2214" s="23"/>
      <c r="R2214" s="23"/>
      <c r="S2214" s="23"/>
      <c r="T2214" s="23"/>
      <c r="U2214" s="23"/>
      <c r="V2214" s="23"/>
      <c r="W2214" s="23"/>
      <c r="X2214" s="23"/>
      <c r="Y2214" s="23"/>
      <c r="Z2214" s="23"/>
      <c r="AA2214" s="23"/>
      <c r="AB2214" s="14"/>
      <c r="AC2214" s="14"/>
      <c r="AD2214" s="14"/>
      <c r="AE2214" s="14"/>
      <c r="AF2214" s="14">
        <v>1508415</v>
      </c>
      <c r="AG2214" s="14">
        <v>1357573</v>
      </c>
      <c r="AH2214" s="14">
        <v>1996498</v>
      </c>
      <c r="AI2214" s="14">
        <v>5137949</v>
      </c>
      <c r="AJ2214" s="14">
        <v>123125</v>
      </c>
      <c r="AK2214" s="14">
        <v>4002434</v>
      </c>
      <c r="AL2214" s="14">
        <v>1065166</v>
      </c>
      <c r="AM2214" s="14">
        <v>50000</v>
      </c>
      <c r="AN2214" s="1071">
        <v>50000</v>
      </c>
      <c r="AO2214" s="1071" t="s">
        <v>1887</v>
      </c>
      <c r="AP2214" s="1071">
        <v>284851.77</v>
      </c>
      <c r="AQ2214" s="1071">
        <v>381767.48</v>
      </c>
    </row>
    <row r="2215" spans="2:45" hidden="1" outlineLevel="1">
      <c r="B2215" s="566"/>
      <c r="C2215" s="41" t="s">
        <v>16</v>
      </c>
      <c r="D2215" s="41"/>
      <c r="E2215" s="41" t="s">
        <v>757</v>
      </c>
      <c r="F2215" s="23"/>
      <c r="G2215" s="23"/>
      <c r="H2215" s="23"/>
      <c r="I2215" s="23"/>
      <c r="J2215" s="23"/>
      <c r="K2215" s="23"/>
      <c r="L2215" s="23"/>
      <c r="M2215" s="23"/>
      <c r="N2215" s="23"/>
      <c r="O2215" s="23"/>
      <c r="P2215" s="23"/>
      <c r="Q2215" s="23"/>
      <c r="R2215" s="23"/>
      <c r="S2215" s="23"/>
      <c r="T2215" s="23"/>
      <c r="U2215" s="23"/>
      <c r="V2215" s="23"/>
      <c r="W2215" s="23"/>
      <c r="X2215" s="23"/>
      <c r="Y2215" s="23"/>
      <c r="Z2215" s="23"/>
      <c r="AA2215" s="23"/>
      <c r="AB2215" s="14"/>
      <c r="AC2215" s="14"/>
      <c r="AD2215" s="14"/>
      <c r="AE2215" s="14"/>
      <c r="AF2215" s="14">
        <v>1425323</v>
      </c>
      <c r="AG2215" s="14">
        <v>1282792</v>
      </c>
      <c r="AH2215" s="14">
        <v>1091885</v>
      </c>
      <c r="AI2215" s="14">
        <v>3705474</v>
      </c>
      <c r="AJ2215" s="14">
        <v>100000</v>
      </c>
      <c r="AK2215" s="14">
        <v>727145</v>
      </c>
      <c r="AL2215" s="14">
        <v>5249945</v>
      </c>
      <c r="AM2215" s="14">
        <v>973500</v>
      </c>
      <c r="AN2215" s="1071">
        <v>5225595.21</v>
      </c>
      <c r="AO2215" s="1071">
        <v>1116622.5</v>
      </c>
      <c r="AP2215" s="1071">
        <v>780186.82</v>
      </c>
      <c r="AQ2215" s="1071">
        <v>1225000</v>
      </c>
    </row>
    <row r="2216" spans="2:45" hidden="1" outlineLevel="1">
      <c r="B2216" s="566"/>
      <c r="C2216" s="41" t="s">
        <v>16</v>
      </c>
      <c r="D2216" s="41"/>
      <c r="E2216" s="41" t="s">
        <v>726</v>
      </c>
      <c r="F2216" s="23"/>
      <c r="G2216" s="23"/>
      <c r="H2216" s="23"/>
      <c r="I2216" s="23"/>
      <c r="J2216" s="23"/>
      <c r="K2216" s="23"/>
      <c r="L2216" s="23"/>
      <c r="M2216" s="23"/>
      <c r="N2216" s="23"/>
      <c r="O2216" s="23"/>
      <c r="P2216" s="23"/>
      <c r="Q2216" s="23"/>
      <c r="R2216" s="23"/>
      <c r="S2216" s="23"/>
      <c r="T2216" s="23"/>
      <c r="U2216" s="23"/>
      <c r="V2216" s="23"/>
      <c r="W2216" s="23"/>
      <c r="X2216" s="23"/>
      <c r="Y2216" s="23"/>
      <c r="Z2216" s="23"/>
      <c r="AA2216" s="23"/>
      <c r="AB2216" s="14"/>
      <c r="AC2216" s="14"/>
      <c r="AD2216" s="14"/>
      <c r="AE2216" s="14"/>
      <c r="AF2216" s="14">
        <v>2379617</v>
      </c>
      <c r="AG2216" s="14">
        <v>2141655</v>
      </c>
      <c r="AH2216" s="14">
        <v>8177743</v>
      </c>
      <c r="AI2216" s="14">
        <v>9087444</v>
      </c>
      <c r="AJ2216" s="14">
        <v>474375</v>
      </c>
      <c r="AK2216" s="14">
        <v>1408334</v>
      </c>
      <c r="AL2216" s="14">
        <v>17594886</v>
      </c>
      <c r="AM2216" s="14">
        <v>4970382</v>
      </c>
      <c r="AN2216" s="1071">
        <v>5641612.0099999998</v>
      </c>
      <c r="AO2216" s="1071">
        <v>1970649.77</v>
      </c>
      <c r="AP2216" s="1071">
        <v>5109773.5</v>
      </c>
      <c r="AQ2216" s="1071">
        <v>2850000</v>
      </c>
    </row>
    <row r="2217" spans="2:45" hidden="1" outlineLevel="1">
      <c r="B2217" s="566"/>
      <c r="C2217" s="41" t="s">
        <v>16</v>
      </c>
      <c r="D2217" s="41"/>
      <c r="E2217" s="41" t="s">
        <v>731</v>
      </c>
      <c r="F2217" s="23"/>
      <c r="G2217" s="23"/>
      <c r="H2217" s="23"/>
      <c r="I2217" s="23"/>
      <c r="J2217" s="23"/>
      <c r="K2217" s="23"/>
      <c r="L2217" s="23"/>
      <c r="M2217" s="23"/>
      <c r="N2217" s="23"/>
      <c r="O2217" s="23"/>
      <c r="P2217" s="23"/>
      <c r="Q2217" s="23"/>
      <c r="R2217" s="23"/>
      <c r="S2217" s="23"/>
      <c r="T2217" s="23"/>
      <c r="U2217" s="23"/>
      <c r="V2217" s="23"/>
      <c r="W2217" s="23"/>
      <c r="X2217" s="23"/>
      <c r="Y2217" s="23"/>
      <c r="Z2217" s="23"/>
      <c r="AA2217" s="23"/>
      <c r="AB2217" s="14"/>
      <c r="AC2217" s="14"/>
      <c r="AD2217" s="14"/>
      <c r="AE2217" s="14"/>
      <c r="AF2217" s="14">
        <v>857593</v>
      </c>
      <c r="AG2217" s="14">
        <v>771834</v>
      </c>
      <c r="AH2217" s="14">
        <v>925382</v>
      </c>
      <c r="AI2217" s="14">
        <v>1490000</v>
      </c>
      <c r="AJ2217" s="14">
        <v>0</v>
      </c>
      <c r="AK2217" s="14">
        <v>0</v>
      </c>
      <c r="AL2217" s="14">
        <v>2308054</v>
      </c>
      <c r="AM2217" s="14">
        <v>2865250</v>
      </c>
      <c r="AN2217" s="1071">
        <v>884081.87</v>
      </c>
      <c r="AO2217" s="1071">
        <v>135000</v>
      </c>
      <c r="AP2217" s="1071">
        <v>2317750</v>
      </c>
      <c r="AQ2217" s="1071">
        <v>934955.38</v>
      </c>
    </row>
    <row r="2218" spans="2:45" hidden="1" outlineLevel="1">
      <c r="B2218" s="566"/>
      <c r="C2218" s="41" t="s">
        <v>16</v>
      </c>
      <c r="D2218" s="41"/>
      <c r="E2218" s="41" t="s">
        <v>735</v>
      </c>
      <c r="F2218" s="23"/>
      <c r="G2218" s="23"/>
      <c r="H2218" s="23"/>
      <c r="I2218" s="23"/>
      <c r="J2218" s="23"/>
      <c r="K2218" s="23"/>
      <c r="L2218" s="23"/>
      <c r="M2218" s="23"/>
      <c r="N2218" s="23"/>
      <c r="O2218" s="23"/>
      <c r="P2218" s="23"/>
      <c r="Q2218" s="23"/>
      <c r="R2218" s="23"/>
      <c r="S2218" s="23"/>
      <c r="T2218" s="23"/>
      <c r="U2218" s="23"/>
      <c r="V2218" s="23"/>
      <c r="W2218" s="23"/>
      <c r="X2218" s="23"/>
      <c r="Y2218" s="23"/>
      <c r="Z2218" s="23"/>
      <c r="AA2218" s="23"/>
      <c r="AB2218" s="14"/>
      <c r="AC2218" s="14"/>
      <c r="AD2218" s="14"/>
      <c r="AE2218" s="14"/>
      <c r="AF2218" s="14">
        <v>10820320</v>
      </c>
      <c r="AG2218" s="14">
        <v>9738288</v>
      </c>
      <c r="AH2218" s="14">
        <v>3814941</v>
      </c>
      <c r="AI2218" s="14">
        <v>9697573</v>
      </c>
      <c r="AJ2218" s="14">
        <v>13332075</v>
      </c>
      <c r="AK2218" s="14">
        <v>8081615</v>
      </c>
      <c r="AL2218" s="14">
        <v>34980253</v>
      </c>
      <c r="AM2218" s="14">
        <v>12882129</v>
      </c>
      <c r="AN2218" s="1071">
        <v>1968955.91</v>
      </c>
      <c r="AO2218" s="1071">
        <v>8481612.4499999993</v>
      </c>
      <c r="AP2218" s="1071">
        <v>4646618.49</v>
      </c>
      <c r="AQ2218" s="1071">
        <v>5887434.4800000004</v>
      </c>
    </row>
    <row r="2219" spans="2:45" hidden="1" outlineLevel="1">
      <c r="B2219" s="566"/>
      <c r="C2219" s="41" t="s">
        <v>16</v>
      </c>
      <c r="D2219" s="41"/>
      <c r="E2219" s="244" t="s">
        <v>1094</v>
      </c>
      <c r="F2219" s="23"/>
      <c r="G2219" s="23"/>
      <c r="H2219" s="23"/>
      <c r="I2219" s="23"/>
      <c r="J2219" s="23"/>
      <c r="K2219" s="23"/>
      <c r="L2219" s="23"/>
      <c r="M2219" s="23"/>
      <c r="N2219" s="23"/>
      <c r="O2219" s="23"/>
      <c r="P2219" s="23"/>
      <c r="Q2219" s="23"/>
      <c r="R2219" s="23"/>
      <c r="S2219" s="23"/>
      <c r="T2219" s="23"/>
      <c r="U2219" s="23"/>
      <c r="V2219" s="23"/>
      <c r="W2219" s="23"/>
      <c r="X2219" s="23"/>
      <c r="Y2219" s="23"/>
      <c r="Z2219" s="23"/>
      <c r="AA2219" s="23"/>
      <c r="AB2219" s="14"/>
      <c r="AC2219" s="14"/>
      <c r="AD2219" s="14"/>
      <c r="AE2219" s="14"/>
      <c r="AF2219" s="14">
        <v>0</v>
      </c>
      <c r="AG2219" s="14">
        <v>0</v>
      </c>
      <c r="AH2219" s="14">
        <v>0</v>
      </c>
      <c r="AI2219" s="14">
        <v>624259</v>
      </c>
      <c r="AJ2219" s="14">
        <v>1015475</v>
      </c>
      <c r="AK2219" s="14">
        <v>225848</v>
      </c>
      <c r="AL2219" s="14">
        <v>2044149</v>
      </c>
      <c r="AM2219" s="14">
        <v>2812041</v>
      </c>
      <c r="AN2219" s="1071">
        <v>1068255</v>
      </c>
      <c r="AO2219" s="1071">
        <v>5282615.28</v>
      </c>
      <c r="AP2219" s="1071">
        <v>200000</v>
      </c>
      <c r="AQ2219" s="1071">
        <v>3549162.0800000024</v>
      </c>
      <c r="AR2219" s="1044"/>
    </row>
    <row r="2220" spans="2:45" s="218" customFormat="1" ht="1.5" hidden="1" customHeight="1" outlineLevel="1">
      <c r="B2220" s="566"/>
      <c r="C2220" s="41" t="s">
        <v>16</v>
      </c>
      <c r="D2220" s="41"/>
      <c r="E2220" s="59" t="s">
        <v>758</v>
      </c>
      <c r="F2220" s="23"/>
      <c r="G2220" s="23"/>
      <c r="H2220" s="23"/>
      <c r="I2220" s="23"/>
      <c r="J2220" s="23"/>
      <c r="K2220" s="23"/>
      <c r="L2220" s="23"/>
      <c r="M2220" s="23"/>
      <c r="N2220" s="23"/>
      <c r="O2220" s="23"/>
      <c r="P2220" s="23"/>
      <c r="Q2220" s="23"/>
      <c r="R2220" s="23"/>
      <c r="S2220" s="23"/>
      <c r="T2220" s="23"/>
      <c r="U2220" s="23"/>
      <c r="V2220" s="23"/>
      <c r="W2220" s="23"/>
      <c r="X2220" s="23"/>
      <c r="Y2220" s="23"/>
      <c r="Z2220" s="23"/>
      <c r="AA2220" s="23"/>
      <c r="AB2220" s="29"/>
      <c r="AC2220" s="29"/>
      <c r="AD2220" s="29"/>
      <c r="AE2220" s="29"/>
      <c r="AF2220" s="29">
        <f t="shared" ref="AF2220:AG2220" si="453">SUM(AF2212:AF2219)</f>
        <v>25000000</v>
      </c>
      <c r="AG2220" s="29">
        <f t="shared" si="453"/>
        <v>22500000</v>
      </c>
      <c r="AH2220" s="29">
        <f t="shared" ref="AH2220:AO2220" si="454">SUM(AH2212:AH2219)</f>
        <v>17812500</v>
      </c>
      <c r="AI2220" s="29">
        <f t="shared" si="454"/>
        <v>52212500</v>
      </c>
      <c r="AJ2220" s="29">
        <f t="shared" si="454"/>
        <v>17812500</v>
      </c>
      <c r="AK2220" s="29">
        <f t="shared" si="454"/>
        <v>17812500</v>
      </c>
      <c r="AL2220" s="29">
        <f t="shared" si="454"/>
        <v>102784574</v>
      </c>
      <c r="AM2220" s="29">
        <f t="shared" si="454"/>
        <v>35312500</v>
      </c>
      <c r="AN2220" s="1072">
        <f t="shared" si="454"/>
        <v>17500000</v>
      </c>
      <c r="AO2220" s="1072">
        <f t="shared" si="454"/>
        <v>17500000</v>
      </c>
      <c r="AP2220" s="1072">
        <f t="shared" ref="AP2220:AQ2220" si="455">SUM(AP2212:AP2219)</f>
        <v>17500000</v>
      </c>
      <c r="AQ2220" s="1072">
        <f t="shared" si="455"/>
        <v>17500000</v>
      </c>
      <c r="AR2220" s="1044"/>
    </row>
    <row r="2221" spans="2:45" collapsed="1">
      <c r="B2221"/>
      <c r="C2221" s="1205" t="s">
        <v>711</v>
      </c>
      <c r="D2221" s="1205"/>
      <c r="E2221" s="1206"/>
      <c r="F2221" s="6"/>
      <c r="G2221" s="6"/>
      <c r="H2221" s="6"/>
      <c r="I2221" s="6"/>
      <c r="J2221" s="6"/>
      <c r="K2221" s="6"/>
      <c r="L2221" s="6"/>
      <c r="M2221" s="6"/>
      <c r="N2221" s="6"/>
      <c r="O2221" s="6"/>
      <c r="P2221" s="6"/>
      <c r="Q2221" s="6"/>
      <c r="R2221" s="6"/>
      <c r="S2221" s="6"/>
      <c r="T2221" s="6"/>
      <c r="U2221" s="6"/>
      <c r="V2221" s="6"/>
      <c r="W2221" s="6"/>
      <c r="X2221" s="6"/>
      <c r="Y2221" s="6"/>
      <c r="Z2221" s="6"/>
      <c r="AA2221" s="6"/>
      <c r="AB2221" s="7"/>
      <c r="AC2221" s="7"/>
      <c r="AD2221" s="7"/>
      <c r="AE2221" s="7"/>
      <c r="AF2221" s="7"/>
      <c r="AG2221" s="7"/>
      <c r="AH2221" s="7"/>
      <c r="AI2221" s="7"/>
      <c r="AJ2221" s="31" t="s">
        <v>159</v>
      </c>
      <c r="AK2221" s="31" t="s">
        <v>159</v>
      </c>
      <c r="AL2221" s="31" t="s">
        <v>159</v>
      </c>
      <c r="AM2221" s="31" t="s">
        <v>159</v>
      </c>
      <c r="AN2221" s="1300" t="s">
        <v>159</v>
      </c>
      <c r="AO2221" s="1301"/>
      <c r="AP2221" s="1302" t="s">
        <v>159</v>
      </c>
      <c r="AQ2221" s="1303"/>
      <c r="AR2221" s="1044"/>
      <c r="AS2221" s="1044"/>
    </row>
    <row r="2222" spans="2:45" hidden="1" outlineLevel="1">
      <c r="B2222"/>
      <c r="C2222" s="816" t="s">
        <v>16</v>
      </c>
      <c r="D2222" s="1235" t="s">
        <v>958</v>
      </c>
      <c r="E2222" s="592" t="s">
        <v>1428</v>
      </c>
      <c r="F2222" s="20"/>
      <c r="G2222" s="20"/>
      <c r="H2222" s="20"/>
      <c r="I2222" s="20"/>
      <c r="J2222" s="20"/>
      <c r="K2222" s="20"/>
      <c r="L2222" s="20"/>
      <c r="M2222" s="20"/>
      <c r="N2222" s="20"/>
      <c r="O2222" s="20"/>
      <c r="P2222" s="20"/>
      <c r="Q2222" s="20"/>
      <c r="R2222" s="20"/>
      <c r="S2222" s="20"/>
      <c r="T2222" s="20"/>
      <c r="U2222" s="20"/>
      <c r="V2222" s="20"/>
      <c r="W2222" s="20"/>
      <c r="X2222" s="20"/>
      <c r="Y2222" s="20"/>
      <c r="Z2222" s="20"/>
      <c r="AA2222" s="20"/>
      <c r="AB2222" s="12">
        <v>0</v>
      </c>
      <c r="AC2222" s="12">
        <v>0</v>
      </c>
      <c r="AD2222" s="12">
        <v>0</v>
      </c>
      <c r="AE2222" s="12">
        <v>0</v>
      </c>
      <c r="AF2222" s="12">
        <v>0</v>
      </c>
      <c r="AG2222" s="12">
        <v>0</v>
      </c>
      <c r="AH2222" s="12">
        <v>0</v>
      </c>
      <c r="AI2222" s="12">
        <v>0</v>
      </c>
      <c r="AJ2222" s="22"/>
      <c r="AK2222" s="22"/>
      <c r="AL2222" s="22"/>
      <c r="AM2222" s="22"/>
      <c r="AN2222" s="1059"/>
      <c r="AO2222" s="1059"/>
      <c r="AP2222" s="1059"/>
      <c r="AQ2222" s="1059"/>
      <c r="AR2222" s="1044"/>
      <c r="AS2222" s="1044"/>
    </row>
    <row r="2223" spans="2:45" hidden="1" outlineLevel="1">
      <c r="B2223"/>
      <c r="C2223" s="816" t="s">
        <v>16</v>
      </c>
      <c r="D2223" s="614" t="s">
        <v>836</v>
      </c>
      <c r="E2223" s="20" t="s">
        <v>754</v>
      </c>
      <c r="F2223" s="20"/>
      <c r="G2223" s="20"/>
      <c r="H2223" s="20"/>
      <c r="I2223" s="20"/>
      <c r="J2223" s="20"/>
      <c r="K2223" s="20"/>
      <c r="L2223" s="20"/>
      <c r="M2223" s="20"/>
      <c r="N2223" s="20"/>
      <c r="O2223" s="20"/>
      <c r="P2223" s="20"/>
      <c r="Q2223" s="20"/>
      <c r="R2223" s="20"/>
      <c r="S2223" s="20"/>
      <c r="T2223" s="20"/>
      <c r="U2223" s="20"/>
      <c r="V2223" s="20"/>
      <c r="W2223" s="20"/>
      <c r="X2223" s="20"/>
      <c r="Y2223" s="20"/>
      <c r="Z2223" s="20"/>
      <c r="AA2223" s="20"/>
      <c r="AB2223" s="12">
        <v>3838924</v>
      </c>
      <c r="AC2223" s="12">
        <v>3846179</v>
      </c>
      <c r="AD2223" s="12">
        <v>9752918</v>
      </c>
      <c r="AE2223" s="12">
        <v>9749183</v>
      </c>
      <c r="AF2223" s="12">
        <v>9718051</v>
      </c>
      <c r="AG2223" s="12">
        <v>9711808</v>
      </c>
      <c r="AH2223" s="12">
        <v>7420453</v>
      </c>
      <c r="AI2223" s="12">
        <v>7417593</v>
      </c>
      <c r="AJ2223" s="21">
        <v>7414352</v>
      </c>
      <c r="AK2223" s="21">
        <v>7415275</v>
      </c>
      <c r="AL2223" s="21">
        <v>7420188</v>
      </c>
      <c r="AM2223" s="1058">
        <f>7414088+5414199</f>
        <v>12828287</v>
      </c>
      <c r="AN2223" s="1058">
        <v>12828287</v>
      </c>
      <c r="AO2223" s="1058">
        <v>12828287</v>
      </c>
      <c r="AP2223" s="1058">
        <v>12828175</v>
      </c>
      <c r="AQ2223" s="1058">
        <v>12828000</v>
      </c>
      <c r="AR2223" s="1044"/>
      <c r="AS2223" s="1044"/>
    </row>
    <row r="2224" spans="2:45" hidden="1" outlineLevel="1">
      <c r="B2224"/>
      <c r="C2224" s="816" t="s">
        <v>16</v>
      </c>
      <c r="D2224" s="614" t="s">
        <v>836</v>
      </c>
      <c r="E2224" s="20" t="s">
        <v>749</v>
      </c>
      <c r="F2224" s="20"/>
      <c r="G2224" s="20"/>
      <c r="H2224" s="20"/>
      <c r="I2224" s="20"/>
      <c r="J2224" s="20"/>
      <c r="K2224" s="20"/>
      <c r="L2224" s="20"/>
      <c r="M2224" s="20"/>
      <c r="N2224" s="20"/>
      <c r="O2224" s="20"/>
      <c r="P2224" s="20"/>
      <c r="Q2224" s="20"/>
      <c r="R2224" s="20"/>
      <c r="S2224" s="20"/>
      <c r="T2224" s="20"/>
      <c r="U2224" s="20"/>
      <c r="V2224" s="20"/>
      <c r="W2224" s="20"/>
      <c r="X2224" s="20"/>
      <c r="Y2224" s="20"/>
      <c r="Z2224" s="20"/>
      <c r="AA2224" s="20"/>
      <c r="AB2224" s="12">
        <v>5972031</v>
      </c>
      <c r="AC2224" s="12">
        <v>5967849</v>
      </c>
      <c r="AD2224" s="12">
        <v>14860261</v>
      </c>
      <c r="AE2224" s="12">
        <v>14860801</v>
      </c>
      <c r="AF2224" s="12">
        <v>14811403</v>
      </c>
      <c r="AG2224" s="12">
        <v>14794406</v>
      </c>
      <c r="AH2224" s="12">
        <v>13879564</v>
      </c>
      <c r="AI2224" s="12">
        <v>13874339</v>
      </c>
      <c r="AJ2224" s="21">
        <v>13878522</v>
      </c>
      <c r="AK2224" s="21">
        <v>13878929</v>
      </c>
      <c r="AL2224" s="21">
        <v>13874482</v>
      </c>
      <c r="AM2224" s="1058">
        <f>13877657+5800928</f>
        <v>19678585</v>
      </c>
      <c r="AN2224" s="1058">
        <v>19678585</v>
      </c>
      <c r="AO2224" s="1058">
        <v>19678585</v>
      </c>
      <c r="AP2224" s="1058">
        <v>19676338</v>
      </c>
      <c r="AQ2224" s="1058">
        <v>19674000</v>
      </c>
      <c r="AR2224" s="1044"/>
      <c r="AS2224" s="1044"/>
    </row>
    <row r="2225" spans="2:45" hidden="1" outlineLevel="1">
      <c r="B2225"/>
      <c r="C2225" s="816" t="s">
        <v>16</v>
      </c>
      <c r="D2225" s="614" t="s">
        <v>836</v>
      </c>
      <c r="E2225" s="20" t="s">
        <v>755</v>
      </c>
      <c r="F2225" s="20"/>
      <c r="G2225" s="20"/>
      <c r="H2225" s="20"/>
      <c r="I2225" s="20"/>
      <c r="J2225" s="20"/>
      <c r="K2225" s="20"/>
      <c r="L2225" s="20"/>
      <c r="M2225" s="20"/>
      <c r="N2225" s="20"/>
      <c r="O2225" s="20"/>
      <c r="P2225" s="20"/>
      <c r="Q2225" s="20"/>
      <c r="R2225" s="20"/>
      <c r="S2225" s="20"/>
      <c r="T2225" s="20"/>
      <c r="U2225" s="20"/>
      <c r="V2225" s="20"/>
      <c r="W2225" s="20"/>
      <c r="X2225" s="20"/>
      <c r="Y2225" s="20"/>
      <c r="Z2225" s="20"/>
      <c r="AA2225" s="20"/>
      <c r="AB2225" s="12">
        <v>3131804</v>
      </c>
      <c r="AC2225" s="12">
        <v>3130844</v>
      </c>
      <c r="AD2225" s="12">
        <v>3995206</v>
      </c>
      <c r="AE2225" s="12">
        <v>4003226</v>
      </c>
      <c r="AF2225" s="12">
        <v>3791102</v>
      </c>
      <c r="AG2225" s="12">
        <v>3794847</v>
      </c>
      <c r="AH2225" s="12">
        <v>3343800</v>
      </c>
      <c r="AI2225" s="12">
        <v>3343928</v>
      </c>
      <c r="AJ2225" s="21">
        <v>3344654</v>
      </c>
      <c r="AK2225" s="21">
        <v>3341238</v>
      </c>
      <c r="AL2225" s="21">
        <v>3338175</v>
      </c>
      <c r="AM2225" s="1058">
        <f>3342863+5414199</f>
        <v>8757062</v>
      </c>
      <c r="AN2225" s="1058">
        <v>8757062</v>
      </c>
      <c r="AO2225" s="1058">
        <v>8757062</v>
      </c>
      <c r="AP2225" s="1058">
        <v>8756475</v>
      </c>
      <c r="AQ2225" s="1058">
        <v>8756750</v>
      </c>
      <c r="AR2225" s="1044"/>
      <c r="AS2225" s="1044"/>
    </row>
    <row r="2226" spans="2:45" hidden="1" outlineLevel="1">
      <c r="B2226"/>
      <c r="C2226" s="816" t="s">
        <v>16</v>
      </c>
      <c r="D2226" s="614" t="s">
        <v>836</v>
      </c>
      <c r="E2226" s="20" t="s">
        <v>756</v>
      </c>
      <c r="F2226" s="20"/>
      <c r="G2226" s="20"/>
      <c r="H2226" s="20"/>
      <c r="I2226" s="20"/>
      <c r="J2226" s="20"/>
      <c r="K2226" s="20"/>
      <c r="L2226" s="20"/>
      <c r="M2226" s="20"/>
      <c r="N2226" s="20"/>
      <c r="O2226" s="20"/>
      <c r="P2226" s="1132">
        <v>977797</v>
      </c>
      <c r="Q2226" s="1132">
        <v>1137343</v>
      </c>
      <c r="R2226" s="1132">
        <v>1565919</v>
      </c>
      <c r="S2226" s="1132">
        <v>1794863</v>
      </c>
      <c r="T2226" s="1132">
        <v>1749670</v>
      </c>
      <c r="U2226" s="1132">
        <v>2240290</v>
      </c>
      <c r="V2226" s="1132">
        <v>2667391</v>
      </c>
      <c r="W2226" s="1132">
        <v>2668846</v>
      </c>
      <c r="X2226" s="1132">
        <v>2643672</v>
      </c>
      <c r="Y2226" s="1132">
        <v>3030673</v>
      </c>
      <c r="Z2226" s="20"/>
      <c r="AA2226" s="20"/>
      <c r="AB2226" s="12">
        <v>2589465</v>
      </c>
      <c r="AC2226" s="12">
        <v>2588203</v>
      </c>
      <c r="AD2226" s="12">
        <v>9206594</v>
      </c>
      <c r="AE2226" s="12">
        <v>9208794</v>
      </c>
      <c r="AF2226" s="12">
        <v>8524193</v>
      </c>
      <c r="AG2226" s="12">
        <v>8530078</v>
      </c>
      <c r="AH2226" s="12">
        <v>7295203</v>
      </c>
      <c r="AI2226" s="12">
        <v>7296380</v>
      </c>
      <c r="AJ2226" s="21">
        <v>7291305</v>
      </c>
      <c r="AK2226" s="21">
        <v>7292923</v>
      </c>
      <c r="AL2226" s="21">
        <v>7294750</v>
      </c>
      <c r="AM2226" s="1058">
        <f>7293650+5414199</f>
        <v>12707849</v>
      </c>
      <c r="AN2226" s="1058">
        <v>12707849</v>
      </c>
      <c r="AO2226" s="1058">
        <v>12707849</v>
      </c>
      <c r="AP2226" s="1058">
        <v>12707275</v>
      </c>
      <c r="AQ2226" s="1058">
        <v>12707350</v>
      </c>
      <c r="AR2226" s="1044"/>
      <c r="AS2226" s="1044"/>
    </row>
    <row r="2227" spans="2:45" hidden="1" outlineLevel="1">
      <c r="B2227"/>
      <c r="C2227" s="816" t="s">
        <v>16</v>
      </c>
      <c r="D2227" s="614" t="s">
        <v>836</v>
      </c>
      <c r="E2227" s="224" t="s">
        <v>1667</v>
      </c>
      <c r="F2227" s="20"/>
      <c r="G2227" s="20"/>
      <c r="H2227" s="20"/>
      <c r="I2227" s="20"/>
      <c r="J2227" s="20"/>
      <c r="K2227" s="20"/>
      <c r="L2227" s="20"/>
      <c r="M2227" s="20"/>
      <c r="N2227" s="20"/>
      <c r="O2227" s="20"/>
      <c r="P2227" s="20"/>
      <c r="Q2227" s="20"/>
      <c r="R2227" s="20"/>
      <c r="S2227" s="20"/>
      <c r="T2227" s="20"/>
      <c r="U2227" s="20"/>
      <c r="V2227" s="20"/>
      <c r="W2227" s="20"/>
      <c r="X2227" s="20"/>
      <c r="Y2227" s="20"/>
      <c r="Z2227" s="20"/>
      <c r="AA2227" s="20"/>
      <c r="AB2227" s="12"/>
      <c r="AC2227" s="12"/>
      <c r="AD2227" s="12"/>
      <c r="AE2227" s="12"/>
      <c r="AF2227" s="12"/>
      <c r="AG2227" s="12"/>
      <c r="AH2227" s="12"/>
      <c r="AI2227" s="12"/>
      <c r="AJ2227" s="21"/>
      <c r="AK2227" s="21"/>
      <c r="AL2227" s="21">
        <v>12837563</v>
      </c>
      <c r="AM2227" s="1058">
        <f>12836013+5184637</f>
        <v>18020650</v>
      </c>
      <c r="AN2227" s="1058">
        <v>18020650</v>
      </c>
      <c r="AO2227" s="1058">
        <v>18020650</v>
      </c>
      <c r="AP2227" s="1058">
        <v>18019713</v>
      </c>
      <c r="AQ2227" s="1058">
        <v>18020350</v>
      </c>
      <c r="AR2227" s="1044"/>
      <c r="AS2227" s="1044"/>
    </row>
    <row r="2228" spans="2:45" hidden="1" outlineLevel="1">
      <c r="B2228"/>
      <c r="C2228" s="816" t="s">
        <v>16</v>
      </c>
      <c r="D2228" s="614" t="s">
        <v>836</v>
      </c>
      <c r="E2228" s="20" t="s">
        <v>1356</v>
      </c>
      <c r="F2228" s="20"/>
      <c r="G2228" s="20"/>
      <c r="H2228" s="20"/>
      <c r="I2228" s="20"/>
      <c r="J2228" s="20"/>
      <c r="K2228" s="20"/>
      <c r="L2228" s="20"/>
      <c r="M2228" s="20"/>
      <c r="N2228" s="20"/>
      <c r="O2228" s="20"/>
      <c r="P2228" s="1132">
        <v>980032</v>
      </c>
      <c r="Q2228" s="1132">
        <v>1100091</v>
      </c>
      <c r="R2228" s="1132">
        <v>1259317</v>
      </c>
      <c r="S2228" s="1132">
        <v>1532071</v>
      </c>
      <c r="T2228" s="1132">
        <v>1573305</v>
      </c>
      <c r="U2228" s="1132">
        <v>2167986</v>
      </c>
      <c r="V2228" s="1132">
        <v>3037514</v>
      </c>
      <c r="W2228" s="1132">
        <v>3029434</v>
      </c>
      <c r="X2228" s="1132">
        <v>2914781</v>
      </c>
      <c r="Y2228" s="1132">
        <v>5165894</v>
      </c>
      <c r="Z2228" s="1132"/>
      <c r="AA2228" s="20"/>
      <c r="AB2228" s="12">
        <v>4322613</v>
      </c>
      <c r="AC2228" s="12">
        <v>4319701</v>
      </c>
      <c r="AD2228" s="12">
        <v>7610182</v>
      </c>
      <c r="AE2228" s="12">
        <v>7596732</v>
      </c>
      <c r="AF2228" s="12">
        <v>7583956</v>
      </c>
      <c r="AG2228" s="12">
        <v>7581976</v>
      </c>
      <c r="AH2228" s="12">
        <v>7217824</v>
      </c>
      <c r="AI2228" s="12">
        <v>7218417</v>
      </c>
      <c r="AJ2228" s="21">
        <v>7215488</v>
      </c>
      <c r="AK2228" s="21">
        <v>7216608</v>
      </c>
      <c r="AL2228" s="21"/>
      <c r="AM2228" s="1058"/>
      <c r="AN2228" s="1058"/>
      <c r="AO2228" s="1058"/>
      <c r="AP2228" s="1058"/>
      <c r="AQ2228" s="1058"/>
      <c r="AR2228" s="1044"/>
      <c r="AS2228" s="1044"/>
    </row>
    <row r="2229" spans="2:45" hidden="1" outlineLevel="1">
      <c r="B2229"/>
      <c r="C2229" s="816" t="s">
        <v>16</v>
      </c>
      <c r="D2229" s="614" t="s">
        <v>836</v>
      </c>
      <c r="E2229" s="20" t="s">
        <v>1357</v>
      </c>
      <c r="F2229" s="20"/>
      <c r="G2229" s="20"/>
      <c r="H2229" s="20"/>
      <c r="I2229" s="20"/>
      <c r="J2229" s="20"/>
      <c r="K2229" s="20"/>
      <c r="L2229" s="20"/>
      <c r="M2229" s="20"/>
      <c r="N2229" s="20"/>
      <c r="O2229" s="20"/>
      <c r="P2229" s="1132">
        <v>5743</v>
      </c>
      <c r="Q2229" s="1132">
        <v>18486</v>
      </c>
      <c r="R2229" s="1132">
        <v>44097</v>
      </c>
      <c r="S2229" s="1132">
        <v>85261</v>
      </c>
      <c r="T2229" s="1132">
        <v>101387</v>
      </c>
      <c r="U2229" s="1132">
        <v>888911</v>
      </c>
      <c r="V2229" s="1132">
        <v>2151845</v>
      </c>
      <c r="W2229" s="1132">
        <v>2151891</v>
      </c>
      <c r="X2229" s="1132">
        <v>1976054</v>
      </c>
      <c r="Y2229" s="1132">
        <v>3936416</v>
      </c>
      <c r="Z2229" s="20"/>
      <c r="AA2229" s="20"/>
      <c r="AB2229" s="12">
        <v>3983591</v>
      </c>
      <c r="AC2229" s="12">
        <v>3991658</v>
      </c>
      <c r="AD2229" s="12">
        <v>6541992</v>
      </c>
      <c r="AE2229" s="12">
        <v>6539607</v>
      </c>
      <c r="AF2229" s="12">
        <v>6542904</v>
      </c>
      <c r="AG2229" s="12">
        <v>6549339</v>
      </c>
      <c r="AH2229" s="12">
        <v>5624359</v>
      </c>
      <c r="AI2229" s="12">
        <v>5626041</v>
      </c>
      <c r="AJ2229" s="21">
        <v>5621839</v>
      </c>
      <c r="AK2229" s="21">
        <v>5622703</v>
      </c>
      <c r="AL2229" s="21"/>
      <c r="AM2229" s="1058"/>
      <c r="AN2229" s="1058"/>
      <c r="AO2229" s="1058"/>
      <c r="AP2229" s="1058"/>
      <c r="AQ2229" s="1058"/>
      <c r="AR2229" s="1044"/>
      <c r="AS2229" s="1044"/>
    </row>
    <row r="2230" spans="2:45" hidden="1" outlineLevel="1">
      <c r="B2230"/>
      <c r="C2230" s="816" t="s">
        <v>16</v>
      </c>
      <c r="D2230" s="614" t="s">
        <v>836</v>
      </c>
      <c r="E2230" s="20" t="s">
        <v>1358</v>
      </c>
      <c r="F2230" s="20"/>
      <c r="G2230" s="20"/>
      <c r="H2230" s="20"/>
      <c r="I2230" s="20"/>
      <c r="J2230" s="20"/>
      <c r="K2230" s="20"/>
      <c r="L2230" s="20"/>
      <c r="M2230" s="20"/>
      <c r="N2230" s="20"/>
      <c r="O2230" s="20"/>
      <c r="P2230" s="20"/>
      <c r="Q2230" s="20"/>
      <c r="R2230" s="20"/>
      <c r="S2230" s="20"/>
      <c r="T2230" s="20"/>
      <c r="U2230" s="20"/>
      <c r="V2230" s="20"/>
      <c r="W2230" s="20"/>
      <c r="X2230" s="20"/>
      <c r="Y2230" s="20"/>
      <c r="Z2230" s="20"/>
      <c r="AA2230" s="20"/>
      <c r="AB2230" s="12">
        <v>1817759</v>
      </c>
      <c r="AC2230" s="12">
        <v>1811202</v>
      </c>
      <c r="AD2230" s="12">
        <v>10383271</v>
      </c>
      <c r="AE2230" s="12">
        <v>10375341</v>
      </c>
      <c r="AF2230" s="12">
        <v>9536810</v>
      </c>
      <c r="AG2230" s="12">
        <v>9537375</v>
      </c>
      <c r="AH2230" s="12">
        <v>8481563</v>
      </c>
      <c r="AI2230" s="12">
        <v>8478700</v>
      </c>
      <c r="AJ2230" s="21">
        <v>8478783</v>
      </c>
      <c r="AK2230" s="21">
        <v>8474820</v>
      </c>
      <c r="AL2230" s="1222">
        <v>8475900</v>
      </c>
      <c r="AM2230" s="1058">
        <f>8473763+3712594</f>
        <v>12186357</v>
      </c>
      <c r="AN2230" s="1058">
        <v>12186357</v>
      </c>
      <c r="AO2230" s="1058">
        <v>12186357</v>
      </c>
      <c r="AP2230" s="1058">
        <v>12185988</v>
      </c>
      <c r="AQ2230" s="1058">
        <v>12186050</v>
      </c>
      <c r="AR2230" s="1044"/>
      <c r="AS2230" s="1044"/>
    </row>
    <row r="2231" spans="2:45" hidden="1" outlineLevel="1">
      <c r="B2231"/>
      <c r="C2231" s="816" t="s">
        <v>16</v>
      </c>
      <c r="D2231" s="614" t="s">
        <v>836</v>
      </c>
      <c r="E2231" s="20" t="s">
        <v>757</v>
      </c>
      <c r="F2231" s="20"/>
      <c r="G2231" s="20"/>
      <c r="H2231" s="20"/>
      <c r="I2231" s="20"/>
      <c r="J2231" s="20"/>
      <c r="K2231" s="20"/>
      <c r="L2231" s="20"/>
      <c r="M2231" s="20"/>
      <c r="N2231" s="20"/>
      <c r="O2231" s="20"/>
      <c r="P2231" s="1132">
        <v>770657</v>
      </c>
      <c r="Q2231" s="1132">
        <v>908714</v>
      </c>
      <c r="R2231" s="1132">
        <v>1300247</v>
      </c>
      <c r="S2231" s="1132">
        <v>1623473</v>
      </c>
      <c r="T2231" s="1132">
        <v>1836128</v>
      </c>
      <c r="U2231" s="1132">
        <v>3586760</v>
      </c>
      <c r="V2231" s="1132">
        <v>6306472</v>
      </c>
      <c r="W2231" s="1132">
        <v>6308235</v>
      </c>
      <c r="X2231" s="1132">
        <v>6269746</v>
      </c>
      <c r="Y2231" s="1132">
        <v>7234631</v>
      </c>
      <c r="Z2231" s="20"/>
      <c r="AA2231" s="20"/>
      <c r="AB2231" s="12">
        <v>6869228</v>
      </c>
      <c r="AC2231" s="12">
        <v>6858750</v>
      </c>
      <c r="AD2231" s="12">
        <v>13283306</v>
      </c>
      <c r="AE2231" s="12">
        <v>13292496</v>
      </c>
      <c r="AF2231" s="12">
        <v>12480155</v>
      </c>
      <c r="AG2231" s="12">
        <v>12484803</v>
      </c>
      <c r="AH2231" s="12">
        <v>11225875</v>
      </c>
      <c r="AI2231" s="12">
        <v>11228623</v>
      </c>
      <c r="AJ2231" s="21">
        <v>11226629</v>
      </c>
      <c r="AK2231" s="21">
        <v>11222648</v>
      </c>
      <c r="AL2231" s="21">
        <v>11223538</v>
      </c>
      <c r="AM2231" s="1058">
        <f>11226975+5414199</f>
        <v>16641174</v>
      </c>
      <c r="AN2231" s="1058">
        <v>16641174</v>
      </c>
      <c r="AO2231" s="1058">
        <v>16641174</v>
      </c>
      <c r="AP2231" s="1058">
        <v>16640763</v>
      </c>
      <c r="AQ2231" s="1058">
        <v>16641000</v>
      </c>
      <c r="AR2231" s="1044"/>
      <c r="AS2231" s="1044"/>
    </row>
    <row r="2232" spans="2:45" hidden="1" outlineLevel="1">
      <c r="B2232"/>
      <c r="C2232" s="816" t="s">
        <v>16</v>
      </c>
      <c r="D2232" s="614" t="s">
        <v>836</v>
      </c>
      <c r="E2232" s="20" t="s">
        <v>1359</v>
      </c>
      <c r="F2232" s="20"/>
      <c r="G2232" s="20"/>
      <c r="H2232" s="20"/>
      <c r="I2232" s="20"/>
      <c r="J2232" s="20"/>
      <c r="K2232" s="20"/>
      <c r="L2232" s="20"/>
      <c r="M2232" s="20"/>
      <c r="N2232" s="20"/>
      <c r="O2232" s="20"/>
      <c r="P2232" s="20"/>
      <c r="Q2232" s="20"/>
      <c r="R2232" s="20"/>
      <c r="S2232" s="20"/>
      <c r="T2232" s="20"/>
      <c r="U2232" s="20"/>
      <c r="V2232" s="20"/>
      <c r="W2232" s="20"/>
      <c r="X2232" s="20"/>
      <c r="Y2232" s="20"/>
      <c r="Z2232" s="20"/>
      <c r="AA2232" s="20"/>
      <c r="AB2232" s="12">
        <v>2037182</v>
      </c>
      <c r="AC2232" s="12">
        <v>2043725</v>
      </c>
      <c r="AD2232" s="12">
        <v>6212674</v>
      </c>
      <c r="AE2232" s="12">
        <v>6193064</v>
      </c>
      <c r="AF2232" s="12">
        <v>5778368</v>
      </c>
      <c r="AG2232" s="12">
        <v>5789048</v>
      </c>
      <c r="AH2232" s="12">
        <v>5232088</v>
      </c>
      <c r="AI2232" s="12">
        <v>5230675</v>
      </c>
      <c r="AJ2232" s="21">
        <v>5226808</v>
      </c>
      <c r="AK2232" s="21">
        <v>5228948</v>
      </c>
      <c r="AL2232" s="21">
        <v>5230038</v>
      </c>
      <c r="AM2232" s="1058">
        <f>5229213+4640742</f>
        <v>9869955</v>
      </c>
      <c r="AN2232" s="1058">
        <v>9869955</v>
      </c>
      <c r="AO2232" s="1058">
        <v>9869955</v>
      </c>
      <c r="AP2232" s="1058">
        <v>9869850</v>
      </c>
      <c r="AQ2232" s="1058">
        <v>9869900</v>
      </c>
      <c r="AR2232" s="1044"/>
      <c r="AS2232" s="1044"/>
    </row>
    <row r="2233" spans="2:45" hidden="1" outlineLevel="1">
      <c r="B2233"/>
      <c r="C2233" s="816" t="s">
        <v>16</v>
      </c>
      <c r="D2233" s="1235" t="s">
        <v>958</v>
      </c>
      <c r="E2233" s="592" t="s">
        <v>1429</v>
      </c>
      <c r="F2233" s="20"/>
      <c r="G2233" s="20"/>
      <c r="H2233" s="20"/>
      <c r="I2233" s="20"/>
      <c r="J2233" s="20"/>
      <c r="K2233" s="20"/>
      <c r="L2233" s="20"/>
      <c r="M2233" s="20"/>
      <c r="N2233" s="20"/>
      <c r="O2233" s="20"/>
      <c r="P2233" s="20"/>
      <c r="Q2233" s="20"/>
      <c r="R2233" s="20"/>
      <c r="S2233" s="20"/>
      <c r="T2233" s="20"/>
      <c r="U2233" s="20"/>
      <c r="V2233" s="20"/>
      <c r="W2233" s="20"/>
      <c r="X2233" s="20"/>
      <c r="Y2233" s="20"/>
      <c r="Z2233" s="20"/>
      <c r="AA2233" s="20"/>
      <c r="AB2233" s="12">
        <v>0</v>
      </c>
      <c r="AC2233" s="12">
        <v>0</v>
      </c>
      <c r="AD2233" s="12">
        <v>0</v>
      </c>
      <c r="AE2233" s="12">
        <v>5666996</v>
      </c>
      <c r="AF2233" s="12">
        <v>0</v>
      </c>
      <c r="AG2233" s="12">
        <v>0</v>
      </c>
      <c r="AH2233" s="12">
        <v>0</v>
      </c>
      <c r="AI2233" s="12">
        <v>0</v>
      </c>
      <c r="AJ2233" s="22"/>
      <c r="AK2233" s="22"/>
      <c r="AL2233" s="22"/>
      <c r="AM2233" s="1059"/>
      <c r="AN2233" s="1059"/>
      <c r="AO2233" s="1059"/>
      <c r="AP2233" s="1059"/>
      <c r="AQ2233" s="1059"/>
      <c r="AR2233" s="1044"/>
      <c r="AS2233" s="1044"/>
    </row>
    <row r="2234" spans="2:45" hidden="1" outlineLevel="1">
      <c r="B2234"/>
      <c r="C2234" s="816" t="s">
        <v>16</v>
      </c>
      <c r="D2234" s="614" t="s">
        <v>836</v>
      </c>
      <c r="E2234" s="20" t="s">
        <v>751</v>
      </c>
      <c r="F2234" s="20"/>
      <c r="G2234" s="20"/>
      <c r="H2234" s="20"/>
      <c r="I2234" s="20"/>
      <c r="J2234" s="20"/>
      <c r="K2234" s="20"/>
      <c r="L2234" s="20"/>
      <c r="M2234" s="20"/>
      <c r="N2234" s="20"/>
      <c r="O2234" s="20"/>
      <c r="P2234" s="20"/>
      <c r="Q2234" s="20"/>
      <c r="R2234" s="20"/>
      <c r="S2234" s="20"/>
      <c r="T2234" s="20"/>
      <c r="U2234" s="20"/>
      <c r="V2234" s="20"/>
      <c r="W2234" s="20"/>
      <c r="X2234" s="20"/>
      <c r="Y2234" s="20"/>
      <c r="Z2234" s="20"/>
      <c r="AA2234" s="20"/>
      <c r="AB2234" s="12">
        <v>237899</v>
      </c>
      <c r="AC2234" s="12">
        <v>237574</v>
      </c>
      <c r="AD2234" s="12">
        <v>6772031</v>
      </c>
      <c r="AE2234" s="12">
        <v>6774586</v>
      </c>
      <c r="AF2234" s="12">
        <v>6771788</v>
      </c>
      <c r="AG2234" s="12">
        <v>6773988</v>
      </c>
      <c r="AH2234" s="12">
        <v>2730361</v>
      </c>
      <c r="AI2234" s="12">
        <v>2729435</v>
      </c>
      <c r="AJ2234" s="21">
        <v>2730054</v>
      </c>
      <c r="AK2234" s="21">
        <v>2725946</v>
      </c>
      <c r="AL2234" s="21">
        <v>2725659</v>
      </c>
      <c r="AM2234" s="1058">
        <f>2726700+5800928</f>
        <v>8527628</v>
      </c>
      <c r="AN2234" s="1058">
        <v>8380795</v>
      </c>
      <c r="AO2234" s="1058">
        <v>8380110</v>
      </c>
      <c r="AP2234" s="1058">
        <v>8288225</v>
      </c>
      <c r="AQ2234" s="1058">
        <v>8267586</v>
      </c>
      <c r="AR2234" s="1044"/>
      <c r="AS2234" s="1044"/>
    </row>
    <row r="2235" spans="2:45" hidden="1" outlineLevel="1">
      <c r="B2235"/>
      <c r="C2235" s="816" t="s">
        <v>16</v>
      </c>
      <c r="D2235" s="614" t="s">
        <v>836</v>
      </c>
      <c r="E2235" s="20" t="s">
        <v>876</v>
      </c>
      <c r="F2235" s="20"/>
      <c r="G2235" s="20"/>
      <c r="H2235" s="20"/>
      <c r="I2235" s="20"/>
      <c r="J2235" s="20"/>
      <c r="K2235" s="20"/>
      <c r="L2235" s="20"/>
      <c r="M2235" s="20"/>
      <c r="N2235" s="20"/>
      <c r="O2235" s="20"/>
      <c r="P2235" s="20"/>
      <c r="Q2235" s="20"/>
      <c r="R2235" s="20"/>
      <c r="S2235" s="20"/>
      <c r="T2235" s="20"/>
      <c r="U2235" s="20"/>
      <c r="V2235" s="20"/>
      <c r="W2235" s="20"/>
      <c r="X2235" s="20"/>
      <c r="Y2235" s="20"/>
      <c r="Z2235" s="20"/>
      <c r="AA2235" s="20"/>
      <c r="AB2235" s="12">
        <v>826447</v>
      </c>
      <c r="AC2235" s="12">
        <v>823447</v>
      </c>
      <c r="AD2235" s="12">
        <v>4318189</v>
      </c>
      <c r="AE2235" s="12">
        <v>4315189</v>
      </c>
      <c r="AF2235" s="12">
        <v>4315139</v>
      </c>
      <c r="AG2235" s="12">
        <v>4317564</v>
      </c>
      <c r="AH2235" s="12">
        <v>3834365</v>
      </c>
      <c r="AI2235" s="12">
        <v>3840178</v>
      </c>
      <c r="AJ2235" s="21">
        <v>3837194</v>
      </c>
      <c r="AK2235" s="21">
        <v>3837913</v>
      </c>
      <c r="AL2235" s="21">
        <v>3765541</v>
      </c>
      <c r="AM2235" s="1058">
        <f>3768141+4640742</f>
        <v>8408883</v>
      </c>
      <c r="AN2235" s="1058">
        <v>8415045</v>
      </c>
      <c r="AO2235" s="1058">
        <v>8425174</v>
      </c>
      <c r="AP2235" s="1058">
        <v>8277736</v>
      </c>
      <c r="AQ2235" s="1058">
        <v>8264143</v>
      </c>
      <c r="AR2235" s="1044"/>
      <c r="AS2235" s="1044"/>
    </row>
    <row r="2236" spans="2:45" hidden="1" outlineLevel="1">
      <c r="B2236"/>
      <c r="C2236" s="816" t="s">
        <v>16</v>
      </c>
      <c r="D2236" s="614" t="s">
        <v>836</v>
      </c>
      <c r="E2236" s="20" t="s">
        <v>750</v>
      </c>
      <c r="F2236" s="20"/>
      <c r="G2236" s="20"/>
      <c r="H2236" s="20"/>
      <c r="I2236" s="20"/>
      <c r="J2236" s="20"/>
      <c r="K2236" s="20"/>
      <c r="L2236" s="20"/>
      <c r="M2236" s="20"/>
      <c r="N2236" s="20"/>
      <c r="O2236" s="20"/>
      <c r="P2236" s="20"/>
      <c r="Q2236" s="20"/>
      <c r="R2236" s="20"/>
      <c r="S2236" s="20"/>
      <c r="T2236" s="20"/>
      <c r="U2236" s="20"/>
      <c r="V2236" s="20"/>
      <c r="W2236" s="20"/>
      <c r="X2236" s="20"/>
      <c r="Y2236" s="20"/>
      <c r="Z2236" s="20"/>
      <c r="AA2236" s="20"/>
      <c r="AB2236" s="12">
        <v>7094082</v>
      </c>
      <c r="AC2236" s="12">
        <v>7089334</v>
      </c>
      <c r="AD2236" s="12">
        <v>6390284</v>
      </c>
      <c r="AE2236" s="12">
        <v>6387794</v>
      </c>
      <c r="AF2236" s="12">
        <v>6381973</v>
      </c>
      <c r="AG2236" s="12">
        <v>6380732</v>
      </c>
      <c r="AH2236" s="12">
        <v>6350502</v>
      </c>
      <c r="AI2236" s="12">
        <v>6346054</v>
      </c>
      <c r="AJ2236" s="21">
        <v>6348464</v>
      </c>
      <c r="AK2236" s="21">
        <v>6347028</v>
      </c>
      <c r="AL2236" s="21">
        <v>6166237</v>
      </c>
      <c r="AM2236" s="1058">
        <f>6161244+2214562</f>
        <v>8375806</v>
      </c>
      <c r="AN2236" s="1058">
        <v>6666427</v>
      </c>
      <c r="AO2236" s="1058">
        <v>6669381</v>
      </c>
      <c r="AP2236" s="1058">
        <v>6674016</v>
      </c>
      <c r="AQ2236" s="1058">
        <v>6665734</v>
      </c>
      <c r="AR2236" s="1044"/>
      <c r="AS2236" s="1044"/>
    </row>
    <row r="2237" spans="2:45" hidden="1" outlineLevel="1">
      <c r="B2237"/>
      <c r="C2237" s="816" t="s">
        <v>16</v>
      </c>
      <c r="D2237" s="614" t="s">
        <v>836</v>
      </c>
      <c r="E2237" s="20" t="s">
        <v>1209</v>
      </c>
      <c r="F2237" s="20"/>
      <c r="G2237" s="20"/>
      <c r="H2237" s="20"/>
      <c r="I2237" s="20"/>
      <c r="J2237" s="20"/>
      <c r="K2237" s="20"/>
      <c r="L2237" s="20"/>
      <c r="M2237" s="20"/>
      <c r="N2237" s="20"/>
      <c r="O2237" s="20"/>
      <c r="P2237" s="20"/>
      <c r="Q2237" s="20"/>
      <c r="R2237" s="20"/>
      <c r="S2237" s="20"/>
      <c r="T2237" s="20"/>
      <c r="U2237" s="20"/>
      <c r="V2237" s="20"/>
      <c r="W2237" s="20"/>
      <c r="X2237" s="20"/>
      <c r="Y2237" s="20"/>
      <c r="Z2237" s="20"/>
      <c r="AA2237" s="20"/>
      <c r="AB2237" s="12">
        <v>2921901</v>
      </c>
      <c r="AC2237" s="12">
        <v>2921901</v>
      </c>
      <c r="AD2237" s="12">
        <v>5696638</v>
      </c>
      <c r="AE2237" s="12">
        <v>5694317</v>
      </c>
      <c r="AF2237" s="12">
        <v>5692741</v>
      </c>
      <c r="AG2237" s="12">
        <v>5689540</v>
      </c>
      <c r="AH2237" s="12">
        <v>4930705</v>
      </c>
      <c r="AI2237" s="12">
        <v>4924480</v>
      </c>
      <c r="AJ2237" s="21">
        <v>4930552</v>
      </c>
      <c r="AK2237" s="21">
        <v>4921235</v>
      </c>
      <c r="AL2237" s="21">
        <v>4926012</v>
      </c>
      <c r="AM2237" s="1058">
        <f>4916021+7239558</f>
        <v>12155579</v>
      </c>
      <c r="AN2237" s="1058">
        <v>10793406</v>
      </c>
      <c r="AO2237" s="1058">
        <v>10792006</v>
      </c>
      <c r="AP2237" s="1058">
        <v>10736876</v>
      </c>
      <c r="AQ2237" s="1058">
        <v>10730764</v>
      </c>
      <c r="AR2237" s="1044"/>
      <c r="AS2237" s="1044"/>
    </row>
    <row r="2238" spans="2:45" hidden="1" outlineLevel="1">
      <c r="B2238"/>
      <c r="C2238" s="816" t="s">
        <v>16</v>
      </c>
      <c r="D2238" s="614" t="s">
        <v>836</v>
      </c>
      <c r="E2238" s="224" t="s">
        <v>1210</v>
      </c>
      <c r="F2238" s="20"/>
      <c r="G2238" s="20"/>
      <c r="H2238" s="20"/>
      <c r="I2238" s="20"/>
      <c r="J2238" s="20"/>
      <c r="K2238" s="20"/>
      <c r="L2238" s="20"/>
      <c r="M2238" s="20"/>
      <c r="N2238" s="20"/>
      <c r="O2238" s="20"/>
      <c r="P2238" s="20"/>
      <c r="Q2238" s="20"/>
      <c r="R2238" s="20"/>
      <c r="S2238" s="20"/>
      <c r="T2238" s="20"/>
      <c r="U2238" s="20"/>
      <c r="V2238" s="20"/>
      <c r="W2238" s="20"/>
      <c r="X2238" s="20"/>
      <c r="Y2238" s="20"/>
      <c r="Z2238" s="20"/>
      <c r="AA2238" s="20"/>
      <c r="AB2238" s="12"/>
      <c r="AC2238" s="12"/>
      <c r="AD2238" s="12"/>
      <c r="AE2238" s="12"/>
      <c r="AF2238" s="12">
        <v>0</v>
      </c>
      <c r="AG2238" s="12">
        <v>2179284</v>
      </c>
      <c r="AH2238" s="12">
        <v>1647150</v>
      </c>
      <c r="AI2238" s="12">
        <v>1645250</v>
      </c>
      <c r="AJ2238" s="21">
        <v>1645250</v>
      </c>
      <c r="AK2238" s="21">
        <v>1649050</v>
      </c>
      <c r="AL2238" s="21">
        <v>1646450</v>
      </c>
      <c r="AM2238" s="1058">
        <f>1647650+2784445</f>
        <v>4432095</v>
      </c>
      <c r="AN2238" s="1058">
        <v>4537384</v>
      </c>
      <c r="AO2238" s="1058">
        <v>4536134</v>
      </c>
      <c r="AP2238" s="1058">
        <v>4542990</v>
      </c>
      <c r="AQ2238" s="1058">
        <v>4539061</v>
      </c>
      <c r="AR2238" s="1044"/>
      <c r="AS2238" s="1044"/>
    </row>
    <row r="2239" spans="2:45" hidden="1" outlineLevel="1">
      <c r="B2239"/>
      <c r="C2239" s="816" t="s">
        <v>16</v>
      </c>
      <c r="D2239" s="614" t="s">
        <v>836</v>
      </c>
      <c r="E2239" s="224" t="s">
        <v>1211</v>
      </c>
      <c r="F2239" s="20"/>
      <c r="G2239" s="20"/>
      <c r="H2239" s="20"/>
      <c r="I2239" s="20"/>
      <c r="J2239" s="20"/>
      <c r="K2239" s="20"/>
      <c r="L2239" s="20"/>
      <c r="M2239" s="20"/>
      <c r="N2239" s="20"/>
      <c r="O2239" s="20"/>
      <c r="P2239" s="1132">
        <v>2819109</v>
      </c>
      <c r="Q2239" s="1132">
        <v>2727394</v>
      </c>
      <c r="R2239" s="1132">
        <v>3185000</v>
      </c>
      <c r="S2239" s="1132">
        <v>3912000</v>
      </c>
      <c r="T2239" s="1132">
        <v>4691744</v>
      </c>
      <c r="U2239" s="1132">
        <v>6334299</v>
      </c>
      <c r="V2239" s="1132">
        <v>7284326</v>
      </c>
      <c r="W2239" s="1132">
        <v>8658519</v>
      </c>
      <c r="X2239" s="1132">
        <v>8876791</v>
      </c>
      <c r="Y2239" s="1132">
        <v>11430692</v>
      </c>
      <c r="Z2239" s="20"/>
      <c r="AA2239" s="20"/>
      <c r="AB2239" s="12">
        <v>8900177</v>
      </c>
      <c r="AC2239" s="12">
        <v>8822792</v>
      </c>
      <c r="AD2239" s="12">
        <v>12102227</v>
      </c>
      <c r="AE2239" s="12">
        <v>11500248</v>
      </c>
      <c r="AF2239" s="12">
        <v>8602229</v>
      </c>
      <c r="AG2239" s="12">
        <v>8562409</v>
      </c>
      <c r="AH2239" s="12">
        <v>6782345</v>
      </c>
      <c r="AI2239" s="12">
        <v>6778359</v>
      </c>
      <c r="AJ2239" s="21">
        <v>6746918</v>
      </c>
      <c r="AK2239" s="21">
        <v>6751991</v>
      </c>
      <c r="AL2239" s="21">
        <v>6547613</v>
      </c>
      <c r="AM2239" s="1058">
        <f>5986861+4640742</f>
        <v>10627603</v>
      </c>
      <c r="AN2239" s="1058">
        <v>10010556</v>
      </c>
      <c r="AO2239" s="1058">
        <v>10012250</v>
      </c>
      <c r="AP2239" s="1058">
        <v>9896794</v>
      </c>
      <c r="AQ2239" s="1058">
        <v>9870135</v>
      </c>
      <c r="AR2239" s="1044"/>
      <c r="AS2239" s="1044"/>
    </row>
    <row r="2240" spans="2:45" hidden="1" outlineLevel="1">
      <c r="B2240"/>
      <c r="C2240" s="816" t="s">
        <v>16</v>
      </c>
      <c r="D2240" s="614" t="s">
        <v>836</v>
      </c>
      <c r="E2240" s="224" t="s">
        <v>1212</v>
      </c>
      <c r="F2240" s="20"/>
      <c r="G2240" s="20"/>
      <c r="H2240" s="20"/>
      <c r="I2240" s="20"/>
      <c r="J2240" s="20"/>
      <c r="K2240" s="20"/>
      <c r="L2240" s="20"/>
      <c r="M2240" s="20"/>
      <c r="N2240" s="20"/>
      <c r="O2240" s="20"/>
      <c r="P2240" s="1132">
        <v>396427</v>
      </c>
      <c r="Q2240" s="1132">
        <v>979000</v>
      </c>
      <c r="R2240" s="1132">
        <v>1398000</v>
      </c>
      <c r="S2240" s="1132">
        <v>1883878</v>
      </c>
      <c r="T2240" s="1132">
        <v>2409021</v>
      </c>
      <c r="U2240" s="1132">
        <v>2675090</v>
      </c>
      <c r="V2240" s="1132">
        <v>3350662</v>
      </c>
      <c r="W2240" s="1132">
        <v>2688701</v>
      </c>
      <c r="X2240" s="1132">
        <v>4166904</v>
      </c>
      <c r="Y2240" s="20"/>
      <c r="Z2240" s="20"/>
      <c r="AA2240" s="20"/>
      <c r="AB2240" s="12">
        <v>4070094</v>
      </c>
      <c r="AC2240" s="12">
        <v>4035427</v>
      </c>
      <c r="AD2240" s="12">
        <v>4166508</v>
      </c>
      <c r="AE2240" s="12">
        <v>4167412</v>
      </c>
      <c r="AF2240" s="12">
        <v>3241733</v>
      </c>
      <c r="AG2240" s="12">
        <v>2925736</v>
      </c>
      <c r="AH2240" s="12">
        <v>2724693</v>
      </c>
      <c r="AI2240" s="12">
        <v>2724339</v>
      </c>
      <c r="AJ2240" s="21">
        <v>2710416</v>
      </c>
      <c r="AK2240" s="21">
        <v>2708525</v>
      </c>
      <c r="AL2240" s="21">
        <v>2601913</v>
      </c>
      <c r="AM2240" s="1058">
        <f>2051138+4640742</f>
        <v>6691880</v>
      </c>
      <c r="AN2240" s="1058">
        <v>6616361</v>
      </c>
      <c r="AO2240" s="1222">
        <v>6619959</v>
      </c>
      <c r="AP2240" s="1058">
        <v>6597321</v>
      </c>
      <c r="AQ2240" s="1058">
        <v>6596333</v>
      </c>
      <c r="AR2240" s="1044"/>
      <c r="AS2240" s="1044"/>
    </row>
    <row r="2241" spans="2:45" hidden="1" outlineLevel="1">
      <c r="B2241"/>
      <c r="C2241" s="816" t="s">
        <v>16</v>
      </c>
      <c r="D2241" s="614" t="s">
        <v>836</v>
      </c>
      <c r="E2241" s="224" t="s">
        <v>1213</v>
      </c>
      <c r="F2241" s="20"/>
      <c r="G2241" s="20"/>
      <c r="H2241" s="20"/>
      <c r="I2241" s="20"/>
      <c r="J2241" s="20"/>
      <c r="K2241" s="20"/>
      <c r="L2241" s="20"/>
      <c r="M2241" s="20"/>
      <c r="N2241" s="20"/>
      <c r="O2241" s="20"/>
      <c r="P2241" s="20"/>
      <c r="Q2241" s="20"/>
      <c r="R2241" s="20"/>
      <c r="S2241" s="20"/>
      <c r="T2241" s="20"/>
      <c r="U2241" s="20"/>
      <c r="V2241" s="20"/>
      <c r="W2241" s="20"/>
      <c r="X2241" s="20"/>
      <c r="Y2241" s="20"/>
      <c r="Z2241" s="20"/>
      <c r="AA2241" s="20"/>
      <c r="AB2241" s="12"/>
      <c r="AC2241" s="12"/>
      <c r="AD2241" s="12"/>
      <c r="AE2241" s="12"/>
      <c r="AF2241" s="12">
        <v>0</v>
      </c>
      <c r="AG2241" s="12">
        <v>3487712</v>
      </c>
      <c r="AH2241" s="12">
        <v>2636088</v>
      </c>
      <c r="AI2241" s="12">
        <v>2635838</v>
      </c>
      <c r="AJ2241" s="21">
        <v>2632438</v>
      </c>
      <c r="AK2241" s="21">
        <v>2637238</v>
      </c>
      <c r="AL2241" s="21">
        <v>2634838</v>
      </c>
      <c r="AM2241" s="1058">
        <f>2635438+4872779</f>
        <v>7508217</v>
      </c>
      <c r="AN2241" s="1058">
        <v>7689971</v>
      </c>
      <c r="AO2241" s="1058">
        <v>7690721</v>
      </c>
      <c r="AP2241" s="1058">
        <v>7687249</v>
      </c>
      <c r="AQ2241" s="1058">
        <v>7690642</v>
      </c>
      <c r="AR2241" s="1044"/>
      <c r="AS2241" s="1044"/>
    </row>
    <row r="2242" spans="2:45" hidden="1" outlineLevel="1">
      <c r="B2242"/>
      <c r="C2242" s="816" t="s">
        <v>16</v>
      </c>
      <c r="D2242" s="614" t="s">
        <v>836</v>
      </c>
      <c r="E2242" s="20" t="s">
        <v>861</v>
      </c>
      <c r="F2242" s="20"/>
      <c r="G2242" s="20"/>
      <c r="H2242" s="20"/>
      <c r="I2242" s="20"/>
      <c r="J2242" s="20"/>
      <c r="K2242" s="20"/>
      <c r="L2242" s="20"/>
      <c r="M2242" s="20"/>
      <c r="N2242" s="20"/>
      <c r="O2242" s="20"/>
      <c r="P2242" s="1132">
        <v>1443900</v>
      </c>
      <c r="Q2242" s="1132">
        <v>2107886</v>
      </c>
      <c r="R2242" s="1132">
        <v>2988000</v>
      </c>
      <c r="S2242" s="1132">
        <v>4923000</v>
      </c>
      <c r="T2242" s="1132">
        <v>6196370</v>
      </c>
      <c r="U2242" s="1132">
        <v>8135612</v>
      </c>
      <c r="V2242" s="1132">
        <v>10484561</v>
      </c>
      <c r="W2242" s="1132">
        <v>11397322</v>
      </c>
      <c r="X2242" s="1132">
        <v>12173674</v>
      </c>
      <c r="Y2242" s="1132">
        <v>13747346</v>
      </c>
      <c r="Z2242" s="20"/>
      <c r="AA2242" s="20"/>
      <c r="AB2242" s="12">
        <v>13464201</v>
      </c>
      <c r="AC2242" s="12">
        <v>13464141</v>
      </c>
      <c r="AD2242" s="12">
        <v>16740219</v>
      </c>
      <c r="AE2242" s="12">
        <v>16740158</v>
      </c>
      <c r="AF2242" s="12">
        <v>11438491</v>
      </c>
      <c r="AG2242" s="12">
        <v>9774624</v>
      </c>
      <c r="AH2242" s="12">
        <v>8443630</v>
      </c>
      <c r="AI2242" s="12">
        <v>8442909</v>
      </c>
      <c r="AJ2242" s="21">
        <v>8406072</v>
      </c>
      <c r="AK2242" s="21">
        <v>7795114</v>
      </c>
      <c r="AL2242" s="21">
        <v>6636348</v>
      </c>
      <c r="AM2242" s="1058">
        <f>6650315+4269483</f>
        <v>10919798</v>
      </c>
      <c r="AN2242" s="1058">
        <v>8660091</v>
      </c>
      <c r="AO2242" s="1058">
        <v>8656767</v>
      </c>
      <c r="AP2242" s="1058">
        <v>8591243</v>
      </c>
      <c r="AQ2242" s="1058">
        <v>8575587</v>
      </c>
      <c r="AR2242" s="1044"/>
      <c r="AS2242" s="1044"/>
    </row>
    <row r="2243" spans="2:45" hidden="1" outlineLevel="1">
      <c r="B2243"/>
      <c r="C2243" s="816" t="s">
        <v>16</v>
      </c>
      <c r="D2243" s="614" t="s">
        <v>836</v>
      </c>
      <c r="E2243" s="20" t="s">
        <v>871</v>
      </c>
      <c r="F2243" s="20"/>
      <c r="G2243" s="20"/>
      <c r="H2243" s="20"/>
      <c r="I2243" s="20"/>
      <c r="J2243" s="20"/>
      <c r="K2243" s="20"/>
      <c r="L2243" s="20"/>
      <c r="M2243" s="20"/>
      <c r="N2243" s="20"/>
      <c r="O2243" s="20"/>
      <c r="P2243" s="20"/>
      <c r="Q2243" s="20"/>
      <c r="R2243" s="20"/>
      <c r="S2243" s="20"/>
      <c r="T2243" s="20"/>
      <c r="U2243" s="20"/>
      <c r="V2243" s="20"/>
      <c r="W2243" s="20"/>
      <c r="X2243" s="20"/>
      <c r="Y2243" s="20"/>
      <c r="Z2243" s="20"/>
      <c r="AA2243" s="20"/>
      <c r="AB2243" s="12">
        <v>2674504</v>
      </c>
      <c r="AC2243" s="12">
        <v>2671527</v>
      </c>
      <c r="AD2243" s="12">
        <v>4077231</v>
      </c>
      <c r="AE2243" s="12">
        <v>4081388</v>
      </c>
      <c r="AF2243" s="12">
        <v>4078181</v>
      </c>
      <c r="AG2243" s="12">
        <v>4078649</v>
      </c>
      <c r="AH2243" s="12">
        <v>3657195</v>
      </c>
      <c r="AI2243" s="12">
        <v>3649268</v>
      </c>
      <c r="AJ2243" s="21">
        <v>3632386</v>
      </c>
      <c r="AK2243" s="21">
        <v>3638912</v>
      </c>
      <c r="AL2243" s="21">
        <v>3490388</v>
      </c>
      <c r="AM2243" s="1058">
        <f>3257979+3508401</f>
        <v>6766380</v>
      </c>
      <c r="AN2243" s="1058">
        <v>6279927</v>
      </c>
      <c r="AO2243" s="1058">
        <v>6281012</v>
      </c>
      <c r="AP2243" s="1058">
        <v>6228296</v>
      </c>
      <c r="AQ2243" s="1058">
        <v>6221124</v>
      </c>
      <c r="AR2243" s="1044"/>
      <c r="AS2243" s="1044"/>
    </row>
    <row r="2244" spans="2:45" hidden="1" outlineLevel="1">
      <c r="B2244"/>
      <c r="C2244" s="816" t="s">
        <v>16</v>
      </c>
      <c r="D2244" s="614" t="s">
        <v>836</v>
      </c>
      <c r="E2244" s="224" t="s">
        <v>1361</v>
      </c>
      <c r="F2244" s="20"/>
      <c r="G2244" s="20"/>
      <c r="H2244" s="20"/>
      <c r="I2244" s="20"/>
      <c r="J2244" s="20"/>
      <c r="K2244" s="20"/>
      <c r="L2244" s="20"/>
      <c r="M2244" s="20"/>
      <c r="N2244" s="20"/>
      <c r="O2244" s="20"/>
      <c r="P2244" s="20"/>
      <c r="Q2244" s="20"/>
      <c r="R2244" s="20"/>
      <c r="S2244" s="20"/>
      <c r="T2244" s="20"/>
      <c r="U2244" s="20"/>
      <c r="V2244" s="20"/>
      <c r="W2244" s="20"/>
      <c r="X2244" s="20"/>
      <c r="Y2244" s="20"/>
      <c r="Z2244" s="20"/>
      <c r="AA2244" s="20"/>
      <c r="AB2244" s="12">
        <v>1287350</v>
      </c>
      <c r="AC2244" s="12">
        <v>1287350</v>
      </c>
      <c r="AD2244" s="12">
        <v>3185358</v>
      </c>
      <c r="AE2244" s="12">
        <v>3185358</v>
      </c>
      <c r="AF2244" s="12">
        <v>3185358</v>
      </c>
      <c r="AG2244" s="12">
        <v>3185358</v>
      </c>
      <c r="AH2244" s="12">
        <v>1999857</v>
      </c>
      <c r="AI2244" s="12">
        <v>1998528</v>
      </c>
      <c r="AJ2244" s="21">
        <v>1999873</v>
      </c>
      <c r="AK2244" s="21">
        <v>1996079</v>
      </c>
      <c r="AL2244" s="21">
        <v>1992972</v>
      </c>
      <c r="AM2244" s="1058">
        <f>1990455+3712594</f>
        <v>5703049</v>
      </c>
      <c r="AN2244" s="1058">
        <v>5357913</v>
      </c>
      <c r="AO2244" s="1058">
        <v>5357323</v>
      </c>
      <c r="AP2244" s="1058">
        <v>5291817</v>
      </c>
      <c r="AQ2244" s="1058">
        <v>5277064</v>
      </c>
      <c r="AR2244" s="1044"/>
      <c r="AS2244" s="1044"/>
    </row>
    <row r="2245" spans="2:45" hidden="1" outlineLevel="1">
      <c r="B2245"/>
      <c r="C2245" s="816" t="s">
        <v>16</v>
      </c>
      <c r="D2245" s="614" t="s">
        <v>836</v>
      </c>
      <c r="E2245" s="20" t="s">
        <v>1425</v>
      </c>
      <c r="F2245" s="20"/>
      <c r="G2245" s="20"/>
      <c r="H2245" s="20"/>
      <c r="I2245" s="20"/>
      <c r="J2245" s="20"/>
      <c r="K2245" s="20"/>
      <c r="L2245" s="20"/>
      <c r="M2245" s="20"/>
      <c r="N2245" s="20"/>
      <c r="O2245" s="20"/>
      <c r="P2245" s="20"/>
      <c r="Q2245" s="20"/>
      <c r="R2245" s="20"/>
      <c r="S2245" s="20"/>
      <c r="T2245" s="20"/>
      <c r="U2245" s="20"/>
      <c r="V2245" s="20"/>
      <c r="W2245" s="20"/>
      <c r="X2245" s="20"/>
      <c r="Y2245" s="20"/>
      <c r="Z2245" s="20"/>
      <c r="AA2245" s="20"/>
      <c r="AB2245" s="12">
        <v>1825793</v>
      </c>
      <c r="AC2245" s="12">
        <v>1826957</v>
      </c>
      <c r="AD2245" s="12">
        <v>8180175</v>
      </c>
      <c r="AE2245" s="12">
        <v>8181594</v>
      </c>
      <c r="AF2245" s="12">
        <v>7250425</v>
      </c>
      <c r="AG2245" s="12">
        <v>7256562</v>
      </c>
      <c r="AH2245" s="12">
        <v>5868093</v>
      </c>
      <c r="AI2245" s="12">
        <v>5867527</v>
      </c>
      <c r="AJ2245" s="21">
        <v>5869200</v>
      </c>
      <c r="AK2245" s="21">
        <v>5870664</v>
      </c>
      <c r="AL2245" s="21">
        <v>5870230</v>
      </c>
      <c r="AM2245" s="1058">
        <f>5868345+2475062</f>
        <v>8343407</v>
      </c>
      <c r="AN2245" s="1058">
        <v>7750614</v>
      </c>
      <c r="AO2245" s="1058">
        <v>7751141</v>
      </c>
      <c r="AP2245" s="1058">
        <v>7521587</v>
      </c>
      <c r="AQ2245" s="1058">
        <v>7521590</v>
      </c>
      <c r="AR2245" s="1044"/>
      <c r="AS2245" s="1044"/>
    </row>
    <row r="2246" spans="2:45" hidden="1" outlineLevel="1">
      <c r="B2246"/>
      <c r="C2246" s="816" t="s">
        <v>16</v>
      </c>
      <c r="D2246" s="1235" t="s">
        <v>958</v>
      </c>
      <c r="E2246" s="592" t="s">
        <v>1430</v>
      </c>
      <c r="F2246" s="20"/>
      <c r="G2246" s="20"/>
      <c r="H2246" s="20"/>
      <c r="I2246" s="20"/>
      <c r="J2246" s="20"/>
      <c r="K2246" s="20"/>
      <c r="L2246" s="20"/>
      <c r="M2246" s="20"/>
      <c r="N2246" s="20"/>
      <c r="O2246" s="20"/>
      <c r="P2246" s="20"/>
      <c r="Q2246" s="20"/>
      <c r="R2246" s="20"/>
      <c r="S2246" s="20"/>
      <c r="T2246" s="20"/>
      <c r="U2246" s="20"/>
      <c r="V2246" s="20"/>
      <c r="W2246" s="20"/>
      <c r="X2246" s="20"/>
      <c r="Y2246" s="20"/>
      <c r="Z2246" s="20"/>
      <c r="AA2246" s="20"/>
      <c r="AB2246" s="12">
        <v>0</v>
      </c>
      <c r="AC2246" s="12">
        <v>0</v>
      </c>
      <c r="AD2246" s="12">
        <v>0</v>
      </c>
      <c r="AE2246" s="12">
        <v>0</v>
      </c>
      <c r="AF2246" s="12">
        <v>0</v>
      </c>
      <c r="AG2246" s="12">
        <v>0</v>
      </c>
      <c r="AH2246" s="12">
        <v>0</v>
      </c>
      <c r="AI2246" s="12">
        <v>0</v>
      </c>
      <c r="AJ2246" s="22"/>
      <c r="AK2246" s="22"/>
      <c r="AL2246" s="22"/>
      <c r="AM2246" s="1058">
        <f>0+3622254</f>
        <v>3622254</v>
      </c>
      <c r="AN2246" s="1058">
        <v>5358923</v>
      </c>
      <c r="AO2246" s="1058">
        <v>5345260</v>
      </c>
      <c r="AP2246" s="1058">
        <v>4717375</v>
      </c>
      <c r="AQ2246" s="1058">
        <v>4711750</v>
      </c>
      <c r="AR2246" s="1044"/>
      <c r="AS2246" s="1044"/>
    </row>
    <row r="2247" spans="2:45" hidden="1" outlineLevel="1">
      <c r="B2247"/>
      <c r="C2247" s="816" t="s">
        <v>16</v>
      </c>
      <c r="D2247" s="1235" t="s">
        <v>958</v>
      </c>
      <c r="E2247" s="20" t="s">
        <v>726</v>
      </c>
      <c r="F2247" s="20"/>
      <c r="G2247" s="20"/>
      <c r="H2247" s="20"/>
      <c r="I2247" s="20"/>
      <c r="J2247" s="20"/>
      <c r="K2247" s="20"/>
      <c r="L2247" s="20"/>
      <c r="M2247" s="20"/>
      <c r="N2247" s="20"/>
      <c r="O2247" s="20"/>
      <c r="P2247" s="20"/>
      <c r="Q2247" s="20"/>
      <c r="R2247" s="20"/>
      <c r="S2247" s="20"/>
      <c r="T2247" s="20"/>
      <c r="U2247" s="20"/>
      <c r="V2247" s="20"/>
      <c r="W2247" s="20"/>
      <c r="X2247" s="20"/>
      <c r="Y2247" s="20"/>
      <c r="Z2247" s="20"/>
      <c r="AA2247" s="20"/>
      <c r="AB2247" s="12">
        <v>6674510</v>
      </c>
      <c r="AC2247" s="12">
        <v>6660045</v>
      </c>
      <c r="AD2247" s="12">
        <v>11879624</v>
      </c>
      <c r="AE2247" s="12">
        <v>11875874</v>
      </c>
      <c r="AF2247" s="12">
        <v>11652230</v>
      </c>
      <c r="AG2247" s="12">
        <v>11642262</v>
      </c>
      <c r="AH2247" s="12">
        <v>10692367</v>
      </c>
      <c r="AI2247" s="12">
        <v>10694047</v>
      </c>
      <c r="AJ2247" s="21">
        <v>9883955</v>
      </c>
      <c r="AK2247" s="21">
        <v>9888579</v>
      </c>
      <c r="AL2247" s="21">
        <v>9852540</v>
      </c>
      <c r="AM2247" s="1058">
        <f>9862193+9049447</f>
        <v>18911640</v>
      </c>
      <c r="AN2247" s="1222">
        <v>17498496</v>
      </c>
      <c r="AO2247" s="1058">
        <v>16838425</v>
      </c>
      <c r="AP2247" s="1058">
        <v>15452905</v>
      </c>
      <c r="AQ2247" s="1058">
        <v>15474299</v>
      </c>
      <c r="AR2247" s="1044"/>
      <c r="AS2247" s="1044"/>
    </row>
    <row r="2248" spans="2:45" hidden="1" outlineLevel="1">
      <c r="B2248"/>
      <c r="C2248" s="816" t="s">
        <v>16</v>
      </c>
      <c r="D2248" s="1235" t="s">
        <v>958</v>
      </c>
      <c r="E2248" s="20" t="s">
        <v>1363</v>
      </c>
      <c r="F2248" s="20"/>
      <c r="G2248" s="20"/>
      <c r="H2248" s="20"/>
      <c r="I2248" s="20"/>
      <c r="J2248" s="20"/>
      <c r="K2248" s="20"/>
      <c r="L2248" s="20"/>
      <c r="M2248" s="20"/>
      <c r="N2248" s="20"/>
      <c r="O2248" s="20"/>
      <c r="P2248" s="20"/>
      <c r="Q2248" s="20"/>
      <c r="R2248" s="20"/>
      <c r="S2248" s="20"/>
      <c r="T2248" s="20"/>
      <c r="U2248" s="20"/>
      <c r="V2248" s="20"/>
      <c r="W2248" s="20"/>
      <c r="X2248" s="20"/>
      <c r="Y2248" s="20"/>
      <c r="Z2248" s="20"/>
      <c r="AA2248" s="20"/>
      <c r="AB2248" s="12">
        <v>2294225</v>
      </c>
      <c r="AC2248" s="12">
        <v>2286156</v>
      </c>
      <c r="AD2248" s="12">
        <v>3236224</v>
      </c>
      <c r="AE2248" s="12">
        <v>3230724</v>
      </c>
      <c r="AF2248" s="12">
        <v>3204841</v>
      </c>
      <c r="AG2248" s="12">
        <v>3200441</v>
      </c>
      <c r="AH2248" s="12">
        <v>3021588</v>
      </c>
      <c r="AI2248" s="12">
        <v>3024363</v>
      </c>
      <c r="AJ2248" s="21">
        <v>2780228</v>
      </c>
      <c r="AK2248" s="21">
        <v>2782413</v>
      </c>
      <c r="AL2248" s="21">
        <v>2788207</v>
      </c>
      <c r="AM2248" s="1058">
        <f>2793602+6081229</f>
        <v>8874831</v>
      </c>
      <c r="AN2248" s="1058">
        <v>8446152</v>
      </c>
      <c r="AO2248" s="1058">
        <v>8409324</v>
      </c>
      <c r="AP2248" s="1058">
        <v>8194828</v>
      </c>
      <c r="AQ2248" s="1058">
        <v>8206389</v>
      </c>
      <c r="AR2248" s="1044"/>
      <c r="AS2248" s="1044"/>
    </row>
    <row r="2249" spans="2:45" hidden="1" outlineLevel="1">
      <c r="B2249"/>
      <c r="C2249" s="816" t="s">
        <v>16</v>
      </c>
      <c r="D2249" s="1235" t="s">
        <v>958</v>
      </c>
      <c r="E2249" s="20" t="s">
        <v>1364</v>
      </c>
      <c r="F2249" s="20"/>
      <c r="G2249" s="20"/>
      <c r="H2249" s="20"/>
      <c r="I2249" s="20"/>
      <c r="J2249" s="20"/>
      <c r="K2249" s="20"/>
      <c r="L2249" s="20"/>
      <c r="M2249" s="20"/>
      <c r="N2249" s="20"/>
      <c r="O2249" s="20"/>
      <c r="P2249" s="20"/>
      <c r="Q2249" s="20"/>
      <c r="R2249" s="20"/>
      <c r="S2249" s="20"/>
      <c r="T2249" s="20"/>
      <c r="U2249" s="20"/>
      <c r="V2249" s="20"/>
      <c r="W2249" s="20"/>
      <c r="X2249" s="20"/>
      <c r="Y2249" s="20"/>
      <c r="Z2249" s="20"/>
      <c r="AA2249" s="20"/>
      <c r="AB2249" s="12">
        <v>3155644</v>
      </c>
      <c r="AC2249" s="12">
        <v>3789744</v>
      </c>
      <c r="AD2249" s="12">
        <v>6253196</v>
      </c>
      <c r="AE2249" s="12">
        <v>6249872</v>
      </c>
      <c r="AF2249" s="12">
        <v>6238320</v>
      </c>
      <c r="AG2249" s="12">
        <v>6238316</v>
      </c>
      <c r="AH2249" s="12">
        <v>6194460</v>
      </c>
      <c r="AI2249" s="12">
        <v>6192117</v>
      </c>
      <c r="AJ2249" s="21">
        <v>6047852</v>
      </c>
      <c r="AK2249" s="21">
        <v>6048562</v>
      </c>
      <c r="AL2249" s="21">
        <v>5957037</v>
      </c>
      <c r="AM2249" s="1058">
        <f>5959795+4640742</f>
        <v>10600537</v>
      </c>
      <c r="AN2249" s="1058">
        <v>8548992</v>
      </c>
      <c r="AO2249" s="1058">
        <v>8526516</v>
      </c>
      <c r="AP2249" s="1058">
        <v>7501551</v>
      </c>
      <c r="AQ2249" s="1058">
        <v>7506445</v>
      </c>
      <c r="AR2249" s="1044"/>
      <c r="AS2249" s="1044"/>
    </row>
    <row r="2250" spans="2:45" hidden="1" outlineLevel="1">
      <c r="B2250"/>
      <c r="C2250" s="816" t="s">
        <v>16</v>
      </c>
      <c r="D2250" s="1235" t="s">
        <v>958</v>
      </c>
      <c r="E2250" s="20" t="s">
        <v>1365</v>
      </c>
      <c r="F2250" s="20"/>
      <c r="G2250" s="20"/>
      <c r="H2250" s="20"/>
      <c r="I2250" s="20"/>
      <c r="J2250" s="20"/>
      <c r="K2250" s="20"/>
      <c r="L2250" s="20"/>
      <c r="M2250" s="20"/>
      <c r="N2250" s="20"/>
      <c r="O2250" s="20"/>
      <c r="P2250" s="20"/>
      <c r="Q2250" s="20"/>
      <c r="R2250" s="20"/>
      <c r="S2250" s="20"/>
      <c r="T2250" s="20"/>
      <c r="U2250" s="20"/>
      <c r="V2250" s="20"/>
      <c r="W2250" s="20"/>
      <c r="X2250" s="20"/>
      <c r="Y2250" s="20"/>
      <c r="Z2250" s="20"/>
      <c r="AA2250" s="20"/>
      <c r="AB2250" s="12">
        <v>1695787</v>
      </c>
      <c r="AC2250" s="12">
        <v>1697558</v>
      </c>
      <c r="AD2250" s="12">
        <v>4540410</v>
      </c>
      <c r="AE2250" s="12">
        <v>4534024</v>
      </c>
      <c r="AF2250" s="12">
        <v>4162384</v>
      </c>
      <c r="AG2250" s="12">
        <v>4144355</v>
      </c>
      <c r="AH2250" s="12">
        <v>4054768</v>
      </c>
      <c r="AI2250" s="12">
        <v>3770830</v>
      </c>
      <c r="AJ2250" s="21">
        <v>3755137</v>
      </c>
      <c r="AK2250" s="21">
        <v>3754141</v>
      </c>
      <c r="AL2250" s="21">
        <v>3757555</v>
      </c>
      <c r="AM2250" s="1058">
        <f>3755364+4640742</f>
        <v>8396106</v>
      </c>
      <c r="AN2250" s="1058">
        <v>6127937</v>
      </c>
      <c r="AO2250" s="1058">
        <v>6126980</v>
      </c>
      <c r="AP2250" s="1058">
        <v>4120693</v>
      </c>
      <c r="AQ2250" s="1058">
        <v>4124774</v>
      </c>
      <c r="AR2250" s="1044"/>
      <c r="AS2250" s="1044"/>
    </row>
    <row r="2251" spans="2:45" hidden="1" outlineLevel="1">
      <c r="B2251"/>
      <c r="C2251" s="816" t="s">
        <v>16</v>
      </c>
      <c r="D2251" s="614" t="s">
        <v>836</v>
      </c>
      <c r="E2251" s="20" t="s">
        <v>730</v>
      </c>
      <c r="F2251" s="20"/>
      <c r="G2251" s="20"/>
      <c r="H2251" s="20"/>
      <c r="I2251" s="20"/>
      <c r="J2251" s="20"/>
      <c r="K2251" s="20"/>
      <c r="L2251" s="20"/>
      <c r="M2251" s="20"/>
      <c r="N2251" s="20"/>
      <c r="O2251" s="20"/>
      <c r="P2251" s="20"/>
      <c r="Q2251" s="20"/>
      <c r="R2251" s="20"/>
      <c r="S2251" s="20"/>
      <c r="T2251" s="20"/>
      <c r="U2251" s="20"/>
      <c r="V2251" s="20"/>
      <c r="W2251" s="20"/>
      <c r="X2251" s="20"/>
      <c r="Y2251" s="20"/>
      <c r="Z2251" s="20"/>
      <c r="AA2251" s="20"/>
      <c r="AB2251" s="12">
        <v>1375621</v>
      </c>
      <c r="AC2251" s="12">
        <v>1381556</v>
      </c>
      <c r="AD2251" s="12">
        <v>1853761</v>
      </c>
      <c r="AE2251" s="12">
        <v>2274064</v>
      </c>
      <c r="AF2251" s="12">
        <v>2151566</v>
      </c>
      <c r="AG2251" s="12">
        <v>2151419</v>
      </c>
      <c r="AH2251" s="12">
        <v>2158781</v>
      </c>
      <c r="AI2251" s="12">
        <v>2158238</v>
      </c>
      <c r="AJ2251" s="21">
        <v>2164236</v>
      </c>
      <c r="AK2251" s="21">
        <v>2157355</v>
      </c>
      <c r="AL2251" s="21">
        <v>2152643</v>
      </c>
      <c r="AM2251" s="1058">
        <f>2155980+4516989</f>
        <v>6672969</v>
      </c>
      <c r="AN2251" s="1058">
        <v>7129840</v>
      </c>
      <c r="AO2251" s="1058">
        <v>7129597</v>
      </c>
      <c r="AP2251" s="1058">
        <v>5196125</v>
      </c>
      <c r="AQ2251" s="1058">
        <v>5107275</v>
      </c>
      <c r="AR2251" s="1044"/>
      <c r="AS2251" s="1044"/>
    </row>
    <row r="2252" spans="2:45" hidden="1" outlineLevel="1">
      <c r="B2252"/>
      <c r="C2252" s="816" t="s">
        <v>16</v>
      </c>
      <c r="D2252" s="1235" t="s">
        <v>958</v>
      </c>
      <c r="E2252" s="592" t="s">
        <v>1431</v>
      </c>
      <c r="F2252" s="20"/>
      <c r="G2252" s="20"/>
      <c r="H2252" s="20"/>
      <c r="I2252" s="20"/>
      <c r="J2252" s="20"/>
      <c r="K2252" s="20"/>
      <c r="L2252" s="20"/>
      <c r="M2252" s="20"/>
      <c r="N2252" s="20"/>
      <c r="O2252" s="20"/>
      <c r="P2252" s="20"/>
      <c r="Q2252" s="20"/>
      <c r="R2252" s="20"/>
      <c r="S2252" s="20"/>
      <c r="T2252" s="20"/>
      <c r="U2252" s="20"/>
      <c r="V2252" s="20"/>
      <c r="W2252" s="20"/>
      <c r="X2252" s="20"/>
      <c r="Y2252" s="20"/>
      <c r="Z2252" s="20"/>
      <c r="AA2252" s="20"/>
      <c r="AB2252" s="12">
        <v>2153000</v>
      </c>
      <c r="AC2252" s="12">
        <v>2153000</v>
      </c>
      <c r="AD2252" s="12">
        <v>1676413</v>
      </c>
      <c r="AE2252" s="12">
        <v>3786021</v>
      </c>
      <c r="AF2252" s="12">
        <v>0</v>
      </c>
      <c r="AG2252" s="12">
        <v>0</v>
      </c>
      <c r="AH2252" s="12">
        <v>0</v>
      </c>
      <c r="AI2252" s="12">
        <v>0</v>
      </c>
      <c r="AJ2252" s="22"/>
      <c r="AK2252" s="22"/>
      <c r="AL2252" s="22"/>
      <c r="AM2252" s="1058">
        <f>0+4331359</f>
        <v>4331359</v>
      </c>
      <c r="AN2252" s="1058">
        <v>4367750</v>
      </c>
      <c r="AO2252" s="1058">
        <v>4366250</v>
      </c>
      <c r="AP2252" s="1058">
        <v>4357197</v>
      </c>
      <c r="AQ2252" s="1058">
        <v>4361844</v>
      </c>
      <c r="AR2252" s="1044"/>
      <c r="AS2252" s="1044"/>
    </row>
    <row r="2253" spans="2:45" hidden="1" outlineLevel="1">
      <c r="B2253"/>
      <c r="C2253" s="816" t="s">
        <v>16</v>
      </c>
      <c r="D2253" s="614" t="s">
        <v>836</v>
      </c>
      <c r="E2253" s="20" t="s">
        <v>731</v>
      </c>
      <c r="F2253" s="20"/>
      <c r="G2253" s="20"/>
      <c r="H2253" s="20"/>
      <c r="I2253" s="20"/>
      <c r="J2253" s="20"/>
      <c r="K2253" s="20"/>
      <c r="L2253" s="20"/>
      <c r="M2253" s="20"/>
      <c r="N2253" s="20"/>
      <c r="O2253" s="20"/>
      <c r="P2253" s="20"/>
      <c r="Q2253" s="20"/>
      <c r="R2253" s="20"/>
      <c r="S2253" s="20"/>
      <c r="T2253" s="20"/>
      <c r="U2253" s="20"/>
      <c r="V2253" s="20"/>
      <c r="W2253" s="20"/>
      <c r="X2253" s="20"/>
      <c r="Y2253" s="20"/>
      <c r="Z2253" s="20"/>
      <c r="AA2253" s="20"/>
      <c r="AB2253" s="12">
        <v>5763304</v>
      </c>
      <c r="AC2253" s="12">
        <v>5774174</v>
      </c>
      <c r="AD2253" s="12">
        <v>9881955</v>
      </c>
      <c r="AE2253" s="12">
        <v>9885469</v>
      </c>
      <c r="AF2253" s="12">
        <v>9891319</v>
      </c>
      <c r="AG2253" s="12">
        <v>9907157</v>
      </c>
      <c r="AH2253" s="12">
        <v>8435775</v>
      </c>
      <c r="AI2253" s="12">
        <v>8308725</v>
      </c>
      <c r="AJ2253" s="21">
        <v>8324925</v>
      </c>
      <c r="AK2253" s="21">
        <v>8423875</v>
      </c>
      <c r="AL2253" s="21">
        <v>7469638</v>
      </c>
      <c r="AM2253" s="1058">
        <f>7457125+5414199</f>
        <v>12871324</v>
      </c>
      <c r="AN2253" s="1058">
        <v>11528185</v>
      </c>
      <c r="AO2253" s="1058">
        <v>11524988</v>
      </c>
      <c r="AP2253" s="1058">
        <v>10012951</v>
      </c>
      <c r="AQ2253" s="1058">
        <v>10014938</v>
      </c>
      <c r="AR2253" s="1044"/>
      <c r="AS2253" s="1044"/>
    </row>
    <row r="2254" spans="2:45" hidden="1" outlineLevel="1">
      <c r="B2254"/>
      <c r="C2254" s="816" t="s">
        <v>16</v>
      </c>
      <c r="D2254" s="614" t="s">
        <v>836</v>
      </c>
      <c r="E2254" s="224" t="s">
        <v>1453</v>
      </c>
      <c r="F2254" s="20"/>
      <c r="G2254" s="20"/>
      <c r="H2254" s="20"/>
      <c r="I2254" s="20"/>
      <c r="J2254" s="20"/>
      <c r="K2254" s="20"/>
      <c r="L2254" s="20"/>
      <c r="M2254" s="20"/>
      <c r="N2254" s="20"/>
      <c r="O2254" s="20"/>
      <c r="P2254" s="20"/>
      <c r="Q2254" s="20"/>
      <c r="R2254" s="20"/>
      <c r="S2254" s="20"/>
      <c r="T2254" s="20"/>
      <c r="U2254" s="20"/>
      <c r="V2254" s="20"/>
      <c r="W2254" s="20"/>
      <c r="X2254" s="20"/>
      <c r="Y2254" s="20"/>
      <c r="Z2254" s="20"/>
      <c r="AA2254" s="20"/>
      <c r="AB2254" s="12"/>
      <c r="AC2254" s="12"/>
      <c r="AD2254" s="12"/>
      <c r="AE2254" s="12"/>
      <c r="AF2254" s="12">
        <v>3789771</v>
      </c>
      <c r="AG2254" s="12">
        <v>3790538</v>
      </c>
      <c r="AH2254" s="12">
        <v>3236050</v>
      </c>
      <c r="AI2254" s="12">
        <v>3235800</v>
      </c>
      <c r="AJ2254" s="21">
        <v>3236800</v>
      </c>
      <c r="AK2254" s="21">
        <v>3233525</v>
      </c>
      <c r="AL2254" s="21">
        <v>3236700</v>
      </c>
      <c r="AM2254" s="1058">
        <f>3233125+4872779</f>
        <v>8105904</v>
      </c>
      <c r="AN2254" s="1058">
        <v>7933333</v>
      </c>
      <c r="AO2254" s="1058">
        <v>7928208</v>
      </c>
      <c r="AP2254" s="1058">
        <v>7827584</v>
      </c>
      <c r="AQ2254" s="1058">
        <v>7818969</v>
      </c>
      <c r="AR2254" s="1044"/>
      <c r="AS2254" s="1044"/>
    </row>
    <row r="2255" spans="2:45" hidden="1" outlineLevel="1">
      <c r="B2255"/>
      <c r="C2255" s="816" t="s">
        <v>16</v>
      </c>
      <c r="D2255" s="614" t="s">
        <v>836</v>
      </c>
      <c r="E2255" s="20" t="s">
        <v>1426</v>
      </c>
      <c r="F2255" s="20"/>
      <c r="G2255" s="20"/>
      <c r="H2255" s="20"/>
      <c r="I2255" s="20"/>
      <c r="J2255" s="20"/>
      <c r="K2255" s="20"/>
      <c r="L2255" s="20"/>
      <c r="M2255" s="20"/>
      <c r="N2255" s="20"/>
      <c r="O2255" s="20"/>
      <c r="P2255" s="20"/>
      <c r="Q2255" s="20"/>
      <c r="R2255" s="20"/>
      <c r="S2255" s="20"/>
      <c r="T2255" s="20"/>
      <c r="U2255" s="20"/>
      <c r="V2255" s="20"/>
      <c r="W2255" s="20"/>
      <c r="X2255" s="20"/>
      <c r="Y2255" s="20"/>
      <c r="Z2255" s="20"/>
      <c r="AA2255" s="20"/>
      <c r="AB2255" s="12">
        <v>1517026</v>
      </c>
      <c r="AC2255" s="12">
        <v>1526118</v>
      </c>
      <c r="AD2255" s="12">
        <v>4746046</v>
      </c>
      <c r="AE2255" s="12">
        <v>4746581</v>
      </c>
      <c r="AF2255" s="12">
        <v>4746581</v>
      </c>
      <c r="AG2255" s="12">
        <v>4746581</v>
      </c>
      <c r="AH2255" s="12">
        <v>4445888</v>
      </c>
      <c r="AI2255" s="12">
        <v>4450306</v>
      </c>
      <c r="AJ2255" s="21">
        <v>4436800</v>
      </c>
      <c r="AK2255" s="21">
        <v>4439616</v>
      </c>
      <c r="AL2255" s="21">
        <v>4320006</v>
      </c>
      <c r="AM2255" s="1058">
        <f>4305388+3588841</f>
        <v>7894229</v>
      </c>
      <c r="AN2255" s="1058">
        <v>7445116</v>
      </c>
      <c r="AO2255" s="1058">
        <v>7440416</v>
      </c>
      <c r="AP2255" s="1058">
        <v>6440456</v>
      </c>
      <c r="AQ2255" s="1058">
        <v>5388000</v>
      </c>
      <c r="AR2255" s="1044"/>
      <c r="AS2255" s="1044"/>
    </row>
    <row r="2256" spans="2:45" hidden="1" outlineLevel="1">
      <c r="B2256"/>
      <c r="C2256" s="816" t="s">
        <v>16</v>
      </c>
      <c r="D2256" s="614" t="s">
        <v>836</v>
      </c>
      <c r="E2256" s="20" t="s">
        <v>733</v>
      </c>
      <c r="F2256" s="20"/>
      <c r="G2256" s="20"/>
      <c r="H2256" s="20"/>
      <c r="I2256" s="20"/>
      <c r="J2256" s="20"/>
      <c r="K2256" s="20"/>
      <c r="L2256" s="20"/>
      <c r="M2256" s="20"/>
      <c r="N2256" s="20"/>
      <c r="O2256" s="20"/>
      <c r="P2256" s="20"/>
      <c r="Q2256" s="20"/>
      <c r="R2256" s="20"/>
      <c r="S2256" s="20"/>
      <c r="T2256" s="20"/>
      <c r="U2256" s="20"/>
      <c r="V2256" s="20"/>
      <c r="W2256" s="20"/>
      <c r="X2256" s="20"/>
      <c r="Y2256" s="20"/>
      <c r="Z2256" s="20"/>
      <c r="AA2256" s="20"/>
      <c r="AB2256" s="12">
        <v>8028274</v>
      </c>
      <c r="AC2256" s="12">
        <v>8024939</v>
      </c>
      <c r="AD2256" s="12">
        <v>11248174</v>
      </c>
      <c r="AE2256" s="12">
        <v>11754060</v>
      </c>
      <c r="AF2256" s="12">
        <v>10627805</v>
      </c>
      <c r="AG2256" s="12">
        <v>10627808</v>
      </c>
      <c r="AH2256" s="12">
        <v>10555395</v>
      </c>
      <c r="AI2256" s="12">
        <v>10554645</v>
      </c>
      <c r="AJ2256" s="21">
        <v>10548811</v>
      </c>
      <c r="AK2256" s="21">
        <v>10097484</v>
      </c>
      <c r="AL2256" s="21">
        <v>9595438</v>
      </c>
      <c r="AM2256" s="1058">
        <f>9193613+4640742</f>
        <v>13834355</v>
      </c>
      <c r="AN2256" s="1058">
        <v>13025538</v>
      </c>
      <c r="AO2256" s="1058">
        <v>13017638</v>
      </c>
      <c r="AP2256" s="1058">
        <v>13268988</v>
      </c>
      <c r="AQ2256" s="1058">
        <v>13271019</v>
      </c>
      <c r="AR2256" s="1044"/>
      <c r="AS2256" s="1044"/>
    </row>
    <row r="2257" spans="2:45" hidden="1" outlineLevel="1">
      <c r="B2257"/>
      <c r="C2257" s="816" t="s">
        <v>16</v>
      </c>
      <c r="D2257" s="614" t="s">
        <v>958</v>
      </c>
      <c r="E2257" s="592" t="s">
        <v>1432</v>
      </c>
      <c r="F2257" s="20"/>
      <c r="G2257" s="20"/>
      <c r="H2257" s="20"/>
      <c r="I2257" s="20"/>
      <c r="J2257" s="20"/>
      <c r="K2257" s="20"/>
      <c r="L2257" s="20"/>
      <c r="M2257" s="20"/>
      <c r="N2257" s="20"/>
      <c r="O2257" s="20"/>
      <c r="P2257" s="20"/>
      <c r="Q2257" s="20"/>
      <c r="R2257" s="20"/>
      <c r="S2257" s="20"/>
      <c r="T2257" s="20"/>
      <c r="U2257" s="20"/>
      <c r="V2257" s="20"/>
      <c r="W2257" s="20"/>
      <c r="X2257" s="20"/>
      <c r="Y2257" s="20"/>
      <c r="Z2257" s="20"/>
      <c r="AA2257" s="20"/>
      <c r="AB2257" s="12">
        <v>0</v>
      </c>
      <c r="AC2257" s="12">
        <v>0</v>
      </c>
      <c r="AD2257" s="12">
        <v>0</v>
      </c>
      <c r="AE2257" s="12">
        <v>0</v>
      </c>
      <c r="AF2257" s="12">
        <v>0</v>
      </c>
      <c r="AG2257" s="12">
        <v>0</v>
      </c>
      <c r="AH2257" s="12">
        <v>0</v>
      </c>
      <c r="AI2257" s="12">
        <v>0</v>
      </c>
      <c r="AJ2257" s="22"/>
      <c r="AK2257" s="22"/>
      <c r="AL2257" s="22"/>
      <c r="AM2257" s="1059"/>
      <c r="AN2257" s="1059"/>
      <c r="AO2257" s="1059"/>
      <c r="AP2257" s="1059"/>
      <c r="AQ2257" s="1059"/>
      <c r="AR2257" s="1044"/>
      <c r="AS2257" s="1044"/>
    </row>
    <row r="2258" spans="2:45" hidden="1" outlineLevel="1">
      <c r="B2258"/>
      <c r="C2258" s="816" t="s">
        <v>16</v>
      </c>
      <c r="D2258" s="614" t="s">
        <v>836</v>
      </c>
      <c r="E2258" s="20" t="s">
        <v>735</v>
      </c>
      <c r="F2258" s="20"/>
      <c r="G2258" s="20"/>
      <c r="H2258" s="20"/>
      <c r="I2258" s="20"/>
      <c r="J2258" s="20"/>
      <c r="K2258" s="20"/>
      <c r="L2258" s="20"/>
      <c r="M2258" s="20"/>
      <c r="N2258" s="20"/>
      <c r="O2258" s="20"/>
      <c r="P2258" s="20"/>
      <c r="Q2258" s="20"/>
      <c r="R2258" s="20"/>
      <c r="S2258" s="20"/>
      <c r="T2258" s="20"/>
      <c r="U2258" s="20"/>
      <c r="V2258" s="20"/>
      <c r="W2258" s="20"/>
      <c r="X2258" s="20"/>
      <c r="Y2258" s="20"/>
      <c r="Z2258" s="20"/>
      <c r="AA2258" s="20"/>
      <c r="AB2258" s="12">
        <v>5739227</v>
      </c>
      <c r="AC2258" s="12">
        <v>5731201</v>
      </c>
      <c r="AD2258" s="12">
        <v>10683721</v>
      </c>
      <c r="AE2258" s="12">
        <v>10686673</v>
      </c>
      <c r="AF2258" s="12">
        <v>10378067</v>
      </c>
      <c r="AG2258" s="12">
        <v>10385694</v>
      </c>
      <c r="AH2258" s="12">
        <v>9230357</v>
      </c>
      <c r="AI2258" s="12">
        <v>9242556</v>
      </c>
      <c r="AJ2258" s="21">
        <v>9053414</v>
      </c>
      <c r="AK2258" s="21">
        <v>9051741</v>
      </c>
      <c r="AL2258" s="21">
        <v>7161912</v>
      </c>
      <c r="AM2258" s="1058">
        <f>7166325+5414199</f>
        <v>12580524</v>
      </c>
      <c r="AN2258" s="1058">
        <v>14513383</v>
      </c>
      <c r="AO2258" s="1058">
        <v>14484496</v>
      </c>
      <c r="AP2258" s="1058">
        <v>13502981</v>
      </c>
      <c r="AQ2258" s="1058">
        <v>13493859</v>
      </c>
      <c r="AR2258" s="1044"/>
      <c r="AS2258" s="1044"/>
    </row>
    <row r="2259" spans="2:45" hidden="1" outlineLevel="1">
      <c r="B2259"/>
      <c r="C2259" s="816" t="s">
        <v>16</v>
      </c>
      <c r="D2259" s="614" t="s">
        <v>836</v>
      </c>
      <c r="E2259" s="20" t="s">
        <v>855</v>
      </c>
      <c r="F2259" s="20"/>
      <c r="G2259" s="20"/>
      <c r="H2259" s="20"/>
      <c r="I2259" s="20"/>
      <c r="J2259" s="20"/>
      <c r="K2259" s="20"/>
      <c r="L2259" s="20"/>
      <c r="M2259" s="20"/>
      <c r="N2259" s="20"/>
      <c r="O2259" s="20"/>
      <c r="P2259" s="20"/>
      <c r="Q2259" s="20"/>
      <c r="R2259" s="20"/>
      <c r="S2259" s="20"/>
      <c r="T2259" s="20"/>
      <c r="U2259" s="20"/>
      <c r="V2259" s="20"/>
      <c r="W2259" s="20"/>
      <c r="X2259" s="20"/>
      <c r="Y2259" s="20"/>
      <c r="Z2259" s="20"/>
      <c r="AA2259" s="20"/>
      <c r="AB2259" s="12">
        <v>4132080</v>
      </c>
      <c r="AC2259" s="12">
        <v>4132080</v>
      </c>
      <c r="AD2259" s="12">
        <v>4105744</v>
      </c>
      <c r="AE2259" s="12">
        <v>3935894</v>
      </c>
      <c r="AF2259" s="12">
        <v>4119317</v>
      </c>
      <c r="AG2259" s="12">
        <v>4129564</v>
      </c>
      <c r="AH2259" s="12">
        <v>4003574</v>
      </c>
      <c r="AI2259" s="12">
        <v>3962489</v>
      </c>
      <c r="AJ2259" s="21">
        <v>3959056</v>
      </c>
      <c r="AK2259" s="21">
        <v>2713411</v>
      </c>
      <c r="AL2259" s="21">
        <v>2739784</v>
      </c>
      <c r="AM2259" s="1058">
        <f>2737516+1652104</f>
        <v>4389620</v>
      </c>
      <c r="AN2259" s="1058">
        <v>4381690</v>
      </c>
      <c r="AO2259" s="1058">
        <v>2877024</v>
      </c>
      <c r="AP2259" s="1058">
        <v>2879547</v>
      </c>
      <c r="AQ2259" s="1058">
        <v>2860043</v>
      </c>
      <c r="AR2259" s="1044"/>
      <c r="AS2259" s="1044"/>
    </row>
    <row r="2260" spans="2:45" hidden="1" outlineLevel="1">
      <c r="B2260"/>
      <c r="C2260" s="816" t="s">
        <v>16</v>
      </c>
      <c r="D2260" s="614" t="s">
        <v>836</v>
      </c>
      <c r="E2260" s="20" t="s">
        <v>737</v>
      </c>
      <c r="F2260" s="20"/>
      <c r="G2260" s="20"/>
      <c r="H2260" s="20"/>
      <c r="I2260" s="20"/>
      <c r="J2260" s="20"/>
      <c r="K2260" s="20"/>
      <c r="L2260" s="20"/>
      <c r="M2260" s="20"/>
      <c r="N2260" s="20"/>
      <c r="O2260" s="20"/>
      <c r="P2260" s="20"/>
      <c r="Q2260" s="20"/>
      <c r="R2260" s="20"/>
      <c r="S2260" s="20"/>
      <c r="T2260" s="20"/>
      <c r="U2260" s="20"/>
      <c r="V2260" s="20"/>
      <c r="W2260" s="20"/>
      <c r="X2260" s="20"/>
      <c r="Y2260" s="20"/>
      <c r="Z2260" s="20"/>
      <c r="AA2260" s="20"/>
      <c r="AB2260" s="12">
        <v>2753735</v>
      </c>
      <c r="AC2260" s="12">
        <v>2752135</v>
      </c>
      <c r="AD2260" s="12">
        <v>4588238</v>
      </c>
      <c r="AE2260" s="12">
        <v>4574288</v>
      </c>
      <c r="AF2260" s="12">
        <v>4421345</v>
      </c>
      <c r="AG2260" s="12">
        <v>4427340</v>
      </c>
      <c r="AH2260" s="12">
        <v>4431854</v>
      </c>
      <c r="AI2260" s="12">
        <v>4445639</v>
      </c>
      <c r="AJ2260" s="21">
        <v>4177819</v>
      </c>
      <c r="AK2260" s="21">
        <v>4172244</v>
      </c>
      <c r="AL2260" s="21">
        <v>4175994</v>
      </c>
      <c r="AM2260" s="1058">
        <f>4179244+2938905</f>
        <v>7118149</v>
      </c>
      <c r="AN2260" s="1058">
        <v>7115986</v>
      </c>
      <c r="AO2260" s="1058">
        <v>7114986</v>
      </c>
      <c r="AP2260" s="1058">
        <v>6249050</v>
      </c>
      <c r="AQ2260" s="1058">
        <v>6239775</v>
      </c>
      <c r="AR2260" s="1044"/>
      <c r="AS2260" s="1044"/>
    </row>
    <row r="2261" spans="2:45" hidden="1" outlineLevel="1">
      <c r="B2261"/>
      <c r="C2261" s="816" t="s">
        <v>16</v>
      </c>
      <c r="D2261" s="1235" t="s">
        <v>958</v>
      </c>
      <c r="E2261" s="592" t="s">
        <v>60</v>
      </c>
      <c r="F2261" s="20"/>
      <c r="G2261" s="20"/>
      <c r="H2261" s="20"/>
      <c r="I2261" s="20"/>
      <c r="J2261" s="20"/>
      <c r="K2261" s="20"/>
      <c r="L2261" s="20"/>
      <c r="M2261" s="20"/>
      <c r="N2261" s="20"/>
      <c r="O2261" s="20"/>
      <c r="P2261" s="20"/>
      <c r="Q2261" s="20"/>
      <c r="R2261" s="20"/>
      <c r="S2261" s="20"/>
      <c r="T2261" s="20"/>
      <c r="U2261" s="20"/>
      <c r="V2261" s="20"/>
      <c r="W2261" s="20"/>
      <c r="X2261" s="20"/>
      <c r="Y2261" s="20"/>
      <c r="Z2261" s="20"/>
      <c r="AA2261" s="20"/>
      <c r="AB2261" s="12">
        <v>0</v>
      </c>
      <c r="AC2261" s="12">
        <v>0</v>
      </c>
      <c r="AD2261" s="12">
        <v>0</v>
      </c>
      <c r="AE2261" s="12">
        <v>0</v>
      </c>
      <c r="AF2261" s="12">
        <v>0</v>
      </c>
      <c r="AG2261" s="12">
        <v>0</v>
      </c>
      <c r="AH2261" s="12">
        <v>0</v>
      </c>
      <c r="AI2261" s="12">
        <v>0</v>
      </c>
      <c r="AJ2261" s="22"/>
      <c r="AK2261" s="22"/>
      <c r="AL2261" s="22"/>
      <c r="AM2261" s="1059"/>
      <c r="AN2261" s="1059"/>
      <c r="AO2261" s="1059"/>
      <c r="AP2261" s="1059"/>
      <c r="AQ2261" s="1059"/>
      <c r="AR2261" s="1044"/>
      <c r="AS2261" s="1044"/>
    </row>
    <row r="2262" spans="2:45" hidden="1" outlineLevel="1">
      <c r="B2262"/>
      <c r="C2262" s="816" t="s">
        <v>16</v>
      </c>
      <c r="D2262" s="614" t="s">
        <v>836</v>
      </c>
      <c r="E2262" s="20" t="s">
        <v>738</v>
      </c>
      <c r="F2262" s="20"/>
      <c r="G2262" s="20"/>
      <c r="H2262" s="20"/>
      <c r="I2262" s="20"/>
      <c r="J2262" s="20"/>
      <c r="K2262" s="20"/>
      <c r="L2262" s="20"/>
      <c r="M2262" s="20"/>
      <c r="N2262" s="20"/>
      <c r="O2262" s="20"/>
      <c r="P2262" s="20"/>
      <c r="Q2262" s="20"/>
      <c r="R2262" s="20"/>
      <c r="S2262" s="20"/>
      <c r="T2262" s="20"/>
      <c r="U2262" s="20"/>
      <c r="V2262" s="20"/>
      <c r="W2262" s="20"/>
      <c r="X2262" s="20"/>
      <c r="Y2262" s="20"/>
      <c r="Z2262" s="20"/>
      <c r="AA2262" s="20"/>
      <c r="AB2262" s="12">
        <v>2243907</v>
      </c>
      <c r="AC2262" s="12">
        <v>2244225</v>
      </c>
      <c r="AD2262" s="12">
        <v>2606033</v>
      </c>
      <c r="AE2262" s="12">
        <v>2593169</v>
      </c>
      <c r="AF2262" s="12">
        <v>2593169</v>
      </c>
      <c r="AG2262" s="12">
        <v>2593169</v>
      </c>
      <c r="AH2262" s="12">
        <v>2508277</v>
      </c>
      <c r="AI2262" s="12">
        <v>2439110</v>
      </c>
      <c r="AJ2262" s="21">
        <v>2441883</v>
      </c>
      <c r="AK2262" s="21">
        <v>2452060</v>
      </c>
      <c r="AL2262" s="21">
        <v>2457631</v>
      </c>
      <c r="AM2262" s="1058">
        <f>2457114+4640742</f>
        <v>7097856</v>
      </c>
      <c r="AN2262" s="1058">
        <v>7007244</v>
      </c>
      <c r="AO2262" s="1058">
        <v>6470138</v>
      </c>
      <c r="AP2262" s="1058">
        <v>6461238</v>
      </c>
      <c r="AQ2262" s="1058">
        <v>6405348</v>
      </c>
      <c r="AR2262" s="1044"/>
      <c r="AS2262" s="1044"/>
    </row>
    <row r="2263" spans="2:45" hidden="1" outlineLevel="1">
      <c r="B2263"/>
      <c r="C2263" s="816" t="s">
        <v>16</v>
      </c>
      <c r="D2263" s="614" t="s">
        <v>2115</v>
      </c>
      <c r="E2263" s="20" t="s">
        <v>1446</v>
      </c>
      <c r="F2263" s="20"/>
      <c r="G2263" s="20"/>
      <c r="H2263" s="20"/>
      <c r="I2263" s="20"/>
      <c r="J2263" s="20"/>
      <c r="K2263" s="20"/>
      <c r="L2263" s="20"/>
      <c r="M2263" s="20"/>
      <c r="N2263" s="20"/>
      <c r="O2263" s="20"/>
      <c r="P2263" s="20"/>
      <c r="Q2263" s="20"/>
      <c r="R2263" s="20"/>
      <c r="S2263" s="20"/>
      <c r="T2263" s="20"/>
      <c r="U2263" s="20"/>
      <c r="V2263" s="20"/>
      <c r="W2263" s="20"/>
      <c r="X2263" s="20"/>
      <c r="Y2263" s="20"/>
      <c r="Z2263" s="20"/>
      <c r="AA2263" s="20"/>
      <c r="AB2263" s="12">
        <v>552844</v>
      </c>
      <c r="AC2263" s="12">
        <v>552789</v>
      </c>
      <c r="AD2263" s="12">
        <v>548076</v>
      </c>
      <c r="AE2263" s="12">
        <v>545066</v>
      </c>
      <c r="AF2263" s="12">
        <v>545066</v>
      </c>
      <c r="AG2263" s="12">
        <v>545066</v>
      </c>
      <c r="AH2263" s="12">
        <v>535341</v>
      </c>
      <c r="AI2263" s="12">
        <v>523882</v>
      </c>
      <c r="AJ2263" s="21">
        <v>522411</v>
      </c>
      <c r="AK2263" s="21">
        <v>524142</v>
      </c>
      <c r="AL2263" s="21">
        <v>523012</v>
      </c>
      <c r="AM2263" s="1058">
        <f>526803+966821</f>
        <v>1493624</v>
      </c>
      <c r="AN2263" s="1058">
        <v>1476081</v>
      </c>
      <c r="AO2263" s="1058">
        <v>1332052</v>
      </c>
      <c r="AP2263" s="1058">
        <v>1333692</v>
      </c>
      <c r="AQ2263" s="1058">
        <v>1319086</v>
      </c>
      <c r="AR2263" s="1044"/>
      <c r="AS2263" s="1044"/>
    </row>
    <row r="2264" spans="2:45" hidden="1" outlineLevel="1">
      <c r="B2264"/>
      <c r="C2264" s="816" t="s">
        <v>16</v>
      </c>
      <c r="D2264" s="614" t="s">
        <v>2115</v>
      </c>
      <c r="E2264" s="20" t="s">
        <v>1447</v>
      </c>
      <c r="F2264" s="20"/>
      <c r="G2264" s="20"/>
      <c r="H2264" s="20"/>
      <c r="I2264" s="20"/>
      <c r="J2264" s="20"/>
      <c r="K2264" s="20"/>
      <c r="L2264" s="20"/>
      <c r="M2264" s="20"/>
      <c r="N2264" s="20"/>
      <c r="O2264" s="20"/>
      <c r="P2264" s="20"/>
      <c r="Q2264" s="20"/>
      <c r="R2264" s="20"/>
      <c r="S2264" s="20"/>
      <c r="T2264" s="20"/>
      <c r="U2264" s="20"/>
      <c r="V2264" s="20"/>
      <c r="W2264" s="20"/>
      <c r="X2264" s="20"/>
      <c r="Y2264" s="20"/>
      <c r="Z2264" s="20"/>
      <c r="AA2264" s="20"/>
      <c r="AB2264" s="12">
        <v>444683</v>
      </c>
      <c r="AC2264" s="12">
        <v>460740</v>
      </c>
      <c r="AD2264" s="12">
        <v>590273</v>
      </c>
      <c r="AE2264" s="12">
        <v>586040</v>
      </c>
      <c r="AF2264" s="12">
        <v>440562</v>
      </c>
      <c r="AG2264" s="12">
        <v>436771</v>
      </c>
      <c r="AH2264" s="12">
        <v>433065</v>
      </c>
      <c r="AI2264" s="12">
        <v>426711</v>
      </c>
      <c r="AJ2264" s="21">
        <v>425606</v>
      </c>
      <c r="AK2264" s="21">
        <v>428768</v>
      </c>
      <c r="AL2264" s="21">
        <v>427820</v>
      </c>
      <c r="AM2264" s="1058">
        <f>426016+773457</f>
        <v>1199473</v>
      </c>
      <c r="AN2264" s="1058">
        <v>1158403</v>
      </c>
      <c r="AO2264" s="1058">
        <v>919559</v>
      </c>
      <c r="AP2264" s="1058">
        <v>918315</v>
      </c>
      <c r="AQ2264" s="1058">
        <v>912337</v>
      </c>
      <c r="AR2264" s="1044"/>
      <c r="AS2264" s="1044"/>
    </row>
    <row r="2265" spans="2:45" hidden="1" outlineLevel="1">
      <c r="B2265"/>
      <c r="C2265" s="816" t="s">
        <v>16</v>
      </c>
      <c r="D2265" s="614" t="s">
        <v>2115</v>
      </c>
      <c r="E2265" s="20" t="s">
        <v>1448</v>
      </c>
      <c r="F2265" s="20"/>
      <c r="G2265" s="20"/>
      <c r="H2265" s="20"/>
      <c r="I2265" s="20"/>
      <c r="J2265" s="20"/>
      <c r="K2265" s="20"/>
      <c r="L2265" s="20"/>
      <c r="M2265" s="20"/>
      <c r="N2265" s="20"/>
      <c r="O2265" s="20"/>
      <c r="P2265" s="20"/>
      <c r="Q2265" s="20"/>
      <c r="R2265" s="20"/>
      <c r="S2265" s="20"/>
      <c r="T2265" s="20"/>
      <c r="U2265" s="20"/>
      <c r="V2265" s="20"/>
      <c r="W2265" s="20"/>
      <c r="X2265" s="20"/>
      <c r="Y2265" s="20"/>
      <c r="Z2265" s="20"/>
      <c r="AA2265" s="20"/>
      <c r="AB2265" s="12">
        <v>782696</v>
      </c>
      <c r="AC2265" s="12">
        <v>780945</v>
      </c>
      <c r="AD2265" s="12">
        <v>939578</v>
      </c>
      <c r="AE2265" s="12">
        <v>933613</v>
      </c>
      <c r="AF2265" s="12">
        <v>939578</v>
      </c>
      <c r="AG2265" s="12">
        <v>933613</v>
      </c>
      <c r="AH2265" s="12">
        <v>877143</v>
      </c>
      <c r="AI2265" s="12">
        <v>860050</v>
      </c>
      <c r="AJ2265" s="21">
        <v>858977</v>
      </c>
      <c r="AK2265" s="21">
        <v>857559</v>
      </c>
      <c r="AL2265" s="21">
        <v>862351</v>
      </c>
      <c r="AM2265" s="1058">
        <f>861505+624953</f>
        <v>1486458</v>
      </c>
      <c r="AN2265" s="1058">
        <v>1466211</v>
      </c>
      <c r="AO2265" s="1058">
        <v>1268180</v>
      </c>
      <c r="AP2265" s="1058">
        <v>1272753</v>
      </c>
      <c r="AQ2265" s="1058">
        <v>1252493</v>
      </c>
      <c r="AR2265" s="1044"/>
      <c r="AS2265" s="1044"/>
    </row>
    <row r="2266" spans="2:45" hidden="1" outlineLevel="1">
      <c r="B2266"/>
      <c r="C2266" s="816" t="s">
        <v>16</v>
      </c>
      <c r="D2266" s="614" t="s">
        <v>836</v>
      </c>
      <c r="E2266" s="20" t="s">
        <v>1367</v>
      </c>
      <c r="F2266" s="20"/>
      <c r="G2266" s="20"/>
      <c r="H2266" s="20"/>
      <c r="I2266" s="20"/>
      <c r="J2266" s="20"/>
      <c r="K2266" s="20"/>
      <c r="L2266" s="20"/>
      <c r="M2266" s="20"/>
      <c r="N2266" s="20"/>
      <c r="O2266" s="20"/>
      <c r="P2266" s="20"/>
      <c r="Q2266" s="20"/>
      <c r="R2266" s="20"/>
      <c r="S2266" s="20"/>
      <c r="T2266" s="20"/>
      <c r="U2266" s="20"/>
      <c r="V2266" s="20"/>
      <c r="W2266" s="20"/>
      <c r="X2266" s="20"/>
      <c r="Y2266" s="20"/>
      <c r="Z2266" s="20"/>
      <c r="AA2266" s="20"/>
      <c r="AB2266" s="12">
        <v>2084160</v>
      </c>
      <c r="AC2266" s="12">
        <v>2080339</v>
      </c>
      <c r="AD2266" s="12">
        <v>2882898</v>
      </c>
      <c r="AE2266" s="12">
        <v>2872625</v>
      </c>
      <c r="AF2266" s="12">
        <v>2850145</v>
      </c>
      <c r="AG2266" s="12">
        <v>2852774</v>
      </c>
      <c r="AH2266" s="12">
        <v>2721741</v>
      </c>
      <c r="AI2266" s="12">
        <v>2665589</v>
      </c>
      <c r="AJ2266" s="21">
        <v>2672584</v>
      </c>
      <c r="AK2266" s="21">
        <v>2527192</v>
      </c>
      <c r="AL2266" s="21">
        <v>2531741</v>
      </c>
      <c r="AM2266" s="1058">
        <f>2530249+3712594</f>
        <v>6242843</v>
      </c>
      <c r="AN2266" s="1058">
        <v>6148800</v>
      </c>
      <c r="AO2266" s="1058">
        <v>5646300</v>
      </c>
      <c r="AP2266" s="1058">
        <v>5646170</v>
      </c>
      <c r="AQ2266" s="1058">
        <v>5519969</v>
      </c>
      <c r="AR2266" s="1044"/>
      <c r="AS2266" s="1044"/>
    </row>
    <row r="2267" spans="2:45" hidden="1" outlineLevel="1">
      <c r="B2267"/>
      <c r="C2267" s="816" t="s">
        <v>16</v>
      </c>
      <c r="D2267" s="614" t="s">
        <v>836</v>
      </c>
      <c r="E2267" s="224" t="s">
        <v>1094</v>
      </c>
      <c r="F2267" s="20"/>
      <c r="G2267" s="20"/>
      <c r="H2267" s="20"/>
      <c r="I2267" s="20"/>
      <c r="J2267" s="20"/>
      <c r="K2267" s="20"/>
      <c r="L2267" s="20"/>
      <c r="M2267" s="20"/>
      <c r="N2267" s="20"/>
      <c r="O2267" s="20"/>
      <c r="P2267" s="20"/>
      <c r="Q2267" s="20"/>
      <c r="R2267" s="20"/>
      <c r="S2267" s="20"/>
      <c r="T2267" s="20"/>
      <c r="U2267" s="20"/>
      <c r="V2267" s="20"/>
      <c r="W2267" s="20"/>
      <c r="X2267" s="20"/>
      <c r="Y2267" s="20"/>
      <c r="Z2267" s="20"/>
      <c r="AA2267" s="20"/>
      <c r="AB2267" s="12">
        <v>5572374</v>
      </c>
      <c r="AC2267" s="12">
        <v>5581789</v>
      </c>
      <c r="AD2267" s="12">
        <v>11888927</v>
      </c>
      <c r="AE2267" s="12">
        <v>11725927</v>
      </c>
      <c r="AF2267" s="12">
        <v>11725927</v>
      </c>
      <c r="AG2267" s="12">
        <v>11725927</v>
      </c>
      <c r="AH2267" s="12">
        <v>10958158</v>
      </c>
      <c r="AI2267" s="12">
        <v>10899160</v>
      </c>
      <c r="AJ2267" s="21">
        <v>10900613</v>
      </c>
      <c r="AK2267" s="21">
        <v>10339630</v>
      </c>
      <c r="AL2267" s="21">
        <v>10343291</v>
      </c>
      <c r="AM2267" s="1058">
        <f>10338710+8631780</f>
        <v>18970490</v>
      </c>
      <c r="AN2267" s="1058">
        <v>18740277</v>
      </c>
      <c r="AO2267" s="1058">
        <v>17387991</v>
      </c>
      <c r="AP2267" s="1058">
        <v>17369676</v>
      </c>
      <c r="AQ2267" s="1058">
        <v>16777480</v>
      </c>
      <c r="AR2267" s="1044"/>
      <c r="AS2267" s="1044"/>
    </row>
    <row r="2268" spans="2:45" hidden="1" outlineLevel="1">
      <c r="B2268"/>
      <c r="C2268" s="816" t="s">
        <v>16</v>
      </c>
      <c r="D2268" s="614" t="s">
        <v>836</v>
      </c>
      <c r="E2268" s="20" t="s">
        <v>859</v>
      </c>
      <c r="F2268" s="20"/>
      <c r="G2268" s="20"/>
      <c r="H2268" s="20"/>
      <c r="I2268" s="20"/>
      <c r="J2268" s="20"/>
      <c r="K2268" s="20"/>
      <c r="L2268" s="20"/>
      <c r="M2268" s="20"/>
      <c r="N2268" s="20"/>
      <c r="O2268" s="20"/>
      <c r="P2268" s="1132">
        <v>120789</v>
      </c>
      <c r="Q2268" s="1132">
        <v>277550</v>
      </c>
      <c r="R2268" s="1132">
        <v>259403</v>
      </c>
      <c r="S2268" s="1132">
        <v>257362</v>
      </c>
      <c r="T2268" s="1132">
        <v>254945</v>
      </c>
      <c r="U2268" s="1132">
        <v>865209</v>
      </c>
      <c r="V2268" s="1132">
        <v>1690108</v>
      </c>
      <c r="W2268" s="1132">
        <v>1685861</v>
      </c>
      <c r="X2268" s="1132">
        <v>1680919</v>
      </c>
      <c r="Y2268" s="1132">
        <v>2822812</v>
      </c>
      <c r="Z2268" s="20"/>
      <c r="AA2268" s="20"/>
      <c r="AB2268" s="12">
        <v>2781569</v>
      </c>
      <c r="AC2268" s="12">
        <v>2778447</v>
      </c>
      <c r="AD2268" s="12">
        <v>2547558</v>
      </c>
      <c r="AE2268" s="12">
        <v>2547558</v>
      </c>
      <c r="AF2268" s="12">
        <v>2750745</v>
      </c>
      <c r="AG2268" s="12">
        <v>2754042</v>
      </c>
      <c r="AH2268" s="12">
        <v>2714768</v>
      </c>
      <c r="AI2268" s="12">
        <v>2667716</v>
      </c>
      <c r="AJ2268" s="21">
        <v>2671198</v>
      </c>
      <c r="AK2268" s="21">
        <v>2441623</v>
      </c>
      <c r="AL2268" s="21">
        <v>2447080</v>
      </c>
      <c r="AM2268" s="1058">
        <f>2448525+482637</f>
        <v>2931162</v>
      </c>
      <c r="AN2268" s="1058">
        <v>2724800</v>
      </c>
      <c r="AO2268" s="1058">
        <v>1530933</v>
      </c>
      <c r="AP2268" s="1058">
        <v>1531018</v>
      </c>
      <c r="AQ2268" s="1058">
        <v>1493487</v>
      </c>
      <c r="AR2268" s="1044"/>
      <c r="AS2268" s="1044"/>
    </row>
    <row r="2269" spans="2:45" hidden="1" outlineLevel="1">
      <c r="B2269"/>
      <c r="C2269" s="816" t="s">
        <v>16</v>
      </c>
      <c r="D2269" s="614" t="s">
        <v>836</v>
      </c>
      <c r="E2269" s="20" t="s">
        <v>1427</v>
      </c>
      <c r="F2269" s="20"/>
      <c r="G2269" s="20"/>
      <c r="H2269" s="20"/>
      <c r="I2269" s="20"/>
      <c r="J2269" s="20"/>
      <c r="K2269" s="20"/>
      <c r="L2269" s="20"/>
      <c r="M2269" s="20"/>
      <c r="N2269" s="20"/>
      <c r="O2269" s="20"/>
      <c r="P2269" s="20"/>
      <c r="Q2269" s="20"/>
      <c r="R2269" s="20"/>
      <c r="S2269" s="20"/>
      <c r="T2269" s="20"/>
      <c r="U2269" s="20"/>
      <c r="V2269" s="20"/>
      <c r="W2269" s="20"/>
      <c r="X2269" s="20"/>
      <c r="Y2269" s="20"/>
      <c r="Z2269" s="20"/>
      <c r="AA2269" s="20"/>
      <c r="AB2269" s="12">
        <v>0</v>
      </c>
      <c r="AC2269" s="12">
        <v>0</v>
      </c>
      <c r="AD2269" s="12">
        <v>0</v>
      </c>
      <c r="AE2269" s="12">
        <v>0</v>
      </c>
      <c r="AF2269" s="12">
        <v>0</v>
      </c>
      <c r="AG2269" s="12">
        <v>0</v>
      </c>
      <c r="AH2269" s="12">
        <v>0</v>
      </c>
      <c r="AI2269" s="12">
        <v>0</v>
      </c>
      <c r="AJ2269" s="22"/>
      <c r="AK2269" s="22"/>
      <c r="AL2269" s="22"/>
      <c r="AM2269" s="1059"/>
      <c r="AN2269" s="1059"/>
      <c r="AO2269" s="1059"/>
      <c r="AP2269" s="1059"/>
      <c r="AQ2269" s="1059"/>
      <c r="AR2269" s="1044"/>
      <c r="AS2269" s="1044"/>
    </row>
    <row r="2270" spans="2:45" hidden="1" outlineLevel="1">
      <c r="B2270"/>
      <c r="C2270" s="816" t="s">
        <v>16</v>
      </c>
      <c r="D2270" s="614" t="s">
        <v>1498</v>
      </c>
      <c r="E2270" s="616" t="s">
        <v>1844</v>
      </c>
      <c r="F2270" s="20"/>
      <c r="G2270" s="20"/>
      <c r="H2270" s="20"/>
      <c r="I2270" s="20"/>
      <c r="J2270" s="20"/>
      <c r="K2270" s="20"/>
      <c r="L2270" s="20"/>
      <c r="M2270" s="20"/>
      <c r="N2270" s="20"/>
      <c r="O2270" s="20"/>
      <c r="P2270" s="20"/>
      <c r="Q2270" s="20"/>
      <c r="R2270" s="20"/>
      <c r="S2270" s="20"/>
      <c r="T2270" s="20"/>
      <c r="U2270" s="20"/>
      <c r="V2270" s="20"/>
      <c r="W2270" s="20"/>
      <c r="X2270" s="20"/>
      <c r="Y2270" s="20"/>
      <c r="Z2270" s="20"/>
      <c r="AA2270" s="20"/>
      <c r="AB2270" s="12">
        <v>9948986</v>
      </c>
      <c r="AC2270" s="12">
        <v>9949999</v>
      </c>
      <c r="AD2270" s="12">
        <v>12967821</v>
      </c>
      <c r="AE2270" s="12">
        <v>13005746</v>
      </c>
      <c r="AF2270" s="12">
        <v>12457181</v>
      </c>
      <c r="AG2270" s="12">
        <v>12423526</v>
      </c>
      <c r="AH2270" s="12">
        <v>12333374</v>
      </c>
      <c r="AI2270" s="12">
        <v>12331036</v>
      </c>
      <c r="AJ2270" s="21">
        <v>12328747</v>
      </c>
      <c r="AK2270" s="21">
        <v>12330403</v>
      </c>
      <c r="AL2270" s="21">
        <v>12333563</v>
      </c>
      <c r="AM2270" s="1058">
        <f>12332475+6187656</f>
        <v>18520131</v>
      </c>
      <c r="AN2270" s="1058">
        <v>18520131</v>
      </c>
      <c r="AO2270" s="1058">
        <v>18520131</v>
      </c>
      <c r="AP2270" s="1058">
        <v>18515700</v>
      </c>
      <c r="AQ2270" s="1058">
        <v>18516400</v>
      </c>
      <c r="AR2270" s="1044"/>
      <c r="AS2270" s="1044"/>
    </row>
    <row r="2271" spans="2:45" hidden="1" outlineLevel="1">
      <c r="B2271"/>
      <c r="C2271" s="816" t="s">
        <v>16</v>
      </c>
      <c r="D2271" s="614" t="s">
        <v>1498</v>
      </c>
      <c r="E2271" s="593" t="s">
        <v>1434</v>
      </c>
      <c r="F2271" s="20"/>
      <c r="G2271" s="20"/>
      <c r="H2271" s="20"/>
      <c r="I2271" s="20"/>
      <c r="J2271" s="20"/>
      <c r="K2271" s="20"/>
      <c r="L2271" s="20"/>
      <c r="M2271" s="20"/>
      <c r="N2271" s="20"/>
      <c r="O2271" s="20"/>
      <c r="P2271" s="20"/>
      <c r="Q2271" s="20"/>
      <c r="R2271" s="20"/>
      <c r="S2271" s="20"/>
      <c r="T2271" s="20"/>
      <c r="U2271" s="20"/>
      <c r="V2271" s="20"/>
      <c r="W2271" s="20"/>
      <c r="X2271" s="20"/>
      <c r="Y2271" s="20"/>
      <c r="Z2271" s="20"/>
      <c r="AA2271" s="20"/>
      <c r="AB2271" s="12">
        <v>1765636</v>
      </c>
      <c r="AC2271" s="12">
        <v>1761586</v>
      </c>
      <c r="AD2271" s="12">
        <v>6531043</v>
      </c>
      <c r="AE2271" s="12">
        <v>6542963</v>
      </c>
      <c r="AF2271" s="12">
        <v>6185129</v>
      </c>
      <c r="AG2271" s="12">
        <v>6185209</v>
      </c>
      <c r="AH2271" s="12">
        <v>6180390</v>
      </c>
      <c r="AI2271" s="12">
        <v>6180572</v>
      </c>
      <c r="AJ2271" s="21">
        <v>17086741</v>
      </c>
      <c r="AK2271" s="21">
        <v>17178208</v>
      </c>
      <c r="AL2271" s="21">
        <v>17182178</v>
      </c>
      <c r="AM2271" s="1058">
        <f>17184403+5244039</f>
        <v>22428442</v>
      </c>
      <c r="AN2271" s="1058">
        <v>22428442</v>
      </c>
      <c r="AO2271" s="1058">
        <v>22428442</v>
      </c>
      <c r="AP2271" s="1058">
        <v>22424400</v>
      </c>
      <c r="AQ2271" s="1058">
        <v>22423900</v>
      </c>
      <c r="AR2271" s="1044"/>
      <c r="AS2271" s="1044"/>
    </row>
    <row r="2272" spans="2:45" hidden="1" outlineLevel="1">
      <c r="B2272"/>
      <c r="C2272" s="816" t="s">
        <v>16</v>
      </c>
      <c r="D2272" s="614" t="s">
        <v>1498</v>
      </c>
      <c r="E2272" s="593" t="s">
        <v>1435</v>
      </c>
      <c r="F2272" s="20"/>
      <c r="G2272" s="20"/>
      <c r="H2272" s="20"/>
      <c r="I2272" s="20"/>
      <c r="J2272" s="20"/>
      <c r="K2272" s="20"/>
      <c r="L2272" s="20"/>
      <c r="M2272" s="20"/>
      <c r="N2272" s="20"/>
      <c r="O2272" s="20"/>
      <c r="P2272" s="20"/>
      <c r="Q2272" s="20"/>
      <c r="R2272" s="20"/>
      <c r="S2272" s="20"/>
      <c r="T2272" s="20"/>
      <c r="U2272" s="20"/>
      <c r="V2272" s="20"/>
      <c r="W2272" s="20"/>
      <c r="X2272" s="20"/>
      <c r="Y2272" s="20"/>
      <c r="Z2272" s="20"/>
      <c r="AA2272" s="20"/>
      <c r="AB2272" s="12">
        <v>9216617</v>
      </c>
      <c r="AC2272" s="12">
        <v>9210827</v>
      </c>
      <c r="AD2272" s="12">
        <v>13740302</v>
      </c>
      <c r="AE2272" s="12">
        <v>13724677</v>
      </c>
      <c r="AF2272" s="12">
        <v>13694901</v>
      </c>
      <c r="AG2272" s="12">
        <v>13694368</v>
      </c>
      <c r="AH2272" s="12">
        <v>12557128</v>
      </c>
      <c r="AI2272" s="12">
        <v>12559883</v>
      </c>
      <c r="AJ2272" s="21">
        <v>12562560</v>
      </c>
      <c r="AK2272" s="21">
        <v>12558568</v>
      </c>
      <c r="AL2272" s="21">
        <v>12557418</v>
      </c>
      <c r="AM2272" s="1058">
        <f>12562155+6187656</f>
        <v>18749811</v>
      </c>
      <c r="AN2272" s="1058">
        <v>18749811</v>
      </c>
      <c r="AO2272" s="1058">
        <v>18749811</v>
      </c>
      <c r="AP2272" s="1058">
        <v>18749650</v>
      </c>
      <c r="AQ2272" s="1058">
        <v>18749350</v>
      </c>
      <c r="AR2272" s="1044"/>
      <c r="AS2272" s="1044"/>
    </row>
    <row r="2273" spans="2:45" hidden="1" outlineLevel="1">
      <c r="B2273"/>
      <c r="C2273" s="816" t="s">
        <v>16</v>
      </c>
      <c r="D2273" s="614" t="s">
        <v>1498</v>
      </c>
      <c r="E2273" s="593" t="s">
        <v>1436</v>
      </c>
      <c r="F2273" s="20"/>
      <c r="G2273" s="20"/>
      <c r="H2273" s="20"/>
      <c r="I2273" s="20"/>
      <c r="J2273" s="20"/>
      <c r="K2273" s="20"/>
      <c r="L2273" s="20"/>
      <c r="M2273" s="20"/>
      <c r="N2273" s="20"/>
      <c r="O2273" s="20"/>
      <c r="P2273" s="1132">
        <v>688307</v>
      </c>
      <c r="Q2273" s="1132">
        <v>795419</v>
      </c>
      <c r="R2273" s="1132">
        <v>1052614</v>
      </c>
      <c r="S2273" s="1132">
        <v>1196591</v>
      </c>
      <c r="T2273" s="1132">
        <v>1104809</v>
      </c>
      <c r="U2273" s="1132">
        <v>1105190</v>
      </c>
      <c r="V2273" s="1132">
        <v>992543</v>
      </c>
      <c r="W2273" s="1132">
        <v>993532</v>
      </c>
      <c r="X2273" s="1132">
        <v>993038</v>
      </c>
      <c r="Y2273" s="1132">
        <v>3171088</v>
      </c>
      <c r="Z2273" s="1132"/>
      <c r="AA2273" s="20"/>
      <c r="AB2273" s="12">
        <v>6368324</v>
      </c>
      <c r="AC2273" s="12">
        <v>6377722</v>
      </c>
      <c r="AD2273" s="12">
        <v>11329906</v>
      </c>
      <c r="AE2273" s="12">
        <v>11325921</v>
      </c>
      <c r="AF2273" s="12">
        <v>10314981</v>
      </c>
      <c r="AG2273" s="12">
        <v>10320188</v>
      </c>
      <c r="AH2273" s="12">
        <v>9713206</v>
      </c>
      <c r="AI2273" s="12">
        <v>9708639</v>
      </c>
      <c r="AJ2273" s="21">
        <v>9710410</v>
      </c>
      <c r="AK2273" s="21">
        <v>9707055</v>
      </c>
      <c r="AL2273" s="21">
        <v>9704120</v>
      </c>
      <c r="AM2273" s="1058">
        <f>9708920+6187656</f>
        <v>15896576</v>
      </c>
      <c r="AN2273" s="1058">
        <v>15896576</v>
      </c>
      <c r="AO2273" s="1058">
        <v>15896576</v>
      </c>
      <c r="AP2273" s="1058">
        <v>15895613</v>
      </c>
      <c r="AQ2273" s="1058">
        <v>15895850</v>
      </c>
      <c r="AR2273" s="1044"/>
      <c r="AS2273" s="1044"/>
    </row>
    <row r="2274" spans="2:45" hidden="1" outlineLevel="1">
      <c r="B2274"/>
      <c r="C2274" s="816" t="s">
        <v>16</v>
      </c>
      <c r="D2274" s="614" t="s">
        <v>1498</v>
      </c>
      <c r="E2274" s="616" t="s">
        <v>1668</v>
      </c>
      <c r="F2274" s="20"/>
      <c r="G2274" s="20"/>
      <c r="H2274" s="20"/>
      <c r="I2274" s="20"/>
      <c r="J2274" s="20"/>
      <c r="K2274" s="20"/>
      <c r="L2274" s="20"/>
      <c r="M2274" s="20"/>
      <c r="N2274" s="20"/>
      <c r="O2274" s="20"/>
      <c r="P2274" s="20"/>
      <c r="Q2274" s="20"/>
      <c r="R2274" s="20"/>
      <c r="S2274" s="20"/>
      <c r="T2274" s="20"/>
      <c r="U2274" s="20"/>
      <c r="V2274" s="20"/>
      <c r="W2274" s="20"/>
      <c r="X2274" s="20"/>
      <c r="Y2274" s="20"/>
      <c r="Z2274" s="20"/>
      <c r="AA2274" s="20"/>
      <c r="AB2274" s="12"/>
      <c r="AC2274" s="12"/>
      <c r="AD2274" s="12"/>
      <c r="AE2274" s="12"/>
      <c r="AF2274" s="12"/>
      <c r="AG2274" s="12"/>
      <c r="AH2274" s="12"/>
      <c r="AI2274" s="12"/>
      <c r="AJ2274" s="21"/>
      <c r="AK2274" s="21"/>
      <c r="AL2274" s="21"/>
      <c r="AM2274" s="1058"/>
      <c r="AN2274" s="1058"/>
      <c r="AO2274" s="1058"/>
      <c r="AP2274" s="1058"/>
      <c r="AQ2274" s="1058"/>
      <c r="AR2274" s="1044"/>
      <c r="AS2274" s="1044"/>
    </row>
    <row r="2275" spans="2:45" hidden="1" outlineLevel="1">
      <c r="B2275"/>
      <c r="C2275" s="816" t="s">
        <v>16</v>
      </c>
      <c r="D2275" s="614" t="s">
        <v>1498</v>
      </c>
      <c r="E2275" s="593" t="s">
        <v>1437</v>
      </c>
      <c r="F2275" s="20"/>
      <c r="G2275" s="20"/>
      <c r="H2275" s="20"/>
      <c r="I2275" s="20"/>
      <c r="J2275" s="20"/>
      <c r="K2275" s="20"/>
      <c r="L2275" s="20"/>
      <c r="M2275" s="20"/>
      <c r="N2275" s="20"/>
      <c r="O2275" s="20"/>
      <c r="P2275" s="20"/>
      <c r="Q2275" s="20"/>
      <c r="R2275" s="20"/>
      <c r="S2275" s="20"/>
      <c r="T2275" s="20"/>
      <c r="U2275" s="20"/>
      <c r="V2275" s="20"/>
      <c r="W2275" s="20"/>
      <c r="X2275" s="20"/>
      <c r="Y2275" s="20"/>
      <c r="Z2275" s="20"/>
      <c r="AA2275" s="20"/>
      <c r="AB2275" s="12">
        <v>3262066</v>
      </c>
      <c r="AC2275" s="12">
        <v>3260816</v>
      </c>
      <c r="AD2275" s="12">
        <v>6533670</v>
      </c>
      <c r="AE2275" s="12">
        <v>6530970</v>
      </c>
      <c r="AF2275" s="12">
        <v>6331536</v>
      </c>
      <c r="AG2275" s="12">
        <v>6341348</v>
      </c>
      <c r="AH2275" s="12">
        <v>5916588</v>
      </c>
      <c r="AI2275" s="12">
        <v>5915150</v>
      </c>
      <c r="AJ2275" s="21">
        <v>5914275</v>
      </c>
      <c r="AK2275" s="21">
        <v>5912800</v>
      </c>
      <c r="AL2275" s="21">
        <v>5910000</v>
      </c>
      <c r="AM2275" s="1058">
        <f>5913750+5414199</f>
        <v>11327949</v>
      </c>
      <c r="AN2275" s="1058">
        <v>11327949</v>
      </c>
      <c r="AO2275" s="1058">
        <v>11327949</v>
      </c>
      <c r="AP2275" s="1058">
        <v>11327000</v>
      </c>
      <c r="AQ2275" s="1058">
        <v>11327350</v>
      </c>
      <c r="AR2275" s="1044"/>
      <c r="AS2275" s="1044"/>
    </row>
    <row r="2276" spans="2:45" hidden="1" outlineLevel="1">
      <c r="B2276"/>
      <c r="C2276" s="816" t="s">
        <v>16</v>
      </c>
      <c r="D2276" s="614" t="s">
        <v>1498</v>
      </c>
      <c r="E2276" s="593" t="s">
        <v>1438</v>
      </c>
      <c r="F2276" s="20"/>
      <c r="G2276" s="20"/>
      <c r="H2276" s="20"/>
      <c r="I2276" s="20"/>
      <c r="J2276" s="20"/>
      <c r="K2276" s="20"/>
      <c r="L2276" s="20"/>
      <c r="M2276" s="20"/>
      <c r="N2276" s="20"/>
      <c r="O2276" s="20"/>
      <c r="P2276" s="20"/>
      <c r="Q2276" s="20"/>
      <c r="R2276" s="20"/>
      <c r="S2276" s="20"/>
      <c r="T2276" s="20"/>
      <c r="U2276" s="20"/>
      <c r="V2276" s="20"/>
      <c r="W2276" s="20"/>
      <c r="X2276" s="20"/>
      <c r="Y2276" s="20"/>
      <c r="Z2276" s="20"/>
      <c r="AA2276" s="20"/>
      <c r="AB2276" s="12">
        <v>874631</v>
      </c>
      <c r="AC2276" s="12">
        <v>871631</v>
      </c>
      <c r="AD2276" s="12">
        <v>2714219</v>
      </c>
      <c r="AE2276" s="12">
        <v>2717369</v>
      </c>
      <c r="AF2276" s="12">
        <v>2712644</v>
      </c>
      <c r="AG2276" s="12">
        <v>2709544</v>
      </c>
      <c r="AH2276" s="12">
        <v>2577756</v>
      </c>
      <c r="AI2276" s="12">
        <v>2576719</v>
      </c>
      <c r="AJ2276" s="21">
        <v>2575975</v>
      </c>
      <c r="AK2276" s="21">
        <v>2580550</v>
      </c>
      <c r="AL2276" s="21">
        <v>2580800</v>
      </c>
      <c r="AM2276" s="1058">
        <f>2577050+1144716</f>
        <v>3721766</v>
      </c>
      <c r="AN2276" s="1058">
        <v>3721766</v>
      </c>
      <c r="AO2276" s="1058">
        <v>3721766</v>
      </c>
      <c r="AP2276" s="1058">
        <v>3721550</v>
      </c>
      <c r="AQ2276" s="1058">
        <v>3721350</v>
      </c>
      <c r="AR2276" s="1044"/>
      <c r="AS2276" s="1044"/>
    </row>
    <row r="2277" spans="2:45" hidden="1" outlineLevel="1">
      <c r="B2277"/>
      <c r="C2277" s="816" t="s">
        <v>16</v>
      </c>
      <c r="D2277" s="614" t="s">
        <v>1498</v>
      </c>
      <c r="E2277" s="593" t="s">
        <v>1439</v>
      </c>
      <c r="F2277" s="20"/>
      <c r="G2277" s="20"/>
      <c r="H2277" s="20"/>
      <c r="I2277" s="20"/>
      <c r="J2277" s="20"/>
      <c r="K2277" s="20"/>
      <c r="L2277" s="20"/>
      <c r="M2277" s="20"/>
      <c r="N2277" s="20"/>
      <c r="O2277" s="20"/>
      <c r="P2277" s="20"/>
      <c r="Q2277" s="20"/>
      <c r="R2277" s="20"/>
      <c r="S2277" s="20"/>
      <c r="T2277" s="20"/>
      <c r="U2277" s="20"/>
      <c r="V2277" s="20"/>
      <c r="W2277" s="20"/>
      <c r="X2277" s="20"/>
      <c r="Y2277" s="20"/>
      <c r="Z2277" s="20"/>
      <c r="AA2277" s="20"/>
      <c r="AB2277" s="12">
        <v>1779562</v>
      </c>
      <c r="AC2277" s="12">
        <v>1774377</v>
      </c>
      <c r="AD2277" s="12">
        <v>5463240</v>
      </c>
      <c r="AE2277" s="12">
        <v>5461487</v>
      </c>
      <c r="AF2277" s="12">
        <v>5462859</v>
      </c>
      <c r="AG2277" s="12">
        <v>5458760</v>
      </c>
      <c r="AH2277" s="12">
        <f>4413931+3880795</f>
        <v>8294726</v>
      </c>
      <c r="AI2277" s="12">
        <f>4413931+3880795</f>
        <v>8294726</v>
      </c>
      <c r="AJ2277" s="12">
        <f>4396628+3879265</f>
        <v>8275893</v>
      </c>
      <c r="AK2277" s="12">
        <f>4394255+3881453</f>
        <v>8275708</v>
      </c>
      <c r="AL2277" s="228">
        <f>4408035+3880363</f>
        <v>8288398</v>
      </c>
      <c r="AM2277" s="1070">
        <f>4134401+3878803+11137782</f>
        <v>19150986</v>
      </c>
      <c r="AN2277" s="1058">
        <f>15095687+3636274</f>
        <v>18731961</v>
      </c>
      <c r="AO2277" s="1058">
        <f>15096442+3635715</f>
        <v>18732157</v>
      </c>
      <c r="AP2277" s="1209">
        <f>14928673+3617874</f>
        <v>18546547</v>
      </c>
      <c r="AQ2277" s="1058">
        <f>14928501+3622437</f>
        <v>18550938</v>
      </c>
      <c r="AR2277" s="1044"/>
      <c r="AS2277" s="1044"/>
    </row>
    <row r="2278" spans="2:45" hidden="1" outlineLevel="1">
      <c r="B2278"/>
      <c r="C2278" s="816" t="s">
        <v>16</v>
      </c>
      <c r="D2278" s="614" t="s">
        <v>1498</v>
      </c>
      <c r="E2278" s="593" t="s">
        <v>1440</v>
      </c>
      <c r="F2278" s="20"/>
      <c r="G2278" s="20"/>
      <c r="H2278" s="20"/>
      <c r="I2278" s="20"/>
      <c r="J2278" s="20"/>
      <c r="K2278" s="20"/>
      <c r="L2278" s="20"/>
      <c r="M2278" s="20"/>
      <c r="N2278" s="20"/>
      <c r="O2278" s="20"/>
      <c r="P2278" s="20"/>
      <c r="Q2278" s="20"/>
      <c r="R2278" s="20"/>
      <c r="S2278" s="20"/>
      <c r="T2278" s="20"/>
      <c r="U2278" s="20"/>
      <c r="V2278" s="20"/>
      <c r="W2278" s="20"/>
      <c r="X2278" s="20"/>
      <c r="Y2278" s="20"/>
      <c r="Z2278" s="20"/>
      <c r="AA2278" s="20"/>
      <c r="AB2278" s="12">
        <v>4583495</v>
      </c>
      <c r="AC2278" s="12">
        <v>4581557</v>
      </c>
      <c r="AD2278" s="12">
        <v>8191333</v>
      </c>
      <c r="AE2278" s="12">
        <v>8198633</v>
      </c>
      <c r="AF2278" s="12">
        <v>8189633</v>
      </c>
      <c r="AG2278" s="12">
        <v>8189633</v>
      </c>
      <c r="AH2278" s="12">
        <v>7302663</v>
      </c>
      <c r="AI2278" s="12">
        <v>7244813</v>
      </c>
      <c r="AJ2278" s="21">
        <v>7249513</v>
      </c>
      <c r="AK2278" s="21">
        <v>7297013</v>
      </c>
      <c r="AL2278" s="21">
        <v>7301613</v>
      </c>
      <c r="AM2278" s="1058">
        <f>7307188+6187656</f>
        <v>13494844</v>
      </c>
      <c r="AN2278" s="1058">
        <v>12384903</v>
      </c>
      <c r="AO2278" s="1058">
        <v>12380640</v>
      </c>
      <c r="AP2278" s="1058">
        <v>10985046</v>
      </c>
      <c r="AQ2278" s="1058">
        <v>10975682</v>
      </c>
      <c r="AR2278" s="1044"/>
      <c r="AS2278" s="1044"/>
    </row>
    <row r="2279" spans="2:45" hidden="1" outlineLevel="1">
      <c r="B2279"/>
      <c r="C2279" s="816" t="s">
        <v>16</v>
      </c>
      <c r="D2279" s="614" t="s">
        <v>1498</v>
      </c>
      <c r="E2279" s="593" t="s">
        <v>942</v>
      </c>
      <c r="F2279" s="20"/>
      <c r="G2279" s="20"/>
      <c r="H2279" s="20"/>
      <c r="I2279" s="20"/>
      <c r="J2279" s="20"/>
      <c r="K2279" s="20"/>
      <c r="L2279" s="20"/>
      <c r="M2279" s="20"/>
      <c r="N2279" s="20"/>
      <c r="O2279" s="20"/>
      <c r="P2279" s="20"/>
      <c r="Q2279" s="20"/>
      <c r="R2279" s="20"/>
      <c r="S2279" s="20"/>
      <c r="T2279" s="20"/>
      <c r="U2279" s="20"/>
      <c r="V2279" s="20"/>
      <c r="W2279" s="20"/>
      <c r="X2279" s="20"/>
      <c r="Y2279" s="20"/>
      <c r="Z2279" s="20"/>
      <c r="AA2279" s="20"/>
      <c r="AB2279" s="12">
        <v>10893217</v>
      </c>
      <c r="AC2279" s="12">
        <v>11027214</v>
      </c>
      <c r="AD2279" s="12">
        <v>13361604</v>
      </c>
      <c r="AE2279" s="12">
        <v>13377606</v>
      </c>
      <c r="AF2279" s="12">
        <v>13188498</v>
      </c>
      <c r="AG2279" s="12">
        <v>13183318</v>
      </c>
      <c r="AH2279" s="12">
        <v>12915539</v>
      </c>
      <c r="AI2279" s="12">
        <v>12913868</v>
      </c>
      <c r="AJ2279" s="21">
        <v>12512387</v>
      </c>
      <c r="AK2279" s="21">
        <v>12370154</v>
      </c>
      <c r="AL2279" s="21">
        <v>5694730</v>
      </c>
      <c r="AM2279" s="1058">
        <f>5704161+6205832</f>
        <v>11909993</v>
      </c>
      <c r="AN2279" s="1058">
        <v>13629622</v>
      </c>
      <c r="AO2279" s="1058">
        <v>13583178</v>
      </c>
      <c r="AP2279" s="1058">
        <f>11872890+10000000</f>
        <v>21872890</v>
      </c>
      <c r="AQ2279" s="1058">
        <f>11856212+10000000</f>
        <v>21856212</v>
      </c>
      <c r="AR2279" s="1044"/>
      <c r="AS2279" s="1044"/>
    </row>
    <row r="2280" spans="2:45" hidden="1" outlineLevel="1">
      <c r="C2280" s="816" t="s">
        <v>16</v>
      </c>
      <c r="D2280" s="614" t="s">
        <v>1498</v>
      </c>
      <c r="E2280" s="616" t="s">
        <v>1556</v>
      </c>
      <c r="F2280" s="20"/>
      <c r="G2280" s="20"/>
      <c r="H2280" s="20"/>
      <c r="I2280" s="20"/>
      <c r="J2280" s="20"/>
      <c r="K2280" s="20"/>
      <c r="L2280" s="20"/>
      <c r="M2280" s="20"/>
      <c r="N2280" s="20"/>
      <c r="O2280" s="20"/>
      <c r="P2280" s="20"/>
      <c r="Q2280" s="20"/>
      <c r="R2280" s="20"/>
      <c r="S2280" s="20"/>
      <c r="T2280" s="20"/>
      <c r="U2280" s="20"/>
      <c r="V2280" s="20"/>
      <c r="W2280" s="20"/>
      <c r="X2280" s="20"/>
      <c r="Y2280" s="20"/>
      <c r="Z2280" s="20"/>
      <c r="AA2280" s="20"/>
      <c r="AB2280" s="12"/>
      <c r="AC2280" s="12"/>
      <c r="AD2280" s="12"/>
      <c r="AE2280" s="12"/>
      <c r="AF2280" s="12"/>
      <c r="AG2280" s="12"/>
      <c r="AH2280" s="12"/>
      <c r="AI2280" s="12"/>
      <c r="AJ2280" s="21"/>
      <c r="AK2280" s="21"/>
      <c r="AL2280" s="21">
        <v>6666924</v>
      </c>
      <c r="AM2280" s="1058">
        <f>6668462+5841147</f>
        <v>12509609</v>
      </c>
      <c r="AN2280" s="1058">
        <v>11007289</v>
      </c>
      <c r="AO2280" s="1058">
        <v>10932108</v>
      </c>
      <c r="AP2280" s="1058">
        <v>14061732</v>
      </c>
      <c r="AQ2280" s="1058">
        <v>14046124</v>
      </c>
      <c r="AR2280" s="1044"/>
      <c r="AS2280" s="1044"/>
    </row>
    <row r="2281" spans="2:45" hidden="1" outlineLevel="1">
      <c r="C2281" s="816" t="s">
        <v>16</v>
      </c>
      <c r="D2281" s="614" t="s">
        <v>1542</v>
      </c>
      <c r="E2281" s="20" t="s">
        <v>1441</v>
      </c>
      <c r="F2281" s="20"/>
      <c r="G2281" s="20"/>
      <c r="H2281" s="20"/>
      <c r="I2281" s="20"/>
      <c r="J2281" s="20"/>
      <c r="K2281" s="20"/>
      <c r="L2281" s="20"/>
      <c r="M2281" s="20"/>
      <c r="N2281" s="20"/>
      <c r="O2281" s="20"/>
      <c r="P2281" s="20"/>
      <c r="Q2281" s="20"/>
      <c r="R2281" s="20"/>
      <c r="S2281" s="20"/>
      <c r="T2281" s="20"/>
      <c r="U2281" s="20"/>
      <c r="V2281" s="20"/>
      <c r="W2281" s="20"/>
      <c r="X2281" s="20"/>
      <c r="Y2281" s="20"/>
      <c r="Z2281" s="20"/>
      <c r="AA2281" s="20"/>
      <c r="AB2281" s="12">
        <v>0</v>
      </c>
      <c r="AC2281" s="12">
        <v>0</v>
      </c>
      <c r="AD2281" s="12">
        <v>0</v>
      </c>
      <c r="AE2281" s="12">
        <v>0</v>
      </c>
      <c r="AF2281" s="12">
        <v>0</v>
      </c>
      <c r="AG2281" s="12">
        <v>0</v>
      </c>
      <c r="AH2281" s="12">
        <v>0</v>
      </c>
      <c r="AI2281" s="12">
        <v>0</v>
      </c>
      <c r="AJ2281" s="22"/>
      <c r="AK2281" s="22"/>
      <c r="AL2281" s="22"/>
      <c r="AM2281" s="1059"/>
      <c r="AN2281" s="1059"/>
      <c r="AO2281" s="1059"/>
      <c r="AP2281" s="1059"/>
      <c r="AQ2281" s="1059"/>
      <c r="AR2281" s="1044"/>
      <c r="AS2281" s="1044"/>
    </row>
    <row r="2282" spans="2:45" hidden="1" outlineLevel="1">
      <c r="C2282" s="816" t="s">
        <v>16</v>
      </c>
      <c r="D2282" s="614" t="s">
        <v>2100</v>
      </c>
      <c r="E2282" s="20" t="s">
        <v>1442</v>
      </c>
      <c r="F2282" s="20"/>
      <c r="G2282" s="20"/>
      <c r="H2282" s="20"/>
      <c r="I2282" s="20"/>
      <c r="J2282" s="20"/>
      <c r="K2282" s="20"/>
      <c r="L2282" s="20"/>
      <c r="M2282" s="20"/>
      <c r="N2282" s="20"/>
      <c r="O2282" s="20"/>
      <c r="P2282" s="20"/>
      <c r="Q2282" s="20"/>
      <c r="R2282" s="20"/>
      <c r="S2282" s="20"/>
      <c r="T2282" s="20"/>
      <c r="U2282" s="20"/>
      <c r="V2282" s="20"/>
      <c r="W2282" s="20"/>
      <c r="X2282" s="20"/>
      <c r="Y2282" s="20"/>
      <c r="Z2282" s="20"/>
      <c r="AA2282" s="20"/>
      <c r="AB2282" s="12">
        <v>263693</v>
      </c>
      <c r="AC2282" s="12">
        <v>262146</v>
      </c>
      <c r="AD2282" s="12">
        <v>259834</v>
      </c>
      <c r="AE2282" s="12">
        <v>257396</v>
      </c>
      <c r="AF2282" s="12">
        <v>256396</v>
      </c>
      <c r="AG2282" s="12">
        <v>256771</v>
      </c>
      <c r="AH2282" s="12">
        <v>255334</v>
      </c>
      <c r="AI2282" s="12">
        <v>255271</v>
      </c>
      <c r="AJ2282" s="21">
        <v>243829</v>
      </c>
      <c r="AK2282" s="21">
        <v>242188</v>
      </c>
      <c r="AL2282" s="21">
        <v>243360</v>
      </c>
      <c r="AM2282" s="1058">
        <f>242500+290046</f>
        <v>532546</v>
      </c>
      <c r="AN2282" s="1058">
        <v>483400</v>
      </c>
      <c r="AO2282" s="1058">
        <v>485497</v>
      </c>
      <c r="AP2282" s="1058">
        <v>485825</v>
      </c>
      <c r="AQ2282" s="1058">
        <v>486472</v>
      </c>
      <c r="AR2282" s="1044"/>
      <c r="AS2282" s="1044"/>
    </row>
    <row r="2283" spans="2:45" hidden="1" outlineLevel="1">
      <c r="C2283" s="816" t="s">
        <v>16</v>
      </c>
      <c r="D2283" s="868" t="s">
        <v>2100</v>
      </c>
      <c r="E2283" s="20" t="s">
        <v>1443</v>
      </c>
      <c r="F2283" s="20"/>
      <c r="G2283" s="20"/>
      <c r="H2283" s="20"/>
      <c r="I2283" s="20"/>
      <c r="J2283" s="20"/>
      <c r="K2283" s="20"/>
      <c r="L2283" s="20"/>
      <c r="M2283" s="20"/>
      <c r="N2283" s="20"/>
      <c r="O2283" s="20"/>
      <c r="P2283" s="20"/>
      <c r="Q2283" s="20"/>
      <c r="R2283" s="20"/>
      <c r="S2283" s="20"/>
      <c r="T2283" s="20"/>
      <c r="U2283" s="20"/>
      <c r="V2283" s="20"/>
      <c r="W2283" s="20"/>
      <c r="X2283" s="20"/>
      <c r="Y2283" s="20"/>
      <c r="Z2283" s="20"/>
      <c r="AA2283" s="20"/>
      <c r="AB2283" s="12">
        <v>177993</v>
      </c>
      <c r="AC2283" s="12">
        <v>176948</v>
      </c>
      <c r="AD2283" s="12">
        <v>175388</v>
      </c>
      <c r="AE2283" s="12">
        <v>173743</v>
      </c>
      <c r="AF2283" s="12">
        <v>173068</v>
      </c>
      <c r="AG2283" s="12">
        <v>173321</v>
      </c>
      <c r="AH2283" s="12">
        <v>172350</v>
      </c>
      <c r="AI2283" s="12">
        <v>172308</v>
      </c>
      <c r="AJ2283" s="21">
        <v>164584</v>
      </c>
      <c r="AK2283" s="21">
        <v>163477</v>
      </c>
      <c r="AL2283" s="21">
        <v>164268</v>
      </c>
      <c r="AM2283" s="1058">
        <f>163688+928148</f>
        <v>1091836</v>
      </c>
      <c r="AN2283" s="1058">
        <v>940757</v>
      </c>
      <c r="AO2283" s="1058">
        <v>941679</v>
      </c>
      <c r="AP2283" s="1222">
        <v>943234</v>
      </c>
      <c r="AQ2283" s="1058">
        <v>943104</v>
      </c>
      <c r="AR2283" s="1044"/>
      <c r="AS2283" s="1044"/>
    </row>
    <row r="2284" spans="2:45" hidden="1" outlineLevel="1">
      <c r="C2284" s="816" t="s">
        <v>16</v>
      </c>
      <c r="D2284" s="868" t="s">
        <v>2100</v>
      </c>
      <c r="E2284" s="20" t="s">
        <v>1444</v>
      </c>
      <c r="F2284" s="20"/>
      <c r="G2284" s="20"/>
      <c r="H2284" s="20"/>
      <c r="I2284" s="20"/>
      <c r="J2284" s="20"/>
      <c r="K2284" s="20"/>
      <c r="L2284" s="20"/>
      <c r="M2284" s="20"/>
      <c r="N2284" s="20"/>
      <c r="O2284" s="20"/>
      <c r="P2284" s="20"/>
      <c r="Q2284" s="20"/>
      <c r="R2284" s="20"/>
      <c r="S2284" s="20"/>
      <c r="T2284" s="20"/>
      <c r="U2284" s="20"/>
      <c r="V2284" s="20"/>
      <c r="W2284" s="20"/>
      <c r="X2284" s="20"/>
      <c r="Y2284" s="20"/>
      <c r="Z2284" s="20"/>
      <c r="AA2284" s="20"/>
      <c r="AB2284" s="12">
        <v>138439</v>
      </c>
      <c r="AC2284" s="12">
        <v>137627</v>
      </c>
      <c r="AD2284" s="12">
        <v>136413</v>
      </c>
      <c r="AE2284" s="12">
        <v>135133</v>
      </c>
      <c r="AF2284" s="12">
        <v>134608</v>
      </c>
      <c r="AG2284" s="12">
        <v>134805</v>
      </c>
      <c r="AH2284" s="12">
        <v>134050</v>
      </c>
      <c r="AI2284" s="12">
        <v>134018</v>
      </c>
      <c r="AJ2284" s="21">
        <v>128010</v>
      </c>
      <c r="AK2284" s="21">
        <v>127149</v>
      </c>
      <c r="AL2284" s="21">
        <v>127764</v>
      </c>
      <c r="AM2284" s="1058">
        <f>127313+853899</f>
        <v>981212</v>
      </c>
      <c r="AN2284" s="1058">
        <v>126657</v>
      </c>
      <c r="AO2284" s="1058">
        <v>126615</v>
      </c>
      <c r="AP2284" s="1058">
        <v>126328</v>
      </c>
      <c r="AQ2284" s="1058">
        <v>126615</v>
      </c>
      <c r="AR2284" s="1044"/>
      <c r="AS2284" s="1044"/>
    </row>
    <row r="2285" spans="2:45" hidden="1" outlineLevel="1">
      <c r="C2285" s="816" t="s">
        <v>16</v>
      </c>
      <c r="D2285" s="868" t="s">
        <v>2100</v>
      </c>
      <c r="E2285" s="20" t="s">
        <v>1445</v>
      </c>
      <c r="F2285" s="20"/>
      <c r="G2285" s="20"/>
      <c r="H2285" s="20"/>
      <c r="I2285" s="20"/>
      <c r="J2285" s="20"/>
      <c r="K2285" s="20"/>
      <c r="L2285" s="20"/>
      <c r="M2285" s="20"/>
      <c r="N2285" s="20"/>
      <c r="O2285" s="20"/>
      <c r="P2285" s="20"/>
      <c r="Q2285" s="20"/>
      <c r="R2285" s="20"/>
      <c r="S2285" s="20"/>
      <c r="T2285" s="20"/>
      <c r="U2285" s="20"/>
      <c r="V2285" s="20"/>
      <c r="W2285" s="20"/>
      <c r="X2285" s="20"/>
      <c r="Y2285" s="20"/>
      <c r="Z2285" s="20"/>
      <c r="AA2285" s="20"/>
      <c r="AB2285" s="12">
        <v>263693</v>
      </c>
      <c r="AC2285" s="12">
        <v>262146</v>
      </c>
      <c r="AD2285" s="12">
        <v>438534</v>
      </c>
      <c r="AE2285" s="12">
        <v>529846</v>
      </c>
      <c r="AF2285" s="12">
        <v>527784</v>
      </c>
      <c r="AG2285" s="12">
        <v>526159</v>
      </c>
      <c r="AH2285" s="12">
        <v>535972</v>
      </c>
      <c r="AI2285" s="12">
        <v>532909</v>
      </c>
      <c r="AJ2285" s="21">
        <v>523216</v>
      </c>
      <c r="AK2285" s="21">
        <v>522825</v>
      </c>
      <c r="AL2285" s="21">
        <v>524747</v>
      </c>
      <c r="AM2285" s="1058">
        <f>524138+1156318</f>
        <v>1680456</v>
      </c>
      <c r="AN2285" s="1058">
        <v>523000</v>
      </c>
      <c r="AO2285" s="1058">
        <v>503697</v>
      </c>
      <c r="AP2285" s="1058">
        <v>510325</v>
      </c>
      <c r="AQ2285" s="1058">
        <v>511472</v>
      </c>
      <c r="AR2285" s="1044"/>
      <c r="AS2285" s="1044"/>
    </row>
    <row r="2286" spans="2:45" s="1044" customFormat="1" hidden="1" outlineLevel="1">
      <c r="B2286" s="1045"/>
      <c r="C2286" s="1053" t="s">
        <v>16</v>
      </c>
      <c r="D2286" s="868" t="s">
        <v>2100</v>
      </c>
      <c r="E2286" s="1054" t="s">
        <v>1910</v>
      </c>
      <c r="F2286" s="1047"/>
      <c r="G2286" s="1047"/>
      <c r="H2286" s="1047"/>
      <c r="I2286" s="1047"/>
      <c r="J2286" s="1047"/>
      <c r="K2286" s="1047"/>
      <c r="L2286" s="1047"/>
      <c r="M2286" s="1047"/>
      <c r="N2286" s="1047"/>
      <c r="O2286" s="1047"/>
      <c r="P2286" s="1047"/>
      <c r="Q2286" s="1047"/>
      <c r="R2286" s="1047"/>
      <c r="S2286" s="1047"/>
      <c r="T2286" s="1047"/>
      <c r="U2286" s="1047"/>
      <c r="V2286" s="1047"/>
      <c r="W2286" s="1047"/>
      <c r="X2286" s="1047"/>
      <c r="Y2286" s="1047"/>
      <c r="Z2286" s="1047"/>
      <c r="AA2286" s="1047"/>
      <c r="AB2286" s="1070"/>
      <c r="AC2286" s="1070"/>
      <c r="AD2286" s="1070"/>
      <c r="AE2286" s="1070"/>
      <c r="AF2286" s="1070"/>
      <c r="AG2286" s="1070"/>
      <c r="AH2286" s="1070"/>
      <c r="AI2286" s="1070"/>
      <c r="AJ2286" s="1058"/>
      <c r="AK2286" s="1058"/>
      <c r="AL2286" s="1058"/>
      <c r="AM2286" s="1209"/>
      <c r="AN2286" s="1058">
        <v>972044</v>
      </c>
      <c r="AO2286" s="1058">
        <v>970769</v>
      </c>
      <c r="AP2286" s="1058">
        <v>974444</v>
      </c>
      <c r="AQ2286" s="1058">
        <v>970144</v>
      </c>
    </row>
    <row r="2287" spans="2:45" s="1044" customFormat="1" hidden="1" outlineLevel="1">
      <c r="B2287" s="1045"/>
      <c r="C2287" s="1053" t="s">
        <v>16</v>
      </c>
      <c r="D2287" s="868" t="s">
        <v>2100</v>
      </c>
      <c r="E2287" s="1054" t="s">
        <v>1911</v>
      </c>
      <c r="F2287" s="1047"/>
      <c r="G2287" s="1047"/>
      <c r="H2287" s="1047"/>
      <c r="I2287" s="1047"/>
      <c r="J2287" s="1047"/>
      <c r="K2287" s="1047"/>
      <c r="L2287" s="1047"/>
      <c r="M2287" s="1047"/>
      <c r="N2287" s="1047"/>
      <c r="O2287" s="1047"/>
      <c r="P2287" s="1047"/>
      <c r="Q2287" s="1047"/>
      <c r="R2287" s="1047"/>
      <c r="S2287" s="1047"/>
      <c r="T2287" s="1047"/>
      <c r="U2287" s="1047"/>
      <c r="V2287" s="1047"/>
      <c r="W2287" s="1047"/>
      <c r="X2287" s="1047"/>
      <c r="Y2287" s="1047"/>
      <c r="Z2287" s="1047"/>
      <c r="AA2287" s="1047"/>
      <c r="AB2287" s="1070"/>
      <c r="AC2287" s="1070"/>
      <c r="AD2287" s="1070"/>
      <c r="AE2287" s="1070"/>
      <c r="AF2287" s="1070"/>
      <c r="AG2287" s="1070"/>
      <c r="AH2287" s="1070"/>
      <c r="AI2287" s="1070"/>
      <c r="AJ2287" s="1058"/>
      <c r="AK2287" s="1058"/>
      <c r="AL2287" s="1058"/>
      <c r="AM2287" s="1058"/>
      <c r="AN2287" s="1058">
        <v>719075</v>
      </c>
      <c r="AO2287" s="1058">
        <v>715750</v>
      </c>
      <c r="AP2287" s="1058">
        <v>718725</v>
      </c>
      <c r="AQ2287" s="1058">
        <v>719425</v>
      </c>
    </row>
    <row r="2288" spans="2:45" s="66" customFormat="1" hidden="1" outlineLevel="1">
      <c r="B2288" s="295"/>
      <c r="C2288" s="816" t="s">
        <v>16</v>
      </c>
      <c r="D2288" s="28"/>
      <c r="E2288" s="27" t="s">
        <v>712</v>
      </c>
      <c r="F2288" s="27"/>
      <c r="G2288" s="27"/>
      <c r="H2288" s="27"/>
      <c r="I2288" s="27"/>
      <c r="J2288" s="27"/>
      <c r="K2288" s="27"/>
      <c r="L2288" s="27"/>
      <c r="M2288" s="27"/>
      <c r="N2288" s="27"/>
      <c r="O2288" s="27"/>
      <c r="P2288" s="27"/>
      <c r="Q2288" s="27"/>
      <c r="R2288" s="27"/>
      <c r="S2288" s="27"/>
      <c r="T2288" s="27"/>
      <c r="U2288" s="27"/>
      <c r="V2288" s="27"/>
      <c r="W2288" s="27"/>
      <c r="X2288" s="27"/>
      <c r="Y2288" s="27"/>
      <c r="Z2288" s="27"/>
      <c r="AA2288" s="27"/>
      <c r="AB2288" s="34">
        <f t="shared" ref="AB2288:AE2288" si="456">SUM(AB2222:AB2285)</f>
        <v>187146063</v>
      </c>
      <c r="AC2288" s="34">
        <f t="shared" si="456"/>
        <v>187781137</v>
      </c>
      <c r="AD2288" s="34">
        <f t="shared" si="456"/>
        <v>332015420</v>
      </c>
      <c r="AE2288" s="34">
        <f t="shared" si="456"/>
        <v>339833316</v>
      </c>
      <c r="AF2288" s="34">
        <f t="shared" ref="AF2288:AM2288" si="457">SUM(AF2222:AF2285)</f>
        <v>316582956</v>
      </c>
      <c r="AG2288" s="34">
        <f t="shared" si="457"/>
        <v>320215625</v>
      </c>
      <c r="AH2288" s="34">
        <f t="shared" si="457"/>
        <v>291424139</v>
      </c>
      <c r="AI2288" s="34">
        <f t="shared" si="457"/>
        <v>290638746</v>
      </c>
      <c r="AJ2288" s="34">
        <f t="shared" si="457"/>
        <v>299325642</v>
      </c>
      <c r="AK2288" s="34">
        <f t="shared" si="457"/>
        <v>296173805</v>
      </c>
      <c r="AL2288" s="34">
        <f t="shared" si="457"/>
        <v>290779098</v>
      </c>
      <c r="AM2288" s="1268">
        <f t="shared" si="457"/>
        <v>528772108</v>
      </c>
      <c r="AN2288" s="1073">
        <f>SUM(AN2222:AN2287)</f>
        <v>514154929</v>
      </c>
      <c r="AO2288" s="1073">
        <f>SUM(AO2222:AO2287)</f>
        <v>507563923</v>
      </c>
      <c r="AP2288" s="1073">
        <f>SUM(AP2222:AP2287)</f>
        <v>505132829</v>
      </c>
      <c r="AQ2288" s="1073">
        <f>SUM(AQ2222:AQ2287)</f>
        <v>502983130</v>
      </c>
      <c r="AR2288" s="1044"/>
      <c r="AS2288" s="1044"/>
    </row>
    <row r="2289" spans="2:45" hidden="1" outlineLevel="1">
      <c r="C2289" s="816"/>
      <c r="D2289" s="25" t="s">
        <v>836</v>
      </c>
      <c r="E2289" s="25" t="s">
        <v>1568</v>
      </c>
      <c r="F2289" s="20"/>
      <c r="G2289" s="20"/>
      <c r="H2289" s="20"/>
      <c r="I2289" s="20"/>
      <c r="J2289" s="20"/>
      <c r="K2289" s="20"/>
      <c r="L2289" s="20"/>
      <c r="M2289" s="20"/>
      <c r="N2289" s="20"/>
      <c r="O2289" s="20"/>
      <c r="P2289" s="20"/>
      <c r="Q2289" s="20"/>
      <c r="R2289" s="20"/>
      <c r="S2289" s="20"/>
      <c r="T2289" s="20"/>
      <c r="U2289" s="20"/>
      <c r="V2289" s="20"/>
      <c r="W2289" s="20"/>
      <c r="X2289" s="20"/>
      <c r="Y2289" s="20"/>
      <c r="Z2289" s="12">
        <f t="shared" ref="Z2289:AA2294" si="458">SUMIF($D$505:$D$581,$D$585,Z$505:Z$581)</f>
        <v>0</v>
      </c>
      <c r="AA2289" s="12">
        <f t="shared" si="458"/>
        <v>0</v>
      </c>
      <c r="AB2289" s="12">
        <f t="shared" ref="AB2289:AE2294" si="459">SUMIF($D$2222:$D$2285,$D2289,AB$2222:AB$2285)</f>
        <v>119856322</v>
      </c>
      <c r="AC2289" s="12">
        <f t="shared" si="459"/>
        <v>119745564</v>
      </c>
      <c r="AD2289" s="12">
        <f t="shared" si="459"/>
        <v>220508319</v>
      </c>
      <c r="AE2289" s="12">
        <f t="shared" si="459"/>
        <v>220443596</v>
      </c>
      <c r="AF2289" s="12">
        <f t="shared" ref="AF2289:AK2294" si="460">SUMIF($D$2222:$D$2285,$D2289,AF$2222:AF$2285)</f>
        <v>209770757</v>
      </c>
      <c r="AG2289" s="12">
        <f t="shared" si="460"/>
        <v>213477851</v>
      </c>
      <c r="AH2289" s="12">
        <f t="shared" si="460"/>
        <v>186726331</v>
      </c>
      <c r="AI2289" s="12">
        <f t="shared" si="460"/>
        <v>186326834</v>
      </c>
      <c r="AJ2289" s="12">
        <f t="shared" si="460"/>
        <v>185775336</v>
      </c>
      <c r="AK2289" s="12">
        <f t="shared" si="460"/>
        <v>182623543</v>
      </c>
      <c r="AL2289" s="12">
        <f t="shared" ref="AL2289:AM2294" si="461">SUMIF($D$2222:$D$2285,$D2289,AL$2222:AL$2285)</f>
        <v>177330693</v>
      </c>
      <c r="AM2289" s="1269">
        <f t="shared" si="461"/>
        <v>317859669</v>
      </c>
      <c r="AN2289" s="1070">
        <f t="shared" ref="AN2289:AQ2294" si="462">SUMIF($D$2222:$D$2287,$D2289,AN$2222:AN$2287)</f>
        <v>309542601</v>
      </c>
      <c r="AO2289" s="1070">
        <f t="shared" si="462"/>
        <v>304414612</v>
      </c>
      <c r="AP2289" s="1070">
        <f t="shared" si="462"/>
        <v>297404511</v>
      </c>
      <c r="AQ2289" s="1070">
        <f t="shared" si="462"/>
        <v>295293325</v>
      </c>
      <c r="AR2289" s="1044"/>
      <c r="AS2289" s="1044"/>
    </row>
    <row r="2290" spans="2:45" hidden="1" outlineLevel="1">
      <c r="C2290" s="816"/>
      <c r="D2290" s="25" t="s">
        <v>958</v>
      </c>
      <c r="E2290" s="25" t="s">
        <v>1665</v>
      </c>
      <c r="F2290" s="20"/>
      <c r="G2290" s="20"/>
      <c r="H2290" s="20"/>
      <c r="I2290" s="20"/>
      <c r="J2290" s="20"/>
      <c r="K2290" s="20"/>
      <c r="L2290" s="20"/>
      <c r="M2290" s="20"/>
      <c r="N2290" s="20"/>
      <c r="O2290" s="20"/>
      <c r="P2290" s="20"/>
      <c r="Q2290" s="20"/>
      <c r="R2290" s="20"/>
      <c r="S2290" s="20"/>
      <c r="T2290" s="20"/>
      <c r="U2290" s="20"/>
      <c r="V2290" s="20"/>
      <c r="W2290" s="20"/>
      <c r="X2290" s="20"/>
      <c r="Y2290" s="20"/>
      <c r="Z2290" s="12">
        <f t="shared" si="458"/>
        <v>0</v>
      </c>
      <c r="AA2290" s="12">
        <f t="shared" si="458"/>
        <v>0</v>
      </c>
      <c r="AB2290" s="12">
        <f t="shared" si="459"/>
        <v>15973166</v>
      </c>
      <c r="AC2290" s="12">
        <f t="shared" si="459"/>
        <v>16586503</v>
      </c>
      <c r="AD2290" s="12">
        <f t="shared" si="459"/>
        <v>27585867</v>
      </c>
      <c r="AE2290" s="12">
        <f t="shared" si="459"/>
        <v>35343511</v>
      </c>
      <c r="AF2290" s="12">
        <f t="shared" si="460"/>
        <v>25257775</v>
      </c>
      <c r="AG2290" s="12">
        <f t="shared" si="460"/>
        <v>25225374</v>
      </c>
      <c r="AH2290" s="12">
        <f t="shared" si="460"/>
        <v>23963183</v>
      </c>
      <c r="AI2290" s="12">
        <f t="shared" si="460"/>
        <v>23681357</v>
      </c>
      <c r="AJ2290" s="12">
        <f t="shared" si="460"/>
        <v>22467172</v>
      </c>
      <c r="AK2290" s="12">
        <f t="shared" si="460"/>
        <v>22473695</v>
      </c>
      <c r="AL2290" s="12">
        <f t="shared" si="461"/>
        <v>22355339</v>
      </c>
      <c r="AM2290" s="1269">
        <f t="shared" si="461"/>
        <v>54736727</v>
      </c>
      <c r="AN2290" s="1070">
        <f t="shared" si="462"/>
        <v>50348250</v>
      </c>
      <c r="AO2290" s="1070">
        <f t="shared" si="462"/>
        <v>49612755</v>
      </c>
      <c r="AP2290" s="1070">
        <f t="shared" si="462"/>
        <v>44344549</v>
      </c>
      <c r="AQ2290" s="1070">
        <f t="shared" si="462"/>
        <v>44385501</v>
      </c>
      <c r="AR2290" s="1044"/>
      <c r="AS2290" s="1044"/>
    </row>
    <row r="2291" spans="2:45" hidden="1" outlineLevel="1">
      <c r="C2291" s="816"/>
      <c r="D2291" s="25" t="s">
        <v>1498</v>
      </c>
      <c r="E2291" s="25" t="s">
        <v>1569</v>
      </c>
      <c r="F2291" s="20"/>
      <c r="G2291" s="20"/>
      <c r="H2291" s="20"/>
      <c r="I2291" s="20"/>
      <c r="J2291" s="20"/>
      <c r="K2291" s="20"/>
      <c r="L2291" s="20"/>
      <c r="M2291" s="20"/>
      <c r="N2291" s="20"/>
      <c r="O2291" s="20"/>
      <c r="P2291" s="20"/>
      <c r="Q2291" s="20"/>
      <c r="R2291" s="20"/>
      <c r="S2291" s="20"/>
      <c r="T2291" s="20"/>
      <c r="U2291" s="20"/>
      <c r="V2291" s="20"/>
      <c r="W2291" s="20"/>
      <c r="X2291" s="20"/>
      <c r="Y2291" s="20"/>
      <c r="Z2291" s="12">
        <f t="shared" si="458"/>
        <v>0</v>
      </c>
      <c r="AA2291" s="12">
        <f t="shared" si="458"/>
        <v>0</v>
      </c>
      <c r="AB2291" s="12">
        <f t="shared" si="459"/>
        <v>48692534</v>
      </c>
      <c r="AC2291" s="12">
        <f t="shared" si="459"/>
        <v>48815729</v>
      </c>
      <c r="AD2291" s="12">
        <f t="shared" si="459"/>
        <v>80833138</v>
      </c>
      <c r="AE2291" s="12">
        <f t="shared" si="459"/>
        <v>80885372</v>
      </c>
      <c r="AF2291" s="12">
        <f t="shared" si="460"/>
        <v>78537362</v>
      </c>
      <c r="AG2291" s="12">
        <f t="shared" si="460"/>
        <v>78505894</v>
      </c>
      <c r="AH2291" s="12">
        <f t="shared" si="460"/>
        <v>77791370</v>
      </c>
      <c r="AI2291" s="12">
        <f t="shared" si="460"/>
        <v>77725406</v>
      </c>
      <c r="AJ2291" s="12">
        <f t="shared" si="460"/>
        <v>88216501</v>
      </c>
      <c r="AK2291" s="12">
        <f t="shared" si="460"/>
        <v>88210459</v>
      </c>
      <c r="AL2291" s="12">
        <f t="shared" si="461"/>
        <v>88219744</v>
      </c>
      <c r="AM2291" s="1269">
        <f t="shared" si="461"/>
        <v>147710107</v>
      </c>
      <c r="AN2291" s="1070">
        <f t="shared" si="462"/>
        <v>146398450</v>
      </c>
      <c r="AO2291" s="1070">
        <f t="shared" si="462"/>
        <v>146272758</v>
      </c>
      <c r="AP2291" s="1070">
        <f t="shared" si="462"/>
        <v>156100128</v>
      </c>
      <c r="AQ2291" s="1070">
        <f t="shared" si="462"/>
        <v>156063156</v>
      </c>
      <c r="AR2291" s="1044"/>
      <c r="AS2291" s="1044"/>
    </row>
    <row r="2292" spans="2:45" hidden="1" outlineLevel="1">
      <c r="C2292" s="816"/>
      <c r="D2292" s="25" t="s">
        <v>2100</v>
      </c>
      <c r="E2292" s="25" t="s">
        <v>2116</v>
      </c>
      <c r="F2292" s="20"/>
      <c r="G2292" s="20"/>
      <c r="H2292" s="20"/>
      <c r="I2292" s="20"/>
      <c r="J2292" s="20"/>
      <c r="K2292" s="20"/>
      <c r="L2292" s="20"/>
      <c r="M2292" s="20"/>
      <c r="N2292" s="20"/>
      <c r="O2292" s="20"/>
      <c r="P2292" s="20"/>
      <c r="Q2292" s="20"/>
      <c r="R2292" s="20"/>
      <c r="S2292" s="20"/>
      <c r="T2292" s="20"/>
      <c r="U2292" s="20"/>
      <c r="V2292" s="20"/>
      <c r="W2292" s="20"/>
      <c r="X2292" s="20"/>
      <c r="Y2292" s="20"/>
      <c r="Z2292" s="12">
        <f t="shared" si="458"/>
        <v>0</v>
      </c>
      <c r="AA2292" s="12">
        <f t="shared" si="458"/>
        <v>0</v>
      </c>
      <c r="AB2292" s="12">
        <f t="shared" si="459"/>
        <v>843818</v>
      </c>
      <c r="AC2292" s="12">
        <f t="shared" si="459"/>
        <v>838867</v>
      </c>
      <c r="AD2292" s="12">
        <f t="shared" si="459"/>
        <v>1010169</v>
      </c>
      <c r="AE2292" s="12">
        <f t="shared" si="459"/>
        <v>1096118</v>
      </c>
      <c r="AF2292" s="12">
        <f t="shared" si="460"/>
        <v>1091856</v>
      </c>
      <c r="AG2292" s="12">
        <f t="shared" si="460"/>
        <v>1091056</v>
      </c>
      <c r="AH2292" s="12">
        <f t="shared" si="460"/>
        <v>1097706</v>
      </c>
      <c r="AI2292" s="12">
        <f t="shared" si="460"/>
        <v>1094506</v>
      </c>
      <c r="AJ2292" s="12">
        <f t="shared" si="460"/>
        <v>1059639</v>
      </c>
      <c r="AK2292" s="12">
        <f t="shared" si="460"/>
        <v>1055639</v>
      </c>
      <c r="AL2292" s="12">
        <f t="shared" si="461"/>
        <v>1060139</v>
      </c>
      <c r="AM2292" s="1269">
        <f t="shared" si="461"/>
        <v>4286050</v>
      </c>
      <c r="AN2292" s="1070">
        <f t="shared" si="462"/>
        <v>3764933</v>
      </c>
      <c r="AO2292" s="1070">
        <f t="shared" si="462"/>
        <v>3744007</v>
      </c>
      <c r="AP2292" s="1070">
        <f t="shared" si="462"/>
        <v>3758881</v>
      </c>
      <c r="AQ2292" s="1070">
        <f t="shared" si="462"/>
        <v>3757232</v>
      </c>
      <c r="AR2292" s="1044"/>
      <c r="AS2292" s="1044"/>
    </row>
    <row r="2293" spans="2:45" s="1044" customFormat="1" hidden="1" outlineLevel="1">
      <c r="B2293" s="1045"/>
      <c r="C2293" s="1053"/>
      <c r="D2293" s="1048" t="s">
        <v>2115</v>
      </c>
      <c r="E2293" s="1048" t="s">
        <v>2117</v>
      </c>
      <c r="F2293" s="1047"/>
      <c r="G2293" s="1047"/>
      <c r="H2293" s="1047"/>
      <c r="I2293" s="1047"/>
      <c r="J2293" s="1047"/>
      <c r="K2293" s="1047"/>
      <c r="L2293" s="1047"/>
      <c r="M2293" s="1047"/>
      <c r="N2293" s="1047"/>
      <c r="O2293" s="1047"/>
      <c r="P2293" s="1047"/>
      <c r="Q2293" s="1047"/>
      <c r="R2293" s="1047"/>
      <c r="S2293" s="1047"/>
      <c r="T2293" s="1047"/>
      <c r="U2293" s="1047"/>
      <c r="V2293" s="1047"/>
      <c r="W2293" s="1047"/>
      <c r="X2293" s="1047"/>
      <c r="Y2293" s="1047"/>
      <c r="Z2293" s="1070"/>
      <c r="AA2293" s="1070"/>
      <c r="AB2293" s="1070">
        <f t="shared" si="459"/>
        <v>1780223</v>
      </c>
      <c r="AC2293" s="1070">
        <f t="shared" si="459"/>
        <v>1794474</v>
      </c>
      <c r="AD2293" s="1070">
        <f t="shared" si="459"/>
        <v>2077927</v>
      </c>
      <c r="AE2293" s="1070">
        <f t="shared" si="459"/>
        <v>2064719</v>
      </c>
      <c r="AF2293" s="1070">
        <f t="shared" si="460"/>
        <v>1925206</v>
      </c>
      <c r="AG2293" s="1070">
        <f t="shared" si="460"/>
        <v>1915450</v>
      </c>
      <c r="AH2293" s="1070">
        <f t="shared" si="460"/>
        <v>1845549</v>
      </c>
      <c r="AI2293" s="1070">
        <f t="shared" si="460"/>
        <v>1810643</v>
      </c>
      <c r="AJ2293" s="1070">
        <f t="shared" si="460"/>
        <v>1806994</v>
      </c>
      <c r="AK2293" s="1070">
        <f t="shared" si="460"/>
        <v>1810469</v>
      </c>
      <c r="AL2293" s="1070">
        <f t="shared" si="461"/>
        <v>1813183</v>
      </c>
      <c r="AM2293" s="1269">
        <f t="shared" si="461"/>
        <v>4179555</v>
      </c>
      <c r="AN2293" s="1070">
        <f t="shared" si="462"/>
        <v>4100695</v>
      </c>
      <c r="AO2293" s="1070">
        <f t="shared" si="462"/>
        <v>3519791</v>
      </c>
      <c r="AP2293" s="1070">
        <f t="shared" si="462"/>
        <v>3524760</v>
      </c>
      <c r="AQ2293" s="1070">
        <f t="shared" si="462"/>
        <v>3483916</v>
      </c>
    </row>
    <row r="2294" spans="2:45" hidden="1" outlineLevel="1">
      <c r="C2294" s="816"/>
      <c r="D2294" s="25" t="s">
        <v>1542</v>
      </c>
      <c r="E2294" s="25" t="s">
        <v>1570</v>
      </c>
      <c r="F2294" s="20"/>
      <c r="G2294" s="20"/>
      <c r="H2294" s="20"/>
      <c r="I2294" s="20"/>
      <c r="J2294" s="20"/>
      <c r="K2294" s="20"/>
      <c r="L2294" s="20"/>
      <c r="M2294" s="20"/>
      <c r="N2294" s="20"/>
      <c r="O2294" s="20"/>
      <c r="P2294" s="20"/>
      <c r="Q2294" s="20"/>
      <c r="R2294" s="20"/>
      <c r="S2294" s="20"/>
      <c r="T2294" s="20"/>
      <c r="U2294" s="20"/>
      <c r="V2294" s="20"/>
      <c r="W2294" s="20"/>
      <c r="X2294" s="20"/>
      <c r="Y2294" s="20"/>
      <c r="Z2294" s="12">
        <f t="shared" si="458"/>
        <v>0</v>
      </c>
      <c r="AA2294" s="12">
        <f t="shared" si="458"/>
        <v>0</v>
      </c>
      <c r="AB2294" s="12">
        <f t="shared" si="459"/>
        <v>0</v>
      </c>
      <c r="AC2294" s="12">
        <f t="shared" si="459"/>
        <v>0</v>
      </c>
      <c r="AD2294" s="12">
        <f t="shared" si="459"/>
        <v>0</v>
      </c>
      <c r="AE2294" s="12">
        <f t="shared" si="459"/>
        <v>0</v>
      </c>
      <c r="AF2294" s="12">
        <f t="shared" si="460"/>
        <v>0</v>
      </c>
      <c r="AG2294" s="12">
        <f t="shared" si="460"/>
        <v>0</v>
      </c>
      <c r="AH2294" s="12">
        <f t="shared" si="460"/>
        <v>0</v>
      </c>
      <c r="AI2294" s="12">
        <f t="shared" si="460"/>
        <v>0</v>
      </c>
      <c r="AJ2294" s="12">
        <f t="shared" si="460"/>
        <v>0</v>
      </c>
      <c r="AK2294" s="12">
        <f t="shared" si="460"/>
        <v>0</v>
      </c>
      <c r="AL2294" s="12">
        <f t="shared" si="461"/>
        <v>0</v>
      </c>
      <c r="AM2294" s="12">
        <f t="shared" si="461"/>
        <v>0</v>
      </c>
      <c r="AN2294" s="1070">
        <f t="shared" si="462"/>
        <v>0</v>
      </c>
      <c r="AO2294" s="1070">
        <f t="shared" si="462"/>
        <v>0</v>
      </c>
      <c r="AP2294" s="1070">
        <f t="shared" si="462"/>
        <v>0</v>
      </c>
      <c r="AQ2294" s="1070">
        <f t="shared" si="462"/>
        <v>0</v>
      </c>
      <c r="AR2294" s="1044"/>
      <c r="AS2294" s="1044"/>
    </row>
    <row r="2295" spans="2:45" hidden="1" outlineLevel="1">
      <c r="C2295" s="816"/>
      <c r="D2295" s="9"/>
      <c r="E2295" s="20"/>
      <c r="F2295" s="20"/>
      <c r="G2295" s="20"/>
      <c r="H2295" s="20"/>
      <c r="I2295" s="20"/>
      <c r="J2295" s="20"/>
      <c r="K2295" s="20"/>
      <c r="L2295" s="20"/>
      <c r="M2295" s="20"/>
      <c r="N2295" s="20"/>
      <c r="O2295" s="20"/>
      <c r="P2295" s="20"/>
      <c r="Q2295" s="20"/>
      <c r="R2295" s="20"/>
      <c r="S2295" s="20"/>
      <c r="T2295" s="20"/>
      <c r="U2295" s="20"/>
      <c r="V2295" s="20"/>
      <c r="W2295" s="20"/>
      <c r="X2295" s="20"/>
      <c r="Y2295" s="20"/>
      <c r="Z2295" s="20"/>
      <c r="AA2295" s="20"/>
      <c r="AB2295" s="12"/>
      <c r="AC2295" s="12"/>
      <c r="AD2295" s="12"/>
      <c r="AE2295" s="12"/>
      <c r="AF2295" s="12"/>
      <c r="AG2295" s="12"/>
      <c r="AH2295" s="12"/>
      <c r="AI2295" s="12"/>
      <c r="AJ2295" s="21"/>
      <c r="AK2295" s="21"/>
      <c r="AL2295" s="21"/>
      <c r="AM2295" s="21"/>
      <c r="AN2295" s="1058"/>
      <c r="AO2295" s="1058"/>
      <c r="AP2295" s="1058"/>
      <c r="AQ2295" s="1058"/>
      <c r="AR2295" s="1044"/>
      <c r="AS2295" s="1044"/>
    </row>
    <row r="2296" spans="2:45" collapsed="1">
      <c r="C2296" s="816" t="s">
        <v>713</v>
      </c>
      <c r="D2296" s="5"/>
      <c r="E2296" s="6"/>
      <c r="F2296" s="6"/>
      <c r="G2296" s="6"/>
      <c r="H2296" s="6"/>
      <c r="I2296" s="6"/>
      <c r="J2296" s="6"/>
      <c r="K2296" s="6"/>
      <c r="L2296" s="6"/>
      <c r="M2296" s="6"/>
      <c r="N2296" s="6"/>
      <c r="O2296" s="6"/>
      <c r="P2296" s="6"/>
      <c r="Q2296" s="6"/>
      <c r="R2296" s="6"/>
      <c r="S2296" s="6"/>
      <c r="T2296" s="6"/>
      <c r="U2296" s="6"/>
      <c r="V2296" s="6"/>
      <c r="W2296" s="6"/>
      <c r="X2296" s="6"/>
      <c r="Y2296" s="6"/>
      <c r="Z2296" s="6"/>
      <c r="AA2296" s="6"/>
      <c r="AB2296" s="7"/>
      <c r="AC2296" s="7"/>
      <c r="AD2296" s="7"/>
      <c r="AE2296" s="7"/>
      <c r="AF2296" s="7"/>
      <c r="AG2296" s="7"/>
      <c r="AH2296" s="7"/>
      <c r="AI2296" s="7"/>
      <c r="AJ2296" s="369" t="s">
        <v>1222</v>
      </c>
      <c r="AK2296" s="369" t="s">
        <v>1222</v>
      </c>
      <c r="AL2296" s="1300" t="s">
        <v>159</v>
      </c>
      <c r="AM2296" s="1301"/>
      <c r="AN2296" s="1300" t="s">
        <v>159</v>
      </c>
      <c r="AO2296" s="1301"/>
      <c r="AP2296" s="1302" t="s">
        <v>159</v>
      </c>
      <c r="AQ2296" s="1303"/>
      <c r="AR2296" s="1044"/>
      <c r="AS2296" s="1044"/>
    </row>
    <row r="2297" spans="2:45" hidden="1" outlineLevel="1">
      <c r="C2297" s="816" t="s">
        <v>714</v>
      </c>
      <c r="D2297" s="1237" t="s">
        <v>1498</v>
      </c>
      <c r="E2297" s="1240" t="s">
        <v>2177</v>
      </c>
      <c r="F2297" s="20"/>
      <c r="G2297" s="20"/>
      <c r="H2297" s="20"/>
      <c r="I2297" s="20"/>
      <c r="J2297" s="20"/>
      <c r="K2297" s="20"/>
      <c r="L2297" s="20"/>
      <c r="M2297" s="20"/>
      <c r="N2297" s="20"/>
      <c r="O2297" s="20"/>
      <c r="P2297" s="20"/>
      <c r="Q2297" s="20"/>
      <c r="R2297" s="20"/>
      <c r="S2297" s="20"/>
      <c r="T2297" s="20"/>
      <c r="U2297" s="20"/>
      <c r="V2297" s="20"/>
      <c r="W2297" s="20"/>
      <c r="X2297" s="20"/>
      <c r="Y2297" s="20"/>
      <c r="Z2297" s="20"/>
      <c r="AA2297" s="20"/>
      <c r="AB2297" s="12"/>
      <c r="AC2297" s="12"/>
      <c r="AD2297" s="12"/>
      <c r="AE2297" s="12"/>
      <c r="AF2297" s="12">
        <v>0</v>
      </c>
      <c r="AG2297" s="12">
        <v>0</v>
      </c>
      <c r="AH2297" s="12">
        <v>0</v>
      </c>
      <c r="AI2297" s="12">
        <v>0</v>
      </c>
      <c r="AJ2297" s="12">
        <v>0</v>
      </c>
      <c r="AK2297" s="12">
        <v>0</v>
      </c>
      <c r="AL2297" s="1220">
        <v>1218875</v>
      </c>
      <c r="AM2297" s="1220">
        <v>1218875</v>
      </c>
      <c r="AN2297" s="1239">
        <v>0</v>
      </c>
      <c r="AO2297" s="1239">
        <v>0</v>
      </c>
      <c r="AP2297" s="1070">
        <v>0</v>
      </c>
      <c r="AQ2297" s="1070">
        <v>0</v>
      </c>
      <c r="AR2297" s="1044"/>
      <c r="AS2297" s="1044"/>
    </row>
    <row r="2298" spans="2:45" hidden="1" outlineLevel="1">
      <c r="B2298"/>
      <c r="C2298" s="816" t="s">
        <v>714</v>
      </c>
      <c r="D2298" s="401" t="s">
        <v>1498</v>
      </c>
      <c r="E2298" s="593" t="s">
        <v>1433</v>
      </c>
      <c r="F2298" s="20"/>
      <c r="G2298" s="20"/>
      <c r="H2298" s="20"/>
      <c r="I2298" s="20"/>
      <c r="J2298" s="20"/>
      <c r="K2298" s="20"/>
      <c r="L2298" s="20"/>
      <c r="M2298" s="20"/>
      <c r="N2298" s="20"/>
      <c r="O2298" s="20"/>
      <c r="P2298" s="20"/>
      <c r="Q2298" s="20"/>
      <c r="R2298" s="20"/>
      <c r="S2298" s="20"/>
      <c r="T2298" s="20"/>
      <c r="U2298" s="20"/>
      <c r="V2298" s="20"/>
      <c r="W2298" s="20"/>
      <c r="X2298" s="20"/>
      <c r="Y2298" s="20"/>
      <c r="Z2298" s="20"/>
      <c r="AA2298" s="20"/>
      <c r="AB2298" s="12"/>
      <c r="AC2298" s="12"/>
      <c r="AD2298" s="12"/>
      <c r="AE2298" s="12"/>
      <c r="AF2298" s="12">
        <v>2079000</v>
      </c>
      <c r="AG2298" s="12">
        <v>2079000</v>
      </c>
      <c r="AH2298" s="12">
        <v>2705360</v>
      </c>
      <c r="AI2298" s="12">
        <v>2705360</v>
      </c>
      <c r="AJ2298" s="12">
        <v>2743000</v>
      </c>
      <c r="AK2298" s="12">
        <v>2743000</v>
      </c>
      <c r="AL2298" s="1220">
        <v>2676419</v>
      </c>
      <c r="AM2298" s="1220">
        <v>2676419</v>
      </c>
      <c r="AN2298" s="1220">
        <v>2684972</v>
      </c>
      <c r="AO2298" s="1220">
        <v>2684972</v>
      </c>
      <c r="AP2298" s="1220">
        <v>2886364</v>
      </c>
      <c r="AQ2298" s="1220">
        <v>2886364</v>
      </c>
      <c r="AR2298" s="1044"/>
      <c r="AS2298" s="1044"/>
    </row>
    <row r="2299" spans="2:45" hidden="1" outlineLevel="1">
      <c r="B2299"/>
      <c r="C2299" s="816" t="s">
        <v>714</v>
      </c>
      <c r="D2299" s="401" t="s">
        <v>1498</v>
      </c>
      <c r="E2299" s="593" t="s">
        <v>1434</v>
      </c>
      <c r="F2299" s="20"/>
      <c r="G2299" s="20"/>
      <c r="H2299" s="20"/>
      <c r="I2299" s="20"/>
      <c r="J2299" s="20"/>
      <c r="K2299" s="20"/>
      <c r="L2299" s="20"/>
      <c r="M2299" s="20"/>
      <c r="N2299" s="20"/>
      <c r="O2299" s="20"/>
      <c r="P2299" s="20"/>
      <c r="Q2299" s="20"/>
      <c r="R2299" s="20"/>
      <c r="S2299" s="20"/>
      <c r="T2299" s="20"/>
      <c r="U2299" s="20"/>
      <c r="V2299" s="20"/>
      <c r="W2299" s="20"/>
      <c r="X2299" s="20"/>
      <c r="Y2299" s="20"/>
      <c r="Z2299" s="20"/>
      <c r="AA2299" s="20"/>
      <c r="AB2299" s="12"/>
      <c r="AC2299" s="12"/>
      <c r="AD2299" s="12"/>
      <c r="AE2299" s="12"/>
      <c r="AF2299" s="12">
        <v>1912365</v>
      </c>
      <c r="AG2299" s="12">
        <v>1912365</v>
      </c>
      <c r="AH2299" s="12">
        <v>3748860</v>
      </c>
      <c r="AI2299" s="12">
        <v>2153237</v>
      </c>
      <c r="AJ2299" s="12">
        <v>4672000</v>
      </c>
      <c r="AK2299" s="12">
        <v>2169000</v>
      </c>
      <c r="AL2299" s="1220">
        <v>1898257</v>
      </c>
      <c r="AM2299" s="1220">
        <v>1898257</v>
      </c>
      <c r="AN2299" s="1220">
        <v>1951442</v>
      </c>
      <c r="AO2299" s="1220">
        <v>1951442</v>
      </c>
      <c r="AP2299" s="1220">
        <v>1951442</v>
      </c>
      <c r="AQ2299" s="1220">
        <v>1951442</v>
      </c>
      <c r="AR2299" s="1044"/>
      <c r="AS2299" s="1044"/>
    </row>
    <row r="2300" spans="2:45" hidden="1" outlineLevel="1">
      <c r="B2300"/>
      <c r="C2300" s="816" t="s">
        <v>714</v>
      </c>
      <c r="D2300" s="401" t="s">
        <v>1498</v>
      </c>
      <c r="E2300" s="593" t="s">
        <v>1435</v>
      </c>
      <c r="F2300" s="20"/>
      <c r="G2300" s="20"/>
      <c r="H2300" s="20"/>
      <c r="I2300" s="20"/>
      <c r="J2300" s="20"/>
      <c r="K2300" s="20"/>
      <c r="L2300" s="20"/>
      <c r="M2300" s="20"/>
      <c r="N2300" s="20"/>
      <c r="O2300" s="20"/>
      <c r="P2300" s="20"/>
      <c r="Q2300" s="20"/>
      <c r="R2300" s="20"/>
      <c r="S2300" s="20"/>
      <c r="T2300" s="20"/>
      <c r="U2300" s="20"/>
      <c r="V2300" s="20"/>
      <c r="W2300" s="20"/>
      <c r="X2300" s="20"/>
      <c r="Y2300" s="20"/>
      <c r="Z2300" s="20"/>
      <c r="AA2300" s="20"/>
      <c r="AB2300" s="12"/>
      <c r="AC2300" s="12"/>
      <c r="AD2300" s="12"/>
      <c r="AE2300" s="12"/>
      <c r="AF2300" s="12">
        <v>1712655</v>
      </c>
      <c r="AG2300" s="12">
        <v>1712655</v>
      </c>
      <c r="AH2300" s="12">
        <v>2139910</v>
      </c>
      <c r="AI2300" s="12">
        <v>2139910</v>
      </c>
      <c r="AJ2300" s="12">
        <v>2168000</v>
      </c>
      <c r="AK2300" s="12">
        <v>2168000</v>
      </c>
      <c r="AL2300" s="1220">
        <v>1995564</v>
      </c>
      <c r="AM2300" s="1220">
        <v>1995564</v>
      </c>
      <c r="AN2300" s="1220">
        <v>2050873</v>
      </c>
      <c r="AO2300" s="1220">
        <v>2050873</v>
      </c>
      <c r="AP2300" s="1220">
        <v>2062057</v>
      </c>
      <c r="AQ2300" s="1220">
        <v>2062057</v>
      </c>
      <c r="AR2300" s="1044"/>
      <c r="AS2300" s="1044"/>
    </row>
    <row r="2301" spans="2:45" hidden="1" outlineLevel="1">
      <c r="B2301"/>
      <c r="C2301" s="816" t="s">
        <v>714</v>
      </c>
      <c r="D2301" s="401" t="s">
        <v>1498</v>
      </c>
      <c r="E2301" s="593" t="s">
        <v>1436</v>
      </c>
      <c r="F2301" s="20"/>
      <c r="G2301" s="20"/>
      <c r="H2301" s="20"/>
      <c r="I2301" s="20"/>
      <c r="J2301" s="20"/>
      <c r="K2301" s="20"/>
      <c r="L2301" s="20"/>
      <c r="M2301" s="20"/>
      <c r="N2301" s="20"/>
      <c r="O2301" s="20"/>
      <c r="P2301" s="20"/>
      <c r="Q2301" s="20"/>
      <c r="R2301" s="20"/>
      <c r="S2301" s="20"/>
      <c r="T2301" s="20"/>
      <c r="U2301" s="20"/>
      <c r="V2301" s="20"/>
      <c r="W2301" s="20"/>
      <c r="X2301" s="20"/>
      <c r="Y2301" s="20"/>
      <c r="Z2301" s="20"/>
      <c r="AA2301" s="20"/>
      <c r="AB2301" s="12"/>
      <c r="AC2301" s="12"/>
      <c r="AD2301" s="12"/>
      <c r="AE2301" s="12"/>
      <c r="AF2301" s="12">
        <v>1571220</v>
      </c>
      <c r="AG2301" s="12">
        <v>1571220</v>
      </c>
      <c r="AH2301" s="12">
        <v>2149647</v>
      </c>
      <c r="AI2301" s="12">
        <v>1949647</v>
      </c>
      <c r="AJ2301" s="12">
        <v>1869000</v>
      </c>
      <c r="AK2301" s="12">
        <v>1869000</v>
      </c>
      <c r="AL2301" s="1220">
        <v>1720512</v>
      </c>
      <c r="AM2301" s="1220">
        <v>1720512</v>
      </c>
      <c r="AN2301" s="1220">
        <v>1696055</v>
      </c>
      <c r="AO2301" s="1220">
        <v>1696055</v>
      </c>
      <c r="AP2301" s="1220">
        <v>1714013</v>
      </c>
      <c r="AQ2301" s="1220">
        <v>1714013</v>
      </c>
      <c r="AR2301" s="1044"/>
      <c r="AS2301" s="1044"/>
    </row>
    <row r="2302" spans="2:45" hidden="1" outlineLevel="1">
      <c r="B2302"/>
      <c r="C2302" s="816" t="s">
        <v>714</v>
      </c>
      <c r="D2302" s="401" t="s">
        <v>1498</v>
      </c>
      <c r="E2302" s="616" t="s">
        <v>1685</v>
      </c>
      <c r="F2302" s="20"/>
      <c r="G2302" s="20"/>
      <c r="H2302" s="20"/>
      <c r="I2302" s="20"/>
      <c r="J2302" s="20"/>
      <c r="K2302" s="20"/>
      <c r="L2302" s="20"/>
      <c r="M2302" s="20"/>
      <c r="N2302" s="20"/>
      <c r="O2302" s="20"/>
      <c r="P2302" s="20"/>
      <c r="Q2302" s="20"/>
      <c r="R2302" s="20"/>
      <c r="S2302" s="20"/>
      <c r="T2302" s="20"/>
      <c r="U2302" s="20"/>
      <c r="V2302" s="20"/>
      <c r="W2302" s="20"/>
      <c r="X2302" s="20"/>
      <c r="Y2302" s="20"/>
      <c r="Z2302" s="20"/>
      <c r="AA2302" s="20"/>
      <c r="AB2302" s="12"/>
      <c r="AC2302" s="12"/>
      <c r="AD2302" s="12"/>
      <c r="AE2302" s="12"/>
      <c r="AF2302" s="12"/>
      <c r="AG2302" s="12"/>
      <c r="AH2302" s="12"/>
      <c r="AI2302" s="12"/>
      <c r="AJ2302" s="12"/>
      <c r="AK2302" s="12"/>
      <c r="AL2302" s="1070"/>
      <c r="AM2302" s="1070"/>
      <c r="AN2302" s="1238">
        <v>1249500</v>
      </c>
      <c r="AO2302" s="1238">
        <v>1249500</v>
      </c>
      <c r="AP2302" s="1220">
        <v>1249500</v>
      </c>
      <c r="AQ2302" s="1220">
        <v>1249500</v>
      </c>
      <c r="AR2302" s="1044"/>
      <c r="AS2302" s="1044"/>
    </row>
    <row r="2303" spans="2:45" hidden="1" outlineLevel="1">
      <c r="B2303"/>
      <c r="C2303" s="816" t="s">
        <v>714</v>
      </c>
      <c r="D2303" s="401" t="s">
        <v>1498</v>
      </c>
      <c r="E2303" s="593" t="s">
        <v>1437</v>
      </c>
      <c r="F2303" s="20"/>
      <c r="G2303" s="20"/>
      <c r="H2303" s="20"/>
      <c r="I2303" s="20"/>
      <c r="J2303" s="20"/>
      <c r="K2303" s="20"/>
      <c r="L2303" s="20"/>
      <c r="M2303" s="20"/>
      <c r="N2303" s="20"/>
      <c r="O2303" s="20"/>
      <c r="P2303" s="20"/>
      <c r="Q2303" s="20"/>
      <c r="R2303" s="20"/>
      <c r="S2303" s="20"/>
      <c r="T2303" s="20"/>
      <c r="U2303" s="20"/>
      <c r="V2303" s="20"/>
      <c r="W2303" s="20"/>
      <c r="X2303" s="20"/>
      <c r="Y2303" s="20"/>
      <c r="Z2303" s="20"/>
      <c r="AA2303" s="20"/>
      <c r="AB2303" s="12"/>
      <c r="AC2303" s="12"/>
      <c r="AD2303" s="12"/>
      <c r="AE2303" s="12"/>
      <c r="AF2303" s="12">
        <v>1656270</v>
      </c>
      <c r="AG2303" s="12">
        <v>1656270</v>
      </c>
      <c r="AH2303" s="12">
        <v>2476032</v>
      </c>
      <c r="AI2303" s="12">
        <v>2541044</v>
      </c>
      <c r="AJ2303" s="12">
        <v>2616000</v>
      </c>
      <c r="AK2303" s="12">
        <v>2616000</v>
      </c>
      <c r="AL2303" s="1220">
        <v>2393907</v>
      </c>
      <c r="AM2303" s="1220">
        <v>2393907</v>
      </c>
      <c r="AN2303" s="1220">
        <v>2519678</v>
      </c>
      <c r="AO2303" s="1220">
        <v>2519678</v>
      </c>
      <c r="AP2303" s="1220">
        <v>2625058</v>
      </c>
      <c r="AQ2303" s="1220">
        <v>2625058</v>
      </c>
      <c r="AR2303" s="1044"/>
      <c r="AS2303" s="1044"/>
    </row>
    <row r="2304" spans="2:45" hidden="1" outlineLevel="1">
      <c r="B2304"/>
      <c r="C2304" s="816" t="s">
        <v>714</v>
      </c>
      <c r="D2304" s="401" t="s">
        <v>1498</v>
      </c>
      <c r="E2304" s="593" t="s">
        <v>1438</v>
      </c>
      <c r="F2304" s="20"/>
      <c r="G2304" s="20"/>
      <c r="H2304" s="20"/>
      <c r="I2304" s="20"/>
      <c r="J2304" s="20"/>
      <c r="K2304" s="20"/>
      <c r="L2304" s="20"/>
      <c r="M2304" s="20"/>
      <c r="N2304" s="20"/>
      <c r="O2304" s="20"/>
      <c r="P2304" s="20"/>
      <c r="Q2304" s="20"/>
      <c r="R2304" s="20"/>
      <c r="S2304" s="20"/>
      <c r="T2304" s="20"/>
      <c r="U2304" s="20"/>
      <c r="V2304" s="20"/>
      <c r="W2304" s="20"/>
      <c r="X2304" s="20"/>
      <c r="Y2304" s="20"/>
      <c r="Z2304" s="20"/>
      <c r="AA2304" s="20"/>
      <c r="AB2304" s="12"/>
      <c r="AC2304" s="12"/>
      <c r="AD2304" s="12"/>
      <c r="AE2304" s="12"/>
      <c r="AF2304" s="12">
        <v>1163689</v>
      </c>
      <c r="AG2304" s="12">
        <v>1163689</v>
      </c>
      <c r="AH2304" s="12">
        <v>1403874</v>
      </c>
      <c r="AI2304" s="12">
        <v>1403874</v>
      </c>
      <c r="AJ2304" s="12">
        <v>1453000</v>
      </c>
      <c r="AK2304" s="12">
        <v>1453000</v>
      </c>
      <c r="AL2304" s="1220">
        <v>1299022</v>
      </c>
      <c r="AM2304" s="1220">
        <v>1299022</v>
      </c>
      <c r="AN2304" s="1220">
        <v>1365366</v>
      </c>
      <c r="AO2304" s="1220">
        <v>1365366</v>
      </c>
      <c r="AP2304" s="1220">
        <v>1415218</v>
      </c>
      <c r="AQ2304" s="1220">
        <v>1415218</v>
      </c>
      <c r="AR2304" s="1044"/>
      <c r="AS2304" s="1044"/>
    </row>
    <row r="2305" spans="2:45" hidden="1" outlineLevel="1">
      <c r="B2305"/>
      <c r="C2305" s="816" t="s">
        <v>714</v>
      </c>
      <c r="D2305" s="401" t="s">
        <v>1498</v>
      </c>
      <c r="E2305" s="593" t="s">
        <v>1439</v>
      </c>
      <c r="F2305" s="20"/>
      <c r="G2305" s="20"/>
      <c r="H2305" s="20"/>
      <c r="I2305" s="20"/>
      <c r="J2305" s="20"/>
      <c r="K2305" s="20"/>
      <c r="L2305" s="20"/>
      <c r="M2305" s="20"/>
      <c r="N2305" s="20"/>
      <c r="O2305" s="20"/>
      <c r="P2305" s="20"/>
      <c r="Q2305" s="20"/>
      <c r="R2305" s="20"/>
      <c r="S2305" s="20"/>
      <c r="T2305" s="20"/>
      <c r="U2305" s="20"/>
      <c r="V2305" s="20"/>
      <c r="W2305" s="20"/>
      <c r="X2305" s="20"/>
      <c r="Y2305" s="20"/>
      <c r="Z2305" s="20"/>
      <c r="AA2305" s="20"/>
      <c r="AB2305" s="12"/>
      <c r="AC2305" s="12"/>
      <c r="AD2305" s="12"/>
      <c r="AE2305" s="12"/>
      <c r="AF2305" s="12">
        <v>1184951</v>
      </c>
      <c r="AG2305" s="12">
        <v>1184951</v>
      </c>
      <c r="AH2305" s="12">
        <v>1184951</v>
      </c>
      <c r="AI2305" s="12">
        <v>3976957</v>
      </c>
      <c r="AJ2305" s="12">
        <v>1400000</v>
      </c>
      <c r="AK2305" s="12">
        <v>1400000</v>
      </c>
      <c r="AL2305" s="1220">
        <v>1289193</v>
      </c>
      <c r="AM2305" s="1220">
        <v>1289193</v>
      </c>
      <c r="AN2305" s="1220">
        <v>1289193</v>
      </c>
      <c r="AO2305" s="1220">
        <v>1289193</v>
      </c>
      <c r="AP2305" s="1220">
        <v>1289193</v>
      </c>
      <c r="AQ2305" s="1220">
        <v>1289193</v>
      </c>
      <c r="AR2305" s="1044"/>
      <c r="AS2305" s="1044"/>
    </row>
    <row r="2306" spans="2:45" hidden="1" outlineLevel="1">
      <c r="B2306"/>
      <c r="C2306" s="816" t="s">
        <v>714</v>
      </c>
      <c r="D2306" s="401" t="s">
        <v>1498</v>
      </c>
      <c r="E2306" s="593" t="s">
        <v>1440</v>
      </c>
      <c r="F2306" s="20"/>
      <c r="G2306" s="20"/>
      <c r="H2306" s="20"/>
      <c r="I2306" s="20"/>
      <c r="J2306" s="20"/>
      <c r="K2306" s="20"/>
      <c r="L2306" s="20"/>
      <c r="M2306" s="20"/>
      <c r="N2306" s="20"/>
      <c r="O2306" s="20"/>
      <c r="P2306" s="20"/>
      <c r="Q2306" s="20"/>
      <c r="R2306" s="20"/>
      <c r="S2306" s="20"/>
      <c r="T2306" s="20"/>
      <c r="U2306" s="20"/>
      <c r="V2306" s="20"/>
      <c r="W2306" s="20"/>
      <c r="X2306" s="20"/>
      <c r="Y2306" s="20"/>
      <c r="Z2306" s="20"/>
      <c r="AA2306" s="20"/>
      <c r="AB2306" s="12"/>
      <c r="AC2306" s="12"/>
      <c r="AD2306" s="12"/>
      <c r="AE2306" s="12"/>
      <c r="AF2306" s="12">
        <v>1155420</v>
      </c>
      <c r="AG2306" s="12">
        <v>1155420</v>
      </c>
      <c r="AH2306" s="12">
        <v>5035844</v>
      </c>
      <c r="AI2306" s="12">
        <v>1155420</v>
      </c>
      <c r="AJ2306" s="12">
        <v>1155000</v>
      </c>
      <c r="AK2306" s="12">
        <v>1155000</v>
      </c>
      <c r="AL2306" s="1220">
        <v>1044613</v>
      </c>
      <c r="AM2306" s="1220">
        <v>1044613</v>
      </c>
      <c r="AN2306" s="1220">
        <v>1044613</v>
      </c>
      <c r="AO2306" s="1220">
        <v>1044613</v>
      </c>
      <c r="AP2306" s="1220">
        <v>1044613</v>
      </c>
      <c r="AQ2306" s="1220">
        <v>1044613</v>
      </c>
      <c r="AR2306" s="1044"/>
      <c r="AS2306" s="1044"/>
    </row>
    <row r="2307" spans="2:45" hidden="1" outlineLevel="1">
      <c r="B2307"/>
      <c r="C2307" s="816" t="s">
        <v>714</v>
      </c>
      <c r="D2307" s="401" t="s">
        <v>1498</v>
      </c>
      <c r="E2307" s="593" t="s">
        <v>942</v>
      </c>
      <c r="F2307" s="20"/>
      <c r="G2307" s="20"/>
      <c r="H2307" s="20"/>
      <c r="I2307" s="20"/>
      <c r="J2307" s="20"/>
      <c r="K2307" s="20"/>
      <c r="L2307" s="20"/>
      <c r="M2307" s="20"/>
      <c r="N2307" s="20"/>
      <c r="O2307" s="20"/>
      <c r="P2307" s="20"/>
      <c r="Q2307" s="20"/>
      <c r="R2307" s="20"/>
      <c r="S2307" s="20"/>
      <c r="T2307" s="20"/>
      <c r="U2307" s="20"/>
      <c r="V2307" s="20"/>
      <c r="W2307" s="20"/>
      <c r="X2307" s="20"/>
      <c r="Y2307" s="20"/>
      <c r="Z2307" s="20"/>
      <c r="AA2307" s="20"/>
      <c r="AB2307" s="12"/>
      <c r="AC2307" s="12"/>
      <c r="AD2307" s="12"/>
      <c r="AE2307" s="12"/>
      <c r="AF2307" s="12">
        <v>1398600</v>
      </c>
      <c r="AG2307" s="12">
        <v>1398600</v>
      </c>
      <c r="AH2307" s="12">
        <v>1398600</v>
      </c>
      <c r="AI2307" s="12">
        <v>1398600</v>
      </c>
      <c r="AJ2307" s="12">
        <v>1700000</v>
      </c>
      <c r="AK2307" s="12">
        <v>1700000</v>
      </c>
      <c r="AL2307" s="1220">
        <v>1486469</v>
      </c>
      <c r="AM2307" s="1220">
        <v>1486469</v>
      </c>
      <c r="AN2307" s="1220">
        <v>1550000</v>
      </c>
      <c r="AO2307" s="1220">
        <v>1550000</v>
      </c>
      <c r="AP2307" s="1220">
        <v>1550000</v>
      </c>
      <c r="AQ2307" s="1220">
        <v>1550000</v>
      </c>
      <c r="AR2307" s="1044"/>
      <c r="AS2307" s="1044"/>
    </row>
    <row r="2308" spans="2:45" hidden="1" outlineLevel="1">
      <c r="B2308"/>
      <c r="C2308" s="816" t="s">
        <v>714</v>
      </c>
      <c r="D2308" s="401" t="s">
        <v>1498</v>
      </c>
      <c r="E2308" s="616" t="s">
        <v>1556</v>
      </c>
      <c r="F2308" s="20"/>
      <c r="G2308" s="20"/>
      <c r="H2308" s="20"/>
      <c r="I2308" s="20"/>
      <c r="J2308" s="20"/>
      <c r="K2308" s="20"/>
      <c r="L2308" s="20"/>
      <c r="M2308" s="20"/>
      <c r="N2308" s="20"/>
      <c r="O2308" s="20"/>
      <c r="P2308" s="20"/>
      <c r="Q2308" s="20"/>
      <c r="R2308" s="20"/>
      <c r="S2308" s="20"/>
      <c r="T2308" s="20"/>
      <c r="U2308" s="20"/>
      <c r="V2308" s="20"/>
      <c r="W2308" s="20"/>
      <c r="X2308" s="20"/>
      <c r="Y2308" s="20"/>
      <c r="Z2308" s="20"/>
      <c r="AA2308" s="20"/>
      <c r="AB2308" s="12"/>
      <c r="AC2308" s="12"/>
      <c r="AD2308" s="12"/>
      <c r="AE2308" s="12"/>
      <c r="AF2308" s="12"/>
      <c r="AG2308" s="12"/>
      <c r="AH2308" s="12"/>
      <c r="AI2308" s="12"/>
      <c r="AJ2308" s="12">
        <v>0</v>
      </c>
      <c r="AK2308" s="12">
        <v>0</v>
      </c>
      <c r="AL2308" s="1220">
        <v>1372941</v>
      </c>
      <c r="AM2308" s="1220">
        <v>1372941</v>
      </c>
      <c r="AN2308" s="1220">
        <v>1590953</v>
      </c>
      <c r="AO2308" s="1220">
        <v>1590953</v>
      </c>
      <c r="AP2308" s="1220">
        <v>1421450</v>
      </c>
      <c r="AQ2308" s="1220">
        <v>1421450</v>
      </c>
      <c r="AR2308" s="1044"/>
      <c r="AS2308" s="1044"/>
    </row>
    <row r="2309" spans="2:45" hidden="1" outlineLevel="1">
      <c r="B2309"/>
      <c r="C2309" s="816" t="s">
        <v>715</v>
      </c>
      <c r="D2309" s="401" t="s">
        <v>836</v>
      </c>
      <c r="E2309" s="20" t="s">
        <v>756</v>
      </c>
      <c r="F2309" s="20"/>
      <c r="G2309" s="20"/>
      <c r="H2309" s="20"/>
      <c r="I2309" s="20"/>
      <c r="J2309" s="20"/>
      <c r="K2309" s="20"/>
      <c r="L2309" s="20"/>
      <c r="M2309" s="20"/>
      <c r="N2309" s="20"/>
      <c r="O2309" s="20"/>
      <c r="P2309" s="20"/>
      <c r="Q2309" s="20"/>
      <c r="R2309" s="20"/>
      <c r="S2309" s="20"/>
      <c r="T2309" s="20"/>
      <c r="U2309" s="20"/>
      <c r="V2309" s="20"/>
      <c r="W2309" s="20"/>
      <c r="X2309" s="20"/>
      <c r="Y2309" s="20"/>
      <c r="Z2309" s="20"/>
      <c r="AA2309" s="20"/>
      <c r="AB2309" s="12"/>
      <c r="AC2309" s="12"/>
      <c r="AD2309" s="12"/>
      <c r="AE2309" s="12"/>
      <c r="AF2309" s="12">
        <v>1320000</v>
      </c>
      <c r="AG2309" s="12">
        <v>1320000</v>
      </c>
      <c r="AH2309" s="12">
        <v>1385000</v>
      </c>
      <c r="AI2309" s="12">
        <v>1385000</v>
      </c>
      <c r="AJ2309" s="12">
        <v>1433000</v>
      </c>
      <c r="AK2309" s="12">
        <v>1433000</v>
      </c>
      <c r="AL2309" s="1220">
        <v>1492500</v>
      </c>
      <c r="AM2309" s="1220">
        <v>1492500</v>
      </c>
      <c r="AN2309" s="1221">
        <v>1530000</v>
      </c>
      <c r="AO2309" s="1221">
        <v>1530000</v>
      </c>
      <c r="AP2309" s="1221">
        <v>1570000</v>
      </c>
      <c r="AQ2309" s="1221">
        <v>1570000</v>
      </c>
      <c r="AR2309" s="1044"/>
      <c r="AS2309" s="1044"/>
    </row>
    <row r="2310" spans="2:45" hidden="1" outlineLevel="1">
      <c r="B2310"/>
      <c r="C2310" s="816" t="s">
        <v>715</v>
      </c>
      <c r="D2310" s="401" t="s">
        <v>958</v>
      </c>
      <c r="E2310" s="617" t="s">
        <v>1557</v>
      </c>
      <c r="F2310" s="20"/>
      <c r="G2310" s="20"/>
      <c r="H2310" s="20"/>
      <c r="I2310" s="20"/>
      <c r="J2310" s="20"/>
      <c r="K2310" s="20"/>
      <c r="L2310" s="20"/>
      <c r="M2310" s="20"/>
      <c r="N2310" s="20"/>
      <c r="O2310" s="20"/>
      <c r="P2310" s="20"/>
      <c r="Q2310" s="20"/>
      <c r="R2310" s="20"/>
      <c r="S2310" s="20"/>
      <c r="T2310" s="20"/>
      <c r="U2310" s="20"/>
      <c r="V2310" s="20"/>
      <c r="W2310" s="20"/>
      <c r="X2310" s="20"/>
      <c r="Y2310" s="20"/>
      <c r="Z2310" s="20"/>
      <c r="AA2310" s="20"/>
      <c r="AB2310" s="12"/>
      <c r="AC2310" s="12"/>
      <c r="AD2310" s="12"/>
      <c r="AE2310" s="12"/>
      <c r="AF2310" s="12">
        <v>1102000</v>
      </c>
      <c r="AG2310" s="12">
        <v>1102000</v>
      </c>
      <c r="AH2310" s="12">
        <v>1108000</v>
      </c>
      <c r="AI2310" s="12">
        <v>1108000</v>
      </c>
      <c r="AJ2310" s="12">
        <v>1175000</v>
      </c>
      <c r="AK2310" s="12">
        <v>1175000</v>
      </c>
      <c r="AL2310" s="1221">
        <v>1194000</v>
      </c>
      <c r="AM2310" s="1221">
        <v>1194000</v>
      </c>
      <c r="AN2310" s="1220">
        <v>1224000</v>
      </c>
      <c r="AO2310" s="1220">
        <v>1224000</v>
      </c>
      <c r="AP2310" s="1221">
        <v>1256000</v>
      </c>
      <c r="AQ2310" s="1221">
        <v>1256000</v>
      </c>
      <c r="AR2310" s="1044"/>
      <c r="AS2310" s="1044"/>
    </row>
    <row r="2311" spans="2:45" hidden="1" outlineLevel="1">
      <c r="B2311"/>
      <c r="C2311" s="816" t="s">
        <v>715</v>
      </c>
      <c r="D2311" s="401" t="s">
        <v>1498</v>
      </c>
      <c r="E2311" s="593" t="s">
        <v>1433</v>
      </c>
      <c r="F2311" s="20"/>
      <c r="G2311" s="20"/>
      <c r="H2311" s="20"/>
      <c r="I2311" s="20"/>
      <c r="J2311" s="20"/>
      <c r="K2311" s="20"/>
      <c r="L2311" s="20"/>
      <c r="M2311" s="20"/>
      <c r="N2311" s="20"/>
      <c r="O2311" s="20"/>
      <c r="P2311" s="20"/>
      <c r="Q2311" s="20"/>
      <c r="R2311" s="20"/>
      <c r="S2311" s="20"/>
      <c r="T2311" s="20"/>
      <c r="U2311" s="20"/>
      <c r="V2311" s="20"/>
      <c r="W2311" s="20"/>
      <c r="X2311" s="20"/>
      <c r="Y2311" s="20"/>
      <c r="Z2311" s="20"/>
      <c r="AA2311" s="20"/>
      <c r="AB2311" s="12"/>
      <c r="AC2311" s="12"/>
      <c r="AD2311" s="12"/>
      <c r="AE2311" s="12"/>
      <c r="AF2311" s="12">
        <v>2250000</v>
      </c>
      <c r="AG2311" s="12">
        <v>2250000</v>
      </c>
      <c r="AH2311" s="12">
        <v>2770000</v>
      </c>
      <c r="AI2311" s="12">
        <v>2770000</v>
      </c>
      <c r="AJ2311" s="12">
        <v>2865000</v>
      </c>
      <c r="AK2311" s="12">
        <v>2865000</v>
      </c>
      <c r="AL2311" s="1221">
        <v>2985000</v>
      </c>
      <c r="AM2311" s="1221">
        <v>2985000</v>
      </c>
      <c r="AN2311" s="1221">
        <v>3060000</v>
      </c>
      <c r="AO2311" s="1221">
        <v>3060000</v>
      </c>
      <c r="AP2311" s="1221">
        <v>3140000</v>
      </c>
      <c r="AQ2311" s="1221">
        <v>3140000</v>
      </c>
      <c r="AR2311" s="1044"/>
      <c r="AS2311" s="1044"/>
    </row>
    <row r="2312" spans="2:45" hidden="1" outlineLevel="1">
      <c r="B2312"/>
      <c r="C2312" s="816" t="s">
        <v>715</v>
      </c>
      <c r="D2312" s="401" t="s">
        <v>1498</v>
      </c>
      <c r="E2312" s="593" t="s">
        <v>1434</v>
      </c>
      <c r="F2312" s="20"/>
      <c r="G2312" s="20"/>
      <c r="H2312" s="20"/>
      <c r="I2312" s="20"/>
      <c r="J2312" s="20"/>
      <c r="K2312" s="20"/>
      <c r="L2312" s="20"/>
      <c r="M2312" s="20"/>
      <c r="N2312" s="20"/>
      <c r="O2312" s="20"/>
      <c r="P2312" s="20"/>
      <c r="Q2312" s="20"/>
      <c r="R2312" s="20"/>
      <c r="S2312" s="20"/>
      <c r="T2312" s="20"/>
      <c r="U2312" s="20"/>
      <c r="V2312" s="20"/>
      <c r="W2312" s="20"/>
      <c r="X2312" s="20"/>
      <c r="Y2312" s="20"/>
      <c r="Z2312" s="20"/>
      <c r="AA2312" s="20"/>
      <c r="AB2312" s="12"/>
      <c r="AC2312" s="12"/>
      <c r="AD2312" s="12"/>
      <c r="AE2312" s="12"/>
      <c r="AF2312" s="12">
        <v>1125000</v>
      </c>
      <c r="AG2312" s="12">
        <v>1125000</v>
      </c>
      <c r="AH2312" s="12">
        <v>2278085</v>
      </c>
      <c r="AI2312" s="12">
        <v>1395465</v>
      </c>
      <c r="AJ2312" s="12">
        <v>1991000</v>
      </c>
      <c r="AK2312" s="12">
        <v>1397000</v>
      </c>
      <c r="AL2312" s="1220">
        <v>1492500</v>
      </c>
      <c r="AM2312" s="1220">
        <v>1492500</v>
      </c>
      <c r="AN2312" s="1221">
        <v>1530000</v>
      </c>
      <c r="AO2312" s="1221">
        <v>1530000</v>
      </c>
      <c r="AP2312" s="1221">
        <v>1530000</v>
      </c>
      <c r="AQ2312" s="1221">
        <v>1530000</v>
      </c>
      <c r="AR2312" s="1044"/>
      <c r="AS2312" s="1044"/>
    </row>
    <row r="2313" spans="2:45" hidden="1" outlineLevel="1">
      <c r="B2313"/>
      <c r="C2313" s="816" t="s">
        <v>715</v>
      </c>
      <c r="D2313" s="401" t="s">
        <v>1498</v>
      </c>
      <c r="E2313" s="593" t="s">
        <v>1435</v>
      </c>
      <c r="F2313" s="20"/>
      <c r="G2313" s="20"/>
      <c r="H2313" s="20"/>
      <c r="I2313" s="20"/>
      <c r="J2313" s="20"/>
      <c r="K2313" s="20"/>
      <c r="L2313" s="20"/>
      <c r="M2313" s="20"/>
      <c r="N2313" s="20"/>
      <c r="O2313" s="20"/>
      <c r="P2313" s="20"/>
      <c r="Q2313" s="20"/>
      <c r="R2313" s="20"/>
      <c r="S2313" s="20"/>
      <c r="T2313" s="20"/>
      <c r="U2313" s="20"/>
      <c r="V2313" s="20"/>
      <c r="W2313" s="20"/>
      <c r="X2313" s="20"/>
      <c r="Y2313" s="20"/>
      <c r="Z2313" s="20"/>
      <c r="AA2313" s="20"/>
      <c r="AB2313" s="12"/>
      <c r="AC2313" s="12"/>
      <c r="AD2313" s="12"/>
      <c r="AE2313" s="12"/>
      <c r="AF2313" s="12">
        <v>1125000</v>
      </c>
      <c r="AG2313" s="12">
        <v>1125000</v>
      </c>
      <c r="AH2313" s="12">
        <v>1385000</v>
      </c>
      <c r="AI2313" s="12">
        <v>1385000</v>
      </c>
      <c r="AJ2313" s="12">
        <v>1433000</v>
      </c>
      <c r="AK2313" s="12">
        <v>1433000</v>
      </c>
      <c r="AL2313" s="1220">
        <v>1492500</v>
      </c>
      <c r="AM2313" s="1220">
        <v>1492500</v>
      </c>
      <c r="AN2313" s="1220">
        <v>1530375</v>
      </c>
      <c r="AO2313" s="1220">
        <v>1530375</v>
      </c>
      <c r="AP2313" s="1220">
        <v>1575957</v>
      </c>
      <c r="AQ2313" s="1220">
        <v>1575957</v>
      </c>
      <c r="AR2313" s="1044"/>
      <c r="AS2313" s="1044"/>
    </row>
    <row r="2314" spans="2:45" hidden="1" outlineLevel="1">
      <c r="C2314" s="816" t="s">
        <v>715</v>
      </c>
      <c r="D2314" s="401" t="s">
        <v>1498</v>
      </c>
      <c r="E2314" s="593" t="s">
        <v>1436</v>
      </c>
      <c r="F2314" s="20"/>
      <c r="G2314" s="20"/>
      <c r="H2314" s="20"/>
      <c r="I2314" s="20"/>
      <c r="J2314" s="20"/>
      <c r="K2314" s="20"/>
      <c r="L2314" s="20"/>
      <c r="M2314" s="20"/>
      <c r="N2314" s="20"/>
      <c r="O2314" s="20"/>
      <c r="P2314" s="20"/>
      <c r="Q2314" s="20"/>
      <c r="R2314" s="20"/>
      <c r="S2314" s="20"/>
      <c r="T2314" s="20"/>
      <c r="U2314" s="20"/>
      <c r="V2314" s="20"/>
      <c r="W2314" s="20"/>
      <c r="X2314" s="20"/>
      <c r="Y2314" s="20"/>
      <c r="Z2314" s="20"/>
      <c r="AA2314" s="20"/>
      <c r="AB2314" s="12"/>
      <c r="AC2314" s="12"/>
      <c r="AD2314" s="12"/>
      <c r="AE2314" s="12"/>
      <c r="AF2314" s="12">
        <v>9000000</v>
      </c>
      <c r="AG2314" s="12">
        <v>9000000</v>
      </c>
      <c r="AH2314" s="12">
        <v>22080000</v>
      </c>
      <c r="AI2314" s="12">
        <v>11080000</v>
      </c>
      <c r="AJ2314" s="12">
        <v>11460000</v>
      </c>
      <c r="AK2314" s="12">
        <v>11460000</v>
      </c>
      <c r="AL2314" s="1221">
        <v>11940000</v>
      </c>
      <c r="AM2314" s="1221">
        <v>11940000</v>
      </c>
      <c r="AN2314" s="1221">
        <v>12240000</v>
      </c>
      <c r="AO2314" s="1221">
        <v>12240000</v>
      </c>
      <c r="AP2314" s="1220">
        <v>12791167</v>
      </c>
      <c r="AQ2314" s="1220">
        <v>12791167</v>
      </c>
      <c r="AR2314" s="1044"/>
      <c r="AS2314" s="1044"/>
    </row>
    <row r="2315" spans="2:45" hidden="1" outlineLevel="1">
      <c r="C2315" s="816" t="s">
        <v>715</v>
      </c>
      <c r="D2315" s="401" t="s">
        <v>1498</v>
      </c>
      <c r="E2315" s="616" t="s">
        <v>1685</v>
      </c>
      <c r="F2315" s="20"/>
      <c r="G2315" s="20"/>
      <c r="H2315" s="20"/>
      <c r="I2315" s="20"/>
      <c r="J2315" s="20"/>
      <c r="K2315" s="20"/>
      <c r="L2315" s="20"/>
      <c r="M2315" s="20"/>
      <c r="N2315" s="20"/>
      <c r="O2315" s="20"/>
      <c r="P2315" s="20"/>
      <c r="Q2315" s="20"/>
      <c r="R2315" s="20"/>
      <c r="S2315" s="20"/>
      <c r="T2315" s="20"/>
      <c r="U2315" s="20"/>
      <c r="V2315" s="20"/>
      <c r="W2315" s="20"/>
      <c r="X2315" s="20"/>
      <c r="Y2315" s="20"/>
      <c r="Z2315" s="20"/>
      <c r="AA2315" s="20"/>
      <c r="AB2315" s="12"/>
      <c r="AC2315" s="12"/>
      <c r="AD2315" s="12"/>
      <c r="AE2315" s="12"/>
      <c r="AF2315" s="12"/>
      <c r="AG2315" s="12"/>
      <c r="AH2315" s="12"/>
      <c r="AI2315" s="12"/>
      <c r="AJ2315" s="12"/>
      <c r="AK2315" s="12"/>
      <c r="AL2315" s="1070"/>
      <c r="AM2315" s="1070"/>
      <c r="AN2315" s="1070"/>
      <c r="AO2315" s="1070"/>
      <c r="AP2315" s="1070"/>
      <c r="AQ2315" s="1070"/>
      <c r="AR2315" s="1044"/>
      <c r="AS2315" s="1044"/>
    </row>
    <row r="2316" spans="2:45" hidden="1" outlineLevel="1">
      <c r="C2316" s="816" t="s">
        <v>715</v>
      </c>
      <c r="D2316" s="401" t="s">
        <v>1498</v>
      </c>
      <c r="E2316" s="593" t="s">
        <v>1437</v>
      </c>
      <c r="F2316" s="20"/>
      <c r="G2316" s="20"/>
      <c r="H2316" s="20"/>
      <c r="I2316" s="20"/>
      <c r="J2316" s="20"/>
      <c r="K2316" s="20"/>
      <c r="L2316" s="20"/>
      <c r="M2316" s="20"/>
      <c r="N2316" s="20"/>
      <c r="O2316" s="20"/>
      <c r="P2316" s="20"/>
      <c r="Q2316" s="20"/>
      <c r="R2316" s="20"/>
      <c r="S2316" s="20"/>
      <c r="T2316" s="20"/>
      <c r="U2316" s="20"/>
      <c r="V2316" s="20"/>
      <c r="W2316" s="20"/>
      <c r="X2316" s="20"/>
      <c r="Y2316" s="20"/>
      <c r="Z2316" s="20"/>
      <c r="AA2316" s="20"/>
      <c r="AB2316" s="12"/>
      <c r="AC2316" s="12"/>
      <c r="AD2316" s="12"/>
      <c r="AE2316" s="12"/>
      <c r="AF2316" s="12">
        <v>4500000</v>
      </c>
      <c r="AG2316" s="12">
        <v>4500000</v>
      </c>
      <c r="AH2316" s="12">
        <v>5727633</v>
      </c>
      <c r="AI2316" s="12">
        <v>5950000</v>
      </c>
      <c r="AJ2316" s="12">
        <v>5730000</v>
      </c>
      <c r="AK2316" s="12">
        <v>5730000</v>
      </c>
      <c r="AL2316" s="1221">
        <v>5970000</v>
      </c>
      <c r="AM2316" s="1221">
        <v>5970000</v>
      </c>
      <c r="AN2316" s="1221">
        <v>6120000</v>
      </c>
      <c r="AO2316" s="1221">
        <v>6120000</v>
      </c>
      <c r="AP2316" s="1221">
        <v>6280000</v>
      </c>
      <c r="AQ2316" s="1221">
        <v>6280000</v>
      </c>
      <c r="AR2316" s="1044"/>
      <c r="AS2316" s="1044"/>
    </row>
    <row r="2317" spans="2:45" hidden="1" outlineLevel="1">
      <c r="C2317" s="816" t="s">
        <v>715</v>
      </c>
      <c r="D2317" s="401" t="s">
        <v>1498</v>
      </c>
      <c r="E2317" s="593" t="s">
        <v>1438</v>
      </c>
      <c r="F2317" s="20"/>
      <c r="G2317" s="20"/>
      <c r="H2317" s="20"/>
      <c r="I2317" s="20"/>
      <c r="J2317" s="20"/>
      <c r="K2317" s="20"/>
      <c r="L2317" s="20"/>
      <c r="M2317" s="20"/>
      <c r="N2317" s="20"/>
      <c r="O2317" s="20"/>
      <c r="P2317" s="20"/>
      <c r="Q2317" s="20"/>
      <c r="R2317" s="20"/>
      <c r="S2317" s="20"/>
      <c r="T2317" s="20"/>
      <c r="U2317" s="20"/>
      <c r="V2317" s="20"/>
      <c r="W2317" s="20"/>
      <c r="X2317" s="20"/>
      <c r="Y2317" s="20"/>
      <c r="Z2317" s="20"/>
      <c r="AA2317" s="20"/>
      <c r="AB2317" s="12"/>
      <c r="AC2317" s="12"/>
      <c r="AD2317" s="12"/>
      <c r="AE2317" s="12"/>
      <c r="AF2317" s="12">
        <v>1125000</v>
      </c>
      <c r="AG2317" s="12">
        <v>1125000</v>
      </c>
      <c r="AH2317" s="12">
        <v>1385000</v>
      </c>
      <c r="AI2317" s="12">
        <v>1385000</v>
      </c>
      <c r="AJ2317" s="12">
        <v>1403000</v>
      </c>
      <c r="AK2317" s="12">
        <v>1403000</v>
      </c>
      <c r="AL2317" s="1220">
        <v>1502520</v>
      </c>
      <c r="AM2317" s="1220">
        <v>1502520</v>
      </c>
      <c r="AN2317" s="1220">
        <v>1530690</v>
      </c>
      <c r="AO2317" s="1220">
        <v>1530690</v>
      </c>
      <c r="AP2317" s="1220">
        <v>1573987</v>
      </c>
      <c r="AQ2317" s="1220">
        <v>1573987</v>
      </c>
      <c r="AR2317" s="1044"/>
      <c r="AS2317" s="1044"/>
    </row>
    <row r="2318" spans="2:45" hidden="1" outlineLevel="1">
      <c r="C2318" s="816" t="s">
        <v>715</v>
      </c>
      <c r="D2318" s="401" t="s">
        <v>1498</v>
      </c>
      <c r="E2318" s="593" t="s">
        <v>1439</v>
      </c>
      <c r="F2318" s="20"/>
      <c r="G2318" s="20"/>
      <c r="H2318" s="20"/>
      <c r="I2318" s="20"/>
      <c r="J2318" s="20"/>
      <c r="K2318" s="20"/>
      <c r="L2318" s="20"/>
      <c r="M2318" s="20"/>
      <c r="N2318" s="20"/>
      <c r="O2318" s="20"/>
      <c r="P2318" s="20"/>
      <c r="Q2318" s="20"/>
      <c r="R2318" s="20"/>
      <c r="S2318" s="20"/>
      <c r="T2318" s="20"/>
      <c r="U2318" s="20"/>
      <c r="V2318" s="20"/>
      <c r="W2318" s="20"/>
      <c r="X2318" s="20"/>
      <c r="Y2318" s="20"/>
      <c r="Z2318" s="20"/>
      <c r="AA2318" s="20"/>
      <c r="AB2318" s="12"/>
      <c r="AC2318" s="12"/>
      <c r="AD2318" s="12"/>
      <c r="AE2318" s="12"/>
      <c r="AF2318" s="12">
        <v>1125000</v>
      </c>
      <c r="AG2318" s="12">
        <v>1125000</v>
      </c>
      <c r="AH2318" s="12">
        <v>1125000</v>
      </c>
      <c r="AI2318" s="12">
        <v>1495525</v>
      </c>
      <c r="AJ2318" s="12">
        <v>1125000</v>
      </c>
      <c r="AK2318" s="12">
        <v>1125000</v>
      </c>
      <c r="AL2318" s="1221">
        <v>1400000</v>
      </c>
      <c r="AM2318" s="1221">
        <v>1400000</v>
      </c>
      <c r="AN2318" s="1221">
        <v>1400000</v>
      </c>
      <c r="AO2318" s="1221">
        <v>1400000</v>
      </c>
      <c r="AP2318" s="1221">
        <v>1400000</v>
      </c>
      <c r="AQ2318" s="1221">
        <v>1400000</v>
      </c>
      <c r="AR2318" s="1044"/>
      <c r="AS2318" s="1044"/>
    </row>
    <row r="2319" spans="2:45" hidden="1" outlineLevel="1">
      <c r="C2319" s="816" t="s">
        <v>715</v>
      </c>
      <c r="D2319" s="401" t="s">
        <v>1498</v>
      </c>
      <c r="E2319" s="593" t="s">
        <v>1440</v>
      </c>
      <c r="F2319" s="20"/>
      <c r="G2319" s="20"/>
      <c r="H2319" s="20"/>
      <c r="I2319" s="20"/>
      <c r="J2319" s="20"/>
      <c r="K2319" s="20"/>
      <c r="L2319" s="20"/>
      <c r="M2319" s="20"/>
      <c r="N2319" s="20"/>
      <c r="O2319" s="20"/>
      <c r="P2319" s="20"/>
      <c r="Q2319" s="20"/>
      <c r="R2319" s="20"/>
      <c r="S2319" s="20"/>
      <c r="T2319" s="20"/>
      <c r="U2319" s="20"/>
      <c r="V2319" s="20"/>
      <c r="W2319" s="20"/>
      <c r="X2319" s="20"/>
      <c r="Y2319" s="20"/>
      <c r="Z2319" s="20"/>
      <c r="AA2319" s="20"/>
      <c r="AB2319" s="12"/>
      <c r="AC2319" s="12"/>
      <c r="AD2319" s="12"/>
      <c r="AE2319" s="12"/>
      <c r="AF2319" s="12">
        <v>1125000</v>
      </c>
      <c r="AG2319" s="12">
        <v>1125000</v>
      </c>
      <c r="AH2319" s="12">
        <v>1747998</v>
      </c>
      <c r="AI2319" s="12">
        <v>1125000</v>
      </c>
      <c r="AJ2319" s="12">
        <v>1125000</v>
      </c>
      <c r="AK2319" s="12">
        <v>1125000</v>
      </c>
      <c r="AL2319" s="1221">
        <v>1125000</v>
      </c>
      <c r="AM2319" s="1221">
        <v>1125000</v>
      </c>
      <c r="AN2319" s="1221">
        <v>1125000</v>
      </c>
      <c r="AO2319" s="1221">
        <v>1125000</v>
      </c>
      <c r="AP2319" s="1221">
        <v>1125000</v>
      </c>
      <c r="AQ2319" s="1221">
        <v>1125000</v>
      </c>
      <c r="AR2319" s="1044"/>
      <c r="AS2319" s="1044"/>
    </row>
    <row r="2320" spans="2:45" hidden="1" outlineLevel="1">
      <c r="C2320" s="816" t="s">
        <v>715</v>
      </c>
      <c r="D2320" s="401" t="s">
        <v>1498</v>
      </c>
      <c r="E2320" s="593" t="s">
        <v>942</v>
      </c>
      <c r="F2320" s="20"/>
      <c r="G2320" s="20"/>
      <c r="H2320" s="20"/>
      <c r="I2320" s="20"/>
      <c r="J2320" s="20"/>
      <c r="K2320" s="20"/>
      <c r="L2320" s="20"/>
      <c r="M2320" s="20"/>
      <c r="N2320" s="20"/>
      <c r="O2320" s="20"/>
      <c r="P2320" s="20"/>
      <c r="Q2320" s="20"/>
      <c r="R2320" s="20"/>
      <c r="S2320" s="20"/>
      <c r="T2320" s="20"/>
      <c r="U2320" s="20"/>
      <c r="V2320" s="20"/>
      <c r="W2320" s="20"/>
      <c r="X2320" s="20"/>
      <c r="Y2320" s="20"/>
      <c r="Z2320" s="20"/>
      <c r="AA2320" s="20"/>
      <c r="AB2320" s="12"/>
      <c r="AC2320" s="12"/>
      <c r="AD2320" s="12"/>
      <c r="AE2320" s="12"/>
      <c r="AF2320" s="12">
        <v>2250000</v>
      </c>
      <c r="AG2320" s="12">
        <v>2250000</v>
      </c>
      <c r="AH2320" s="12">
        <v>5559269</v>
      </c>
      <c r="AI2320" s="12">
        <v>5550000</v>
      </c>
      <c r="AJ2320" s="12">
        <v>1400000</v>
      </c>
      <c r="AK2320" s="12">
        <v>1400000</v>
      </c>
      <c r="AL2320" s="1221">
        <v>1400000</v>
      </c>
      <c r="AM2320" s="1221">
        <v>1400000</v>
      </c>
      <c r="AN2320" s="1221">
        <v>1530000</v>
      </c>
      <c r="AO2320" s="1221">
        <v>1530000</v>
      </c>
      <c r="AP2320" s="1221">
        <v>1540000</v>
      </c>
      <c r="AQ2320" s="1221">
        <v>1540000</v>
      </c>
      <c r="AR2320" s="1044"/>
      <c r="AS2320" s="1044"/>
    </row>
    <row r="2321" spans="2:45" hidden="1" outlineLevel="1">
      <c r="C2321" s="816" t="s">
        <v>715</v>
      </c>
      <c r="D2321" s="401" t="s">
        <v>1498</v>
      </c>
      <c r="E2321" s="616" t="s">
        <v>1556</v>
      </c>
      <c r="F2321" s="20"/>
      <c r="G2321" s="20"/>
      <c r="H2321" s="20"/>
      <c r="I2321" s="20"/>
      <c r="J2321" s="20"/>
      <c r="K2321" s="20"/>
      <c r="L2321" s="20"/>
      <c r="M2321" s="20"/>
      <c r="N2321" s="20"/>
      <c r="O2321" s="20"/>
      <c r="P2321" s="20"/>
      <c r="Q2321" s="20"/>
      <c r="R2321" s="20"/>
      <c r="S2321" s="20"/>
      <c r="T2321" s="20"/>
      <c r="U2321" s="20"/>
      <c r="V2321" s="20"/>
      <c r="W2321" s="20"/>
      <c r="X2321" s="20"/>
      <c r="Y2321" s="20"/>
      <c r="Z2321" s="20"/>
      <c r="AA2321" s="20"/>
      <c r="AB2321" s="12"/>
      <c r="AC2321" s="12"/>
      <c r="AD2321" s="12"/>
      <c r="AE2321" s="12"/>
      <c r="AF2321" s="12"/>
      <c r="AG2321" s="12"/>
      <c r="AH2321" s="12"/>
      <c r="AI2321" s="12"/>
      <c r="AJ2321" s="12">
        <v>1400000</v>
      </c>
      <c r="AK2321" s="12">
        <v>1400000</v>
      </c>
      <c r="AL2321" s="1221">
        <v>1400000</v>
      </c>
      <c r="AM2321" s="1221">
        <v>1400000</v>
      </c>
      <c r="AN2321" s="1221">
        <v>1400000</v>
      </c>
      <c r="AO2321" s="1221">
        <v>1400000</v>
      </c>
      <c r="AP2321" s="1221">
        <v>1400000</v>
      </c>
      <c r="AQ2321" s="1221">
        <v>1400000</v>
      </c>
      <c r="AR2321" s="1044"/>
      <c r="AS2321" s="1044"/>
    </row>
    <row r="2322" spans="2:45" hidden="1" outlineLevel="1">
      <c r="C2322" s="816"/>
      <c r="D2322" s="5"/>
      <c r="E2322" s="5" t="s">
        <v>716</v>
      </c>
      <c r="F2322" s="6"/>
      <c r="G2322" s="6"/>
      <c r="H2322" s="6"/>
      <c r="I2322" s="6"/>
      <c r="J2322" s="6"/>
      <c r="K2322" s="6"/>
      <c r="L2322" s="6"/>
      <c r="M2322" s="6"/>
      <c r="N2322" s="6"/>
      <c r="O2322" s="6"/>
      <c r="P2322" s="6"/>
      <c r="Q2322" s="6"/>
      <c r="R2322" s="6"/>
      <c r="S2322" s="6"/>
      <c r="T2322" s="6"/>
      <c r="U2322" s="6"/>
      <c r="V2322" s="6"/>
      <c r="W2322" s="6"/>
      <c r="X2322" s="6"/>
      <c r="Y2322" s="6"/>
      <c r="Z2322" s="6"/>
      <c r="AA2322" s="6"/>
      <c r="AB2322" s="7"/>
      <c r="AC2322" s="7"/>
      <c r="AD2322" s="7"/>
      <c r="AE2322" s="7"/>
      <c r="AF2322" s="7">
        <f t="shared" ref="AF2322:AM2322" si="463">SUM(AF2297:AF2321)</f>
        <v>39881170</v>
      </c>
      <c r="AG2322" s="7">
        <f t="shared" si="463"/>
        <v>39881170</v>
      </c>
      <c r="AH2322" s="7">
        <f t="shared" si="463"/>
        <v>68794063</v>
      </c>
      <c r="AI2322" s="7">
        <f t="shared" si="463"/>
        <v>54053039</v>
      </c>
      <c r="AJ2322" s="7">
        <f t="shared" si="463"/>
        <v>52316000</v>
      </c>
      <c r="AK2322" s="7">
        <f t="shared" si="463"/>
        <v>49219000</v>
      </c>
      <c r="AL2322" s="1074">
        <f t="shared" si="463"/>
        <v>51789792</v>
      </c>
      <c r="AM2322" s="1074">
        <f t="shared" si="463"/>
        <v>51789792</v>
      </c>
      <c r="AN2322" s="1074">
        <f>SUM(AN2297:AN2321)</f>
        <v>53212710</v>
      </c>
      <c r="AO2322" s="1074">
        <f t="shared" ref="AO2322:AQ2322" si="464">SUM(AO2297:AO2321)</f>
        <v>53212710</v>
      </c>
      <c r="AP2322" s="1074">
        <f t="shared" si="464"/>
        <v>54391019</v>
      </c>
      <c r="AQ2322" s="1074">
        <f t="shared" si="464"/>
        <v>54391019</v>
      </c>
      <c r="AR2322" s="1044"/>
      <c r="AS2322" s="1044"/>
    </row>
    <row r="2323" spans="2:45" s="173" customFormat="1" hidden="1" outlineLevel="1">
      <c r="B2323" s="566"/>
      <c r="C2323" s="816"/>
      <c r="D2323" s="59"/>
      <c r="E2323" s="59"/>
      <c r="F2323" s="23"/>
      <c r="G2323" s="23"/>
      <c r="H2323" s="23"/>
      <c r="I2323" s="23"/>
      <c r="J2323" s="23"/>
      <c r="K2323" s="23"/>
      <c r="L2323" s="23"/>
      <c r="M2323" s="23"/>
      <c r="N2323" s="23"/>
      <c r="O2323" s="23"/>
      <c r="P2323" s="23"/>
      <c r="Q2323" s="23"/>
      <c r="R2323" s="23"/>
      <c r="S2323" s="23"/>
      <c r="T2323" s="23"/>
      <c r="U2323" s="23"/>
      <c r="V2323" s="23"/>
      <c r="W2323" s="23"/>
      <c r="X2323" s="23"/>
      <c r="Y2323" s="23"/>
      <c r="Z2323" s="23"/>
      <c r="AA2323" s="23"/>
      <c r="AB2323" s="14"/>
      <c r="AC2323" s="14"/>
      <c r="AD2323" s="14"/>
      <c r="AE2323" s="14"/>
      <c r="AF2323" s="14"/>
      <c r="AG2323" s="14"/>
      <c r="AH2323" s="14"/>
      <c r="AI2323" s="14"/>
      <c r="AJ2323" s="14"/>
      <c r="AK2323" s="14"/>
      <c r="AL2323" s="14"/>
      <c r="AM2323" s="14"/>
      <c r="AN2323" s="1071"/>
      <c r="AO2323" s="1071"/>
      <c r="AP2323" s="1071"/>
      <c r="AQ2323" s="1071"/>
      <c r="AR2323" s="1044"/>
      <c r="AS2323" s="1044"/>
    </row>
    <row r="2324" spans="2:45" hidden="1" outlineLevel="1">
      <c r="C2324" s="816"/>
      <c r="D2324" s="223" t="s">
        <v>836</v>
      </c>
      <c r="E2324" s="27" t="s">
        <v>1558</v>
      </c>
      <c r="F2324" s="20"/>
      <c r="G2324" s="20"/>
      <c r="H2324" s="20"/>
      <c r="I2324" s="20"/>
      <c r="J2324" s="20"/>
      <c r="K2324" s="20"/>
      <c r="L2324" s="20"/>
      <c r="M2324" s="20"/>
      <c r="N2324" s="20"/>
      <c r="O2324" s="20"/>
      <c r="P2324" s="20"/>
      <c r="Q2324" s="20"/>
      <c r="R2324" s="20"/>
      <c r="S2324" s="20"/>
      <c r="T2324" s="20"/>
      <c r="U2324" s="20"/>
      <c r="V2324" s="20"/>
      <c r="W2324" s="20"/>
      <c r="X2324" s="20"/>
      <c r="Y2324" s="20"/>
      <c r="Z2324" s="20"/>
      <c r="AA2324" s="20"/>
      <c r="AB2324" s="12"/>
      <c r="AC2324" s="12"/>
      <c r="AD2324" s="12"/>
      <c r="AE2324" s="12"/>
      <c r="AF2324" s="12">
        <f>SUMIF(D2297:$D$2321,$D2324,AF2297:AF2321)</f>
        <v>1320000</v>
      </c>
      <c r="AG2324" s="12">
        <f ca="1">SUMIF($D2297:E$2321,$D2324,AG2297:AG2321)</f>
        <v>1320000</v>
      </c>
      <c r="AH2324" s="12">
        <f ca="1">SUMIF($D2297:F$2321,$D2324,AH2297:AH2321)</f>
        <v>1385000</v>
      </c>
      <c r="AI2324" s="12">
        <f ca="1">SUMIF($D2297:G$2321,$D2324,AI2297:AI2321)</f>
        <v>1385000</v>
      </c>
      <c r="AJ2324" s="12">
        <f ca="1">SUMIF($D2297:H$2321,$D2324,AJ2297:AJ2321)</f>
        <v>1433000</v>
      </c>
      <c r="AK2324" s="12">
        <f ca="1">SUMIF($D2297:I$2321,$D2324,AK2297:AK2321)</f>
        <v>1433000</v>
      </c>
      <c r="AL2324" s="1070">
        <f ca="1">SUMIF($D2297:AJ$2321,$D2324,AL2297:AL2321)</f>
        <v>1492500</v>
      </c>
      <c r="AM2324" s="1070">
        <f ca="1">SUMIF($D2297:AK$2321,$D2324,AM2297:AM2321)</f>
        <v>1492500</v>
      </c>
      <c r="AN2324" s="1070">
        <f ca="1">SUMIF($D2297:AL$2321,$D2324,AN2297:AN2321)</f>
        <v>1530000</v>
      </c>
      <c r="AO2324" s="1070">
        <f ca="1">SUMIF($D2297:AM$2321,$D2324,AO2297:AO2321)</f>
        <v>1530000</v>
      </c>
      <c r="AP2324" s="1070">
        <f ca="1">SUMIF($D2297:AN$2321,$D2324,AP2297:AP2321)</f>
        <v>1570000</v>
      </c>
      <c r="AQ2324" s="1070">
        <f ca="1">SUMIF($D2297:AO$2321,$D2324,AQ2297:AQ2321)</f>
        <v>1570000</v>
      </c>
      <c r="AR2324" s="1044"/>
      <c r="AS2324" s="1044"/>
    </row>
    <row r="2325" spans="2:45" hidden="1" outlineLevel="1">
      <c r="C2325" s="816"/>
      <c r="D2325" s="223" t="s">
        <v>958</v>
      </c>
      <c r="E2325" s="27" t="s">
        <v>1559</v>
      </c>
      <c r="F2325" s="20"/>
      <c r="G2325" s="20"/>
      <c r="H2325" s="20"/>
      <c r="I2325" s="20"/>
      <c r="J2325" s="20"/>
      <c r="K2325" s="20"/>
      <c r="L2325" s="20"/>
      <c r="M2325" s="20"/>
      <c r="N2325" s="20"/>
      <c r="O2325" s="20"/>
      <c r="P2325" s="20"/>
      <c r="Q2325" s="20"/>
      <c r="R2325" s="20"/>
      <c r="S2325" s="20"/>
      <c r="T2325" s="20"/>
      <c r="U2325" s="20"/>
      <c r="V2325" s="20"/>
      <c r="W2325" s="20"/>
      <c r="X2325" s="20"/>
      <c r="Y2325" s="20"/>
      <c r="Z2325" s="20"/>
      <c r="AA2325" s="20"/>
      <c r="AB2325" s="12"/>
      <c r="AC2325" s="12"/>
      <c r="AD2325" s="12"/>
      <c r="AE2325" s="12"/>
      <c r="AF2325" s="12">
        <f>SUMIF(D2297:$D$2321,$D2325,AF2297:AF2322)</f>
        <v>1102000</v>
      </c>
      <c r="AG2325" s="12">
        <f ca="1">SUMIF($D2297:E$2321,$D2325,AG2297:AG2322)</f>
        <v>1102000</v>
      </c>
      <c r="AH2325" s="12">
        <f ca="1">SUMIF($D2297:F$2321,$D2325,AH2297:AH2322)</f>
        <v>1108000</v>
      </c>
      <c r="AI2325" s="12">
        <f ca="1">SUMIF($D2297:G$2321,$D2325,AI2297:AI2322)</f>
        <v>1108000</v>
      </c>
      <c r="AJ2325" s="12">
        <f ca="1">SUMIF($D2297:H$2321,$D2325,AJ2297:AJ2322)</f>
        <v>1175000</v>
      </c>
      <c r="AK2325" s="12">
        <f ca="1">SUMIF($D2297:I$2321,$D2325,AK2297:AK2322)</f>
        <v>1175000</v>
      </c>
      <c r="AL2325" s="1070">
        <f ca="1">SUMIF($D2297:AJ$2321,$D2325,AL2297:AL2321)</f>
        <v>1194000</v>
      </c>
      <c r="AM2325" s="1070">
        <f ca="1">SUMIF($D2297:AK$2321,$D2325,AM2297:AM2321)</f>
        <v>1194000</v>
      </c>
      <c r="AN2325" s="1070">
        <f ca="1">SUMIF($D2297:AL$2321,$D2325,AN2297:AN2321)</f>
        <v>1224000</v>
      </c>
      <c r="AO2325" s="1070">
        <f ca="1">SUMIF($D2297:AM$2321,$D2325,AO2297:AO2321)</f>
        <v>1224000</v>
      </c>
      <c r="AP2325" s="1070">
        <f ca="1">SUMIF($D2297:AN$2321,$D2325,AP2297:AP2321)</f>
        <v>1256000</v>
      </c>
      <c r="AQ2325" s="1070">
        <f ca="1">SUMIF($D2297:AO$2321,$D2325,AQ2297:AQ2321)</f>
        <v>1256000</v>
      </c>
      <c r="AR2325" s="1044"/>
      <c r="AS2325" s="1044"/>
    </row>
    <row r="2326" spans="2:45" hidden="1" outlineLevel="1">
      <c r="C2326" s="816"/>
      <c r="D2326" s="223" t="s">
        <v>1498</v>
      </c>
      <c r="E2326" s="27" t="s">
        <v>1560</v>
      </c>
      <c r="F2326" s="20"/>
      <c r="G2326" s="20"/>
      <c r="H2326" s="20"/>
      <c r="I2326" s="20"/>
      <c r="J2326" s="20"/>
      <c r="K2326" s="20"/>
      <c r="L2326" s="20"/>
      <c r="M2326" s="20"/>
      <c r="N2326" s="20"/>
      <c r="O2326" s="20"/>
      <c r="P2326" s="20"/>
      <c r="Q2326" s="20"/>
      <c r="R2326" s="20"/>
      <c r="S2326" s="20"/>
      <c r="T2326" s="20"/>
      <c r="U2326" s="20"/>
      <c r="V2326" s="20"/>
      <c r="W2326" s="20"/>
      <c r="X2326" s="20"/>
      <c r="Y2326" s="20"/>
      <c r="Z2326" s="20"/>
      <c r="AA2326" s="20"/>
      <c r="AB2326" s="12"/>
      <c r="AC2326" s="12"/>
      <c r="AD2326" s="12"/>
      <c r="AE2326" s="12"/>
      <c r="AF2326" s="12">
        <f>SUMIF(D2298:$D$2321,$D2326,AF2298:AF2324)</f>
        <v>37459170</v>
      </c>
      <c r="AG2326" s="12">
        <f ca="1">SUMIF($D2298:E$2321,$D2326,AG2298:AG2324)</f>
        <v>37459170</v>
      </c>
      <c r="AH2326" s="12">
        <f ca="1">SUMIF($D2298:F$2321,$D2326,AH2298:AH2324)</f>
        <v>66301063</v>
      </c>
      <c r="AI2326" s="12">
        <f ca="1">SUMIF($D2298:G$2321,$D2326,AI2298:AI2324)</f>
        <v>51560039</v>
      </c>
      <c r="AJ2326" s="12">
        <f ca="1">SUMIF($D2298:H$2321,$D2326,AJ2298:AJ2324)</f>
        <v>49708000</v>
      </c>
      <c r="AK2326" s="12">
        <f ca="1">SUMIF($D2298:I$2321,$D2326,AK2298:AK2324)</f>
        <v>46611000</v>
      </c>
      <c r="AL2326" s="1070">
        <f ca="1">SUMIF($D2297:AJ$2321,$D2326,AL2297:AL2321)</f>
        <v>49103292</v>
      </c>
      <c r="AM2326" s="1070">
        <f ca="1">SUMIF($D2297:AK$2321,$D2326,AM2297:AM2321)</f>
        <v>49103292</v>
      </c>
      <c r="AN2326" s="1070">
        <f ca="1">SUMIF($D2298:AL$2321,$D2326,AN2298:AN2321)</f>
        <v>50458710</v>
      </c>
      <c r="AO2326" s="1070">
        <f ca="1">SUMIF($D2298:AM$2321,$D2326,AO2298:AO2321)</f>
        <v>50458710</v>
      </c>
      <c r="AP2326" s="1070">
        <f ca="1">SUMIF($D2298:AN$2321,$D2326,AP2298:AP2321)</f>
        <v>51565019</v>
      </c>
      <c r="AQ2326" s="1070">
        <f ca="1">SUMIF($D2298:AO$2321,$D2326,AQ2298:AQ2321)</f>
        <v>51565019</v>
      </c>
      <c r="AS2326" s="1044"/>
    </row>
    <row r="2327" spans="2:45" collapsed="1">
      <c r="C2327" s="816" t="s">
        <v>717</v>
      </c>
      <c r="D2327" s="5"/>
      <c r="E2327" s="6"/>
      <c r="F2327" s="6"/>
      <c r="G2327" s="6"/>
      <c r="H2327" s="6"/>
      <c r="I2327" s="6"/>
      <c r="J2327" s="6"/>
      <c r="K2327" s="6"/>
      <c r="L2327" s="6"/>
      <c r="M2327" s="6"/>
      <c r="N2327" s="6"/>
      <c r="O2327" s="6"/>
      <c r="P2327" s="6"/>
      <c r="Q2327" s="6"/>
      <c r="R2327" s="6"/>
      <c r="S2327" s="6"/>
      <c r="T2327" s="6"/>
      <c r="U2327" s="6"/>
      <c r="V2327" s="6"/>
      <c r="W2327" s="6"/>
      <c r="X2327" s="6"/>
      <c r="Y2327" s="6"/>
      <c r="Z2327" s="6"/>
      <c r="AA2327" s="6"/>
      <c r="AB2327" s="7"/>
      <c r="AC2327" s="7"/>
      <c r="AD2327" s="7"/>
      <c r="AE2327" s="7"/>
      <c r="AF2327" s="7"/>
      <c r="AG2327" s="7"/>
      <c r="AH2327" s="7"/>
      <c r="AI2327" s="7"/>
      <c r="AJ2327" s="26"/>
      <c r="AK2327" s="26"/>
      <c r="AL2327" s="369" t="s">
        <v>2157</v>
      </c>
      <c r="AM2327" s="369" t="s">
        <v>2157</v>
      </c>
      <c r="AN2327" s="369" t="s">
        <v>2156</v>
      </c>
      <c r="AO2327" s="369" t="s">
        <v>2156</v>
      </c>
      <c r="AP2327" s="696" t="s">
        <v>2155</v>
      </c>
      <c r="AQ2327" s="696" t="s">
        <v>2155</v>
      </c>
      <c r="AS2327" s="1044"/>
    </row>
    <row r="2328" spans="2:45" hidden="1" outlineLevel="1">
      <c r="C2328" s="41" t="s">
        <v>16</v>
      </c>
      <c r="D2328" s="41" t="s">
        <v>836</v>
      </c>
      <c r="E2328" s="244" t="s">
        <v>1686</v>
      </c>
      <c r="F2328" s="55"/>
      <c r="G2328" s="55"/>
      <c r="H2328" s="55"/>
      <c r="I2328" s="55"/>
      <c r="J2328" s="55"/>
      <c r="K2328" s="55"/>
      <c r="L2328" s="55"/>
      <c r="M2328" s="55"/>
      <c r="N2328" s="55"/>
      <c r="O2328" s="55"/>
      <c r="P2328" s="55"/>
      <c r="Q2328" s="55"/>
      <c r="R2328" s="55"/>
      <c r="S2328" s="55"/>
      <c r="T2328" s="55"/>
      <c r="U2328" s="55"/>
      <c r="V2328" s="55"/>
      <c r="W2328" s="55"/>
      <c r="X2328" s="55"/>
      <c r="Y2328" s="55"/>
      <c r="Z2328" s="55"/>
      <c r="AA2328" s="55"/>
      <c r="AB2328" s="55"/>
      <c r="AC2328" s="55"/>
      <c r="AD2328" s="55"/>
      <c r="AE2328" s="55"/>
      <c r="AF2328" s="55"/>
      <c r="AG2328" s="55"/>
      <c r="AH2328" s="55"/>
      <c r="AI2328" s="55"/>
      <c r="AJ2328" s="56"/>
      <c r="AK2328" s="56"/>
      <c r="AL2328" s="56">
        <f>12311123+5057420</f>
        <v>17368543</v>
      </c>
      <c r="AM2328" s="56"/>
      <c r="AN2328" s="1065"/>
      <c r="AO2328" s="1065"/>
      <c r="AP2328" s="1065"/>
      <c r="AQ2328" s="1065"/>
    </row>
    <row r="2329" spans="2:45" hidden="1" outlineLevel="1">
      <c r="C2329" s="41" t="s">
        <v>16</v>
      </c>
      <c r="D2329" s="41" t="s">
        <v>836</v>
      </c>
      <c r="E2329" s="41" t="s">
        <v>718</v>
      </c>
      <c r="F2329" s="55"/>
      <c r="G2329" s="55"/>
      <c r="H2329" s="55">
        <v>2630526</v>
      </c>
      <c r="I2329" s="55">
        <v>2630526</v>
      </c>
      <c r="J2329" s="55">
        <v>2630526</v>
      </c>
      <c r="K2329" s="55">
        <v>2630526</v>
      </c>
      <c r="L2329" s="55">
        <v>2630526</v>
      </c>
      <c r="M2329" s="55">
        <v>2706620</v>
      </c>
      <c r="N2329" s="55">
        <v>2706620</v>
      </c>
      <c r="O2329" s="55">
        <v>2706620</v>
      </c>
      <c r="P2329" s="55">
        <v>2706620</v>
      </c>
      <c r="Q2329" s="55">
        <v>2706620</v>
      </c>
      <c r="R2329" s="55">
        <v>8613041</v>
      </c>
      <c r="S2329" s="55">
        <v>8613041</v>
      </c>
      <c r="T2329" s="55">
        <v>8613041</v>
      </c>
      <c r="U2329" s="55">
        <v>8613041</v>
      </c>
      <c r="V2329" s="55">
        <v>8613041</v>
      </c>
      <c r="W2329" s="55">
        <v>6081112</v>
      </c>
      <c r="X2329" s="55">
        <v>6081112</v>
      </c>
      <c r="Y2329" s="55">
        <v>6081112</v>
      </c>
      <c r="Z2329" s="55">
        <v>6081112</v>
      </c>
      <c r="AA2329" s="55">
        <v>6081112</v>
      </c>
      <c r="AB2329" s="55">
        <v>8588232</v>
      </c>
      <c r="AC2329" s="55">
        <v>8588232</v>
      </c>
      <c r="AD2329" s="55">
        <v>12882348</v>
      </c>
      <c r="AE2329" s="55">
        <v>13176800</v>
      </c>
      <c r="AF2329" s="55">
        <v>13176800</v>
      </c>
      <c r="AG2329" s="55">
        <v>12311123</v>
      </c>
      <c r="AH2329" s="55">
        <v>12311123</v>
      </c>
      <c r="AI2329" s="55">
        <v>12311123</v>
      </c>
      <c r="AJ2329" s="56">
        <v>12311123</v>
      </c>
      <c r="AK2329" s="56">
        <v>12311123</v>
      </c>
      <c r="AL2329" s="56"/>
      <c r="AM2329" s="56"/>
      <c r="AN2329" s="1065"/>
      <c r="AO2329" s="1065"/>
      <c r="AP2329" s="1065"/>
      <c r="AQ2329" s="1065"/>
    </row>
    <row r="2330" spans="2:45" hidden="1" outlineLevel="1">
      <c r="B2330"/>
      <c r="C2330" s="41" t="s">
        <v>16</v>
      </c>
      <c r="D2330" s="41" t="s">
        <v>836</v>
      </c>
      <c r="E2330" s="41" t="s">
        <v>719</v>
      </c>
      <c r="F2330" s="55"/>
      <c r="G2330" s="55"/>
      <c r="H2330" s="55">
        <v>475900</v>
      </c>
      <c r="I2330" s="55">
        <v>475900</v>
      </c>
      <c r="J2330" s="55">
        <v>475900</v>
      </c>
      <c r="K2330" s="55">
        <v>475900</v>
      </c>
      <c r="L2330" s="55">
        <v>475900</v>
      </c>
      <c r="M2330" s="55">
        <v>489667</v>
      </c>
      <c r="N2330" s="55">
        <v>489667</v>
      </c>
      <c r="O2330" s="55">
        <v>489667</v>
      </c>
      <c r="P2330" s="55">
        <v>489667</v>
      </c>
      <c r="Q2330" s="55">
        <v>489667</v>
      </c>
      <c r="R2330" s="55">
        <v>1561459</v>
      </c>
      <c r="S2330" s="55">
        <v>1561459</v>
      </c>
      <c r="T2330" s="55">
        <v>1561459</v>
      </c>
      <c r="U2330" s="55">
        <v>1561459</v>
      </c>
      <c r="V2330" s="55">
        <v>1561459</v>
      </c>
      <c r="W2330" s="55">
        <v>1050580</v>
      </c>
      <c r="X2330" s="55">
        <v>1050580</v>
      </c>
      <c r="Y2330" s="55">
        <v>1050580</v>
      </c>
      <c r="Z2330" s="55">
        <v>1050580</v>
      </c>
      <c r="AA2330" s="55">
        <v>1050580</v>
      </c>
      <c r="AB2330" s="55">
        <v>2791194</v>
      </c>
      <c r="AC2330" s="55">
        <v>2791194</v>
      </c>
      <c r="AD2330" s="55">
        <v>4186790</v>
      </c>
      <c r="AE2330" s="55">
        <v>4284677</v>
      </c>
      <c r="AF2330" s="55">
        <v>4284677</v>
      </c>
      <c r="AG2330" s="55">
        <v>5057420</v>
      </c>
      <c r="AH2330" s="55">
        <v>5057420</v>
      </c>
      <c r="AI2330" s="55">
        <v>5057420</v>
      </c>
      <c r="AJ2330" s="56">
        <v>5057420</v>
      </c>
      <c r="AK2330" s="56">
        <v>5057420</v>
      </c>
      <c r="AL2330" s="56"/>
      <c r="AM2330" s="56"/>
      <c r="AN2330" s="1065"/>
      <c r="AO2330" s="1065"/>
      <c r="AP2330" s="1065"/>
      <c r="AQ2330" s="1065"/>
    </row>
    <row r="2331" spans="2:45" hidden="1" outlineLevel="1">
      <c r="B2331"/>
      <c r="C2331" s="41" t="s">
        <v>16</v>
      </c>
      <c r="D2331" s="41" t="s">
        <v>836</v>
      </c>
      <c r="E2331" s="41" t="s">
        <v>720</v>
      </c>
      <c r="F2331" s="55"/>
      <c r="G2331" s="55"/>
      <c r="H2331" s="55">
        <v>1181570</v>
      </c>
      <c r="I2331" s="55">
        <v>1181570</v>
      </c>
      <c r="J2331" s="55">
        <v>1181570</v>
      </c>
      <c r="K2331" s="55">
        <v>1181570</v>
      </c>
      <c r="L2331" s="55">
        <v>1181570</v>
      </c>
      <c r="M2331" s="55">
        <v>1192476</v>
      </c>
      <c r="N2331" s="55">
        <v>1192476</v>
      </c>
      <c r="O2331" s="55">
        <v>1192476</v>
      </c>
      <c r="P2331" s="55">
        <v>1192476</v>
      </c>
      <c r="Q2331" s="55">
        <v>1192476</v>
      </c>
      <c r="R2331" s="55">
        <v>2777574</v>
      </c>
      <c r="S2331" s="55">
        <v>2777574</v>
      </c>
      <c r="T2331" s="55">
        <v>2777574</v>
      </c>
      <c r="U2331" s="55">
        <v>2777574</v>
      </c>
      <c r="V2331" s="55">
        <v>2777574</v>
      </c>
      <c r="W2331" s="55">
        <v>3687722</v>
      </c>
      <c r="X2331" s="55">
        <v>3687722</v>
      </c>
      <c r="Y2331" s="55">
        <v>3687722</v>
      </c>
      <c r="Z2331" s="55">
        <v>3687722</v>
      </c>
      <c r="AA2331" s="55">
        <v>3687722</v>
      </c>
      <c r="AB2331" s="55">
        <v>5519329</v>
      </c>
      <c r="AC2331" s="55">
        <v>5519329</v>
      </c>
      <c r="AD2331" s="55">
        <v>8278993</v>
      </c>
      <c r="AE2331" s="55">
        <v>8471116</v>
      </c>
      <c r="AF2331" s="55">
        <v>8471116</v>
      </c>
      <c r="AG2331" s="55">
        <v>7139067</v>
      </c>
      <c r="AH2331" s="55">
        <v>7139067</v>
      </c>
      <c r="AI2331" s="55">
        <v>7139067</v>
      </c>
      <c r="AJ2331" s="56">
        <v>7139067</v>
      </c>
      <c r="AK2331" s="56">
        <v>7139067</v>
      </c>
      <c r="AL2331" s="56">
        <v>7139067</v>
      </c>
      <c r="AM2331" s="56">
        <v>11136344</v>
      </c>
      <c r="AN2331" s="1065">
        <v>11136344</v>
      </c>
      <c r="AO2331" s="1065">
        <v>11136344</v>
      </c>
      <c r="AP2331" s="1065">
        <v>11136344</v>
      </c>
      <c r="AQ2331" s="1065">
        <v>11136344</v>
      </c>
    </row>
    <row r="2332" spans="2:45" hidden="1" outlineLevel="1">
      <c r="B2332"/>
      <c r="C2332" s="41" t="s">
        <v>16</v>
      </c>
      <c r="D2332" s="41" t="s">
        <v>836</v>
      </c>
      <c r="E2332" s="41" t="s">
        <v>721</v>
      </c>
      <c r="F2332" s="55"/>
      <c r="G2332" s="55"/>
      <c r="H2332" s="55">
        <v>1495197</v>
      </c>
      <c r="I2332" s="55">
        <v>1495197</v>
      </c>
      <c r="J2332" s="55">
        <v>1495197</v>
      </c>
      <c r="K2332" s="55">
        <v>1495197</v>
      </c>
      <c r="L2332" s="55">
        <v>1495197</v>
      </c>
      <c r="M2332" s="55">
        <v>1508998</v>
      </c>
      <c r="N2332" s="55">
        <v>1508998</v>
      </c>
      <c r="O2332" s="55">
        <v>1508998</v>
      </c>
      <c r="P2332" s="55">
        <v>1508998</v>
      </c>
      <c r="Q2332" s="55">
        <v>1508998</v>
      </c>
      <c r="R2332" s="55">
        <v>3506010</v>
      </c>
      <c r="S2332" s="55">
        <v>3506010</v>
      </c>
      <c r="T2332" s="55">
        <v>3506010</v>
      </c>
      <c r="U2332" s="55">
        <v>3506010</v>
      </c>
      <c r="V2332" s="55">
        <v>3506010</v>
      </c>
      <c r="W2332" s="55">
        <v>3555651</v>
      </c>
      <c r="X2332" s="55">
        <v>3555651</v>
      </c>
      <c r="Y2332" s="55">
        <v>3555651</v>
      </c>
      <c r="Z2332" s="55">
        <v>3555651</v>
      </c>
      <c r="AA2332" s="55">
        <v>3555651</v>
      </c>
      <c r="AB2332" s="55">
        <v>3368155</v>
      </c>
      <c r="AC2332" s="55">
        <v>3368155</v>
      </c>
      <c r="AD2332" s="55">
        <v>5052232</v>
      </c>
      <c r="AE2332" s="55">
        <v>5167540</v>
      </c>
      <c r="AF2332" s="55">
        <v>5167540</v>
      </c>
      <c r="AG2332" s="55">
        <v>5046885</v>
      </c>
      <c r="AH2332" s="55">
        <v>5046885</v>
      </c>
      <c r="AI2332" s="55">
        <v>5046885</v>
      </c>
      <c r="AJ2332" s="56">
        <v>5046885</v>
      </c>
      <c r="AK2332" s="56">
        <v>5046885</v>
      </c>
      <c r="AL2332" s="56">
        <v>5046885</v>
      </c>
      <c r="AM2332" s="56">
        <v>8966056</v>
      </c>
      <c r="AN2332" s="1065">
        <v>8966056</v>
      </c>
      <c r="AO2332" s="1065">
        <v>8966056</v>
      </c>
      <c r="AP2332" s="1065">
        <v>8966056</v>
      </c>
      <c r="AQ2332" s="1065">
        <v>8966056</v>
      </c>
    </row>
    <row r="2333" spans="2:45" hidden="1" outlineLevel="1">
      <c r="B2333"/>
      <c r="C2333" s="41" t="s">
        <v>16</v>
      </c>
      <c r="D2333" s="41" t="s">
        <v>836</v>
      </c>
      <c r="E2333" s="41" t="s">
        <v>722</v>
      </c>
      <c r="F2333" s="55"/>
      <c r="G2333" s="55"/>
      <c r="H2333" s="55">
        <v>926292</v>
      </c>
      <c r="I2333" s="55">
        <v>926292</v>
      </c>
      <c r="J2333" s="55">
        <v>926292</v>
      </c>
      <c r="K2333" s="55">
        <v>926292</v>
      </c>
      <c r="L2333" s="55">
        <v>926292</v>
      </c>
      <c r="M2333" s="55">
        <v>934842</v>
      </c>
      <c r="N2333" s="55">
        <v>934842</v>
      </c>
      <c r="O2333" s="55">
        <v>934842</v>
      </c>
      <c r="P2333" s="55">
        <v>934842</v>
      </c>
      <c r="Q2333" s="55">
        <v>934842</v>
      </c>
      <c r="R2333" s="55">
        <v>2181661</v>
      </c>
      <c r="S2333" s="55">
        <v>2181661</v>
      </c>
      <c r="T2333" s="55">
        <v>2181661</v>
      </c>
      <c r="U2333" s="55">
        <v>2181661</v>
      </c>
      <c r="V2333" s="55">
        <v>2181661</v>
      </c>
      <c r="W2333" s="55">
        <v>1778155</v>
      </c>
      <c r="X2333" s="55">
        <v>1778155</v>
      </c>
      <c r="Y2333" s="55">
        <v>1778155</v>
      </c>
      <c r="Z2333" s="55">
        <v>1778155</v>
      </c>
      <c r="AA2333" s="55">
        <v>1778155</v>
      </c>
      <c r="AB2333" s="55">
        <v>2086807</v>
      </c>
      <c r="AC2333" s="55">
        <v>2086807</v>
      </c>
      <c r="AD2333" s="55">
        <v>3130211</v>
      </c>
      <c r="AE2333" s="55">
        <v>3202241</v>
      </c>
      <c r="AF2333" s="55">
        <v>3202241</v>
      </c>
      <c r="AG2333" s="55">
        <v>3796436</v>
      </c>
      <c r="AH2333" s="55">
        <v>3796436</v>
      </c>
      <c r="AI2333" s="55">
        <v>3796436</v>
      </c>
      <c r="AJ2333" s="56">
        <v>3796436</v>
      </c>
      <c r="AK2333" s="56">
        <v>3796436</v>
      </c>
      <c r="AL2333" s="56">
        <v>3796436</v>
      </c>
      <c r="AM2333" s="56">
        <v>6709910</v>
      </c>
      <c r="AN2333" s="1065">
        <v>6709910</v>
      </c>
      <c r="AO2333" s="1065">
        <v>6709910</v>
      </c>
      <c r="AP2333" s="1065">
        <v>6709910</v>
      </c>
      <c r="AQ2333" s="1065">
        <v>6709910</v>
      </c>
    </row>
    <row r="2334" spans="2:45" hidden="1" outlineLevel="1">
      <c r="B2334"/>
      <c r="C2334" s="41" t="s">
        <v>16</v>
      </c>
      <c r="D2334" s="41" t="s">
        <v>836</v>
      </c>
      <c r="E2334" s="41" t="s">
        <v>723</v>
      </c>
      <c r="F2334" s="55"/>
      <c r="G2334" s="55"/>
      <c r="H2334" s="55">
        <v>2263930</v>
      </c>
      <c r="I2334" s="55">
        <v>2263930</v>
      </c>
      <c r="J2334" s="55">
        <v>2263930</v>
      </c>
      <c r="K2334" s="55">
        <v>2263930</v>
      </c>
      <c r="L2334" s="55">
        <v>2263930</v>
      </c>
      <c r="M2334" s="55">
        <v>2084948</v>
      </c>
      <c r="N2334" s="55">
        <v>2084948</v>
      </c>
      <c r="O2334" s="55">
        <v>2084948</v>
      </c>
      <c r="P2334" s="55">
        <v>2084948</v>
      </c>
      <c r="Q2334" s="55">
        <v>2084948</v>
      </c>
      <c r="R2334" s="55">
        <v>3701874</v>
      </c>
      <c r="S2334" s="55">
        <v>3701874</v>
      </c>
      <c r="T2334" s="55">
        <v>3701874</v>
      </c>
      <c r="U2334" s="55">
        <v>3701874</v>
      </c>
      <c r="V2334" s="55">
        <v>3701874</v>
      </c>
      <c r="W2334" s="55">
        <v>3671345</v>
      </c>
      <c r="X2334" s="55">
        <v>3671345</v>
      </c>
      <c r="Y2334" s="55">
        <v>3671345</v>
      </c>
      <c r="Z2334" s="55">
        <v>3671345</v>
      </c>
      <c r="AA2334" s="55">
        <v>3671345</v>
      </c>
      <c r="AB2334" s="55">
        <v>3184593</v>
      </c>
      <c r="AC2334" s="55">
        <v>3184593</v>
      </c>
      <c r="AD2334" s="55">
        <v>4776890</v>
      </c>
      <c r="AE2334" s="55">
        <v>4886159</v>
      </c>
      <c r="AF2334" s="55">
        <v>4886159</v>
      </c>
      <c r="AG2334" s="55">
        <v>4652995</v>
      </c>
      <c r="AH2334" s="55">
        <v>4652995</v>
      </c>
      <c r="AI2334" s="55">
        <v>4652995</v>
      </c>
      <c r="AJ2334" s="56">
        <v>4652995</v>
      </c>
      <c r="AK2334" s="56">
        <v>4652995</v>
      </c>
      <c r="AL2334" s="56">
        <v>4652995</v>
      </c>
      <c r="AM2334" s="56">
        <v>7164408</v>
      </c>
      <c r="AN2334" s="1065">
        <v>7164408</v>
      </c>
      <c r="AO2334" s="1065">
        <v>7164408</v>
      </c>
      <c r="AP2334" s="1065">
        <v>7164408</v>
      </c>
      <c r="AQ2334" s="1065">
        <v>7164408</v>
      </c>
    </row>
    <row r="2335" spans="2:45" hidden="1" outlineLevel="1">
      <c r="B2335"/>
      <c r="C2335" s="41" t="s">
        <v>16</v>
      </c>
      <c r="D2335" s="41" t="s">
        <v>836</v>
      </c>
      <c r="E2335" s="41" t="s">
        <v>724</v>
      </c>
      <c r="F2335" s="55"/>
      <c r="G2335" s="55"/>
      <c r="H2335" s="55">
        <v>2644381</v>
      </c>
      <c r="I2335" s="55">
        <v>2644381</v>
      </c>
      <c r="J2335" s="55">
        <v>2644381</v>
      </c>
      <c r="K2335" s="55">
        <v>2644381</v>
      </c>
      <c r="L2335" s="55">
        <v>2644381</v>
      </c>
      <c r="M2335" s="55">
        <v>2415634</v>
      </c>
      <c r="N2335" s="55">
        <v>2415634</v>
      </c>
      <c r="O2335" s="55">
        <v>2415634</v>
      </c>
      <c r="P2335" s="55">
        <v>2415634</v>
      </c>
      <c r="Q2335" s="55">
        <v>2415634</v>
      </c>
      <c r="R2335" s="55">
        <v>4531429</v>
      </c>
      <c r="S2335" s="55">
        <v>4531429</v>
      </c>
      <c r="T2335" s="55">
        <v>4531429</v>
      </c>
      <c r="U2335" s="55">
        <v>4531429</v>
      </c>
      <c r="V2335" s="55">
        <v>4531429</v>
      </c>
      <c r="W2335" s="55">
        <v>4229747</v>
      </c>
      <c r="X2335" s="55">
        <v>4229747</v>
      </c>
      <c r="Y2335" s="55">
        <v>4229747</v>
      </c>
      <c r="Z2335" s="55">
        <v>4229747</v>
      </c>
      <c r="AA2335" s="55">
        <v>4229747</v>
      </c>
      <c r="AB2335" s="55">
        <v>3563785</v>
      </c>
      <c r="AC2335" s="55">
        <v>3563785</v>
      </c>
      <c r="AD2335" s="55">
        <v>5345678</v>
      </c>
      <c r="AE2335" s="55">
        <v>5684047</v>
      </c>
      <c r="AF2335" s="55">
        <v>5684047</v>
      </c>
      <c r="AG2335" s="55">
        <v>5193232</v>
      </c>
      <c r="AH2335" s="55">
        <v>5193232</v>
      </c>
      <c r="AI2335" s="55">
        <v>5193232</v>
      </c>
      <c r="AJ2335" s="56">
        <v>5193232</v>
      </c>
      <c r="AK2335" s="56">
        <v>5193232</v>
      </c>
      <c r="AL2335" s="56">
        <v>5193232</v>
      </c>
      <c r="AM2335" s="56">
        <v>10786313</v>
      </c>
      <c r="AN2335" s="1065">
        <v>10786313</v>
      </c>
      <c r="AO2335" s="1065">
        <v>10786313</v>
      </c>
      <c r="AP2335" s="1065">
        <v>10786313</v>
      </c>
      <c r="AQ2335" s="1065">
        <v>10786313</v>
      </c>
    </row>
    <row r="2336" spans="2:45" hidden="1" outlineLevel="1">
      <c r="B2336"/>
      <c r="C2336" s="41" t="s">
        <v>16</v>
      </c>
      <c r="D2336" s="41" t="s">
        <v>836</v>
      </c>
      <c r="E2336" s="41" t="s">
        <v>725</v>
      </c>
      <c r="F2336" s="55"/>
      <c r="G2336" s="55"/>
      <c r="H2336" s="55">
        <v>608706</v>
      </c>
      <c r="I2336" s="55">
        <v>608706</v>
      </c>
      <c r="J2336" s="55">
        <v>608706</v>
      </c>
      <c r="K2336" s="55">
        <v>608706</v>
      </c>
      <c r="L2336" s="55">
        <v>608706</v>
      </c>
      <c r="M2336" s="55">
        <v>556051</v>
      </c>
      <c r="N2336" s="55">
        <v>556051</v>
      </c>
      <c r="O2336" s="55">
        <v>556051</v>
      </c>
      <c r="P2336" s="55">
        <v>556051</v>
      </c>
      <c r="Q2336" s="55">
        <v>556051</v>
      </c>
      <c r="R2336" s="55">
        <v>1041129</v>
      </c>
      <c r="S2336" s="55">
        <v>1041129</v>
      </c>
      <c r="T2336" s="55">
        <v>1041129</v>
      </c>
      <c r="U2336" s="55">
        <v>1041129</v>
      </c>
      <c r="V2336" s="55">
        <v>1041129</v>
      </c>
      <c r="W2336" s="55">
        <v>1027070</v>
      </c>
      <c r="X2336" s="55">
        <v>1027070</v>
      </c>
      <c r="Y2336" s="55">
        <v>1027070</v>
      </c>
      <c r="Z2336" s="55">
        <v>1027070</v>
      </c>
      <c r="AA2336" s="55">
        <v>1027070</v>
      </c>
      <c r="AB2336" s="55">
        <v>1097568</v>
      </c>
      <c r="AC2336" s="55">
        <v>1097568</v>
      </c>
      <c r="AD2336" s="55">
        <v>1646352</v>
      </c>
      <c r="AE2336" s="55">
        <v>1684587</v>
      </c>
      <c r="AF2336" s="55">
        <v>1684587</v>
      </c>
      <c r="AG2336" s="55">
        <v>1307907</v>
      </c>
      <c r="AH2336" s="55">
        <v>1307907</v>
      </c>
      <c r="AI2336" s="55">
        <v>1307907</v>
      </c>
      <c r="AJ2336" s="56">
        <v>1307907</v>
      </c>
      <c r="AK2336" s="56">
        <v>1307907</v>
      </c>
      <c r="AL2336" s="56">
        <v>1307907</v>
      </c>
      <c r="AM2336" s="56">
        <v>1823883</v>
      </c>
      <c r="AN2336" s="1065">
        <v>1823883</v>
      </c>
      <c r="AO2336" s="1065">
        <v>1823883</v>
      </c>
      <c r="AP2336" s="1065">
        <v>1823883</v>
      </c>
      <c r="AQ2336" s="1065">
        <v>1823883</v>
      </c>
    </row>
    <row r="2337" spans="2:43" hidden="1" outlineLevel="1">
      <c r="B2337"/>
      <c r="C2337" s="41" t="s">
        <v>16</v>
      </c>
      <c r="D2337" s="41" t="s">
        <v>836</v>
      </c>
      <c r="E2337" s="41" t="s">
        <v>726</v>
      </c>
      <c r="F2337" s="55"/>
      <c r="G2337" s="55"/>
      <c r="H2337" s="55">
        <v>10832584</v>
      </c>
      <c r="I2337" s="55">
        <v>10832584</v>
      </c>
      <c r="J2337" s="55">
        <v>10832584</v>
      </c>
      <c r="K2337" s="55">
        <v>10832584</v>
      </c>
      <c r="L2337" s="55">
        <v>10832584</v>
      </c>
      <c r="M2337" s="55">
        <v>10889380</v>
      </c>
      <c r="N2337" s="55">
        <v>10889380</v>
      </c>
      <c r="O2337" s="55">
        <v>10889380</v>
      </c>
      <c r="P2337" s="55">
        <v>10889380</v>
      </c>
      <c r="Q2337" s="55">
        <v>10889380</v>
      </c>
      <c r="R2337" s="55">
        <v>25999009</v>
      </c>
      <c r="S2337" s="55">
        <v>25999009</v>
      </c>
      <c r="T2337" s="55">
        <v>25999009</v>
      </c>
      <c r="U2337" s="55">
        <v>25999009</v>
      </c>
      <c r="V2337" s="55">
        <v>25999009</v>
      </c>
      <c r="W2337" s="55">
        <v>25986116</v>
      </c>
      <c r="X2337" s="55">
        <v>25986116</v>
      </c>
      <c r="Y2337" s="55">
        <v>25986116</v>
      </c>
      <c r="Z2337" s="55">
        <v>25986116</v>
      </c>
      <c r="AA2337" s="55">
        <v>25986116</v>
      </c>
      <c r="AB2337" s="55">
        <v>23517427</v>
      </c>
      <c r="AC2337" s="55">
        <v>23517427</v>
      </c>
      <c r="AD2337" s="55">
        <v>35276140</v>
      </c>
      <c r="AE2337" s="55">
        <v>36091538</v>
      </c>
      <c r="AF2337" s="55">
        <v>36091538</v>
      </c>
      <c r="AG2337" s="55">
        <v>35885768</v>
      </c>
      <c r="AH2337" s="55">
        <v>35885768</v>
      </c>
      <c r="AI2337" s="55">
        <v>35885768</v>
      </c>
      <c r="AJ2337" s="56">
        <v>35885768</v>
      </c>
      <c r="AK2337" s="56">
        <v>35885768</v>
      </c>
      <c r="AL2337" s="56">
        <v>35885768</v>
      </c>
      <c r="AM2337" s="56">
        <v>52770054</v>
      </c>
      <c r="AN2337" s="1065">
        <v>52770054</v>
      </c>
      <c r="AO2337" s="1065">
        <v>52770054</v>
      </c>
      <c r="AP2337" s="1065">
        <v>52770054</v>
      </c>
      <c r="AQ2337" s="1065">
        <v>52770054</v>
      </c>
    </row>
    <row r="2338" spans="2:43" hidden="1" outlineLevel="1">
      <c r="B2338"/>
      <c r="C2338" s="41" t="s">
        <v>16</v>
      </c>
      <c r="D2338" s="41" t="s">
        <v>836</v>
      </c>
      <c r="E2338" s="41" t="s">
        <v>727</v>
      </c>
      <c r="F2338" s="55"/>
      <c r="G2338" s="55"/>
      <c r="H2338" s="55">
        <v>2210732</v>
      </c>
      <c r="I2338" s="55">
        <v>2210732</v>
      </c>
      <c r="J2338" s="55">
        <v>2210732</v>
      </c>
      <c r="K2338" s="55">
        <v>2210732</v>
      </c>
      <c r="L2338" s="55">
        <v>2210732</v>
      </c>
      <c r="M2338" s="55">
        <v>2222322</v>
      </c>
      <c r="N2338" s="55">
        <v>2222322</v>
      </c>
      <c r="O2338" s="55">
        <v>2222322</v>
      </c>
      <c r="P2338" s="55">
        <v>2222322</v>
      </c>
      <c r="Q2338" s="55">
        <v>2222322</v>
      </c>
      <c r="R2338" s="55">
        <v>5310306</v>
      </c>
      <c r="S2338" s="55">
        <v>5310306</v>
      </c>
      <c r="T2338" s="55">
        <v>5310306</v>
      </c>
      <c r="U2338" s="55">
        <v>5310306</v>
      </c>
      <c r="V2338" s="55">
        <v>5310306</v>
      </c>
      <c r="W2338" s="55">
        <v>3853447</v>
      </c>
      <c r="X2338" s="55">
        <v>3853447</v>
      </c>
      <c r="Y2338" s="55">
        <v>3853447</v>
      </c>
      <c r="Z2338" s="55">
        <v>3853447</v>
      </c>
      <c r="AA2338" s="55">
        <v>3853447</v>
      </c>
      <c r="AB2338" s="55">
        <v>4000892</v>
      </c>
      <c r="AC2338" s="55">
        <v>4000892</v>
      </c>
      <c r="AD2338" s="55">
        <v>9628151</v>
      </c>
      <c r="AE2338" s="55">
        <v>9628151</v>
      </c>
      <c r="AF2338" s="55">
        <v>5355874</v>
      </c>
      <c r="AG2338" s="55">
        <v>5355874</v>
      </c>
      <c r="AH2338" s="55">
        <v>5214167</v>
      </c>
      <c r="AI2338" s="55">
        <v>5214167</v>
      </c>
      <c r="AJ2338" s="56">
        <v>5214167</v>
      </c>
      <c r="AK2338" s="56">
        <v>5214167</v>
      </c>
      <c r="AL2338" s="56">
        <v>5214167</v>
      </c>
      <c r="AM2338" s="56">
        <v>8005116</v>
      </c>
      <c r="AN2338" s="1065">
        <v>8005116</v>
      </c>
      <c r="AO2338" s="1065">
        <v>8005116</v>
      </c>
      <c r="AP2338" s="1065">
        <v>8005116</v>
      </c>
      <c r="AQ2338" s="1065">
        <v>8005116</v>
      </c>
    </row>
    <row r="2339" spans="2:43" hidden="1" outlineLevel="1">
      <c r="B2339"/>
      <c r="C2339" s="41" t="s">
        <v>16</v>
      </c>
      <c r="D2339" s="41" t="s">
        <v>836</v>
      </c>
      <c r="E2339" s="41" t="s">
        <v>728</v>
      </c>
      <c r="F2339" s="55"/>
      <c r="G2339" s="55"/>
      <c r="H2339" s="55">
        <v>2310571</v>
      </c>
      <c r="I2339" s="55">
        <v>2310571</v>
      </c>
      <c r="J2339" s="55">
        <v>2310571</v>
      </c>
      <c r="K2339" s="55">
        <v>2310571</v>
      </c>
      <c r="L2339" s="55">
        <v>2310571</v>
      </c>
      <c r="M2339" s="55">
        <v>2322685</v>
      </c>
      <c r="N2339" s="55">
        <v>2322685</v>
      </c>
      <c r="O2339" s="55">
        <v>2322685</v>
      </c>
      <c r="P2339" s="55">
        <v>2322685</v>
      </c>
      <c r="Q2339" s="55">
        <v>2322685</v>
      </c>
      <c r="R2339" s="55">
        <v>5539903</v>
      </c>
      <c r="S2339" s="55">
        <v>5539903</v>
      </c>
      <c r="T2339" s="55">
        <v>5539903</v>
      </c>
      <c r="U2339" s="55">
        <v>5539903</v>
      </c>
      <c r="V2339" s="55">
        <v>5539903</v>
      </c>
      <c r="W2339" s="55">
        <v>5453977</v>
      </c>
      <c r="X2339" s="55">
        <v>5453977</v>
      </c>
      <c r="Y2339" s="55">
        <v>5453977</v>
      </c>
      <c r="Z2339" s="55">
        <v>5453977</v>
      </c>
      <c r="AA2339" s="55">
        <v>5453977</v>
      </c>
      <c r="AB2339" s="55">
        <v>6418767</v>
      </c>
      <c r="AC2339" s="55">
        <v>6418767</v>
      </c>
      <c r="AD2339" s="55">
        <v>6001337</v>
      </c>
      <c r="AE2339" s="55">
        <v>6001337</v>
      </c>
      <c r="AF2339" s="55">
        <v>9548995</v>
      </c>
      <c r="AG2339" s="55">
        <v>9548995</v>
      </c>
      <c r="AH2339" s="55">
        <v>7435238</v>
      </c>
      <c r="AI2339" s="55">
        <v>7435238</v>
      </c>
      <c r="AJ2339" s="56">
        <v>7435238</v>
      </c>
      <c r="AK2339" s="56">
        <v>7435238</v>
      </c>
      <c r="AL2339" s="56">
        <v>7435238</v>
      </c>
      <c r="AM2339" s="56">
        <v>11752877</v>
      </c>
      <c r="AN2339" s="1065">
        <v>11752877</v>
      </c>
      <c r="AO2339" s="1065">
        <v>11752877</v>
      </c>
      <c r="AP2339" s="1065">
        <v>11752877</v>
      </c>
      <c r="AQ2339" s="1065">
        <v>11752877</v>
      </c>
    </row>
    <row r="2340" spans="2:43" hidden="1" outlineLevel="1">
      <c r="B2340"/>
      <c r="C2340" s="41" t="s">
        <v>16</v>
      </c>
      <c r="D2340" s="41" t="s">
        <v>836</v>
      </c>
      <c r="E2340" s="41" t="s">
        <v>729</v>
      </c>
      <c r="F2340" s="55"/>
      <c r="G2340" s="55"/>
      <c r="H2340" s="55">
        <v>363701</v>
      </c>
      <c r="I2340" s="55">
        <v>363701</v>
      </c>
      <c r="J2340" s="55">
        <v>363701</v>
      </c>
      <c r="K2340" s="55">
        <v>363701</v>
      </c>
      <c r="L2340" s="55">
        <v>363701</v>
      </c>
      <c r="M2340" s="55">
        <v>365609</v>
      </c>
      <c r="N2340" s="55">
        <v>365609</v>
      </c>
      <c r="O2340" s="55">
        <v>365609</v>
      </c>
      <c r="P2340" s="55">
        <v>365609</v>
      </c>
      <c r="Q2340" s="55">
        <v>365609</v>
      </c>
      <c r="R2340" s="55">
        <v>877752</v>
      </c>
      <c r="S2340" s="55">
        <v>877752</v>
      </c>
      <c r="T2340" s="55">
        <v>877752</v>
      </c>
      <c r="U2340" s="55">
        <v>877752</v>
      </c>
      <c r="V2340" s="55">
        <v>877752</v>
      </c>
      <c r="W2340" s="55">
        <v>1659449</v>
      </c>
      <c r="X2340" s="55">
        <v>1659449</v>
      </c>
      <c r="Y2340" s="55">
        <v>1659449</v>
      </c>
      <c r="Z2340" s="55">
        <v>1659449</v>
      </c>
      <c r="AA2340" s="55">
        <v>1659449</v>
      </c>
      <c r="AB2340" s="55">
        <v>1521922</v>
      </c>
      <c r="AC2340" s="55">
        <v>1521922</v>
      </c>
      <c r="AD2340" s="55">
        <v>2282883</v>
      </c>
      <c r="AE2340" s="55">
        <v>2282883</v>
      </c>
      <c r="AF2340" s="55">
        <v>2335692</v>
      </c>
      <c r="AG2340" s="55">
        <v>2335692</v>
      </c>
      <c r="AH2340" s="55">
        <v>2393921</v>
      </c>
      <c r="AI2340" s="55">
        <v>2393921</v>
      </c>
      <c r="AJ2340" s="56">
        <v>2393921</v>
      </c>
      <c r="AK2340" s="56">
        <v>2393921</v>
      </c>
      <c r="AL2340" s="56">
        <v>2393921</v>
      </c>
      <c r="AM2340" s="56">
        <v>4275861</v>
      </c>
      <c r="AN2340" s="1065">
        <v>4275861</v>
      </c>
      <c r="AO2340" s="1065">
        <v>4275861</v>
      </c>
      <c r="AP2340" s="1065">
        <v>4275861</v>
      </c>
      <c r="AQ2340" s="1065">
        <v>4275861</v>
      </c>
    </row>
    <row r="2341" spans="2:43" hidden="1" outlineLevel="1">
      <c r="B2341"/>
      <c r="C2341" s="41" t="s">
        <v>16</v>
      </c>
      <c r="D2341" s="41" t="s">
        <v>836</v>
      </c>
      <c r="E2341" s="41" t="s">
        <v>730</v>
      </c>
      <c r="F2341" s="55"/>
      <c r="G2341" s="55"/>
      <c r="H2341" s="55">
        <v>1693414</v>
      </c>
      <c r="I2341" s="55">
        <v>1693414</v>
      </c>
      <c r="J2341" s="55">
        <v>1693414</v>
      </c>
      <c r="K2341" s="55">
        <v>1693414</v>
      </c>
      <c r="L2341" s="55">
        <v>1693414</v>
      </c>
      <c r="M2341" s="55">
        <v>1645885</v>
      </c>
      <c r="N2341" s="55">
        <v>1645885</v>
      </c>
      <c r="O2341" s="55">
        <v>1645885</v>
      </c>
      <c r="P2341" s="55">
        <v>1645885</v>
      </c>
      <c r="Q2341" s="55">
        <v>1645885</v>
      </c>
      <c r="R2341" s="55">
        <v>2862203</v>
      </c>
      <c r="S2341" s="55">
        <v>2862203</v>
      </c>
      <c r="T2341" s="55">
        <v>2862203</v>
      </c>
      <c r="U2341" s="55">
        <v>2862203</v>
      </c>
      <c r="V2341" s="55">
        <v>2862203</v>
      </c>
      <c r="W2341" s="55">
        <v>3007669</v>
      </c>
      <c r="X2341" s="55">
        <v>3007669</v>
      </c>
      <c r="Y2341" s="55">
        <v>3007669</v>
      </c>
      <c r="Z2341" s="55">
        <v>3007669</v>
      </c>
      <c r="AA2341" s="55">
        <v>3007669</v>
      </c>
      <c r="AB2341" s="55">
        <v>2289565</v>
      </c>
      <c r="AC2341" s="55">
        <v>2289565</v>
      </c>
      <c r="AD2341" s="55">
        <v>3434348</v>
      </c>
      <c r="AE2341" s="55">
        <v>3810377</v>
      </c>
      <c r="AF2341" s="55">
        <v>3810377</v>
      </c>
      <c r="AG2341" s="55">
        <v>3559433</v>
      </c>
      <c r="AH2341" s="55">
        <v>3559433</v>
      </c>
      <c r="AI2341" s="55">
        <v>3559433</v>
      </c>
      <c r="AJ2341" s="56">
        <v>3559433</v>
      </c>
      <c r="AK2341" s="56">
        <v>3559433</v>
      </c>
      <c r="AL2341" s="56">
        <v>3559433</v>
      </c>
      <c r="AM2341" s="56">
        <v>5061412</v>
      </c>
      <c r="AN2341" s="1065">
        <v>5061412</v>
      </c>
      <c r="AO2341" s="1065">
        <v>5061412</v>
      </c>
      <c r="AP2341" s="1065">
        <v>5061412</v>
      </c>
      <c r="AQ2341" s="1065">
        <v>5061412</v>
      </c>
    </row>
    <row r="2342" spans="2:43" hidden="1" outlineLevel="1">
      <c r="B2342"/>
      <c r="C2342" s="41" t="s">
        <v>16</v>
      </c>
      <c r="D2342" s="41" t="s">
        <v>836</v>
      </c>
      <c r="E2342" s="41" t="s">
        <v>731</v>
      </c>
      <c r="F2342" s="55"/>
      <c r="G2342" s="55"/>
      <c r="H2342" s="55">
        <v>10949820</v>
      </c>
      <c r="I2342" s="55">
        <v>10949820</v>
      </c>
      <c r="J2342" s="55">
        <v>10949820</v>
      </c>
      <c r="K2342" s="55">
        <v>10949820</v>
      </c>
      <c r="L2342" s="55">
        <v>10949820</v>
      </c>
      <c r="M2342" s="55">
        <v>11444067</v>
      </c>
      <c r="N2342" s="55">
        <v>11444067</v>
      </c>
      <c r="O2342" s="55">
        <v>11444067</v>
      </c>
      <c r="P2342" s="55">
        <v>11444067</v>
      </c>
      <c r="Q2342" s="55">
        <v>11444067</v>
      </c>
      <c r="R2342" s="55">
        <v>20217740</v>
      </c>
      <c r="S2342" s="55">
        <v>20217740</v>
      </c>
      <c r="T2342" s="55">
        <v>20217740</v>
      </c>
      <c r="U2342" s="55">
        <v>20217740</v>
      </c>
      <c r="V2342" s="55">
        <v>20217740</v>
      </c>
      <c r="W2342" s="55">
        <v>18021033</v>
      </c>
      <c r="X2342" s="55">
        <v>18021033</v>
      </c>
      <c r="Y2342" s="55">
        <v>18021033</v>
      </c>
      <c r="Z2342" s="55">
        <v>18021033</v>
      </c>
      <c r="AA2342" s="55">
        <v>18021033</v>
      </c>
      <c r="AB2342" s="55">
        <v>17424822</v>
      </c>
      <c r="AC2342" s="55">
        <v>17424822</v>
      </c>
      <c r="AD2342" s="55">
        <v>26137233</v>
      </c>
      <c r="AE2342" s="55">
        <v>27122687</v>
      </c>
      <c r="AF2342" s="55">
        <v>27122687</v>
      </c>
      <c r="AG2342" s="55">
        <v>27846476</v>
      </c>
      <c r="AH2342" s="55">
        <v>27846476</v>
      </c>
      <c r="AI2342" s="55">
        <v>27846476</v>
      </c>
      <c r="AJ2342" s="56">
        <v>27846476</v>
      </c>
      <c r="AK2342" s="56">
        <v>27846476</v>
      </c>
      <c r="AL2342" s="56">
        <v>27846476</v>
      </c>
      <c r="AM2342" s="56">
        <v>37562056</v>
      </c>
      <c r="AN2342" s="1065">
        <v>37562056</v>
      </c>
      <c r="AO2342" s="1065">
        <v>37562056</v>
      </c>
      <c r="AP2342" s="1065">
        <v>37562056</v>
      </c>
      <c r="AQ2342" s="1065">
        <v>37562056</v>
      </c>
    </row>
    <row r="2343" spans="2:43" hidden="1" outlineLevel="1">
      <c r="B2343"/>
      <c r="C2343" s="41" t="s">
        <v>16</v>
      </c>
      <c r="D2343" s="41" t="s">
        <v>836</v>
      </c>
      <c r="E2343" s="244" t="s">
        <v>1370</v>
      </c>
      <c r="F2343" s="55"/>
      <c r="G2343" s="55"/>
      <c r="H2343" s="55"/>
      <c r="I2343" s="55"/>
      <c r="J2343" s="55"/>
      <c r="K2343" s="55"/>
      <c r="L2343" s="55"/>
      <c r="M2343" s="55"/>
      <c r="N2343" s="55"/>
      <c r="O2343" s="55"/>
      <c r="P2343" s="55"/>
      <c r="Q2343" s="55"/>
      <c r="R2343" s="55"/>
      <c r="S2343" s="55"/>
      <c r="T2343" s="55"/>
      <c r="U2343" s="55"/>
      <c r="V2343" s="55"/>
      <c r="W2343" s="55"/>
      <c r="X2343" s="55"/>
      <c r="Y2343" s="55"/>
      <c r="Z2343" s="55"/>
      <c r="AA2343" s="55"/>
      <c r="AB2343" s="55"/>
      <c r="AC2343" s="55"/>
      <c r="AD2343" s="55"/>
      <c r="AE2343" s="55"/>
      <c r="AF2343" s="55"/>
      <c r="AG2343" s="55"/>
      <c r="AH2343" s="55"/>
      <c r="AI2343" s="55"/>
      <c r="AJ2343" s="56"/>
      <c r="AK2343" s="56"/>
      <c r="AL2343" s="56"/>
      <c r="AM2343" s="56">
        <v>2113004</v>
      </c>
      <c r="AN2343" s="1065">
        <v>2113004</v>
      </c>
      <c r="AO2343" s="1065">
        <v>2113004</v>
      </c>
      <c r="AP2343" s="1065">
        <v>2113004</v>
      </c>
      <c r="AQ2343" s="1065">
        <v>2113004</v>
      </c>
    </row>
    <row r="2344" spans="2:43" hidden="1" outlineLevel="1">
      <c r="B2344"/>
      <c r="C2344" s="41" t="s">
        <v>16</v>
      </c>
      <c r="D2344" s="41" t="s">
        <v>836</v>
      </c>
      <c r="E2344" s="41" t="s">
        <v>732</v>
      </c>
      <c r="F2344" s="55"/>
      <c r="G2344" s="55"/>
      <c r="H2344" s="55">
        <v>5146404</v>
      </c>
      <c r="I2344" s="55">
        <v>5146404</v>
      </c>
      <c r="J2344" s="55">
        <v>5146404</v>
      </c>
      <c r="K2344" s="55">
        <v>5146404</v>
      </c>
      <c r="L2344" s="55">
        <v>5146404</v>
      </c>
      <c r="M2344" s="55">
        <v>5152124</v>
      </c>
      <c r="N2344" s="55">
        <v>5152124</v>
      </c>
      <c r="O2344" s="55">
        <v>5152124</v>
      </c>
      <c r="P2344" s="55">
        <v>5152124</v>
      </c>
      <c r="Q2344" s="55">
        <v>5152124</v>
      </c>
      <c r="R2344" s="55">
        <v>6468273</v>
      </c>
      <c r="S2344" s="55">
        <v>6468273</v>
      </c>
      <c r="T2344" s="55">
        <v>6468273</v>
      </c>
      <c r="U2344" s="55">
        <v>6468273</v>
      </c>
      <c r="V2344" s="55">
        <v>6468273</v>
      </c>
      <c r="W2344" s="55">
        <v>6633109</v>
      </c>
      <c r="X2344" s="55">
        <v>6633109</v>
      </c>
      <c r="Y2344" s="55">
        <v>6633109</v>
      </c>
      <c r="Z2344" s="55">
        <v>6633109</v>
      </c>
      <c r="AA2344" s="55">
        <v>6633109</v>
      </c>
      <c r="AB2344" s="55">
        <v>4683847</v>
      </c>
      <c r="AC2344" s="55">
        <v>4683847</v>
      </c>
      <c r="AD2344" s="55">
        <v>7025771</v>
      </c>
      <c r="AE2344" s="55">
        <v>6907643</v>
      </c>
      <c r="AF2344" s="55">
        <v>6907643</v>
      </c>
      <c r="AG2344" s="55">
        <v>8425937</v>
      </c>
      <c r="AH2344" s="55">
        <v>8425937</v>
      </c>
      <c r="AI2344" s="55">
        <v>8425937</v>
      </c>
      <c r="AJ2344" s="56">
        <v>8425937</v>
      </c>
      <c r="AK2344" s="56">
        <v>8425937</v>
      </c>
      <c r="AL2344" s="56">
        <v>8425937</v>
      </c>
      <c r="AM2344" s="56">
        <v>11636163</v>
      </c>
      <c r="AN2344" s="1065">
        <v>11636163</v>
      </c>
      <c r="AO2344" s="1065">
        <v>11636163</v>
      </c>
      <c r="AP2344" s="1065">
        <v>11636163</v>
      </c>
      <c r="AQ2344" s="1065">
        <v>11636163</v>
      </c>
    </row>
    <row r="2345" spans="2:43" hidden="1" outlineLevel="1">
      <c r="B2345"/>
      <c r="C2345" s="41" t="s">
        <v>16</v>
      </c>
      <c r="D2345" s="41" t="s">
        <v>836</v>
      </c>
      <c r="E2345" s="41" t="s">
        <v>733</v>
      </c>
      <c r="F2345" s="55"/>
      <c r="G2345" s="55"/>
      <c r="H2345" s="55">
        <v>4149730</v>
      </c>
      <c r="I2345" s="55">
        <v>4149730</v>
      </c>
      <c r="J2345" s="55">
        <v>4149730</v>
      </c>
      <c r="K2345" s="55">
        <v>4149730</v>
      </c>
      <c r="L2345" s="55">
        <v>4149730</v>
      </c>
      <c r="M2345" s="55">
        <v>3896436</v>
      </c>
      <c r="N2345" s="55">
        <v>3896436</v>
      </c>
      <c r="O2345" s="55">
        <v>3896436</v>
      </c>
      <c r="P2345" s="55">
        <v>3896436</v>
      </c>
      <c r="Q2345" s="55">
        <v>3896436</v>
      </c>
      <c r="R2345" s="55">
        <v>7199288</v>
      </c>
      <c r="S2345" s="55">
        <v>7199288</v>
      </c>
      <c r="T2345" s="55">
        <v>7199288</v>
      </c>
      <c r="U2345" s="55">
        <v>7199288</v>
      </c>
      <c r="V2345" s="55">
        <v>7199288</v>
      </c>
      <c r="W2345" s="55">
        <v>6191493</v>
      </c>
      <c r="X2345" s="55">
        <v>6191493</v>
      </c>
      <c r="Y2345" s="55">
        <v>6191493</v>
      </c>
      <c r="Z2345" s="55">
        <v>6191493</v>
      </c>
      <c r="AA2345" s="55">
        <v>6191493</v>
      </c>
      <c r="AB2345" s="55">
        <v>7437642</v>
      </c>
      <c r="AC2345" s="55">
        <v>7437642</v>
      </c>
      <c r="AD2345" s="55">
        <v>11156463</v>
      </c>
      <c r="AE2345" s="55">
        <v>11283387</v>
      </c>
      <c r="AF2345" s="55">
        <v>11283387</v>
      </c>
      <c r="AG2345" s="55">
        <v>8894700</v>
      </c>
      <c r="AH2345" s="55">
        <v>8894700</v>
      </c>
      <c r="AI2345" s="55">
        <v>8894700</v>
      </c>
      <c r="AJ2345" s="56">
        <v>8894700</v>
      </c>
      <c r="AK2345" s="56">
        <v>8894700</v>
      </c>
      <c r="AL2345" s="56">
        <v>8894700</v>
      </c>
      <c r="AM2345" s="56">
        <v>11659843</v>
      </c>
      <c r="AN2345" s="1065">
        <v>11659843</v>
      </c>
      <c r="AO2345" s="1065">
        <v>11659843</v>
      </c>
      <c r="AP2345" s="1065">
        <v>11659843</v>
      </c>
      <c r="AQ2345" s="1065">
        <v>11659843</v>
      </c>
    </row>
    <row r="2346" spans="2:43" hidden="1" outlineLevel="1">
      <c r="B2346"/>
      <c r="C2346" s="41" t="s">
        <v>16</v>
      </c>
      <c r="D2346" s="41" t="s">
        <v>836</v>
      </c>
      <c r="E2346" s="41" t="s">
        <v>734</v>
      </c>
      <c r="F2346" s="55"/>
      <c r="G2346" s="55"/>
      <c r="H2346" s="55">
        <v>2700000</v>
      </c>
      <c r="I2346" s="55">
        <v>2700000</v>
      </c>
      <c r="J2346" s="55">
        <v>2700000</v>
      </c>
      <c r="K2346" s="55">
        <v>2700000</v>
      </c>
      <c r="L2346" s="55">
        <v>2700000</v>
      </c>
      <c r="M2346" s="55">
        <v>2700000</v>
      </c>
      <c r="N2346" s="55">
        <v>2700000</v>
      </c>
      <c r="O2346" s="55">
        <v>2700000</v>
      </c>
      <c r="P2346" s="55">
        <v>2700000</v>
      </c>
      <c r="Q2346" s="55">
        <v>2700000</v>
      </c>
      <c r="R2346" s="55">
        <v>1000000</v>
      </c>
      <c r="S2346" s="55">
        <v>1000000</v>
      </c>
      <c r="T2346" s="55">
        <v>1000000</v>
      </c>
      <c r="U2346" s="55">
        <v>1000000</v>
      </c>
      <c r="V2346" s="55">
        <v>1000000</v>
      </c>
      <c r="W2346" s="55">
        <v>1000000</v>
      </c>
      <c r="X2346" s="55">
        <v>1000000</v>
      </c>
      <c r="Y2346" s="55">
        <v>1000000</v>
      </c>
      <c r="Z2346" s="55">
        <v>1000000</v>
      </c>
      <c r="AA2346" s="55">
        <v>1000000</v>
      </c>
      <c r="AB2346" s="55"/>
      <c r="AC2346" s="55"/>
      <c r="AD2346" s="55"/>
      <c r="AE2346" s="55"/>
      <c r="AF2346" s="55"/>
      <c r="AG2346" s="55"/>
      <c r="AH2346" s="55"/>
      <c r="AI2346" s="55"/>
      <c r="AJ2346" s="56"/>
      <c r="AK2346" s="56"/>
      <c r="AL2346" s="56"/>
      <c r="AM2346" s="56"/>
      <c r="AN2346" s="1065"/>
      <c r="AO2346" s="1065"/>
      <c r="AP2346" s="1065"/>
      <c r="AQ2346" s="1065"/>
    </row>
    <row r="2347" spans="2:43" hidden="1" outlineLevel="1">
      <c r="C2347" s="41" t="s">
        <v>16</v>
      </c>
      <c r="D2347" s="41" t="s">
        <v>836</v>
      </c>
      <c r="E2347" s="41" t="s">
        <v>735</v>
      </c>
      <c r="F2347" s="55"/>
      <c r="G2347" s="55"/>
      <c r="H2347" s="55">
        <v>10696291</v>
      </c>
      <c r="I2347" s="55">
        <v>10696291</v>
      </c>
      <c r="J2347" s="55">
        <v>10696291</v>
      </c>
      <c r="K2347" s="55">
        <v>10696291</v>
      </c>
      <c r="L2347" s="55">
        <v>10696291</v>
      </c>
      <c r="M2347" s="55">
        <v>10538296</v>
      </c>
      <c r="N2347" s="55">
        <v>10538296</v>
      </c>
      <c r="O2347" s="55">
        <v>10538296</v>
      </c>
      <c r="P2347" s="55">
        <v>10538296</v>
      </c>
      <c r="Q2347" s="55">
        <v>10538296</v>
      </c>
      <c r="R2347" s="55">
        <v>16887085</v>
      </c>
      <c r="S2347" s="55">
        <v>16887085</v>
      </c>
      <c r="T2347" s="55">
        <v>16887085</v>
      </c>
      <c r="U2347" s="55">
        <v>16887085</v>
      </c>
      <c r="V2347" s="55">
        <v>16887085</v>
      </c>
      <c r="W2347" s="55">
        <v>20961881</v>
      </c>
      <c r="X2347" s="55">
        <v>20961881</v>
      </c>
      <c r="Y2347" s="55">
        <v>20961881</v>
      </c>
      <c r="Z2347" s="55">
        <v>20961881</v>
      </c>
      <c r="AA2347" s="55">
        <v>20961881</v>
      </c>
      <c r="AB2347" s="55">
        <v>17886318</v>
      </c>
      <c r="AC2347" s="55">
        <v>17886318</v>
      </c>
      <c r="AD2347" s="55">
        <v>26829477</v>
      </c>
      <c r="AE2347" s="55">
        <v>27446656</v>
      </c>
      <c r="AF2347" s="55">
        <v>27446656</v>
      </c>
      <c r="AG2347" s="55">
        <v>23936088</v>
      </c>
      <c r="AH2347" s="55">
        <v>23936088</v>
      </c>
      <c r="AI2347" s="55">
        <v>23936088</v>
      </c>
      <c r="AJ2347" s="56">
        <v>23936088</v>
      </c>
      <c r="AK2347" s="56">
        <v>23936088</v>
      </c>
      <c r="AL2347" s="56">
        <v>23936088</v>
      </c>
      <c r="AM2347" s="56">
        <v>49225809</v>
      </c>
      <c r="AN2347" s="1065">
        <v>49225809</v>
      </c>
      <c r="AO2347" s="1065">
        <v>49225809</v>
      </c>
      <c r="AP2347" s="1065">
        <v>49225809</v>
      </c>
      <c r="AQ2347" s="1065">
        <v>49225809</v>
      </c>
    </row>
    <row r="2348" spans="2:43" hidden="1" outlineLevel="1">
      <c r="C2348" s="41" t="s">
        <v>16</v>
      </c>
      <c r="D2348" s="41" t="s">
        <v>836</v>
      </c>
      <c r="E2348" s="41" t="s">
        <v>736</v>
      </c>
      <c r="F2348" s="55"/>
      <c r="G2348" s="55"/>
      <c r="H2348" s="55">
        <v>2917800</v>
      </c>
      <c r="I2348" s="55">
        <v>2917800</v>
      </c>
      <c r="J2348" s="55">
        <v>2917800</v>
      </c>
      <c r="K2348" s="55">
        <v>2917800</v>
      </c>
      <c r="L2348" s="55">
        <v>2917800</v>
      </c>
      <c r="M2348" s="55">
        <v>2957205</v>
      </c>
      <c r="N2348" s="55">
        <v>2957205</v>
      </c>
      <c r="O2348" s="55">
        <v>2957205</v>
      </c>
      <c r="P2348" s="55">
        <v>2957205</v>
      </c>
      <c r="Q2348" s="55">
        <v>2957205</v>
      </c>
      <c r="R2348" s="55">
        <v>3480539</v>
      </c>
      <c r="S2348" s="55">
        <v>3480539</v>
      </c>
      <c r="T2348" s="55">
        <v>3480539</v>
      </c>
      <c r="U2348" s="55">
        <v>3480539</v>
      </c>
      <c r="V2348" s="55">
        <v>3480539</v>
      </c>
      <c r="W2348" s="55">
        <v>3887211</v>
      </c>
      <c r="X2348" s="55">
        <v>3887211</v>
      </c>
      <c r="Y2348" s="55">
        <v>3887211</v>
      </c>
      <c r="Z2348" s="55">
        <v>3887211</v>
      </c>
      <c r="AA2348" s="55">
        <v>3887211</v>
      </c>
      <c r="AB2348" s="55">
        <v>2390535</v>
      </c>
      <c r="AC2348" s="55">
        <v>2390535</v>
      </c>
      <c r="AD2348" s="55">
        <v>3585802</v>
      </c>
      <c r="AE2348" s="55">
        <v>3667497</v>
      </c>
      <c r="AF2348" s="55">
        <v>3667497</v>
      </c>
      <c r="AG2348" s="55">
        <v>3743027</v>
      </c>
      <c r="AH2348" s="55">
        <v>3743027</v>
      </c>
      <c r="AI2348" s="55">
        <v>3743027</v>
      </c>
      <c r="AJ2348" s="56">
        <v>3743027</v>
      </c>
      <c r="AK2348" s="56">
        <v>3743027</v>
      </c>
      <c r="AL2348" s="56">
        <v>3743027</v>
      </c>
      <c r="AM2348" s="56">
        <v>5320102</v>
      </c>
      <c r="AN2348" s="1065">
        <v>5320102</v>
      </c>
      <c r="AO2348" s="1065">
        <v>5320102</v>
      </c>
      <c r="AP2348" s="1065">
        <v>5320102</v>
      </c>
      <c r="AQ2348" s="1065">
        <v>5320102</v>
      </c>
    </row>
    <row r="2349" spans="2:43" hidden="1" outlineLevel="1">
      <c r="C2349" s="41" t="s">
        <v>16</v>
      </c>
      <c r="D2349" s="41" t="s">
        <v>836</v>
      </c>
      <c r="E2349" s="41" t="s">
        <v>737</v>
      </c>
      <c r="F2349" s="55"/>
      <c r="G2349" s="55"/>
      <c r="H2349" s="55">
        <v>3586150</v>
      </c>
      <c r="I2349" s="55">
        <v>3586150</v>
      </c>
      <c r="J2349" s="55">
        <v>3586150</v>
      </c>
      <c r="K2349" s="55">
        <v>3586150</v>
      </c>
      <c r="L2349" s="55">
        <v>3586150</v>
      </c>
      <c r="M2349" s="55">
        <v>3583869</v>
      </c>
      <c r="N2349" s="55">
        <v>3583869</v>
      </c>
      <c r="O2349" s="55">
        <v>3583869</v>
      </c>
      <c r="P2349" s="55">
        <v>3583869</v>
      </c>
      <c r="Q2349" s="55">
        <v>3583869</v>
      </c>
      <c r="R2349" s="55">
        <v>6849160</v>
      </c>
      <c r="S2349" s="55">
        <v>6849160</v>
      </c>
      <c r="T2349" s="55">
        <v>6849160</v>
      </c>
      <c r="U2349" s="55">
        <v>6849160</v>
      </c>
      <c r="V2349" s="55">
        <v>6849160</v>
      </c>
      <c r="W2349" s="55">
        <v>6974897</v>
      </c>
      <c r="X2349" s="55">
        <v>6974897</v>
      </c>
      <c r="Y2349" s="55">
        <v>6974897</v>
      </c>
      <c r="Z2349" s="55">
        <v>6974897</v>
      </c>
      <c r="AA2349" s="55">
        <v>6974897</v>
      </c>
      <c r="AB2349" s="55">
        <v>5616139</v>
      </c>
      <c r="AC2349" s="55">
        <v>5616139</v>
      </c>
      <c r="AD2349" s="55">
        <v>8424209</v>
      </c>
      <c r="AE2349" s="55">
        <v>8615167</v>
      </c>
      <c r="AF2349" s="55">
        <v>8615167</v>
      </c>
      <c r="AG2349" s="55">
        <v>10169695</v>
      </c>
      <c r="AH2349" s="55">
        <v>10169695</v>
      </c>
      <c r="AI2349" s="55">
        <v>10169695</v>
      </c>
      <c r="AJ2349" s="56">
        <v>10169695</v>
      </c>
      <c r="AK2349" s="56">
        <v>10169695</v>
      </c>
      <c r="AL2349" s="56">
        <v>10169695</v>
      </c>
      <c r="AM2349" s="763">
        <v>14846558</v>
      </c>
      <c r="AN2349" s="763">
        <v>14846558</v>
      </c>
      <c r="AO2349" s="763">
        <v>14846558</v>
      </c>
      <c r="AP2349" s="763">
        <v>14846558</v>
      </c>
      <c r="AQ2349" s="763">
        <v>14846558</v>
      </c>
    </row>
    <row r="2350" spans="2:43" hidden="1" outlineLevel="1">
      <c r="C2350" s="41" t="s">
        <v>16</v>
      </c>
      <c r="D2350" s="41" t="s">
        <v>836</v>
      </c>
      <c r="E2350" s="618" t="s">
        <v>1565</v>
      </c>
      <c r="F2350" s="55"/>
      <c r="G2350" s="55"/>
      <c r="H2350" s="55">
        <v>10147621</v>
      </c>
      <c r="I2350" s="55">
        <v>10147621</v>
      </c>
      <c r="J2350" s="55">
        <v>10147621</v>
      </c>
      <c r="K2350" s="55">
        <v>10147621</v>
      </c>
      <c r="L2350" s="55">
        <v>10147621</v>
      </c>
      <c r="M2350" s="55">
        <v>10284663</v>
      </c>
      <c r="N2350" s="55">
        <v>10284663</v>
      </c>
      <c r="O2350" s="55">
        <v>10284663</v>
      </c>
      <c r="P2350" s="55">
        <v>10284663</v>
      </c>
      <c r="Q2350" s="55">
        <v>10284663</v>
      </c>
      <c r="R2350" s="55">
        <v>12090983</v>
      </c>
      <c r="S2350" s="55">
        <v>12090983</v>
      </c>
      <c r="T2350" s="55">
        <v>12090983</v>
      </c>
      <c r="U2350" s="55">
        <v>12090983</v>
      </c>
      <c r="V2350" s="55">
        <v>12090983</v>
      </c>
      <c r="W2350" s="55">
        <v>14479112</v>
      </c>
      <c r="X2350" s="55">
        <v>14479112</v>
      </c>
      <c r="Y2350" s="55">
        <v>14479112</v>
      </c>
      <c r="Z2350" s="55">
        <v>14479112</v>
      </c>
      <c r="AA2350" s="55">
        <v>14479112</v>
      </c>
      <c r="AB2350" s="55">
        <v>13199517</v>
      </c>
      <c r="AC2350" s="55">
        <v>13199517</v>
      </c>
      <c r="AD2350" s="55">
        <v>19799276</v>
      </c>
      <c r="AE2350" s="55">
        <v>20258248</v>
      </c>
      <c r="AF2350" s="55">
        <v>20258248</v>
      </c>
      <c r="AG2350" s="55">
        <v>21863258</v>
      </c>
      <c r="AH2350" s="55">
        <v>21863258</v>
      </c>
      <c r="AI2350" s="55">
        <v>21863258</v>
      </c>
      <c r="AJ2350" s="56">
        <v>21863258</v>
      </c>
      <c r="AK2350" s="56">
        <v>21863258</v>
      </c>
      <c r="AL2350" s="56">
        <v>21863258</v>
      </c>
      <c r="AM2350" s="56">
        <v>37162755</v>
      </c>
      <c r="AN2350" s="1065">
        <v>37162755</v>
      </c>
      <c r="AO2350" s="1065">
        <v>37162755</v>
      </c>
      <c r="AP2350" s="1065">
        <v>37162755</v>
      </c>
      <c r="AQ2350" s="1065">
        <v>37162755</v>
      </c>
    </row>
    <row r="2351" spans="2:43" hidden="1" outlineLevel="1">
      <c r="C2351" s="41" t="s">
        <v>16</v>
      </c>
      <c r="D2351" s="41" t="s">
        <v>836</v>
      </c>
      <c r="E2351" s="57" t="s">
        <v>738</v>
      </c>
      <c r="F2351" s="55"/>
      <c r="G2351" s="55"/>
      <c r="H2351" s="55">
        <v>4747091</v>
      </c>
      <c r="I2351" s="55">
        <v>4747091</v>
      </c>
      <c r="J2351" s="55">
        <v>4747091</v>
      </c>
      <c r="K2351" s="55">
        <v>4747091</v>
      </c>
      <c r="L2351" s="55">
        <v>4747091</v>
      </c>
      <c r="M2351" s="55">
        <v>4716092</v>
      </c>
      <c r="N2351" s="55">
        <v>4716092</v>
      </c>
      <c r="O2351" s="55">
        <v>4716092</v>
      </c>
      <c r="P2351" s="55">
        <v>4716092</v>
      </c>
      <c r="Q2351" s="55">
        <v>4716092</v>
      </c>
      <c r="R2351" s="55">
        <v>6263273</v>
      </c>
      <c r="S2351" s="55">
        <v>6263273</v>
      </c>
      <c r="T2351" s="55">
        <v>6263273</v>
      </c>
      <c r="U2351" s="55">
        <v>6263273</v>
      </c>
      <c r="V2351" s="55">
        <v>6263273</v>
      </c>
      <c r="W2351" s="55">
        <v>5245505</v>
      </c>
      <c r="X2351" s="55">
        <v>5245505</v>
      </c>
      <c r="Y2351" s="55">
        <v>5245505</v>
      </c>
      <c r="Z2351" s="55">
        <v>5245505</v>
      </c>
      <c r="AA2351" s="55">
        <v>5245505</v>
      </c>
      <c r="AB2351" s="55">
        <v>5807057</v>
      </c>
      <c r="AC2351" s="55">
        <v>5807057</v>
      </c>
      <c r="AD2351" s="55">
        <v>8710585.532183582</v>
      </c>
      <c r="AE2351" s="55">
        <v>8028333</v>
      </c>
      <c r="AF2351" s="55">
        <v>8028333</v>
      </c>
      <c r="AG2351" s="55">
        <v>8330933</v>
      </c>
      <c r="AH2351" s="55">
        <v>8330933</v>
      </c>
      <c r="AI2351" s="55">
        <v>8330933</v>
      </c>
      <c r="AJ2351" s="56">
        <v>8330933</v>
      </c>
      <c r="AK2351" s="56">
        <v>8330933</v>
      </c>
      <c r="AL2351" s="56">
        <v>8330933</v>
      </c>
      <c r="AM2351" s="56">
        <v>14101882</v>
      </c>
      <c r="AN2351" s="1065">
        <v>14101882</v>
      </c>
      <c r="AO2351" s="1065">
        <v>14101882</v>
      </c>
      <c r="AP2351" s="1065">
        <v>14101882</v>
      </c>
      <c r="AQ2351" s="1065">
        <v>14101882</v>
      </c>
    </row>
    <row r="2352" spans="2:43" hidden="1" outlineLevel="1">
      <c r="C2352" s="41" t="s">
        <v>16</v>
      </c>
      <c r="D2352" s="41" t="s">
        <v>1203</v>
      </c>
      <c r="E2352" s="57" t="s">
        <v>739</v>
      </c>
      <c r="F2352" s="55"/>
      <c r="G2352" s="55"/>
      <c r="H2352" s="55"/>
      <c r="I2352" s="55"/>
      <c r="J2352" s="55"/>
      <c r="K2352" s="55"/>
      <c r="L2352" s="55"/>
      <c r="M2352" s="55"/>
      <c r="N2352" s="55"/>
      <c r="O2352" s="55"/>
      <c r="P2352" s="55"/>
      <c r="Q2352" s="55"/>
      <c r="R2352" s="55"/>
      <c r="S2352" s="55"/>
      <c r="T2352" s="55"/>
      <c r="U2352" s="55"/>
      <c r="V2352" s="55"/>
      <c r="W2352" s="55">
        <v>491946</v>
      </c>
      <c r="X2352" s="55">
        <v>491946</v>
      </c>
      <c r="Y2352" s="55">
        <v>491946</v>
      </c>
      <c r="Z2352" s="55">
        <v>491946</v>
      </c>
      <c r="AA2352" s="55">
        <v>491946</v>
      </c>
      <c r="AB2352" s="55">
        <v>1666615</v>
      </c>
      <c r="AC2352" s="55">
        <v>1666615</v>
      </c>
      <c r="AD2352" s="55">
        <v>2499922.8753756005</v>
      </c>
      <c r="AE2352" s="55">
        <v>1825332</v>
      </c>
      <c r="AF2352" s="55">
        <v>1825332</v>
      </c>
      <c r="AG2352" s="55">
        <v>2332463</v>
      </c>
      <c r="AH2352" s="55">
        <v>2332463</v>
      </c>
      <c r="AI2352" s="55">
        <v>2332463</v>
      </c>
      <c r="AJ2352" s="56">
        <v>2332463</v>
      </c>
      <c r="AK2352" s="56">
        <v>2332463</v>
      </c>
      <c r="AL2352" s="56">
        <v>2332463</v>
      </c>
      <c r="AM2352" s="56">
        <v>2580521</v>
      </c>
      <c r="AN2352" s="1065">
        <v>2580521</v>
      </c>
      <c r="AO2352" s="1065">
        <v>2580521</v>
      </c>
      <c r="AP2352" s="1065">
        <v>2580521</v>
      </c>
      <c r="AQ2352" s="1065">
        <v>2580521</v>
      </c>
    </row>
    <row r="2353" spans="2:44" hidden="1" outlineLevel="1">
      <c r="C2353" s="41" t="s">
        <v>16</v>
      </c>
      <c r="D2353" s="41" t="s">
        <v>1352</v>
      </c>
      <c r="E2353" s="41" t="s">
        <v>740</v>
      </c>
      <c r="F2353" s="55"/>
      <c r="G2353" s="55"/>
      <c r="H2353" s="55">
        <v>739301</v>
      </c>
      <c r="I2353" s="55">
        <v>739301</v>
      </c>
      <c r="J2353" s="55">
        <v>739301</v>
      </c>
      <c r="K2353" s="55">
        <v>739301</v>
      </c>
      <c r="L2353" s="55">
        <v>739301</v>
      </c>
      <c r="M2353" s="55">
        <v>734473</v>
      </c>
      <c r="N2353" s="55">
        <v>734473</v>
      </c>
      <c r="O2353" s="55">
        <v>734473</v>
      </c>
      <c r="P2353" s="55">
        <v>734473</v>
      </c>
      <c r="Q2353" s="55">
        <v>734473</v>
      </c>
      <c r="R2353" s="55">
        <v>982343</v>
      </c>
      <c r="S2353" s="55">
        <v>982343</v>
      </c>
      <c r="T2353" s="55">
        <v>982343</v>
      </c>
      <c r="U2353" s="55">
        <v>982343</v>
      </c>
      <c r="V2353" s="55">
        <v>982343</v>
      </c>
      <c r="W2353" s="55">
        <v>743967</v>
      </c>
      <c r="X2353" s="55">
        <v>743967</v>
      </c>
      <c r="Y2353" s="55">
        <v>743967</v>
      </c>
      <c r="Z2353" s="55">
        <v>743967</v>
      </c>
      <c r="AA2353" s="55">
        <v>743967</v>
      </c>
      <c r="AB2353" s="55">
        <v>743365</v>
      </c>
      <c r="AC2353" s="55">
        <v>743365</v>
      </c>
      <c r="AD2353" s="55">
        <v>1115048</v>
      </c>
      <c r="AE2353" s="55">
        <v>1140745</v>
      </c>
      <c r="AF2353" s="55">
        <v>1140745</v>
      </c>
      <c r="AG2353" s="55">
        <v>1235752</v>
      </c>
      <c r="AH2353" s="55">
        <v>1235752</v>
      </c>
      <c r="AI2353" s="55">
        <v>1235752</v>
      </c>
      <c r="AJ2353" s="56">
        <v>1235752</v>
      </c>
      <c r="AK2353" s="56">
        <v>1235752</v>
      </c>
      <c r="AL2353" s="56">
        <v>1235752</v>
      </c>
      <c r="AM2353" s="56">
        <v>1694343</v>
      </c>
      <c r="AN2353" s="1065">
        <v>1694343</v>
      </c>
      <c r="AO2353" s="1065">
        <v>1694343</v>
      </c>
      <c r="AP2353" s="1065">
        <v>1694343</v>
      </c>
      <c r="AQ2353" s="1065">
        <v>1694343</v>
      </c>
    </row>
    <row r="2354" spans="2:44" hidden="1" outlineLevel="1">
      <c r="C2354" s="41" t="s">
        <v>16</v>
      </c>
      <c r="D2354" s="41" t="s">
        <v>1352</v>
      </c>
      <c r="E2354" s="41" t="s">
        <v>741</v>
      </c>
      <c r="F2354" s="55"/>
      <c r="G2354" s="55"/>
      <c r="H2354" s="55">
        <v>1686125</v>
      </c>
      <c r="I2354" s="55">
        <v>1686125</v>
      </c>
      <c r="J2354" s="55">
        <v>1686125</v>
      </c>
      <c r="K2354" s="55">
        <v>1686125</v>
      </c>
      <c r="L2354" s="55">
        <v>1686125</v>
      </c>
      <c r="M2354" s="55">
        <v>1675115</v>
      </c>
      <c r="N2354" s="55">
        <v>1675115</v>
      </c>
      <c r="O2354" s="55">
        <v>1675115</v>
      </c>
      <c r="P2354" s="55">
        <v>1675115</v>
      </c>
      <c r="Q2354" s="55">
        <v>1675115</v>
      </c>
      <c r="R2354" s="55">
        <v>2222932</v>
      </c>
      <c r="S2354" s="55">
        <v>2222932</v>
      </c>
      <c r="T2354" s="55">
        <v>2222932</v>
      </c>
      <c r="U2354" s="55">
        <v>2222932</v>
      </c>
      <c r="V2354" s="55">
        <v>2222932</v>
      </c>
      <c r="W2354" s="55">
        <v>2336605</v>
      </c>
      <c r="X2354" s="55">
        <v>2336605</v>
      </c>
      <c r="Y2354" s="55">
        <v>2336605</v>
      </c>
      <c r="Z2354" s="55">
        <v>2336605</v>
      </c>
      <c r="AA2354" s="55">
        <v>2336605</v>
      </c>
      <c r="AB2354" s="55">
        <v>793412</v>
      </c>
      <c r="AC2354" s="55">
        <v>793412</v>
      </c>
      <c r="AD2354" s="55">
        <v>1190119</v>
      </c>
      <c r="AE2354" s="55">
        <v>1217124</v>
      </c>
      <c r="AF2354" s="55">
        <v>1217124</v>
      </c>
      <c r="AG2354" s="55">
        <v>1244694</v>
      </c>
      <c r="AH2354" s="55">
        <v>1244694</v>
      </c>
      <c r="AI2354" s="55">
        <v>1244694</v>
      </c>
      <c r="AJ2354" s="56">
        <v>1244694</v>
      </c>
      <c r="AK2354" s="56">
        <v>1244694</v>
      </c>
      <c r="AL2354" s="56">
        <v>1244694</v>
      </c>
      <c r="AM2354" s="56">
        <v>2157784</v>
      </c>
      <c r="AN2354" s="1065">
        <v>2157784</v>
      </c>
      <c r="AO2354" s="1065">
        <v>2157784</v>
      </c>
      <c r="AP2354" s="1065">
        <v>2157784</v>
      </c>
      <c r="AQ2354" s="1065">
        <v>2157784</v>
      </c>
    </row>
    <row r="2355" spans="2:44" hidden="1" outlineLevel="1">
      <c r="C2355" s="41" t="s">
        <v>16</v>
      </c>
      <c r="D2355" s="41" t="s">
        <v>836</v>
      </c>
      <c r="E2355" s="41" t="s">
        <v>742</v>
      </c>
      <c r="F2355" s="55"/>
      <c r="G2355" s="55"/>
      <c r="H2355" s="55">
        <v>4858209</v>
      </c>
      <c r="I2355" s="55">
        <v>4858209</v>
      </c>
      <c r="J2355" s="55">
        <v>4858209</v>
      </c>
      <c r="K2355" s="55">
        <v>4858209</v>
      </c>
      <c r="L2355" s="55">
        <v>4858209</v>
      </c>
      <c r="M2355" s="55">
        <v>4923819</v>
      </c>
      <c r="N2355" s="55">
        <v>4923819</v>
      </c>
      <c r="O2355" s="55">
        <v>4923819</v>
      </c>
      <c r="P2355" s="55">
        <v>4923819</v>
      </c>
      <c r="Q2355" s="55">
        <v>4923819</v>
      </c>
      <c r="R2355" s="55">
        <v>5781346</v>
      </c>
      <c r="S2355" s="55">
        <v>5781346</v>
      </c>
      <c r="T2355" s="55">
        <v>5781346</v>
      </c>
      <c r="U2355" s="55">
        <v>5781346</v>
      </c>
      <c r="V2355" s="55">
        <v>5781346</v>
      </c>
      <c r="W2355" s="55">
        <v>5864608</v>
      </c>
      <c r="X2355" s="55">
        <v>5864608</v>
      </c>
      <c r="Y2355" s="55">
        <v>5864608</v>
      </c>
      <c r="Z2355" s="55">
        <v>5864608</v>
      </c>
      <c r="AA2355" s="55">
        <v>5864608</v>
      </c>
      <c r="AB2355" s="55">
        <v>6610870</v>
      </c>
      <c r="AC2355" s="55">
        <v>6610870</v>
      </c>
      <c r="AD2355" s="55">
        <v>9916306</v>
      </c>
      <c r="AE2355" s="55">
        <v>10184001</v>
      </c>
      <c r="AF2355" s="55">
        <v>10184001</v>
      </c>
      <c r="AG2355" s="55">
        <v>11893110</v>
      </c>
      <c r="AH2355" s="55">
        <v>11893110</v>
      </c>
      <c r="AI2355" s="55">
        <v>11893110</v>
      </c>
      <c r="AJ2355" s="56">
        <v>11893110</v>
      </c>
      <c r="AK2355" s="56">
        <v>11893110</v>
      </c>
      <c r="AL2355" s="56">
        <v>11893110</v>
      </c>
      <c r="AM2355" s="56">
        <v>17329858</v>
      </c>
      <c r="AN2355" s="1065">
        <v>17329858</v>
      </c>
      <c r="AO2355" s="1065">
        <v>17329858</v>
      </c>
      <c r="AP2355" s="1065">
        <v>17329858</v>
      </c>
      <c r="AQ2355" s="1065">
        <v>17329858</v>
      </c>
    </row>
    <row r="2356" spans="2:44" hidden="1" outlineLevel="1">
      <c r="C2356" s="41" t="s">
        <v>16</v>
      </c>
      <c r="D2356" s="41" t="s">
        <v>836</v>
      </c>
      <c r="E2356" s="41" t="s">
        <v>743</v>
      </c>
      <c r="F2356" s="55"/>
      <c r="G2356" s="55"/>
      <c r="H2356" s="55">
        <v>1336726</v>
      </c>
      <c r="I2356" s="55">
        <v>1336726</v>
      </c>
      <c r="J2356" s="55">
        <v>1336726</v>
      </c>
      <c r="K2356" s="55">
        <v>1336726</v>
      </c>
      <c r="L2356" s="55">
        <v>1336726</v>
      </c>
      <c r="M2356" s="55">
        <v>1354779</v>
      </c>
      <c r="N2356" s="55">
        <v>1354779</v>
      </c>
      <c r="O2356" s="55">
        <v>1354779</v>
      </c>
      <c r="P2356" s="55">
        <v>1354779</v>
      </c>
      <c r="Q2356" s="55">
        <v>1354779</v>
      </c>
      <c r="R2356" s="55">
        <v>1590184</v>
      </c>
      <c r="S2356" s="55">
        <v>1590184</v>
      </c>
      <c r="T2356" s="55">
        <v>1590184</v>
      </c>
      <c r="U2356" s="55">
        <v>1590184</v>
      </c>
      <c r="V2356" s="55">
        <v>1590184</v>
      </c>
      <c r="W2356" s="55">
        <v>1635271</v>
      </c>
      <c r="X2356" s="55">
        <v>1635271</v>
      </c>
      <c r="Y2356" s="55">
        <v>1635271</v>
      </c>
      <c r="Z2356" s="55">
        <v>1635271</v>
      </c>
      <c r="AA2356" s="55">
        <v>1635271</v>
      </c>
      <c r="AB2356" s="55">
        <v>1362515</v>
      </c>
      <c r="AC2356" s="55">
        <v>1362515</v>
      </c>
      <c r="AD2356" s="55">
        <v>2043772</v>
      </c>
      <c r="AE2356" s="55">
        <v>2090896</v>
      </c>
      <c r="AF2356" s="55">
        <v>2090896</v>
      </c>
      <c r="AG2356" s="55">
        <v>1625061</v>
      </c>
      <c r="AH2356" s="55">
        <v>1625061</v>
      </c>
      <c r="AI2356" s="55">
        <v>1625061</v>
      </c>
      <c r="AJ2356" s="56">
        <v>1625061</v>
      </c>
      <c r="AK2356" s="56">
        <v>1625061</v>
      </c>
      <c r="AL2356" s="56">
        <v>1625061</v>
      </c>
      <c r="AM2356" s="56">
        <v>2135523</v>
      </c>
      <c r="AN2356" s="1065">
        <v>2135523</v>
      </c>
      <c r="AO2356" s="1065">
        <v>2135523</v>
      </c>
      <c r="AP2356" s="1065">
        <v>2135523</v>
      </c>
      <c r="AQ2356" s="1065">
        <v>2135523</v>
      </c>
    </row>
    <row r="2357" spans="2:44" hidden="1" outlineLevel="1">
      <c r="C2357" s="41" t="s">
        <v>16</v>
      </c>
      <c r="D2357" s="41" t="s">
        <v>836</v>
      </c>
      <c r="E2357" s="41" t="s">
        <v>744</v>
      </c>
      <c r="F2357" s="55"/>
      <c r="G2357" s="55"/>
      <c r="H2357" s="55">
        <v>201228</v>
      </c>
      <c r="I2357" s="55">
        <v>201228</v>
      </c>
      <c r="J2357" s="55">
        <v>201228</v>
      </c>
      <c r="K2357" s="55">
        <v>201228</v>
      </c>
      <c r="L2357" s="55">
        <v>201228</v>
      </c>
      <c r="M2357" s="55">
        <v>203945</v>
      </c>
      <c r="N2357" s="55">
        <v>203945</v>
      </c>
      <c r="O2357" s="55">
        <v>203945</v>
      </c>
      <c r="P2357" s="55">
        <v>203945</v>
      </c>
      <c r="Q2357" s="55">
        <v>203945</v>
      </c>
      <c r="R2357" s="55">
        <v>238504</v>
      </c>
      <c r="S2357" s="55">
        <v>238504</v>
      </c>
      <c r="T2357" s="55">
        <v>238504</v>
      </c>
      <c r="U2357" s="55">
        <v>238504</v>
      </c>
      <c r="V2357" s="55">
        <v>238504</v>
      </c>
      <c r="W2357" s="55">
        <v>266322</v>
      </c>
      <c r="X2357" s="55">
        <v>266322</v>
      </c>
      <c r="Y2357" s="55">
        <v>266322</v>
      </c>
      <c r="Z2357" s="55">
        <v>266322</v>
      </c>
      <c r="AA2357" s="55">
        <v>266322</v>
      </c>
      <c r="AB2357" s="55">
        <v>253220</v>
      </c>
      <c r="AC2357" s="55">
        <v>253220</v>
      </c>
      <c r="AD2357" s="55">
        <v>379831</v>
      </c>
      <c r="AE2357" s="55">
        <v>388203</v>
      </c>
      <c r="AF2357" s="55">
        <v>388203</v>
      </c>
      <c r="AG2357" s="55">
        <v>445380</v>
      </c>
      <c r="AH2357" s="55">
        <v>445380</v>
      </c>
      <c r="AI2357" s="55">
        <v>445380</v>
      </c>
      <c r="AJ2357" s="56">
        <v>445380</v>
      </c>
      <c r="AK2357" s="56">
        <v>445380</v>
      </c>
      <c r="AL2357" s="56">
        <v>445380</v>
      </c>
      <c r="AM2357" s="56">
        <v>410738</v>
      </c>
      <c r="AN2357" s="1065">
        <v>410738</v>
      </c>
      <c r="AO2357" s="1065">
        <v>410738</v>
      </c>
      <c r="AP2357" s="1065">
        <v>410738</v>
      </c>
      <c r="AQ2357" s="1065">
        <v>410738</v>
      </c>
    </row>
    <row r="2358" spans="2:44" hidden="1" outlineLevel="1">
      <c r="C2358" s="41" t="s">
        <v>16</v>
      </c>
      <c r="D2358" s="41" t="s">
        <v>940</v>
      </c>
      <c r="E2358" s="244" t="s">
        <v>1805</v>
      </c>
      <c r="F2358" s="55"/>
      <c r="G2358" s="55"/>
      <c r="H2358" s="55">
        <v>2166667</v>
      </c>
      <c r="I2358" s="55">
        <v>2166667</v>
      </c>
      <c r="J2358" s="55">
        <v>2166667</v>
      </c>
      <c r="K2358" s="55">
        <v>2166667</v>
      </c>
      <c r="L2358" s="55">
        <v>2166667</v>
      </c>
      <c r="M2358" s="55">
        <v>2166667</v>
      </c>
      <c r="N2358" s="55">
        <v>2166667</v>
      </c>
      <c r="O2358" s="55">
        <v>2166667</v>
      </c>
      <c r="P2358" s="55">
        <v>2166667</v>
      </c>
      <c r="Q2358" s="55">
        <v>2166667</v>
      </c>
      <c r="R2358" s="55">
        <v>3640000</v>
      </c>
      <c r="S2358" s="55">
        <v>3640000</v>
      </c>
      <c r="T2358" s="55">
        <v>3640000</v>
      </c>
      <c r="U2358" s="55">
        <v>3640000</v>
      </c>
      <c r="V2358" s="55">
        <v>3640000</v>
      </c>
      <c r="W2358" s="55">
        <v>3640000</v>
      </c>
      <c r="X2358" s="55">
        <v>3640000</v>
      </c>
      <c r="Y2358" s="55">
        <v>3640000</v>
      </c>
      <c r="Z2358" s="55">
        <v>3640000</v>
      </c>
      <c r="AA2358" s="55">
        <v>3640000</v>
      </c>
      <c r="AB2358" s="55">
        <v>5426261</v>
      </c>
      <c r="AC2358" s="55">
        <v>5426261</v>
      </c>
      <c r="AD2358" s="55">
        <v>8139391</v>
      </c>
      <c r="AE2358" s="55">
        <v>7994676</v>
      </c>
      <c r="AF2358" s="55">
        <v>7994676</v>
      </c>
      <c r="AG2358" s="55">
        <v>8771265</v>
      </c>
      <c r="AH2358" s="55">
        <v>8771265</v>
      </c>
      <c r="AI2358" s="55">
        <v>8771265</v>
      </c>
      <c r="AJ2358" s="56">
        <v>8771265</v>
      </c>
      <c r="AK2358" s="56">
        <v>8771265</v>
      </c>
      <c r="AL2358" s="56">
        <v>8771265</v>
      </c>
      <c r="AM2358" s="56">
        <v>17091856</v>
      </c>
      <c r="AN2358" s="1065">
        <v>17091856</v>
      </c>
      <c r="AO2358" s="1065">
        <v>17091856</v>
      </c>
      <c r="AP2358" s="1065">
        <v>17091856</v>
      </c>
      <c r="AQ2358" s="1065">
        <v>17091856</v>
      </c>
    </row>
    <row r="2359" spans="2:44" hidden="1" outlineLevel="1">
      <c r="C2359" s="41" t="s">
        <v>16</v>
      </c>
      <c r="D2359" s="41" t="s">
        <v>940</v>
      </c>
      <c r="E2359" s="41" t="s">
        <v>745</v>
      </c>
      <c r="F2359" s="55"/>
      <c r="G2359" s="55"/>
      <c r="H2359" s="55">
        <v>4333333</v>
      </c>
      <c r="I2359" s="55">
        <v>4333333</v>
      </c>
      <c r="J2359" s="55">
        <v>4333333</v>
      </c>
      <c r="K2359" s="55">
        <v>4333333</v>
      </c>
      <c r="L2359" s="55">
        <v>4333333</v>
      </c>
      <c r="M2359" s="55">
        <v>4333333</v>
      </c>
      <c r="N2359" s="55">
        <v>4333333</v>
      </c>
      <c r="O2359" s="55">
        <v>4333333</v>
      </c>
      <c r="P2359" s="55">
        <v>4333333</v>
      </c>
      <c r="Q2359" s="55">
        <v>4333333</v>
      </c>
      <c r="R2359" s="55">
        <v>7735000</v>
      </c>
      <c r="S2359" s="55">
        <v>7735000</v>
      </c>
      <c r="T2359" s="55">
        <v>7735000</v>
      </c>
      <c r="U2359" s="55">
        <v>7735000</v>
      </c>
      <c r="V2359" s="55">
        <v>7735000</v>
      </c>
      <c r="W2359" s="55">
        <v>7735000</v>
      </c>
      <c r="X2359" s="55">
        <v>7735000</v>
      </c>
      <c r="Y2359" s="55">
        <v>7735000</v>
      </c>
      <c r="Z2359" s="55">
        <v>7735000</v>
      </c>
      <c r="AA2359" s="55">
        <v>7735000</v>
      </c>
      <c r="AB2359" s="55">
        <v>11899627</v>
      </c>
      <c r="AC2359" s="55">
        <v>11899627</v>
      </c>
      <c r="AD2359" s="55">
        <v>17849441</v>
      </c>
      <c r="AE2359" s="55">
        <v>14854762</v>
      </c>
      <c r="AF2359" s="55">
        <v>14854762</v>
      </c>
      <c r="AG2359" s="55">
        <v>16973569</v>
      </c>
      <c r="AH2359" s="55">
        <v>16973569</v>
      </c>
      <c r="AI2359" s="55">
        <v>16973569</v>
      </c>
      <c r="AJ2359" s="56">
        <v>16973569</v>
      </c>
      <c r="AK2359" s="56">
        <v>16973569</v>
      </c>
      <c r="AL2359" s="56">
        <v>16973569</v>
      </c>
      <c r="AM2359" s="56">
        <v>23372396</v>
      </c>
      <c r="AN2359" s="1065">
        <v>23372396</v>
      </c>
      <c r="AO2359" s="1065">
        <v>23372396</v>
      </c>
      <c r="AP2359" s="1065">
        <v>23372396</v>
      </c>
      <c r="AQ2359" s="1065">
        <v>23372396</v>
      </c>
    </row>
    <row r="2360" spans="2:44" hidden="1" outlineLevel="1">
      <c r="C2360" s="41" t="s">
        <v>16</v>
      </c>
      <c r="D2360" s="41" t="s">
        <v>940</v>
      </c>
      <c r="E2360" s="244" t="s">
        <v>1778</v>
      </c>
      <c r="F2360" s="55"/>
      <c r="G2360" s="55"/>
      <c r="H2360" s="55"/>
      <c r="I2360" s="55"/>
      <c r="J2360" s="55"/>
      <c r="K2360" s="55"/>
      <c r="L2360" s="55"/>
      <c r="M2360" s="55"/>
      <c r="N2360" s="55"/>
      <c r="O2360" s="55"/>
      <c r="P2360" s="55"/>
      <c r="Q2360" s="55"/>
      <c r="R2360" s="55"/>
      <c r="S2360" s="55"/>
      <c r="T2360" s="55"/>
      <c r="U2360" s="55"/>
      <c r="V2360" s="55"/>
      <c r="W2360" s="55"/>
      <c r="X2360" s="55"/>
      <c r="Y2360" s="55"/>
      <c r="Z2360" s="55"/>
      <c r="AA2360" s="55"/>
      <c r="AB2360" s="55"/>
      <c r="AC2360" s="55"/>
      <c r="AD2360" s="55"/>
      <c r="AE2360" s="55"/>
      <c r="AF2360" s="55"/>
      <c r="AG2360" s="55"/>
      <c r="AH2360" s="55"/>
      <c r="AI2360" s="55"/>
      <c r="AJ2360" s="56"/>
      <c r="AK2360" s="56"/>
      <c r="AL2360" s="56"/>
      <c r="AM2360" s="56">
        <v>6234075</v>
      </c>
      <c r="AN2360" s="1065">
        <v>6234075</v>
      </c>
      <c r="AO2360" s="1065">
        <v>6234075</v>
      </c>
      <c r="AP2360" s="1065">
        <v>6234075</v>
      </c>
      <c r="AQ2360" s="1065">
        <v>6234075</v>
      </c>
    </row>
    <row r="2361" spans="2:44" hidden="1" outlineLevel="1">
      <c r="C2361" s="41" t="s">
        <v>16</v>
      </c>
      <c r="D2361" s="244" t="s">
        <v>1542</v>
      </c>
      <c r="E2361" s="244" t="s">
        <v>1566</v>
      </c>
      <c r="F2361" s="41"/>
      <c r="G2361" s="41"/>
      <c r="H2361" s="41"/>
      <c r="I2361" s="41"/>
      <c r="J2361" s="41"/>
      <c r="K2361" s="41"/>
      <c r="L2361" s="41"/>
      <c r="M2361" s="55"/>
      <c r="N2361" s="55"/>
      <c r="O2361" s="55"/>
      <c r="P2361" s="55"/>
      <c r="Q2361" s="55"/>
      <c r="R2361" s="55">
        <v>3850000</v>
      </c>
      <c r="S2361" s="55">
        <v>3850000</v>
      </c>
      <c r="T2361" s="55">
        <v>3850000</v>
      </c>
      <c r="U2361" s="55">
        <v>3850000</v>
      </c>
      <c r="V2361" s="55">
        <v>3850000</v>
      </c>
      <c r="W2361" s="55">
        <v>3850000</v>
      </c>
      <c r="X2361" s="55">
        <v>3850000</v>
      </c>
      <c r="Y2361" s="55">
        <v>3850000</v>
      </c>
      <c r="Z2361" s="55">
        <v>3850000</v>
      </c>
      <c r="AA2361" s="55">
        <v>3850000</v>
      </c>
      <c r="AB2361" s="55">
        <v>3850000</v>
      </c>
      <c r="AC2361" s="55">
        <v>3850000</v>
      </c>
      <c r="AD2361" s="55">
        <v>5775000</v>
      </c>
      <c r="AE2361" s="55">
        <v>5775000</v>
      </c>
      <c r="AF2361" s="55">
        <v>5775000</v>
      </c>
      <c r="AG2361" s="55">
        <v>5775000</v>
      </c>
      <c r="AH2361" s="55">
        <v>5775000</v>
      </c>
      <c r="AI2361" s="55">
        <v>5775000</v>
      </c>
      <c r="AJ2361" s="56">
        <v>5775000</v>
      </c>
      <c r="AK2361" s="56">
        <v>5775000</v>
      </c>
      <c r="AL2361" s="56">
        <v>5775000</v>
      </c>
      <c r="AM2361" s="56">
        <v>8662500</v>
      </c>
      <c r="AN2361" s="1065">
        <v>8662500</v>
      </c>
      <c r="AO2361" s="1065">
        <v>8662500</v>
      </c>
      <c r="AP2361" s="1065">
        <v>8662500</v>
      </c>
      <c r="AQ2361" s="1065">
        <v>8662500</v>
      </c>
      <c r="AR2361" s="66"/>
    </row>
    <row r="2362" spans="2:44" s="66" customFormat="1" hidden="1" outlineLevel="1">
      <c r="B2362" s="295"/>
      <c r="C2362" s="5" t="s">
        <v>746</v>
      </c>
      <c r="D2362" s="5"/>
      <c r="E2362" s="25"/>
      <c r="F2362" s="557"/>
      <c r="G2362" s="557"/>
      <c r="H2362" s="557">
        <v>100000000</v>
      </c>
      <c r="I2362" s="557">
        <v>100000000</v>
      </c>
      <c r="J2362" s="557">
        <v>100000000</v>
      </c>
      <c r="K2362" s="557">
        <v>100000000</v>
      </c>
      <c r="L2362" s="557">
        <v>100000000</v>
      </c>
      <c r="M2362" s="557">
        <v>100000000</v>
      </c>
      <c r="N2362" s="557">
        <v>100000000</v>
      </c>
      <c r="O2362" s="557">
        <v>100000000</v>
      </c>
      <c r="P2362" s="557">
        <v>100000000</v>
      </c>
      <c r="Q2362" s="557">
        <v>100000000</v>
      </c>
      <c r="R2362" s="557">
        <v>175000000</v>
      </c>
      <c r="S2362" s="557">
        <v>175000000</v>
      </c>
      <c r="T2362" s="557">
        <v>175000000</v>
      </c>
      <c r="U2362" s="557">
        <v>175000000</v>
      </c>
      <c r="V2362" s="557">
        <v>175000000</v>
      </c>
      <c r="W2362" s="557">
        <v>175000000</v>
      </c>
      <c r="X2362" s="557">
        <v>175000000</v>
      </c>
      <c r="Y2362" s="557">
        <v>175000000</v>
      </c>
      <c r="Z2362" s="557">
        <v>175000000</v>
      </c>
      <c r="AA2362" s="557">
        <v>175000000</v>
      </c>
      <c r="AB2362" s="558">
        <v>174999998</v>
      </c>
      <c r="AC2362" s="558">
        <v>174999998</v>
      </c>
      <c r="AD2362" s="558">
        <v>262500000.40755919</v>
      </c>
      <c r="AE2362" s="558">
        <v>262500000.40755919</v>
      </c>
      <c r="AF2362" s="558">
        <v>262500000</v>
      </c>
      <c r="AG2362" s="558">
        <v>262500000</v>
      </c>
      <c r="AH2362" s="558">
        <v>262500000</v>
      </c>
      <c r="AI2362" s="558">
        <v>262500000</v>
      </c>
      <c r="AJ2362" s="559">
        <v>262500000</v>
      </c>
      <c r="AK2362" s="559">
        <v>262500000</v>
      </c>
      <c r="AL2362" s="559">
        <f>SUM(AL2328:AL2361)</f>
        <v>262500000</v>
      </c>
      <c r="AM2362" s="559">
        <f>SUM(AM2328:AM2361)</f>
        <v>393750000</v>
      </c>
      <c r="AN2362" s="1066">
        <f t="shared" ref="AN2362:AO2362" si="465">SUM(AN2328:AN2361)</f>
        <v>393750000</v>
      </c>
      <c r="AO2362" s="1066">
        <f t="shared" si="465"/>
        <v>393750000</v>
      </c>
      <c r="AP2362" s="1066">
        <f t="shared" ref="AP2362:AQ2362" si="466">SUM(AP2328:AP2361)</f>
        <v>393750000</v>
      </c>
      <c r="AQ2362" s="1066">
        <f t="shared" si="466"/>
        <v>393750000</v>
      </c>
      <c r="AR2362" s="173"/>
    </row>
    <row r="2363" spans="2:44" s="173" customFormat="1" hidden="1" outlineLevel="1">
      <c r="B2363" s="566"/>
      <c r="C2363" s="59"/>
      <c r="D2363" s="244" t="s">
        <v>836</v>
      </c>
      <c r="E2363" s="375" t="s">
        <v>1349</v>
      </c>
      <c r="F2363" s="560"/>
      <c r="G2363" s="560"/>
      <c r="H2363" s="560">
        <f t="shared" ref="H2363:Q2367" si="467">SUMIF($D$2329:$D$2361,$D2363,H$2329:H$2361)</f>
        <v>91074574</v>
      </c>
      <c r="I2363" s="560">
        <f t="shared" si="467"/>
        <v>91074574</v>
      </c>
      <c r="J2363" s="560">
        <f t="shared" si="467"/>
        <v>91074574</v>
      </c>
      <c r="K2363" s="560">
        <f t="shared" si="467"/>
        <v>91074574</v>
      </c>
      <c r="L2363" s="560">
        <f t="shared" si="467"/>
        <v>91074574</v>
      </c>
      <c r="M2363" s="560">
        <f t="shared" si="467"/>
        <v>91090412</v>
      </c>
      <c r="N2363" s="560">
        <f t="shared" si="467"/>
        <v>91090412</v>
      </c>
      <c r="O2363" s="560">
        <f t="shared" si="467"/>
        <v>91090412</v>
      </c>
      <c r="P2363" s="560">
        <f t="shared" si="467"/>
        <v>91090412</v>
      </c>
      <c r="Q2363" s="560">
        <f t="shared" si="467"/>
        <v>91090412</v>
      </c>
      <c r="R2363" s="560">
        <f t="shared" ref="R2363:AA2367" si="468">SUMIF($D$2329:$D$2361,$D2363,R$2329:R$2361)</f>
        <v>156569725</v>
      </c>
      <c r="S2363" s="560">
        <f t="shared" si="468"/>
        <v>156569725</v>
      </c>
      <c r="T2363" s="560">
        <f t="shared" si="468"/>
        <v>156569725</v>
      </c>
      <c r="U2363" s="560">
        <f t="shared" si="468"/>
        <v>156569725</v>
      </c>
      <c r="V2363" s="560">
        <f t="shared" si="468"/>
        <v>156569725</v>
      </c>
      <c r="W2363" s="560">
        <f t="shared" si="468"/>
        <v>156202482</v>
      </c>
      <c r="X2363" s="560">
        <f t="shared" si="468"/>
        <v>156202482</v>
      </c>
      <c r="Y2363" s="560">
        <f t="shared" si="468"/>
        <v>156202482</v>
      </c>
      <c r="Z2363" s="560">
        <f t="shared" si="468"/>
        <v>156202482</v>
      </c>
      <c r="AA2363" s="560">
        <f t="shared" si="468"/>
        <v>156202482</v>
      </c>
      <c r="AB2363" s="561">
        <f t="shared" ref="AB2363:AE2367" si="469">SUMIF($D$2329:$D$2361,$D2363,AB$2329:AB$2361)</f>
        <v>150620718</v>
      </c>
      <c r="AC2363" s="561">
        <f t="shared" si="469"/>
        <v>150620718</v>
      </c>
      <c r="AD2363" s="561">
        <f t="shared" si="469"/>
        <v>225931078.53218359</v>
      </c>
      <c r="AE2363" s="561">
        <f t="shared" si="469"/>
        <v>230364171</v>
      </c>
      <c r="AF2363" s="561">
        <f t="shared" ref="AF2363:AK2367" si="470">SUMIF($D$2329:$D$2361,$D2363,AF$2329:AF$2361)</f>
        <v>229692361</v>
      </c>
      <c r="AG2363" s="561">
        <f t="shared" si="470"/>
        <v>228364492</v>
      </c>
      <c r="AH2363" s="561">
        <f t="shared" si="470"/>
        <v>226167257</v>
      </c>
      <c r="AI2363" s="561">
        <f t="shared" si="470"/>
        <v>226167257</v>
      </c>
      <c r="AJ2363" s="373">
        <f t="shared" si="470"/>
        <v>226167257</v>
      </c>
      <c r="AK2363" s="373">
        <f t="shared" si="470"/>
        <v>226167257</v>
      </c>
      <c r="AL2363" s="373">
        <f t="shared" ref="AL2363:AM2367" si="471">SUMIF($D$2328:$D$2361,$D2363,AL$2328:AL$2361)</f>
        <v>226167257</v>
      </c>
      <c r="AM2363" s="373">
        <f t="shared" si="471"/>
        <v>331956525</v>
      </c>
      <c r="AN2363" s="1063">
        <f t="shared" ref="AN2363:AQ2367" si="472">SUMIF($D$2329:$D$2361,$D2363,AN$2329:AN$2361)</f>
        <v>331956525</v>
      </c>
      <c r="AO2363" s="1063">
        <f t="shared" si="472"/>
        <v>331956525</v>
      </c>
      <c r="AP2363" s="1063">
        <f t="shared" si="472"/>
        <v>331956525</v>
      </c>
      <c r="AQ2363" s="1063">
        <f t="shared" si="472"/>
        <v>331956525</v>
      </c>
    </row>
    <row r="2364" spans="2:44" s="173" customFormat="1" hidden="1" outlineLevel="1">
      <c r="B2364" s="566"/>
      <c r="C2364" s="59"/>
      <c r="D2364" s="244" t="s">
        <v>940</v>
      </c>
      <c r="E2364" s="375" t="s">
        <v>1350</v>
      </c>
      <c r="F2364" s="560"/>
      <c r="G2364" s="560"/>
      <c r="H2364" s="560">
        <f t="shared" si="467"/>
        <v>6500000</v>
      </c>
      <c r="I2364" s="560">
        <f t="shared" si="467"/>
        <v>6500000</v>
      </c>
      <c r="J2364" s="560">
        <f t="shared" si="467"/>
        <v>6500000</v>
      </c>
      <c r="K2364" s="560">
        <f t="shared" si="467"/>
        <v>6500000</v>
      </c>
      <c r="L2364" s="560">
        <f t="shared" si="467"/>
        <v>6500000</v>
      </c>
      <c r="M2364" s="560">
        <f t="shared" si="467"/>
        <v>6500000</v>
      </c>
      <c r="N2364" s="560">
        <f t="shared" si="467"/>
        <v>6500000</v>
      </c>
      <c r="O2364" s="560">
        <f t="shared" si="467"/>
        <v>6500000</v>
      </c>
      <c r="P2364" s="560">
        <f t="shared" si="467"/>
        <v>6500000</v>
      </c>
      <c r="Q2364" s="560">
        <f t="shared" si="467"/>
        <v>6500000</v>
      </c>
      <c r="R2364" s="560">
        <f t="shared" si="468"/>
        <v>11375000</v>
      </c>
      <c r="S2364" s="560">
        <f t="shared" si="468"/>
        <v>11375000</v>
      </c>
      <c r="T2364" s="560">
        <f t="shared" si="468"/>
        <v>11375000</v>
      </c>
      <c r="U2364" s="560">
        <f t="shared" si="468"/>
        <v>11375000</v>
      </c>
      <c r="V2364" s="560">
        <f t="shared" si="468"/>
        <v>11375000</v>
      </c>
      <c r="W2364" s="560">
        <f t="shared" si="468"/>
        <v>11375000</v>
      </c>
      <c r="X2364" s="560">
        <f t="shared" si="468"/>
        <v>11375000</v>
      </c>
      <c r="Y2364" s="560">
        <f t="shared" si="468"/>
        <v>11375000</v>
      </c>
      <c r="Z2364" s="560">
        <f t="shared" si="468"/>
        <v>11375000</v>
      </c>
      <c r="AA2364" s="560">
        <f t="shared" si="468"/>
        <v>11375000</v>
      </c>
      <c r="AB2364" s="561">
        <f t="shared" si="469"/>
        <v>17325888</v>
      </c>
      <c r="AC2364" s="561">
        <f t="shared" si="469"/>
        <v>17325888</v>
      </c>
      <c r="AD2364" s="561">
        <f t="shared" si="469"/>
        <v>25988832</v>
      </c>
      <c r="AE2364" s="561">
        <f t="shared" si="469"/>
        <v>22849438</v>
      </c>
      <c r="AF2364" s="561">
        <f t="shared" si="470"/>
        <v>22849438</v>
      </c>
      <c r="AG2364" s="561">
        <f t="shared" si="470"/>
        <v>25744834</v>
      </c>
      <c r="AH2364" s="561">
        <f t="shared" si="470"/>
        <v>25744834</v>
      </c>
      <c r="AI2364" s="561">
        <f t="shared" si="470"/>
        <v>25744834</v>
      </c>
      <c r="AJ2364" s="373">
        <f t="shared" si="470"/>
        <v>25744834</v>
      </c>
      <c r="AK2364" s="373">
        <f t="shared" si="470"/>
        <v>25744834</v>
      </c>
      <c r="AL2364" s="373">
        <f t="shared" si="471"/>
        <v>25744834</v>
      </c>
      <c r="AM2364" s="373">
        <f t="shared" si="471"/>
        <v>46698327</v>
      </c>
      <c r="AN2364" s="1063">
        <f t="shared" si="472"/>
        <v>46698327</v>
      </c>
      <c r="AO2364" s="1063">
        <f t="shared" si="472"/>
        <v>46698327</v>
      </c>
      <c r="AP2364" s="1063">
        <f t="shared" si="472"/>
        <v>46698327</v>
      </c>
      <c r="AQ2364" s="1063">
        <f t="shared" si="472"/>
        <v>46698327</v>
      </c>
    </row>
    <row r="2365" spans="2:44" s="173" customFormat="1" hidden="1" outlineLevel="1">
      <c r="B2365" s="566"/>
      <c r="C2365" s="59"/>
      <c r="D2365" s="244" t="s">
        <v>1352</v>
      </c>
      <c r="E2365" s="375" t="s">
        <v>1351</v>
      </c>
      <c r="F2365" s="560"/>
      <c r="G2365" s="560"/>
      <c r="H2365" s="560">
        <f t="shared" si="467"/>
        <v>2425426</v>
      </c>
      <c r="I2365" s="560">
        <f t="shared" si="467"/>
        <v>2425426</v>
      </c>
      <c r="J2365" s="560">
        <f t="shared" si="467"/>
        <v>2425426</v>
      </c>
      <c r="K2365" s="560">
        <f t="shared" si="467"/>
        <v>2425426</v>
      </c>
      <c r="L2365" s="560">
        <f t="shared" si="467"/>
        <v>2425426</v>
      </c>
      <c r="M2365" s="560">
        <f t="shared" si="467"/>
        <v>2409588</v>
      </c>
      <c r="N2365" s="560">
        <f t="shared" si="467"/>
        <v>2409588</v>
      </c>
      <c r="O2365" s="560">
        <f t="shared" si="467"/>
        <v>2409588</v>
      </c>
      <c r="P2365" s="560">
        <f t="shared" si="467"/>
        <v>2409588</v>
      </c>
      <c r="Q2365" s="560">
        <f t="shared" si="467"/>
        <v>2409588</v>
      </c>
      <c r="R2365" s="560">
        <f t="shared" si="468"/>
        <v>3205275</v>
      </c>
      <c r="S2365" s="560">
        <f t="shared" si="468"/>
        <v>3205275</v>
      </c>
      <c r="T2365" s="560">
        <f t="shared" si="468"/>
        <v>3205275</v>
      </c>
      <c r="U2365" s="560">
        <f t="shared" si="468"/>
        <v>3205275</v>
      </c>
      <c r="V2365" s="560">
        <f t="shared" si="468"/>
        <v>3205275</v>
      </c>
      <c r="W2365" s="560">
        <f t="shared" si="468"/>
        <v>3080572</v>
      </c>
      <c r="X2365" s="560">
        <f t="shared" si="468"/>
        <v>3080572</v>
      </c>
      <c r="Y2365" s="560">
        <f t="shared" si="468"/>
        <v>3080572</v>
      </c>
      <c r="Z2365" s="560">
        <f t="shared" si="468"/>
        <v>3080572</v>
      </c>
      <c r="AA2365" s="560">
        <f t="shared" si="468"/>
        <v>3080572</v>
      </c>
      <c r="AB2365" s="561">
        <f t="shared" si="469"/>
        <v>1536777</v>
      </c>
      <c r="AC2365" s="561">
        <f t="shared" si="469"/>
        <v>1536777</v>
      </c>
      <c r="AD2365" s="561">
        <f t="shared" si="469"/>
        <v>2305167</v>
      </c>
      <c r="AE2365" s="561">
        <f t="shared" si="469"/>
        <v>2357869</v>
      </c>
      <c r="AF2365" s="561">
        <f t="shared" si="470"/>
        <v>2357869</v>
      </c>
      <c r="AG2365" s="561">
        <f t="shared" si="470"/>
        <v>2480446</v>
      </c>
      <c r="AH2365" s="561">
        <f t="shared" si="470"/>
        <v>2480446</v>
      </c>
      <c r="AI2365" s="561">
        <f t="shared" si="470"/>
        <v>2480446</v>
      </c>
      <c r="AJ2365" s="373">
        <f t="shared" si="470"/>
        <v>2480446</v>
      </c>
      <c r="AK2365" s="373">
        <f t="shared" si="470"/>
        <v>2480446</v>
      </c>
      <c r="AL2365" s="373">
        <f t="shared" si="471"/>
        <v>2480446</v>
      </c>
      <c r="AM2365" s="373">
        <f t="shared" si="471"/>
        <v>3852127</v>
      </c>
      <c r="AN2365" s="1063">
        <f t="shared" si="472"/>
        <v>3852127</v>
      </c>
      <c r="AO2365" s="1063">
        <f t="shared" si="472"/>
        <v>3852127</v>
      </c>
      <c r="AP2365" s="1063">
        <f t="shared" si="472"/>
        <v>3852127</v>
      </c>
      <c r="AQ2365" s="1063">
        <f t="shared" si="472"/>
        <v>3852127</v>
      </c>
      <c r="AR2365"/>
    </row>
    <row r="2366" spans="2:44" hidden="1" outlineLevel="1">
      <c r="C2366" s="41"/>
      <c r="D2366" s="244" t="s">
        <v>1203</v>
      </c>
      <c r="E2366" s="244" t="s">
        <v>1468</v>
      </c>
      <c r="F2366" s="41"/>
      <c r="G2366" s="41"/>
      <c r="H2366" s="41">
        <f t="shared" si="467"/>
        <v>0</v>
      </c>
      <c r="I2366" s="41">
        <f t="shared" si="467"/>
        <v>0</v>
      </c>
      <c r="J2366" s="41">
        <f t="shared" si="467"/>
        <v>0</v>
      </c>
      <c r="K2366" s="41">
        <f t="shared" si="467"/>
        <v>0</v>
      </c>
      <c r="L2366" s="41">
        <f t="shared" si="467"/>
        <v>0</v>
      </c>
      <c r="M2366" s="55">
        <f t="shared" si="467"/>
        <v>0</v>
      </c>
      <c r="N2366" s="55">
        <f t="shared" si="467"/>
        <v>0</v>
      </c>
      <c r="O2366" s="55">
        <f t="shared" si="467"/>
        <v>0</v>
      </c>
      <c r="P2366" s="55">
        <f t="shared" si="467"/>
        <v>0</v>
      </c>
      <c r="Q2366" s="55">
        <f t="shared" si="467"/>
        <v>0</v>
      </c>
      <c r="R2366" s="55">
        <f t="shared" si="468"/>
        <v>0</v>
      </c>
      <c r="S2366" s="55">
        <f t="shared" si="468"/>
        <v>0</v>
      </c>
      <c r="T2366" s="55">
        <f t="shared" si="468"/>
        <v>0</v>
      </c>
      <c r="U2366" s="55">
        <f t="shared" si="468"/>
        <v>0</v>
      </c>
      <c r="V2366" s="55">
        <f t="shared" si="468"/>
        <v>0</v>
      </c>
      <c r="W2366" s="55">
        <f t="shared" si="468"/>
        <v>491946</v>
      </c>
      <c r="X2366" s="55">
        <f t="shared" si="468"/>
        <v>491946</v>
      </c>
      <c r="Y2366" s="55">
        <f t="shared" si="468"/>
        <v>491946</v>
      </c>
      <c r="Z2366" s="55">
        <f t="shared" si="468"/>
        <v>491946</v>
      </c>
      <c r="AA2366" s="55">
        <f t="shared" si="468"/>
        <v>491946</v>
      </c>
      <c r="AB2366" s="55">
        <f t="shared" si="469"/>
        <v>1666615</v>
      </c>
      <c r="AC2366" s="55">
        <f t="shared" si="469"/>
        <v>1666615</v>
      </c>
      <c r="AD2366" s="55">
        <f t="shared" si="469"/>
        <v>2499922.8753756005</v>
      </c>
      <c r="AE2366" s="55">
        <f t="shared" si="469"/>
        <v>1825332</v>
      </c>
      <c r="AF2366" s="55">
        <f t="shared" si="470"/>
        <v>1825332</v>
      </c>
      <c r="AG2366" s="55">
        <f t="shared" si="470"/>
        <v>2332463</v>
      </c>
      <c r="AH2366" s="55">
        <f t="shared" si="470"/>
        <v>2332463</v>
      </c>
      <c r="AI2366" s="55">
        <f t="shared" si="470"/>
        <v>2332463</v>
      </c>
      <c r="AJ2366" s="56">
        <f t="shared" si="470"/>
        <v>2332463</v>
      </c>
      <c r="AK2366" s="56">
        <f t="shared" si="470"/>
        <v>2332463</v>
      </c>
      <c r="AL2366" s="56">
        <f t="shared" si="471"/>
        <v>2332463</v>
      </c>
      <c r="AM2366" s="56">
        <f t="shared" si="471"/>
        <v>2580521</v>
      </c>
      <c r="AN2366" s="1065">
        <f t="shared" si="472"/>
        <v>2580521</v>
      </c>
      <c r="AO2366" s="1065">
        <f t="shared" si="472"/>
        <v>2580521</v>
      </c>
      <c r="AP2366" s="1065">
        <f t="shared" si="472"/>
        <v>2580521</v>
      </c>
      <c r="AQ2366" s="1065">
        <f t="shared" si="472"/>
        <v>2580521</v>
      </c>
    </row>
    <row r="2367" spans="2:44" hidden="1" outlineLevel="1">
      <c r="C2367" s="41"/>
      <c r="D2367" s="244" t="s">
        <v>1542</v>
      </c>
      <c r="E2367" s="244" t="s">
        <v>1567</v>
      </c>
      <c r="F2367" s="41"/>
      <c r="G2367" s="41"/>
      <c r="H2367" s="41">
        <f t="shared" si="467"/>
        <v>0</v>
      </c>
      <c r="I2367" s="41">
        <f t="shared" si="467"/>
        <v>0</v>
      </c>
      <c r="J2367" s="41">
        <f t="shared" si="467"/>
        <v>0</v>
      </c>
      <c r="K2367" s="41">
        <f t="shared" si="467"/>
        <v>0</v>
      </c>
      <c r="L2367" s="41">
        <f t="shared" si="467"/>
        <v>0</v>
      </c>
      <c r="M2367" s="55">
        <f t="shared" si="467"/>
        <v>0</v>
      </c>
      <c r="N2367" s="55">
        <f t="shared" si="467"/>
        <v>0</v>
      </c>
      <c r="O2367" s="55">
        <f t="shared" si="467"/>
        <v>0</v>
      </c>
      <c r="P2367" s="55">
        <f t="shared" si="467"/>
        <v>0</v>
      </c>
      <c r="Q2367" s="55">
        <f t="shared" si="467"/>
        <v>0</v>
      </c>
      <c r="R2367" s="55">
        <f t="shared" si="468"/>
        <v>3850000</v>
      </c>
      <c r="S2367" s="55">
        <f t="shared" si="468"/>
        <v>3850000</v>
      </c>
      <c r="T2367" s="55">
        <f t="shared" si="468"/>
        <v>3850000</v>
      </c>
      <c r="U2367" s="55">
        <f t="shared" si="468"/>
        <v>3850000</v>
      </c>
      <c r="V2367" s="55">
        <f t="shared" si="468"/>
        <v>3850000</v>
      </c>
      <c r="W2367" s="55">
        <f t="shared" si="468"/>
        <v>3850000</v>
      </c>
      <c r="X2367" s="55">
        <f t="shared" si="468"/>
        <v>3850000</v>
      </c>
      <c r="Y2367" s="55">
        <f t="shared" si="468"/>
        <v>3850000</v>
      </c>
      <c r="Z2367" s="55">
        <f t="shared" si="468"/>
        <v>3850000</v>
      </c>
      <c r="AA2367" s="55">
        <f t="shared" si="468"/>
        <v>3850000</v>
      </c>
      <c r="AB2367" s="55">
        <f t="shared" si="469"/>
        <v>3850000</v>
      </c>
      <c r="AC2367" s="55">
        <f t="shared" si="469"/>
        <v>3850000</v>
      </c>
      <c r="AD2367" s="55">
        <f t="shared" si="469"/>
        <v>5775000</v>
      </c>
      <c r="AE2367" s="55">
        <f t="shared" si="469"/>
        <v>5775000</v>
      </c>
      <c r="AF2367" s="55">
        <f t="shared" si="470"/>
        <v>5775000</v>
      </c>
      <c r="AG2367" s="55">
        <f t="shared" si="470"/>
        <v>5775000</v>
      </c>
      <c r="AH2367" s="55">
        <f t="shared" si="470"/>
        <v>5775000</v>
      </c>
      <c r="AI2367" s="55">
        <f t="shared" si="470"/>
        <v>5775000</v>
      </c>
      <c r="AJ2367" s="56">
        <f t="shared" si="470"/>
        <v>5775000</v>
      </c>
      <c r="AK2367" s="56">
        <f t="shared" si="470"/>
        <v>5775000</v>
      </c>
      <c r="AL2367" s="56">
        <f t="shared" si="471"/>
        <v>5775000</v>
      </c>
      <c r="AM2367" s="56">
        <f t="shared" si="471"/>
        <v>8662500</v>
      </c>
      <c r="AN2367" s="1065">
        <f t="shared" si="472"/>
        <v>8662500</v>
      </c>
      <c r="AO2367" s="1065">
        <f t="shared" si="472"/>
        <v>8662500</v>
      </c>
      <c r="AP2367" s="1065">
        <f t="shared" si="472"/>
        <v>8662500</v>
      </c>
      <c r="AQ2367" s="1065">
        <f t="shared" si="472"/>
        <v>8662500</v>
      </c>
    </row>
    <row r="2368" spans="2:44" hidden="1" outlineLevel="1">
      <c r="C2368" s="41"/>
      <c r="D2368" s="244"/>
      <c r="E2368" s="244" t="s">
        <v>762</v>
      </c>
      <c r="F2368" s="41"/>
      <c r="G2368" s="41"/>
      <c r="H2368" s="41"/>
      <c r="I2368" s="41"/>
      <c r="J2368" s="41"/>
      <c r="K2368" s="41"/>
      <c r="L2368" s="41"/>
      <c r="M2368" s="55"/>
      <c r="N2368" s="55"/>
      <c r="O2368" s="55"/>
      <c r="P2368" s="55"/>
      <c r="Q2368" s="55"/>
      <c r="R2368" s="55"/>
      <c r="S2368" s="55"/>
      <c r="T2368" s="55"/>
      <c r="U2368" s="55"/>
      <c r="V2368" s="55"/>
      <c r="W2368" s="55"/>
      <c r="X2368" s="55"/>
      <c r="Y2368" s="55"/>
      <c r="Z2368" s="55"/>
      <c r="AA2368" s="55"/>
      <c r="AB2368" s="55"/>
      <c r="AC2368" s="55"/>
      <c r="AD2368" s="55"/>
      <c r="AE2368" s="55"/>
      <c r="AF2368" s="55"/>
      <c r="AG2368" s="55"/>
      <c r="AH2368" s="62">
        <v>0.21</v>
      </c>
      <c r="AI2368" s="62">
        <v>0</v>
      </c>
      <c r="AJ2368" s="602" t="s">
        <v>1500</v>
      </c>
      <c r="AK2368" s="602" t="s">
        <v>1500</v>
      </c>
      <c r="AL2368" s="602" t="s">
        <v>1500</v>
      </c>
      <c r="AM2368" s="602" t="s">
        <v>1500</v>
      </c>
      <c r="AN2368" s="602" t="s">
        <v>1500</v>
      </c>
      <c r="AO2368" s="602" t="s">
        <v>1500</v>
      </c>
      <c r="AP2368" s="602" t="s">
        <v>1500</v>
      </c>
      <c r="AQ2368" s="602" t="s">
        <v>1500</v>
      </c>
    </row>
    <row r="2369" spans="2:43" collapsed="1">
      <c r="B2369" s="566"/>
      <c r="C2369" s="5" t="s">
        <v>747</v>
      </c>
      <c r="D2369" s="5"/>
      <c r="E2369" s="6"/>
      <c r="F2369" s="6"/>
      <c r="G2369" s="6"/>
      <c r="H2369" s="6"/>
      <c r="I2369" s="6"/>
      <c r="J2369" s="6"/>
      <c r="K2369" s="6"/>
      <c r="L2369" s="6"/>
      <c r="M2369" s="6"/>
      <c r="N2369" s="6"/>
      <c r="O2369" s="6"/>
      <c r="P2369" s="6"/>
      <c r="Q2369" s="6"/>
      <c r="R2369" s="6"/>
      <c r="S2369" s="6"/>
      <c r="T2369" s="6"/>
      <c r="U2369" s="6"/>
      <c r="V2369" s="6"/>
      <c r="W2369" s="6"/>
      <c r="X2369" s="6"/>
      <c r="Y2369" s="6"/>
      <c r="Z2369" s="6"/>
      <c r="AA2369" s="6"/>
      <c r="AB2369" s="7"/>
      <c r="AC2369" s="7"/>
      <c r="AD2369" s="7"/>
      <c r="AE2369" s="7"/>
      <c r="AF2369" s="7"/>
      <c r="AG2369" s="7"/>
      <c r="AH2369" s="7"/>
      <c r="AI2369" s="7"/>
      <c r="AJ2369" s="26"/>
      <c r="AK2369" s="26"/>
      <c r="AL2369" s="26"/>
      <c r="AM2369" s="783"/>
      <c r="AN2369" s="783"/>
      <c r="AO2369" s="783"/>
      <c r="AP2369" s="696" t="s">
        <v>2013</v>
      </c>
    </row>
    <row r="2370" spans="2:43" hidden="1" outlineLevel="1">
      <c r="B2370" s="566"/>
      <c r="C2370" s="41" t="s">
        <v>748</v>
      </c>
      <c r="D2370" s="41"/>
      <c r="E2370" s="23" t="s">
        <v>749</v>
      </c>
      <c r="F2370" s="23"/>
      <c r="G2370" s="23"/>
      <c r="H2370" s="23"/>
      <c r="I2370" s="23"/>
      <c r="J2370" s="23"/>
      <c r="K2370" s="23"/>
      <c r="L2370" s="23"/>
      <c r="M2370" s="23"/>
      <c r="N2370" s="23"/>
      <c r="O2370" s="23"/>
      <c r="P2370" s="23"/>
      <c r="Q2370" s="23"/>
      <c r="R2370" s="23"/>
      <c r="S2370" s="23"/>
      <c r="T2370" s="23"/>
      <c r="U2370" s="23"/>
      <c r="V2370" s="23"/>
      <c r="W2370" s="23"/>
      <c r="X2370" s="23"/>
      <c r="Y2370" s="23"/>
      <c r="Z2370" s="23"/>
      <c r="AA2370" s="23"/>
      <c r="AB2370" s="14"/>
      <c r="AC2370" s="14"/>
      <c r="AD2370" s="14"/>
      <c r="AE2370" s="14"/>
      <c r="AF2370" s="14"/>
      <c r="AG2370" s="14">
        <v>158730000</v>
      </c>
      <c r="AH2370" s="14">
        <v>179560000</v>
      </c>
      <c r="AI2370" s="14">
        <v>209287000</v>
      </c>
      <c r="AJ2370" s="14">
        <v>242817268</v>
      </c>
      <c r="AK2370" s="14">
        <v>268336713</v>
      </c>
      <c r="AL2370" s="14">
        <v>272751235</v>
      </c>
      <c r="AM2370" s="1071">
        <v>314853145</v>
      </c>
      <c r="AN2370" s="1071">
        <v>332797668</v>
      </c>
      <c r="AO2370" s="1156">
        <v>378941810</v>
      </c>
      <c r="AP2370" s="1110">
        <f>AO2370</f>
        <v>378941810</v>
      </c>
    </row>
    <row r="2371" spans="2:43" hidden="1" outlineLevel="1">
      <c r="B2371" s="566"/>
      <c r="C2371" s="41" t="s">
        <v>748</v>
      </c>
      <c r="D2371" s="41"/>
      <c r="E2371" s="23" t="s">
        <v>750</v>
      </c>
      <c r="F2371" s="23"/>
      <c r="G2371" s="23"/>
      <c r="H2371" s="23"/>
      <c r="I2371" s="23"/>
      <c r="J2371" s="23"/>
      <c r="K2371" s="23"/>
      <c r="L2371" s="23"/>
      <c r="M2371" s="23"/>
      <c r="N2371" s="23"/>
      <c r="O2371" s="23"/>
      <c r="P2371" s="23"/>
      <c r="Q2371" s="23"/>
      <c r="R2371" s="23"/>
      <c r="S2371" s="23"/>
      <c r="T2371" s="23"/>
      <c r="U2371" s="23"/>
      <c r="V2371" s="23"/>
      <c r="W2371" s="23"/>
      <c r="X2371" s="23"/>
      <c r="Y2371" s="23"/>
      <c r="Z2371" s="23"/>
      <c r="AA2371" s="23"/>
      <c r="AB2371" s="14"/>
      <c r="AC2371" s="14"/>
      <c r="AD2371" s="14"/>
      <c r="AE2371" s="14"/>
      <c r="AF2371" s="14"/>
      <c r="AG2371" s="14">
        <v>12150000</v>
      </c>
      <c r="AH2371" s="14">
        <v>18425000</v>
      </c>
      <c r="AI2371" s="14">
        <v>14971000</v>
      </c>
      <c r="AJ2371" s="14">
        <v>16541400</v>
      </c>
      <c r="AK2371" s="14">
        <v>28276608</v>
      </c>
      <c r="AL2371" s="14">
        <v>33360939</v>
      </c>
      <c r="AM2371" s="1071">
        <v>21480452</v>
      </c>
      <c r="AN2371" s="1071">
        <v>25793272</v>
      </c>
      <c r="AO2371" s="1157">
        <v>28609940</v>
      </c>
      <c r="AP2371" s="1110">
        <f>AO2371</f>
        <v>28609940</v>
      </c>
    </row>
    <row r="2372" spans="2:43" hidden="1" outlineLevel="1">
      <c r="B2372" s="566"/>
      <c r="C2372" s="41" t="s">
        <v>748</v>
      </c>
      <c r="D2372" s="41"/>
      <c r="E2372" s="23" t="s">
        <v>751</v>
      </c>
      <c r="F2372" s="23"/>
      <c r="G2372" s="23"/>
      <c r="H2372" s="23"/>
      <c r="I2372" s="23"/>
      <c r="J2372" s="23"/>
      <c r="K2372" s="23"/>
      <c r="L2372" s="23"/>
      <c r="M2372" s="23"/>
      <c r="N2372" s="23"/>
      <c r="O2372" s="23"/>
      <c r="P2372" s="23"/>
      <c r="Q2372" s="23"/>
      <c r="R2372" s="23"/>
      <c r="S2372" s="23"/>
      <c r="T2372" s="23"/>
      <c r="U2372" s="23"/>
      <c r="V2372" s="23"/>
      <c r="W2372" s="23"/>
      <c r="X2372" s="23"/>
      <c r="Y2372" s="23"/>
      <c r="Z2372" s="23"/>
      <c r="AA2372" s="23"/>
      <c r="AB2372" s="14"/>
      <c r="AC2372" s="14"/>
      <c r="AD2372" s="14"/>
      <c r="AE2372" s="14"/>
      <c r="AF2372" s="14"/>
      <c r="AG2372" s="14">
        <v>89000000</v>
      </c>
      <c r="AH2372" s="14">
        <v>113715789</v>
      </c>
      <c r="AI2372" s="14">
        <v>93829000</v>
      </c>
      <c r="AJ2372" s="14">
        <v>103419500</v>
      </c>
      <c r="AK2372" s="14">
        <v>116267429</v>
      </c>
      <c r="AL2372" s="14">
        <v>138977000</v>
      </c>
      <c r="AM2372" s="1071">
        <v>63672589</v>
      </c>
      <c r="AN2372" s="1071">
        <v>155327845</v>
      </c>
      <c r="AO2372" s="1158">
        <v>173328115</v>
      </c>
      <c r="AP2372" s="1110">
        <f>AO2372</f>
        <v>173328115</v>
      </c>
    </row>
    <row r="2373" spans="2:43" hidden="1" outlineLevel="1">
      <c r="B2373" s="566"/>
      <c r="C2373" s="41" t="s">
        <v>748</v>
      </c>
      <c r="D2373" s="41"/>
      <c r="E2373" s="59" t="s">
        <v>752</v>
      </c>
      <c r="F2373" s="23"/>
      <c r="G2373" s="23"/>
      <c r="H2373" s="23"/>
      <c r="I2373" s="23"/>
      <c r="J2373" s="23"/>
      <c r="K2373" s="23"/>
      <c r="L2373" s="23"/>
      <c r="M2373" s="23"/>
      <c r="N2373" s="23"/>
      <c r="O2373" s="23"/>
      <c r="P2373" s="23"/>
      <c r="Q2373" s="23"/>
      <c r="R2373" s="23"/>
      <c r="S2373" s="23"/>
      <c r="T2373" s="23"/>
      <c r="U2373" s="23"/>
      <c r="V2373" s="23"/>
      <c r="W2373" s="23"/>
      <c r="X2373" s="23"/>
      <c r="Y2373" s="23"/>
      <c r="Z2373" s="23"/>
      <c r="AA2373" s="23"/>
      <c r="AB2373" s="14"/>
      <c r="AC2373" s="14"/>
      <c r="AD2373" s="14"/>
      <c r="AE2373" s="14"/>
      <c r="AF2373" s="14"/>
      <c r="AG2373" s="29">
        <f>SUM(AG2370:AG2372)</f>
        <v>259880000</v>
      </c>
      <c r="AH2373" s="29">
        <f>SUM(AH2370:AH2372)</f>
        <v>311700789</v>
      </c>
      <c r="AI2373" s="29">
        <f>SUM(AI2370:AI2372)</f>
        <v>318087000</v>
      </c>
      <c r="AJ2373" s="29">
        <f t="shared" ref="AJ2373:AM2373" si="473">SUM(AJ2370:AJ2372)</f>
        <v>362778168</v>
      </c>
      <c r="AK2373" s="29">
        <f t="shared" si="473"/>
        <v>412880750</v>
      </c>
      <c r="AL2373" s="29">
        <f t="shared" si="473"/>
        <v>445089174</v>
      </c>
      <c r="AM2373" s="29">
        <f t="shared" si="473"/>
        <v>400006186</v>
      </c>
      <c r="AN2373" s="1072">
        <f t="shared" ref="AN2373:AO2373" si="474">SUM(AN2370:AN2372)</f>
        <v>513918785</v>
      </c>
      <c r="AO2373" s="1072">
        <f t="shared" si="474"/>
        <v>580879865</v>
      </c>
      <c r="AP2373" s="1072">
        <f t="shared" ref="AP2373" si="475">SUM(AP2370:AP2372)</f>
        <v>580879865</v>
      </c>
    </row>
    <row r="2374" spans="2:43" collapsed="1">
      <c r="C2374" s="5" t="s">
        <v>2228</v>
      </c>
      <c r="D2374" s="5"/>
      <c r="E2374" s="6"/>
      <c r="F2374" s="6"/>
      <c r="G2374" s="6"/>
      <c r="H2374" s="6"/>
      <c r="I2374" s="6"/>
      <c r="J2374" s="6"/>
      <c r="K2374" s="6"/>
      <c r="L2374" s="6"/>
      <c r="M2374" s="6"/>
      <c r="N2374" s="6"/>
      <c r="O2374" s="6"/>
      <c r="P2374" s="6"/>
      <c r="Q2374" s="6"/>
      <c r="R2374" s="6"/>
      <c r="S2374" s="6"/>
      <c r="T2374" s="6"/>
      <c r="U2374" s="6"/>
      <c r="V2374" s="6"/>
      <c r="W2374" s="6"/>
      <c r="X2374" s="6"/>
      <c r="Y2374" s="6"/>
      <c r="Z2374" s="6"/>
      <c r="AA2374" s="6"/>
      <c r="AB2374" s="7"/>
      <c r="AC2374" s="7"/>
      <c r="AD2374" s="7"/>
      <c r="AE2374" s="7"/>
      <c r="AF2374" s="7"/>
      <c r="AG2374" s="7"/>
      <c r="AH2374" s="7"/>
      <c r="AI2374" s="7"/>
      <c r="AJ2374" s="7"/>
      <c r="AK2374" s="7"/>
      <c r="AL2374" s="7"/>
      <c r="AM2374" s="1055"/>
      <c r="AN2374" s="783"/>
      <c r="AO2374" s="783"/>
      <c r="AP2374" s="696" t="s">
        <v>1919</v>
      </c>
    </row>
    <row r="2375" spans="2:43" hidden="1" outlineLevel="1">
      <c r="C2375" s="41"/>
      <c r="D2375" s="41"/>
      <c r="E2375" s="244" t="s">
        <v>1019</v>
      </c>
      <c r="F2375" s="55"/>
      <c r="G2375" s="55"/>
      <c r="H2375" s="55"/>
      <c r="I2375" s="55"/>
      <c r="J2375" s="55"/>
      <c r="K2375" s="55"/>
      <c r="L2375" s="55"/>
      <c r="M2375" s="55"/>
      <c r="N2375" s="55"/>
      <c r="O2375" s="55"/>
      <c r="P2375" s="55"/>
      <c r="Q2375" s="55"/>
      <c r="R2375" s="55"/>
      <c r="S2375" s="55"/>
      <c r="T2375" s="55"/>
      <c r="U2375" s="55"/>
      <c r="V2375" s="55"/>
      <c r="W2375" s="55"/>
      <c r="X2375" s="55"/>
      <c r="Y2375" s="55"/>
      <c r="Z2375" s="55"/>
      <c r="AA2375" s="55"/>
      <c r="AB2375" s="55"/>
      <c r="AC2375" s="247"/>
      <c r="AD2375" s="55"/>
      <c r="AE2375" s="247"/>
      <c r="AF2375" s="55"/>
      <c r="AG2375" s="247"/>
      <c r="AH2375" s="247"/>
      <c r="AI2375" s="247"/>
      <c r="AJ2375" s="56"/>
      <c r="AK2375" s="56"/>
      <c r="AL2375" s="56"/>
      <c r="AM2375" s="56"/>
      <c r="AN2375" s="1065"/>
      <c r="AO2375" s="1065"/>
      <c r="AP2375" s="1065"/>
    </row>
    <row r="2376" spans="2:43" hidden="1" outlineLevel="1">
      <c r="C2376" s="41"/>
      <c r="D2376" s="41"/>
      <c r="E2376" s="244" t="s">
        <v>1020</v>
      </c>
      <c r="F2376" s="55"/>
      <c r="G2376" s="55"/>
      <c r="H2376" s="55"/>
      <c r="I2376" s="55"/>
      <c r="J2376" s="55"/>
      <c r="K2376" s="55"/>
      <c r="L2376" s="55"/>
      <c r="M2376" s="55"/>
      <c r="N2376" s="55"/>
      <c r="O2376" s="55"/>
      <c r="P2376" s="55"/>
      <c r="Q2376" s="55"/>
      <c r="R2376" s="55"/>
      <c r="S2376" s="55"/>
      <c r="T2376" s="55"/>
      <c r="U2376" s="55"/>
      <c r="V2376" s="55"/>
      <c r="W2376" s="55"/>
      <c r="X2376" s="55"/>
      <c r="Y2376" s="248">
        <v>363022043</v>
      </c>
      <c r="Z2376" s="248">
        <v>348033578</v>
      </c>
      <c r="AA2376" s="248">
        <v>341174270</v>
      </c>
      <c r="AB2376" s="248">
        <v>357337255</v>
      </c>
      <c r="AC2376" s="247">
        <v>400685603</v>
      </c>
      <c r="AD2376" s="248">
        <v>448942761</v>
      </c>
      <c r="AE2376" s="247">
        <v>530932622</v>
      </c>
      <c r="AF2376" s="248">
        <v>516419406</v>
      </c>
      <c r="AG2376" s="247">
        <v>506395811</v>
      </c>
      <c r="AH2376" s="247">
        <v>575511336</v>
      </c>
      <c r="AI2376" s="247">
        <v>644300000</v>
      </c>
      <c r="AJ2376" s="247">
        <v>877373812</v>
      </c>
      <c r="AK2376" s="247">
        <v>763552645</v>
      </c>
      <c r="AL2376" s="247">
        <v>772876690</v>
      </c>
      <c r="AM2376" s="247">
        <v>839441000</v>
      </c>
      <c r="AN2376" s="247">
        <v>887250000</v>
      </c>
      <c r="AO2376" s="247">
        <v>1014000000</v>
      </c>
      <c r="AP2376" s="247">
        <v>1311390000</v>
      </c>
    </row>
    <row r="2377" spans="2:43" hidden="1" outlineLevel="1">
      <c r="C2377" s="41"/>
      <c r="D2377" s="41"/>
      <c r="E2377" s="244" t="s">
        <v>1021</v>
      </c>
      <c r="F2377" s="55"/>
      <c r="G2377" s="55"/>
      <c r="H2377" s="55"/>
      <c r="I2377" s="55"/>
      <c r="J2377" s="55"/>
      <c r="K2377" s="55"/>
      <c r="L2377" s="55"/>
      <c r="M2377" s="55"/>
      <c r="N2377" s="55"/>
      <c r="O2377" s="55"/>
      <c r="P2377" s="55"/>
      <c r="Q2377" s="55"/>
      <c r="R2377" s="55"/>
      <c r="S2377" s="55"/>
      <c r="T2377" s="55"/>
      <c r="U2377" s="55"/>
      <c r="V2377" s="55"/>
      <c r="W2377" s="55"/>
      <c r="X2377" s="55"/>
      <c r="Y2377" s="250">
        <v>6543025</v>
      </c>
      <c r="Z2377" s="250">
        <v>7576307</v>
      </c>
      <c r="AA2377" s="250">
        <v>8332900</v>
      </c>
      <c r="AB2377" s="250">
        <v>11443895</v>
      </c>
      <c r="AC2377" s="251">
        <v>13973847</v>
      </c>
      <c r="AD2377" s="250">
        <v>15122875</v>
      </c>
      <c r="AE2377" s="251">
        <v>16072298</v>
      </c>
      <c r="AF2377" s="250">
        <v>13762331</v>
      </c>
      <c r="AG2377" s="251">
        <v>16417250</v>
      </c>
      <c r="AH2377" s="251">
        <v>23976978</v>
      </c>
      <c r="AI2377" s="251">
        <v>25753119</v>
      </c>
      <c r="AJ2377" s="251">
        <v>29827785</v>
      </c>
      <c r="AK2377" s="251">
        <v>49601951</v>
      </c>
      <c r="AL2377" s="251">
        <v>44851286</v>
      </c>
      <c r="AM2377" s="251">
        <v>58935194</v>
      </c>
      <c r="AN2377" s="251">
        <f>87648857-1872387</f>
        <v>85776470</v>
      </c>
      <c r="AO2377" s="251">
        <f>110875220-2520366</f>
        <v>108354854</v>
      </c>
      <c r="AP2377" s="251">
        <f>106334000-2300000</f>
        <v>104034000</v>
      </c>
    </row>
    <row r="2378" spans="2:43" hidden="1" outlineLevel="1">
      <c r="C2378" s="41"/>
      <c r="D2378" s="41"/>
      <c r="E2378" s="59" t="s">
        <v>1022</v>
      </c>
      <c r="F2378" s="55"/>
      <c r="G2378" s="55"/>
      <c r="H2378" s="55"/>
      <c r="I2378" s="55"/>
      <c r="J2378" s="55"/>
      <c r="K2378" s="55"/>
      <c r="L2378" s="55"/>
      <c r="M2378" s="55"/>
      <c r="N2378" s="55"/>
      <c r="O2378" s="55"/>
      <c r="P2378" s="55"/>
      <c r="Q2378" s="55"/>
      <c r="R2378" s="55"/>
      <c r="S2378" s="55"/>
      <c r="T2378" s="55"/>
      <c r="U2378" s="55"/>
      <c r="V2378" s="55"/>
      <c r="W2378" s="55"/>
      <c r="X2378" s="55"/>
      <c r="Y2378" s="249">
        <v>369565068</v>
      </c>
      <c r="Z2378" s="249">
        <v>355609885</v>
      </c>
      <c r="AA2378" s="249">
        <v>349507170</v>
      </c>
      <c r="AB2378" s="249">
        <v>368781500</v>
      </c>
      <c r="AC2378" s="252">
        <v>414659450</v>
      </c>
      <c r="AD2378" s="249">
        <v>464065636</v>
      </c>
      <c r="AE2378" s="252">
        <v>547004920</v>
      </c>
      <c r="AF2378" s="249">
        <v>530181737</v>
      </c>
      <c r="AG2378" s="252">
        <v>522813061</v>
      </c>
      <c r="AH2378" s="252">
        <v>599488314</v>
      </c>
      <c r="AI2378" s="252">
        <v>670053119</v>
      </c>
      <c r="AJ2378" s="252">
        <v>907201597</v>
      </c>
      <c r="AK2378" s="252">
        <v>813154596</v>
      </c>
      <c r="AL2378" s="252">
        <v>817727976</v>
      </c>
      <c r="AM2378" s="252">
        <f>SUM(AM2376:AM2377)</f>
        <v>898376194</v>
      </c>
      <c r="AN2378" s="252">
        <f>SUM(AN2376:AN2377)</f>
        <v>973026470</v>
      </c>
      <c r="AO2378" s="252">
        <f>SUM(AO2376:AO2377)</f>
        <v>1122354854</v>
      </c>
      <c r="AP2378" s="252">
        <f>SUM(AP2376:AP2377)</f>
        <v>1415424000</v>
      </c>
    </row>
    <row r="2379" spans="2:43" hidden="1" outlineLevel="1">
      <c r="C2379" s="41"/>
      <c r="D2379" s="41"/>
      <c r="E2379" s="244" t="s">
        <v>1023</v>
      </c>
      <c r="F2379" s="55"/>
      <c r="G2379" s="55"/>
      <c r="H2379" s="55"/>
      <c r="I2379" s="55"/>
      <c r="J2379" s="55"/>
      <c r="K2379" s="55"/>
      <c r="L2379" s="55"/>
      <c r="M2379" s="55"/>
      <c r="N2379" s="55"/>
      <c r="O2379" s="55"/>
      <c r="P2379" s="55"/>
      <c r="Q2379" s="55"/>
      <c r="R2379" s="55"/>
      <c r="S2379" s="55"/>
      <c r="T2379" s="55"/>
      <c r="U2379" s="55"/>
      <c r="V2379" s="55"/>
      <c r="W2379" s="55"/>
      <c r="X2379" s="55"/>
      <c r="Y2379" s="250">
        <v>-123188356</v>
      </c>
      <c r="Z2379" s="250">
        <v>-118536628</v>
      </c>
      <c r="AA2379" s="250">
        <v>-116502390</v>
      </c>
      <c r="AB2379" s="250">
        <v>-122927050</v>
      </c>
      <c r="AC2379" s="251">
        <v>-138219817</v>
      </c>
      <c r="AD2379" s="250">
        <v>-154688545</v>
      </c>
      <c r="AE2379" s="251">
        <v>-182334973</v>
      </c>
      <c r="AF2379" s="250">
        <v>-176727245</v>
      </c>
      <c r="AG2379" s="251">
        <v>-174271020</v>
      </c>
      <c r="AH2379" s="251">
        <v>-199829438</v>
      </c>
      <c r="AI2379" s="251">
        <v>-223351040</v>
      </c>
      <c r="AJ2379" s="251">
        <v>-302400532</v>
      </c>
      <c r="AK2379" s="251">
        <v>-271051532</v>
      </c>
      <c r="AL2379" s="251">
        <v>-272575992</v>
      </c>
      <c r="AM2379" s="251">
        <v>-299458731</v>
      </c>
      <c r="AN2379" s="251">
        <v>-324342156</v>
      </c>
      <c r="AO2379" s="251">
        <v>-374118285</v>
      </c>
      <c r="AP2379" s="251">
        <v>-471808000</v>
      </c>
    </row>
    <row r="2380" spans="2:43" hidden="1" outlineLevel="1">
      <c r="B2380"/>
      <c r="C2380" s="41"/>
      <c r="D2380" s="41"/>
      <c r="E2380" s="244" t="s">
        <v>1781</v>
      </c>
      <c r="F2380" s="55"/>
      <c r="G2380" s="55"/>
      <c r="H2380" s="55"/>
      <c r="I2380" s="55"/>
      <c r="J2380" s="55"/>
      <c r="K2380" s="55"/>
      <c r="L2380" s="55"/>
      <c r="M2380" s="55"/>
      <c r="N2380" s="55"/>
      <c r="O2380" s="55"/>
      <c r="P2380" s="55"/>
      <c r="Q2380" s="55"/>
      <c r="R2380" s="55"/>
      <c r="S2380" s="55"/>
      <c r="T2380" s="55"/>
      <c r="U2380" s="55"/>
      <c r="V2380" s="55"/>
      <c r="W2380" s="55"/>
      <c r="X2380" s="55"/>
      <c r="Y2380" s="249">
        <v>246376712</v>
      </c>
      <c r="Z2380" s="249">
        <v>237073257</v>
      </c>
      <c r="AA2380" s="249">
        <v>233004780</v>
      </c>
      <c r="AB2380" s="249">
        <v>245854100</v>
      </c>
      <c r="AC2380" s="252">
        <v>276439633</v>
      </c>
      <c r="AD2380" s="249">
        <v>309377091</v>
      </c>
      <c r="AE2380" s="252">
        <v>364669947</v>
      </c>
      <c r="AF2380" s="249">
        <v>353454492</v>
      </c>
      <c r="AG2380" s="252">
        <v>348542041</v>
      </c>
      <c r="AH2380" s="252">
        <v>399658876</v>
      </c>
      <c r="AI2380" s="252">
        <v>446702079</v>
      </c>
      <c r="AJ2380" s="252">
        <v>604801065</v>
      </c>
      <c r="AK2380" s="252">
        <v>542103064</v>
      </c>
      <c r="AL2380" s="252">
        <v>545151984</v>
      </c>
      <c r="AM2380" s="252">
        <f>SUM(AM2378:AM2379)</f>
        <v>598917463</v>
      </c>
      <c r="AN2380" s="252">
        <f>SUM(AN2378:AN2379)</f>
        <v>648684314</v>
      </c>
      <c r="AO2380" s="252">
        <f>SUM(AO2378:AO2379)</f>
        <v>748236569</v>
      </c>
      <c r="AP2380" s="252">
        <f>SUM(AP2378:AP2379)</f>
        <v>943616000</v>
      </c>
    </row>
    <row r="2381" spans="2:43" hidden="1" outlineLevel="1">
      <c r="B2381"/>
      <c r="C2381" s="41"/>
      <c r="D2381" s="41"/>
      <c r="E2381" s="244" t="s">
        <v>1024</v>
      </c>
      <c r="F2381" s="55"/>
      <c r="G2381" s="55"/>
      <c r="H2381" s="55"/>
      <c r="I2381" s="55"/>
      <c r="J2381" s="55"/>
      <c r="K2381" s="55"/>
      <c r="L2381" s="55"/>
      <c r="M2381" s="55"/>
      <c r="N2381" s="55"/>
      <c r="O2381" s="55"/>
      <c r="P2381" s="55"/>
      <c r="Q2381" s="55"/>
      <c r="R2381" s="55"/>
      <c r="S2381" s="55"/>
      <c r="T2381" s="55"/>
      <c r="U2381" s="55"/>
      <c r="V2381" s="55"/>
      <c r="W2381" s="55"/>
      <c r="X2381" s="55"/>
      <c r="Y2381" s="250">
        <v>5113101</v>
      </c>
      <c r="Z2381" s="250">
        <v>3019018</v>
      </c>
      <c r="AA2381" s="250">
        <v>5106927</v>
      </c>
      <c r="AB2381" s="250">
        <v>9839400</v>
      </c>
      <c r="AC2381" s="251">
        <v>11539420</v>
      </c>
      <c r="AD2381" s="250">
        <v>11266537</v>
      </c>
      <c r="AE2381" s="251">
        <v>7584098</v>
      </c>
      <c r="AF2381" s="250">
        <v>4691404</v>
      </c>
      <c r="AG2381" s="251">
        <v>3710617</v>
      </c>
      <c r="AH2381" s="251">
        <v>3182442</v>
      </c>
      <c r="AI2381" s="251">
        <v>2353206</v>
      </c>
      <c r="AJ2381" s="251">
        <v>2131154</v>
      </c>
      <c r="AK2381" s="251">
        <v>2172899</v>
      </c>
      <c r="AL2381" s="251">
        <v>4336757</v>
      </c>
      <c r="AM2381" s="251">
        <v>6640511</v>
      </c>
      <c r="AN2381" s="251">
        <v>14011332</v>
      </c>
      <c r="AO2381" s="251">
        <v>21734472</v>
      </c>
      <c r="AP2381" s="251">
        <v>19339000</v>
      </c>
    </row>
    <row r="2382" spans="2:43" hidden="1" outlineLevel="1">
      <c r="B2382"/>
      <c r="C2382" s="41"/>
      <c r="D2382" s="41"/>
      <c r="E2382" s="59" t="s">
        <v>1025</v>
      </c>
      <c r="F2382" s="55"/>
      <c r="G2382" s="55"/>
      <c r="H2382" s="55"/>
      <c r="I2382" s="55"/>
      <c r="J2382" s="55"/>
      <c r="K2382" s="55"/>
      <c r="L2382" s="55"/>
      <c r="M2382" s="55"/>
      <c r="N2382" s="55"/>
      <c r="O2382" s="55"/>
      <c r="P2382" s="55"/>
      <c r="Q2382" s="55"/>
      <c r="R2382" s="55"/>
      <c r="S2382" s="55"/>
      <c r="T2382" s="55"/>
      <c r="U2382" s="55"/>
      <c r="V2382" s="55"/>
      <c r="W2382" s="55"/>
      <c r="X2382" s="55"/>
      <c r="Y2382" s="246">
        <v>251489813</v>
      </c>
      <c r="Z2382" s="246">
        <v>240092275</v>
      </c>
      <c r="AA2382" s="246">
        <v>238111707</v>
      </c>
      <c r="AB2382" s="246">
        <v>255693500</v>
      </c>
      <c r="AC2382" s="55">
        <v>287979053</v>
      </c>
      <c r="AD2382" s="246">
        <v>320643628</v>
      </c>
      <c r="AE2382" s="55">
        <v>372254045</v>
      </c>
      <c r="AF2382" s="246">
        <v>358145896</v>
      </c>
      <c r="AG2382" s="55">
        <v>352252658</v>
      </c>
      <c r="AH2382" s="55">
        <v>402841318</v>
      </c>
      <c r="AI2382" s="55">
        <v>449055285</v>
      </c>
      <c r="AJ2382" s="55">
        <v>606932219</v>
      </c>
      <c r="AK2382" s="55">
        <v>544275963</v>
      </c>
      <c r="AL2382" s="55">
        <v>549488741</v>
      </c>
      <c r="AM2382" s="55">
        <f>SUM(AM2380:AM2381)</f>
        <v>605557974</v>
      </c>
      <c r="AN2382" s="55">
        <f>SUM(AN2380:AN2381)</f>
        <v>662695646</v>
      </c>
      <c r="AO2382" s="55">
        <f>SUM(AO2380:AO2381)</f>
        <v>769971041</v>
      </c>
      <c r="AP2382" s="55">
        <f>SUM(AP2380:AP2381)</f>
        <v>962955000</v>
      </c>
    </row>
    <row r="2383" spans="2:43" hidden="1" outlineLevel="1">
      <c r="B2383"/>
      <c r="C2383" s="41"/>
      <c r="D2383" s="41"/>
      <c r="E2383" s="59" t="s">
        <v>1026</v>
      </c>
      <c r="F2383" s="55"/>
      <c r="G2383" s="55"/>
      <c r="H2383" s="55"/>
      <c r="I2383" s="55"/>
      <c r="J2383" s="55"/>
      <c r="K2383" s="55"/>
      <c r="L2383" s="55"/>
      <c r="M2383" s="55"/>
      <c r="N2383" s="55"/>
      <c r="O2383" s="55"/>
      <c r="P2383" s="55"/>
      <c r="Q2383" s="55"/>
      <c r="R2383" s="55"/>
      <c r="S2383" s="55"/>
      <c r="T2383" s="55"/>
      <c r="U2383" s="55"/>
      <c r="V2383" s="55"/>
      <c r="W2383" s="55"/>
      <c r="X2383" s="55"/>
      <c r="Y2383" s="249"/>
      <c r="Z2383" s="249"/>
      <c r="AA2383" s="249"/>
      <c r="AB2383" s="249"/>
      <c r="AC2383" s="252"/>
      <c r="AD2383" s="249"/>
      <c r="AE2383" s="252"/>
      <c r="AF2383" s="249"/>
      <c r="AG2383" s="252"/>
      <c r="AH2383" s="252"/>
      <c r="AI2383" s="252"/>
      <c r="AJ2383" s="252"/>
      <c r="AK2383" s="252"/>
      <c r="AL2383" s="252"/>
      <c r="AM2383" s="252"/>
      <c r="AN2383" s="252"/>
      <c r="AO2383" s="252"/>
      <c r="AP2383" s="252"/>
    </row>
    <row r="2384" spans="2:43" hidden="1" outlineLevel="1">
      <c r="B2384"/>
      <c r="C2384" s="41"/>
      <c r="D2384" s="41"/>
      <c r="E2384" s="244" t="s">
        <v>1027</v>
      </c>
      <c r="F2384" s="55"/>
      <c r="G2384" s="55"/>
      <c r="H2384" s="55"/>
      <c r="I2384" s="55"/>
      <c r="J2384" s="55"/>
      <c r="K2384" s="55"/>
      <c r="L2384" s="55"/>
      <c r="M2384" s="55"/>
      <c r="N2384" s="55"/>
      <c r="O2384" s="55"/>
      <c r="P2384" s="55"/>
      <c r="Q2384" s="55"/>
      <c r="R2384" s="55"/>
      <c r="S2384" s="55"/>
      <c r="T2384" s="55"/>
      <c r="U2384" s="55"/>
      <c r="V2384" s="55"/>
      <c r="W2384" s="55"/>
      <c r="X2384" s="55"/>
      <c r="Y2384" s="249">
        <v>-69734969</v>
      </c>
      <c r="Z2384" s="249">
        <v>-131617008</v>
      </c>
      <c r="AA2384" s="249">
        <v>-79996795</v>
      </c>
      <c r="AB2384" s="249">
        <v>-90618147</v>
      </c>
      <c r="AC2384" s="252">
        <v>-91926193</v>
      </c>
      <c r="AD2384" s="249">
        <v>-98848710</v>
      </c>
      <c r="AE2384" s="252">
        <v>-101478812</v>
      </c>
      <c r="AF2384" s="249">
        <v>-114089350</v>
      </c>
      <c r="AG2384" s="252">
        <v>-85768819</v>
      </c>
      <c r="AH2384" s="252">
        <v>-98472451</v>
      </c>
      <c r="AI2384" s="252">
        <v>-133083668</v>
      </c>
      <c r="AJ2384" s="252">
        <v>-164171468</v>
      </c>
      <c r="AK2384" s="252">
        <v>-116974058</v>
      </c>
      <c r="AL2384" s="252">
        <v>-141539407</v>
      </c>
      <c r="AM2384" s="252">
        <v>-151959914</v>
      </c>
      <c r="AN2384" s="252">
        <v>-180980084</v>
      </c>
      <c r="AO2384" s="252">
        <v>-227303240</v>
      </c>
      <c r="AP2384" s="252">
        <v>-274136191</v>
      </c>
      <c r="AQ2384" s="252">
        <v>-286483857</v>
      </c>
    </row>
    <row r="2385" spans="2:44" hidden="1" outlineLevel="1">
      <c r="B2385"/>
      <c r="C2385" s="41"/>
      <c r="D2385" s="41"/>
      <c r="E2385" s="244" t="s">
        <v>1028</v>
      </c>
      <c r="F2385" s="55"/>
      <c r="G2385" s="55"/>
      <c r="H2385" s="55"/>
      <c r="I2385" s="55"/>
      <c r="J2385" s="55"/>
      <c r="K2385" s="55"/>
      <c r="L2385" s="55"/>
      <c r="M2385" s="55"/>
      <c r="N2385" s="55"/>
      <c r="O2385" s="55"/>
      <c r="P2385" s="55"/>
      <c r="Q2385" s="55"/>
      <c r="R2385" s="55"/>
      <c r="S2385" s="55"/>
      <c r="T2385" s="55"/>
      <c r="U2385" s="55"/>
      <c r="V2385" s="55"/>
      <c r="W2385" s="55"/>
      <c r="X2385" s="55"/>
      <c r="Y2385" s="249"/>
      <c r="Z2385" s="249"/>
      <c r="AA2385" s="249"/>
      <c r="AB2385" s="249"/>
      <c r="AC2385" s="252"/>
      <c r="AD2385" s="249"/>
      <c r="AE2385" s="252"/>
      <c r="AF2385" s="249"/>
      <c r="AG2385" s="252"/>
      <c r="AH2385" s="252"/>
      <c r="AI2385" s="252"/>
      <c r="AJ2385" s="252"/>
      <c r="AK2385" s="252"/>
      <c r="AL2385" s="252"/>
      <c r="AM2385" s="252"/>
      <c r="AN2385" s="252"/>
      <c r="AO2385" s="252"/>
      <c r="AP2385" s="252"/>
    </row>
    <row r="2386" spans="2:44" hidden="1" outlineLevel="1">
      <c r="B2386"/>
      <c r="C2386" s="41"/>
      <c r="D2386" s="41"/>
      <c r="E2386" s="244" t="s">
        <v>1029</v>
      </c>
      <c r="F2386" s="55"/>
      <c r="G2386" s="55"/>
      <c r="H2386" s="55"/>
      <c r="I2386" s="55"/>
      <c r="J2386" s="55"/>
      <c r="K2386" s="55"/>
      <c r="L2386" s="55"/>
      <c r="M2386" s="55"/>
      <c r="N2386" s="55"/>
      <c r="O2386" s="55"/>
      <c r="P2386" s="55"/>
      <c r="Q2386" s="55"/>
      <c r="R2386" s="55"/>
      <c r="S2386" s="55"/>
      <c r="T2386" s="55"/>
      <c r="U2386" s="55"/>
      <c r="V2386" s="55"/>
      <c r="W2386" s="55"/>
      <c r="X2386" s="55"/>
      <c r="Y2386" s="249">
        <v>-26468362</v>
      </c>
      <c r="Z2386" s="249">
        <v>-29322089</v>
      </c>
      <c r="AA2386" s="249">
        <v>-26534654</v>
      </c>
      <c r="AB2386" s="249">
        <v>-27771959</v>
      </c>
      <c r="AC2386" s="252">
        <v>-29882657</v>
      </c>
      <c r="AD2386" s="249">
        <v>-32381984</v>
      </c>
      <c r="AE2386" s="252">
        <v>-33373739</v>
      </c>
      <c r="AF2386" s="249">
        <v>-32123866</v>
      </c>
      <c r="AG2386" s="252">
        <v>-31055791</v>
      </c>
      <c r="AH2386" s="252">
        <v>-32625748</v>
      </c>
      <c r="AI2386" s="252">
        <v>-37526003</v>
      </c>
      <c r="AJ2386" s="252">
        <v>-39296867</v>
      </c>
      <c r="AK2386" s="252">
        <v>-47751481</v>
      </c>
      <c r="AL2386" s="252">
        <v>-100356616</v>
      </c>
      <c r="AM2386" s="252">
        <v>-108844074</v>
      </c>
      <c r="AN2386" s="252">
        <v>-42319122</v>
      </c>
      <c r="AO2386" s="252">
        <v>-41484203</v>
      </c>
      <c r="AP2386" s="252">
        <v>-42557676</v>
      </c>
      <c r="AR2386" s="1044"/>
    </row>
    <row r="2387" spans="2:44" s="1044" customFormat="1" hidden="1" outlineLevel="1">
      <c r="C2387" s="897"/>
      <c r="D2387" s="897"/>
      <c r="E2387" s="1049" t="s">
        <v>2016</v>
      </c>
      <c r="F2387" s="55"/>
      <c r="G2387" s="55"/>
      <c r="H2387" s="55"/>
      <c r="I2387" s="55"/>
      <c r="J2387" s="55"/>
      <c r="K2387" s="55"/>
      <c r="L2387" s="55"/>
      <c r="M2387" s="55"/>
      <c r="N2387" s="55"/>
      <c r="O2387" s="55"/>
      <c r="P2387" s="55"/>
      <c r="Q2387" s="55"/>
      <c r="R2387" s="55"/>
      <c r="S2387" s="55"/>
      <c r="T2387" s="55"/>
      <c r="U2387" s="55"/>
      <c r="V2387" s="55"/>
      <c r="W2387" s="55"/>
      <c r="X2387" s="55"/>
      <c r="Y2387" s="249"/>
      <c r="Z2387" s="249"/>
      <c r="AA2387" s="249"/>
      <c r="AB2387" s="249"/>
      <c r="AC2387" s="252"/>
      <c r="AD2387" s="249"/>
      <c r="AE2387" s="252"/>
      <c r="AF2387" s="249"/>
      <c r="AG2387" s="252"/>
      <c r="AH2387" s="252"/>
      <c r="AI2387" s="252"/>
      <c r="AJ2387" s="252"/>
      <c r="AK2387" s="252"/>
      <c r="AL2387" s="252"/>
      <c r="AM2387" s="252"/>
      <c r="AN2387" s="252">
        <v>-53475878</v>
      </c>
      <c r="AO2387" s="252">
        <v>-54310797</v>
      </c>
      <c r="AP2387" s="252">
        <v>-49442324</v>
      </c>
      <c r="AR2387"/>
    </row>
    <row r="2388" spans="2:44" hidden="1" outlineLevel="1">
      <c r="B2388"/>
      <c r="C2388" s="41"/>
      <c r="D2388" s="41"/>
      <c r="E2388" s="244" t="s">
        <v>1030</v>
      </c>
      <c r="F2388" s="55"/>
      <c r="G2388" s="55"/>
      <c r="H2388" s="55"/>
      <c r="I2388" s="55"/>
      <c r="J2388" s="55"/>
      <c r="K2388" s="55"/>
      <c r="L2388" s="55"/>
      <c r="M2388" s="55"/>
      <c r="N2388" s="55"/>
      <c r="O2388" s="55"/>
      <c r="P2388" s="55"/>
      <c r="Q2388" s="55"/>
      <c r="R2388" s="55"/>
      <c r="S2388" s="55"/>
      <c r="T2388" s="55"/>
      <c r="U2388" s="55"/>
      <c r="V2388" s="55"/>
      <c r="W2388" s="55"/>
      <c r="X2388" s="55"/>
      <c r="Y2388" s="249">
        <v>-2652145</v>
      </c>
      <c r="Z2388" s="249">
        <v>-2036435</v>
      </c>
      <c r="AA2388" s="249">
        <v>-1842959</v>
      </c>
      <c r="AB2388" s="249">
        <v>-1923182</v>
      </c>
      <c r="AC2388" s="252">
        <v>-2118677</v>
      </c>
      <c r="AD2388" s="249">
        <v>-1878465</v>
      </c>
      <c r="AE2388" s="252">
        <v>-1463663</v>
      </c>
      <c r="AF2388" s="249">
        <v>-2910010</v>
      </c>
      <c r="AG2388" s="252">
        <v>-344838</v>
      </c>
      <c r="AH2388" s="252">
        <v>0</v>
      </c>
      <c r="AI2388" s="252">
        <v>0</v>
      </c>
      <c r="AJ2388" s="252">
        <v>0</v>
      </c>
      <c r="AK2388" s="252"/>
      <c r="AL2388" s="252"/>
      <c r="AM2388" s="252"/>
      <c r="AN2388" s="252"/>
      <c r="AO2388" s="252"/>
      <c r="AP2388" s="252"/>
    </row>
    <row r="2389" spans="2:44" hidden="1" outlineLevel="1">
      <c r="B2389"/>
      <c r="C2389" s="41"/>
      <c r="D2389" s="41"/>
      <c r="E2389" s="244" t="s">
        <v>1469</v>
      </c>
      <c r="F2389" s="55"/>
      <c r="G2389" s="55"/>
      <c r="H2389" s="55"/>
      <c r="I2389" s="55"/>
      <c r="J2389" s="55"/>
      <c r="K2389" s="55"/>
      <c r="L2389" s="55"/>
      <c r="M2389" s="55"/>
      <c r="N2389" s="55"/>
      <c r="O2389" s="55"/>
      <c r="P2389" s="55"/>
      <c r="Q2389" s="55"/>
      <c r="R2389" s="55"/>
      <c r="S2389" s="55"/>
      <c r="T2389" s="55"/>
      <c r="U2389" s="55"/>
      <c r="V2389" s="55"/>
      <c r="W2389" s="55"/>
      <c r="X2389" s="55"/>
      <c r="Y2389" s="249">
        <v>0</v>
      </c>
      <c r="Z2389" s="249">
        <v>0</v>
      </c>
      <c r="AA2389" s="249">
        <v>0</v>
      </c>
      <c r="AB2389" s="249">
        <v>0</v>
      </c>
      <c r="AC2389" s="252">
        <v>0</v>
      </c>
      <c r="AD2389" s="249">
        <v>-24492435</v>
      </c>
      <c r="AE2389" s="252">
        <v>0</v>
      </c>
      <c r="AF2389" s="249">
        <v>-30132518</v>
      </c>
      <c r="AG2389" s="252">
        <v>-81930000</v>
      </c>
      <c r="AH2389" s="252">
        <v>-104338700</v>
      </c>
      <c r="AI2389" s="252">
        <v>-18442000</v>
      </c>
      <c r="AJ2389" s="252">
        <v>-42180000</v>
      </c>
      <c r="AK2389" s="252">
        <v>-139839116</v>
      </c>
      <c r="AL2389" s="252">
        <v>-28200000</v>
      </c>
      <c r="AM2389" s="252">
        <v>0</v>
      </c>
      <c r="AN2389" s="252">
        <v>-4500000</v>
      </c>
      <c r="AO2389" s="252">
        <v>0</v>
      </c>
      <c r="AP2389" s="252">
        <v>-5000000</v>
      </c>
    </row>
    <row r="2390" spans="2:44" hidden="1" outlineLevel="1">
      <c r="B2390"/>
      <c r="C2390" s="41"/>
      <c r="D2390" s="41"/>
      <c r="E2390" s="244" t="s">
        <v>1634</v>
      </c>
      <c r="F2390" s="55"/>
      <c r="G2390" s="55"/>
      <c r="H2390" s="55"/>
      <c r="I2390" s="55"/>
      <c r="J2390" s="55"/>
      <c r="K2390" s="55"/>
      <c r="L2390" s="55"/>
      <c r="M2390" s="55"/>
      <c r="N2390" s="55"/>
      <c r="O2390" s="55"/>
      <c r="P2390" s="55"/>
      <c r="Q2390" s="55"/>
      <c r="R2390" s="55"/>
      <c r="S2390" s="55"/>
      <c r="T2390" s="55"/>
      <c r="U2390" s="55"/>
      <c r="V2390" s="55"/>
      <c r="W2390" s="55"/>
      <c r="X2390" s="55"/>
      <c r="Y2390" s="249"/>
      <c r="Z2390" s="249"/>
      <c r="AA2390" s="249"/>
      <c r="AB2390" s="249"/>
      <c r="AC2390" s="252"/>
      <c r="AD2390" s="249"/>
      <c r="AE2390" s="252"/>
      <c r="AF2390" s="249"/>
      <c r="AG2390" s="252"/>
      <c r="AH2390" s="252"/>
      <c r="AI2390" s="252">
        <v>-5129606</v>
      </c>
      <c r="AJ2390" s="252">
        <v>-37992880</v>
      </c>
      <c r="AK2390" s="252">
        <v>-1003690</v>
      </c>
      <c r="AL2390" s="252">
        <v>0</v>
      </c>
      <c r="AM2390" s="252"/>
      <c r="AN2390" s="252"/>
      <c r="AO2390" s="252"/>
      <c r="AP2390" s="252"/>
    </row>
    <row r="2391" spans="2:44" hidden="1" outlineLevel="1">
      <c r="B2391"/>
      <c r="C2391" s="41"/>
      <c r="D2391" s="41"/>
      <c r="E2391" s="244" t="s">
        <v>1044</v>
      </c>
      <c r="F2391" s="55"/>
      <c r="G2391" s="55"/>
      <c r="H2391" s="55"/>
      <c r="I2391" s="55"/>
      <c r="J2391" s="55"/>
      <c r="K2391" s="55"/>
      <c r="L2391" s="55"/>
      <c r="M2391" s="55"/>
      <c r="N2391" s="55"/>
      <c r="O2391" s="55"/>
      <c r="P2391" s="55"/>
      <c r="Q2391" s="55"/>
      <c r="R2391" s="55"/>
      <c r="S2391" s="55"/>
      <c r="T2391" s="55"/>
      <c r="U2391" s="55"/>
      <c r="V2391" s="55"/>
      <c r="W2391" s="55"/>
      <c r="X2391" s="55"/>
      <c r="Y2391" s="249">
        <v>0</v>
      </c>
      <c r="Z2391" s="249">
        <v>0</v>
      </c>
      <c r="AA2391" s="249">
        <v>0</v>
      </c>
      <c r="AB2391" s="249">
        <v>0</v>
      </c>
      <c r="AC2391" s="252">
        <v>0</v>
      </c>
      <c r="AD2391" s="249">
        <v>-7505000</v>
      </c>
      <c r="AE2391" s="252">
        <v>0</v>
      </c>
      <c r="AF2391" s="249">
        <v>0</v>
      </c>
      <c r="AG2391" s="252">
        <v>0</v>
      </c>
      <c r="AH2391" s="252">
        <v>0</v>
      </c>
      <c r="AI2391" s="252">
        <v>0</v>
      </c>
      <c r="AJ2391" s="252">
        <v>0</v>
      </c>
      <c r="AK2391" s="252"/>
      <c r="AL2391" s="252"/>
      <c r="AM2391" s="252"/>
      <c r="AN2391" s="252"/>
      <c r="AO2391" s="252"/>
      <c r="AP2391" s="252"/>
    </row>
    <row r="2392" spans="2:44" hidden="1" outlineLevel="1">
      <c r="B2392"/>
      <c r="C2392" s="41"/>
      <c r="D2392" s="41"/>
      <c r="E2392" s="244" t="s">
        <v>1031</v>
      </c>
      <c r="F2392" s="55"/>
      <c r="G2392" s="55"/>
      <c r="H2392" s="55"/>
      <c r="I2392" s="55"/>
      <c r="J2392" s="55"/>
      <c r="K2392" s="55"/>
      <c r="L2392" s="55"/>
      <c r="M2392" s="55"/>
      <c r="N2392" s="55"/>
      <c r="O2392" s="55"/>
      <c r="P2392" s="55"/>
      <c r="Q2392" s="55"/>
      <c r="R2392" s="55"/>
      <c r="S2392" s="55"/>
      <c r="T2392" s="55"/>
      <c r="U2392" s="55"/>
      <c r="V2392" s="55"/>
      <c r="W2392" s="55"/>
      <c r="X2392" s="55"/>
      <c r="Y2392" s="249">
        <v>0</v>
      </c>
      <c r="Z2392" s="249">
        <v>0</v>
      </c>
      <c r="AA2392" s="249">
        <v>0</v>
      </c>
      <c r="AB2392" s="249">
        <v>0</v>
      </c>
      <c r="AC2392" s="252">
        <v>0</v>
      </c>
      <c r="AD2392" s="249">
        <v>0</v>
      </c>
      <c r="AE2392" s="252">
        <v>-1000000</v>
      </c>
      <c r="AF2392" s="249">
        <v>-4000000</v>
      </c>
      <c r="AG2392" s="252">
        <v>-4000000</v>
      </c>
      <c r="AH2392" s="252">
        <v>0</v>
      </c>
      <c r="AI2392" s="252">
        <v>0</v>
      </c>
      <c r="AJ2392" s="252">
        <v>0</v>
      </c>
      <c r="AK2392" s="252"/>
      <c r="AL2392" s="252"/>
      <c r="AM2392" s="252"/>
      <c r="AN2392" s="252"/>
      <c r="AO2392" s="252"/>
      <c r="AP2392" s="252"/>
    </row>
    <row r="2393" spans="2:44" hidden="1" outlineLevel="1">
      <c r="B2393"/>
      <c r="C2393" s="41"/>
      <c r="D2393" s="41"/>
      <c r="E2393" s="244" t="s">
        <v>1040</v>
      </c>
      <c r="F2393" s="55"/>
      <c r="G2393" s="55"/>
      <c r="H2393" s="55"/>
      <c r="I2393" s="55"/>
      <c r="J2393" s="55"/>
      <c r="K2393" s="55"/>
      <c r="L2393" s="55"/>
      <c r="M2393" s="55"/>
      <c r="N2393" s="55"/>
      <c r="O2393" s="55"/>
      <c r="P2393" s="55"/>
      <c r="Q2393" s="55"/>
      <c r="R2393" s="55"/>
      <c r="S2393" s="55"/>
      <c r="T2393" s="55"/>
      <c r="U2393" s="55"/>
      <c r="V2393" s="55"/>
      <c r="W2393" s="55"/>
      <c r="X2393" s="55"/>
      <c r="Y2393" s="249">
        <v>0</v>
      </c>
      <c r="Z2393" s="249">
        <v>0</v>
      </c>
      <c r="AA2393" s="249">
        <v>0</v>
      </c>
      <c r="AB2393" s="249">
        <v>0</v>
      </c>
      <c r="AC2393" s="252">
        <v>0</v>
      </c>
      <c r="AD2393" s="249">
        <v>0</v>
      </c>
      <c r="AE2393" s="252">
        <v>745423</v>
      </c>
      <c r="AF2393" s="249">
        <v>0</v>
      </c>
      <c r="AG2393" s="252">
        <v>0</v>
      </c>
      <c r="AH2393" s="252">
        <v>0</v>
      </c>
      <c r="AI2393" s="252">
        <v>0</v>
      </c>
      <c r="AJ2393" s="252">
        <v>0</v>
      </c>
      <c r="AK2393" s="252">
        <f>4934071+12087</f>
        <v>4946158</v>
      </c>
      <c r="AL2393" s="252">
        <v>3500000</v>
      </c>
      <c r="AM2393" s="252"/>
      <c r="AN2393" s="252"/>
      <c r="AO2393" s="252"/>
      <c r="AP2393" s="252"/>
    </row>
    <row r="2394" spans="2:44" hidden="1" outlineLevel="1">
      <c r="B2394"/>
      <c r="C2394" s="41"/>
      <c r="D2394" s="41"/>
      <c r="E2394" s="244" t="s">
        <v>1032</v>
      </c>
      <c r="F2394" s="55"/>
      <c r="G2394" s="55"/>
      <c r="H2394" s="55"/>
      <c r="I2394" s="55"/>
      <c r="J2394" s="55"/>
      <c r="K2394" s="55"/>
      <c r="L2394" s="55"/>
      <c r="M2394" s="55"/>
      <c r="N2394" s="55"/>
      <c r="O2394" s="55"/>
      <c r="P2394" s="55"/>
      <c r="Q2394" s="55"/>
      <c r="R2394" s="55"/>
      <c r="S2394" s="55"/>
      <c r="T2394" s="55"/>
      <c r="U2394" s="55"/>
      <c r="V2394" s="55"/>
      <c r="W2394" s="55"/>
      <c r="X2394" s="55"/>
      <c r="Y2394" s="249">
        <v>0</v>
      </c>
      <c r="Z2394" s="249">
        <v>0</v>
      </c>
      <c r="AA2394" s="249">
        <v>0</v>
      </c>
      <c r="AB2394" s="249">
        <v>0</v>
      </c>
      <c r="AC2394" s="252">
        <v>0</v>
      </c>
      <c r="AD2394" s="249">
        <v>0</v>
      </c>
      <c r="AE2394" s="252">
        <v>0</v>
      </c>
      <c r="AF2394" s="249">
        <v>0</v>
      </c>
      <c r="AG2394" s="252">
        <v>0</v>
      </c>
      <c r="AH2394" s="252">
        <v>-1016650</v>
      </c>
      <c r="AI2394" s="252">
        <v>-1552924</v>
      </c>
      <c r="AJ2394" s="252">
        <v>-2029009</v>
      </c>
      <c r="AK2394" s="252">
        <v>-1839360</v>
      </c>
      <c r="AL2394" s="252">
        <v>-1002653</v>
      </c>
      <c r="AM2394" s="252">
        <v>-2553387</v>
      </c>
      <c r="AN2394" s="252">
        <v>0</v>
      </c>
      <c r="AO2394" s="252">
        <v>0</v>
      </c>
      <c r="AP2394" s="252"/>
      <c r="AR2394" s="1044"/>
    </row>
    <row r="2395" spans="2:44" s="1044" customFormat="1" hidden="1" outlineLevel="1">
      <c r="C2395" s="897"/>
      <c r="D2395" s="897"/>
      <c r="E2395" s="1050" t="s">
        <v>1918</v>
      </c>
      <c r="F2395" s="55"/>
      <c r="G2395" s="55"/>
      <c r="H2395" s="55"/>
      <c r="I2395" s="55"/>
      <c r="J2395" s="55"/>
      <c r="K2395" s="55"/>
      <c r="L2395" s="55"/>
      <c r="M2395" s="55"/>
      <c r="N2395" s="55"/>
      <c r="O2395" s="55"/>
      <c r="P2395" s="55"/>
      <c r="Q2395" s="55"/>
      <c r="R2395" s="55"/>
      <c r="S2395" s="55"/>
      <c r="T2395" s="55"/>
      <c r="U2395" s="55"/>
      <c r="V2395" s="55"/>
      <c r="W2395" s="55"/>
      <c r="X2395" s="55"/>
      <c r="Y2395" s="249"/>
      <c r="Z2395" s="249"/>
      <c r="AA2395" s="249"/>
      <c r="AB2395" s="249"/>
      <c r="AC2395" s="252"/>
      <c r="AD2395" s="249"/>
      <c r="AE2395" s="252"/>
      <c r="AF2395" s="249"/>
      <c r="AG2395" s="252"/>
      <c r="AH2395" s="252"/>
      <c r="AI2395" s="252"/>
      <c r="AJ2395" s="252"/>
      <c r="AK2395" s="252"/>
      <c r="AL2395" s="252"/>
      <c r="AM2395" s="252">
        <v>-13600464</v>
      </c>
      <c r="AN2395" s="252">
        <v>-7000000</v>
      </c>
      <c r="AO2395" s="252">
        <v>-16900000</v>
      </c>
      <c r="AP2395" s="252">
        <v>0</v>
      </c>
      <c r="AR2395"/>
    </row>
    <row r="2396" spans="2:44" hidden="1" outlineLevel="1">
      <c r="B2396"/>
      <c r="C2396" s="41"/>
      <c r="D2396" s="41"/>
      <c r="E2396" s="244" t="s">
        <v>1033</v>
      </c>
      <c r="F2396" s="55"/>
      <c r="G2396" s="55"/>
      <c r="H2396" s="55"/>
      <c r="I2396" s="55"/>
      <c r="J2396" s="55"/>
      <c r="K2396" s="55"/>
      <c r="L2396" s="55"/>
      <c r="M2396" s="55"/>
      <c r="N2396" s="55"/>
      <c r="O2396" s="55"/>
      <c r="P2396" s="55"/>
      <c r="Q2396" s="55"/>
      <c r="R2396" s="55"/>
      <c r="S2396" s="55"/>
      <c r="T2396" s="55"/>
      <c r="U2396" s="55"/>
      <c r="V2396" s="55"/>
      <c r="W2396" s="55"/>
      <c r="X2396" s="55"/>
      <c r="Y2396" s="249"/>
      <c r="Z2396" s="249"/>
      <c r="AA2396" s="249"/>
      <c r="AB2396" s="249"/>
      <c r="AC2396" s="252"/>
      <c r="AD2396" s="249"/>
      <c r="AE2396" s="252"/>
      <c r="AF2396" s="249"/>
      <c r="AG2396" s="252"/>
      <c r="AH2396" s="252"/>
      <c r="AI2396" s="252"/>
      <c r="AJ2396" s="252"/>
      <c r="AK2396" s="252"/>
      <c r="AL2396" s="252"/>
      <c r="AM2396" s="252"/>
      <c r="AN2396" s="252"/>
      <c r="AO2396" s="252"/>
      <c r="AP2396" s="252"/>
    </row>
    <row r="2397" spans="2:44" hidden="1" outlineLevel="1">
      <c r="B2397"/>
      <c r="C2397" s="41"/>
      <c r="D2397" s="41"/>
      <c r="E2397" s="244" t="s">
        <v>1034</v>
      </c>
      <c r="F2397" s="55"/>
      <c r="G2397" s="55"/>
      <c r="H2397" s="55"/>
      <c r="I2397" s="55"/>
      <c r="J2397" s="55"/>
      <c r="K2397" s="55"/>
      <c r="L2397" s="55"/>
      <c r="M2397" s="55"/>
      <c r="N2397" s="55"/>
      <c r="O2397" s="55"/>
      <c r="P2397" s="55"/>
      <c r="Q2397" s="55"/>
      <c r="R2397" s="55"/>
      <c r="S2397" s="55"/>
      <c r="T2397" s="55"/>
      <c r="U2397" s="55"/>
      <c r="V2397" s="55"/>
      <c r="W2397" s="55"/>
      <c r="X2397" s="55"/>
      <c r="Y2397" s="249">
        <v>-114800000</v>
      </c>
      <c r="Z2397" s="249">
        <v>-108300000</v>
      </c>
      <c r="AA2397" s="249">
        <v>-105275000</v>
      </c>
      <c r="AB2397" s="249">
        <v>-111420000</v>
      </c>
      <c r="AC2397" s="252">
        <v>-126500000</v>
      </c>
      <c r="AD2397" s="249">
        <v>-142540000</v>
      </c>
      <c r="AE2397" s="252">
        <v>-165275000</v>
      </c>
      <c r="AF2397" s="249">
        <v>-220690000</v>
      </c>
      <c r="AG2397" s="252">
        <v>-157670000</v>
      </c>
      <c r="AH2397" s="252">
        <v>-178500000</v>
      </c>
      <c r="AI2397" s="252">
        <v>-199285000</v>
      </c>
      <c r="AJ2397" s="252">
        <v>-215205000</v>
      </c>
      <c r="AK2397" s="252">
        <v>-238190000</v>
      </c>
      <c r="AL2397" s="252">
        <v>-242845000</v>
      </c>
      <c r="AM2397" s="252">
        <v>-271560000</v>
      </c>
      <c r="AN2397" s="252">
        <v>-338480000</v>
      </c>
      <c r="AO2397" s="252">
        <v>-398660000</v>
      </c>
      <c r="AP2397" s="252">
        <v>-449495000</v>
      </c>
    </row>
    <row r="2398" spans="2:44" hidden="1" outlineLevel="1">
      <c r="B2398"/>
      <c r="C2398" s="41"/>
      <c r="D2398" s="41"/>
      <c r="E2398" s="244" t="s">
        <v>1045</v>
      </c>
      <c r="F2398" s="55"/>
      <c r="G2398" s="55"/>
      <c r="H2398" s="55"/>
      <c r="I2398" s="55"/>
      <c r="J2398" s="55"/>
      <c r="K2398" s="55"/>
      <c r="L2398" s="55"/>
      <c r="M2398" s="55"/>
      <c r="N2398" s="55"/>
      <c r="O2398" s="55"/>
      <c r="P2398" s="55"/>
      <c r="Q2398" s="55"/>
      <c r="R2398" s="55"/>
      <c r="S2398" s="55"/>
      <c r="T2398" s="55"/>
      <c r="U2398" s="55"/>
      <c r="V2398" s="55"/>
      <c r="W2398" s="55"/>
      <c r="X2398" s="55"/>
      <c r="Y2398" s="249">
        <v>0</v>
      </c>
      <c r="Z2398" s="249">
        <v>0</v>
      </c>
      <c r="AA2398" s="249">
        <v>0</v>
      </c>
      <c r="AB2398" s="249">
        <v>0</v>
      </c>
      <c r="AC2398" s="252">
        <v>-21945000</v>
      </c>
      <c r="AD2398" s="249">
        <v>-10000000</v>
      </c>
      <c r="AE2398" s="252">
        <v>0</v>
      </c>
      <c r="AF2398" s="249">
        <v>0</v>
      </c>
      <c r="AG2398" s="252">
        <v>0</v>
      </c>
      <c r="AH2398" s="252">
        <v>0</v>
      </c>
      <c r="AI2398" s="252">
        <v>0</v>
      </c>
      <c r="AJ2398" s="252">
        <v>0</v>
      </c>
      <c r="AK2398" s="252"/>
      <c r="AL2398" s="252"/>
      <c r="AM2398" s="252"/>
      <c r="AN2398" s="252"/>
      <c r="AO2398" s="252"/>
      <c r="AP2398" s="252"/>
    </row>
    <row r="2399" spans="2:44" hidden="1" outlineLevel="1">
      <c r="B2399"/>
      <c r="C2399" s="41"/>
      <c r="D2399" s="41"/>
      <c r="E2399" s="244" t="s">
        <v>1043</v>
      </c>
      <c r="F2399" s="55"/>
      <c r="G2399" s="55"/>
      <c r="H2399" s="55"/>
      <c r="I2399" s="55"/>
      <c r="J2399" s="55"/>
      <c r="K2399" s="55"/>
      <c r="L2399" s="55"/>
      <c r="M2399" s="55"/>
      <c r="N2399" s="55"/>
      <c r="O2399" s="55"/>
      <c r="P2399" s="55"/>
      <c r="Q2399" s="55"/>
      <c r="R2399" s="55"/>
      <c r="S2399" s="55"/>
      <c r="T2399" s="55"/>
      <c r="U2399" s="55"/>
      <c r="V2399" s="55"/>
      <c r="W2399" s="55"/>
      <c r="X2399" s="55"/>
      <c r="Y2399" s="249">
        <v>0</v>
      </c>
      <c r="Z2399" s="249">
        <v>0</v>
      </c>
      <c r="AA2399" s="249">
        <v>0</v>
      </c>
      <c r="AB2399" s="249">
        <v>0</v>
      </c>
      <c r="AC2399" s="252">
        <v>0</v>
      </c>
      <c r="AD2399" s="249">
        <v>0</v>
      </c>
      <c r="AE2399" s="252">
        <v>0</v>
      </c>
      <c r="AF2399" s="249">
        <v>-5000000</v>
      </c>
      <c r="AG2399" s="252">
        <v>0</v>
      </c>
      <c r="AH2399" s="252">
        <v>0</v>
      </c>
      <c r="AI2399" s="252">
        <v>0</v>
      </c>
      <c r="AJ2399" s="252">
        <v>0</v>
      </c>
      <c r="AK2399" s="252"/>
      <c r="AL2399" s="252"/>
      <c r="AM2399" s="252"/>
      <c r="AN2399" s="252"/>
      <c r="AO2399" s="252"/>
      <c r="AP2399" s="252"/>
    </row>
    <row r="2400" spans="2:44" hidden="1" outlineLevel="1">
      <c r="B2400"/>
      <c r="C2400" s="41"/>
      <c r="D2400" s="41"/>
      <c r="E2400" s="244" t="s">
        <v>1268</v>
      </c>
      <c r="F2400" s="55"/>
      <c r="G2400" s="55"/>
      <c r="H2400" s="55"/>
      <c r="I2400" s="55"/>
      <c r="J2400" s="55"/>
      <c r="K2400" s="55"/>
      <c r="L2400" s="55"/>
      <c r="M2400" s="55"/>
      <c r="N2400" s="55"/>
      <c r="O2400" s="55"/>
      <c r="P2400" s="55"/>
      <c r="Q2400" s="55"/>
      <c r="R2400" s="55"/>
      <c r="S2400" s="55"/>
      <c r="T2400" s="55"/>
      <c r="U2400" s="55"/>
      <c r="V2400" s="55"/>
      <c r="W2400" s="55"/>
      <c r="X2400" s="55"/>
      <c r="Y2400" s="249">
        <v>-102202</v>
      </c>
      <c r="Z2400" s="249">
        <v>0</v>
      </c>
      <c r="AA2400" s="249">
        <v>0</v>
      </c>
      <c r="AB2400" s="249">
        <v>0</v>
      </c>
      <c r="AC2400" s="252">
        <v>0</v>
      </c>
      <c r="AD2400" s="249">
        <v>-1250000</v>
      </c>
      <c r="AE2400" s="252">
        <v>0</v>
      </c>
      <c r="AF2400" s="249">
        <v>0</v>
      </c>
      <c r="AG2400" s="252">
        <v>0</v>
      </c>
      <c r="AH2400" s="252">
        <v>0</v>
      </c>
      <c r="AI2400" s="252">
        <v>0</v>
      </c>
      <c r="AJ2400" s="252">
        <v>0</v>
      </c>
      <c r="AK2400" s="252"/>
      <c r="AL2400" s="252"/>
      <c r="AM2400" s="252"/>
      <c r="AN2400" s="252"/>
      <c r="AO2400" s="252"/>
      <c r="AP2400" s="252"/>
    </row>
    <row r="2401" spans="2:44" hidden="1" outlineLevel="1">
      <c r="B2401"/>
      <c r="C2401" s="41"/>
      <c r="D2401" s="41"/>
      <c r="E2401" s="244" t="s">
        <v>1935</v>
      </c>
      <c r="F2401" s="55"/>
      <c r="G2401" s="55"/>
      <c r="H2401" s="55"/>
      <c r="I2401" s="55"/>
      <c r="J2401" s="55"/>
      <c r="K2401" s="55"/>
      <c r="L2401" s="55"/>
      <c r="M2401" s="55"/>
      <c r="N2401" s="55"/>
      <c r="O2401" s="55"/>
      <c r="P2401" s="55"/>
      <c r="Q2401" s="55"/>
      <c r="R2401" s="55"/>
      <c r="S2401" s="55"/>
      <c r="T2401" s="55"/>
      <c r="U2401" s="55"/>
      <c r="V2401" s="55"/>
      <c r="W2401" s="55"/>
      <c r="X2401" s="55"/>
      <c r="Y2401" s="249">
        <v>0</v>
      </c>
      <c r="Z2401" s="249">
        <v>0</v>
      </c>
      <c r="AA2401" s="249">
        <v>0</v>
      </c>
      <c r="AB2401" s="249">
        <v>0</v>
      </c>
      <c r="AC2401" s="252">
        <v>0</v>
      </c>
      <c r="AD2401" s="249">
        <v>0</v>
      </c>
      <c r="AE2401" s="252">
        <v>-5000000</v>
      </c>
      <c r="AF2401" s="249">
        <v>0</v>
      </c>
      <c r="AG2401" s="252">
        <v>0</v>
      </c>
      <c r="AH2401" s="252">
        <v>0</v>
      </c>
      <c r="AI2401" s="252">
        <v>0</v>
      </c>
      <c r="AJ2401" s="252">
        <v>0</v>
      </c>
      <c r="AK2401" s="252"/>
      <c r="AL2401" s="252"/>
      <c r="AM2401" s="252"/>
      <c r="AN2401" s="252"/>
      <c r="AO2401" s="252"/>
      <c r="AP2401" s="252"/>
    </row>
    <row r="2402" spans="2:44" hidden="1" outlineLevel="1">
      <c r="B2402"/>
      <c r="C2402" s="41"/>
      <c r="D2402" s="41"/>
      <c r="E2402" s="244" t="s">
        <v>1041</v>
      </c>
      <c r="F2402" s="55"/>
      <c r="G2402" s="55"/>
      <c r="H2402" s="55"/>
      <c r="I2402" s="55"/>
      <c r="J2402" s="55"/>
      <c r="K2402" s="55"/>
      <c r="L2402" s="55"/>
      <c r="M2402" s="55"/>
      <c r="N2402" s="55"/>
      <c r="O2402" s="55"/>
      <c r="P2402" s="55"/>
      <c r="Q2402" s="55"/>
      <c r="R2402" s="55"/>
      <c r="S2402" s="55"/>
      <c r="T2402" s="55"/>
      <c r="U2402" s="55"/>
      <c r="V2402" s="55"/>
      <c r="W2402" s="55"/>
      <c r="X2402" s="55"/>
      <c r="Y2402" s="249">
        <v>0</v>
      </c>
      <c r="Z2402" s="249">
        <v>0</v>
      </c>
      <c r="AA2402" s="249">
        <v>0</v>
      </c>
      <c r="AB2402" s="249">
        <v>0</v>
      </c>
      <c r="AC2402" s="252">
        <v>0</v>
      </c>
      <c r="AD2402" s="249">
        <v>0</v>
      </c>
      <c r="AE2402" s="252">
        <v>-500000</v>
      </c>
      <c r="AF2402" s="249">
        <v>0</v>
      </c>
      <c r="AG2402" s="252">
        <v>0</v>
      </c>
      <c r="AH2402" s="252">
        <v>0</v>
      </c>
      <c r="AI2402" s="252">
        <v>0</v>
      </c>
      <c r="AJ2402" s="252">
        <v>0</v>
      </c>
      <c r="AK2402" s="252"/>
      <c r="AL2402" s="252"/>
      <c r="AM2402" s="252"/>
      <c r="AN2402" s="252"/>
      <c r="AO2402" s="252"/>
      <c r="AP2402" s="252"/>
    </row>
    <row r="2403" spans="2:44" hidden="1" outlineLevel="1">
      <c r="B2403"/>
      <c r="C2403" s="41"/>
      <c r="D2403" s="41"/>
      <c r="E2403" s="244" t="s">
        <v>1042</v>
      </c>
      <c r="F2403" s="55"/>
      <c r="G2403" s="55"/>
      <c r="H2403" s="55"/>
      <c r="I2403" s="55"/>
      <c r="J2403" s="55"/>
      <c r="K2403" s="55"/>
      <c r="L2403" s="55"/>
      <c r="M2403" s="55"/>
      <c r="N2403" s="55"/>
      <c r="O2403" s="55"/>
      <c r="P2403" s="55"/>
      <c r="Q2403" s="55"/>
      <c r="R2403" s="55"/>
      <c r="S2403" s="55"/>
      <c r="T2403" s="55"/>
      <c r="U2403" s="55"/>
      <c r="V2403" s="55"/>
      <c r="W2403" s="55"/>
      <c r="X2403" s="55"/>
      <c r="Y2403" s="249">
        <v>0</v>
      </c>
      <c r="Z2403" s="249">
        <v>0</v>
      </c>
      <c r="AA2403" s="249">
        <v>0</v>
      </c>
      <c r="AB2403" s="249">
        <v>0</v>
      </c>
      <c r="AC2403" s="252">
        <v>0</v>
      </c>
      <c r="AD2403" s="249">
        <v>0</v>
      </c>
      <c r="AE2403" s="252">
        <v>0</v>
      </c>
      <c r="AF2403" s="249">
        <v>-20000000</v>
      </c>
      <c r="AG2403" s="252">
        <v>0</v>
      </c>
      <c r="AH2403" s="252">
        <v>0</v>
      </c>
      <c r="AI2403" s="252">
        <v>0</v>
      </c>
      <c r="AJ2403" s="252">
        <v>0</v>
      </c>
      <c r="AK2403" s="252"/>
      <c r="AL2403" s="252"/>
      <c r="AM2403" s="252"/>
      <c r="AN2403" s="252"/>
      <c r="AO2403" s="252"/>
      <c r="AP2403" s="252"/>
    </row>
    <row r="2404" spans="2:44" hidden="1" outlineLevel="1">
      <c r="B2404"/>
      <c r="C2404" s="41"/>
      <c r="D2404" s="41"/>
      <c r="E2404" s="244" t="s">
        <v>1035</v>
      </c>
      <c r="F2404" s="55"/>
      <c r="G2404" s="55"/>
      <c r="H2404" s="55"/>
      <c r="I2404" s="55"/>
      <c r="J2404" s="55"/>
      <c r="K2404" s="55"/>
      <c r="L2404" s="55"/>
      <c r="M2404" s="55"/>
      <c r="N2404" s="55"/>
      <c r="O2404" s="55"/>
      <c r="P2404" s="55"/>
      <c r="Q2404" s="55"/>
      <c r="R2404" s="55"/>
      <c r="S2404" s="55"/>
      <c r="T2404" s="55"/>
      <c r="U2404" s="55"/>
      <c r="V2404" s="55"/>
      <c r="W2404" s="55"/>
      <c r="X2404" s="55"/>
      <c r="Y2404" s="249">
        <v>0</v>
      </c>
      <c r="Z2404" s="249">
        <v>0</v>
      </c>
      <c r="AA2404" s="249">
        <v>0</v>
      </c>
      <c r="AB2404" s="249">
        <v>0</v>
      </c>
      <c r="AC2404" s="252">
        <v>0</v>
      </c>
      <c r="AD2404" s="249">
        <v>0</v>
      </c>
      <c r="AE2404" s="252">
        <v>0</v>
      </c>
      <c r="AF2404" s="249">
        <v>0</v>
      </c>
      <c r="AG2404" s="252">
        <v>0</v>
      </c>
      <c r="AH2404" s="252">
        <v>0</v>
      </c>
      <c r="AI2404" s="252">
        <v>-8000000</v>
      </c>
      <c r="AJ2404" s="252">
        <v>-17000000</v>
      </c>
      <c r="AK2404" s="252">
        <v>-25000000</v>
      </c>
      <c r="AL2404" s="252">
        <v>-25000000</v>
      </c>
      <c r="AM2404" s="252">
        <v>-25000000</v>
      </c>
      <c r="AN2404" s="252">
        <v>0</v>
      </c>
      <c r="AO2404" s="252"/>
      <c r="AP2404" s="252"/>
    </row>
    <row r="2405" spans="2:44" hidden="1" outlineLevel="1">
      <c r="B2405"/>
      <c r="C2405" s="41"/>
      <c r="D2405" s="41"/>
      <c r="E2405" s="244" t="s">
        <v>1047</v>
      </c>
      <c r="F2405" s="55"/>
      <c r="G2405" s="55"/>
      <c r="H2405" s="55"/>
      <c r="I2405" s="55"/>
      <c r="J2405" s="55"/>
      <c r="K2405" s="55"/>
      <c r="L2405" s="55"/>
      <c r="M2405" s="55"/>
      <c r="N2405" s="55"/>
      <c r="O2405" s="55"/>
      <c r="P2405" s="55"/>
      <c r="Q2405" s="55"/>
      <c r="R2405" s="55"/>
      <c r="S2405" s="55"/>
      <c r="T2405" s="55"/>
      <c r="U2405" s="55"/>
      <c r="V2405" s="55"/>
      <c r="W2405" s="55"/>
      <c r="X2405" s="55"/>
      <c r="Y2405" s="249">
        <v>-3401650</v>
      </c>
      <c r="Z2405" s="249">
        <v>-3427856</v>
      </c>
      <c r="AA2405" s="249">
        <v>0</v>
      </c>
      <c r="AB2405" s="249">
        <v>0</v>
      </c>
      <c r="AC2405" s="249">
        <v>0</v>
      </c>
      <c r="AD2405" s="249">
        <v>0</v>
      </c>
      <c r="AE2405" s="249">
        <v>0</v>
      </c>
      <c r="AF2405" s="249">
        <v>0</v>
      </c>
      <c r="AG2405" s="249">
        <v>0</v>
      </c>
      <c r="AH2405" s="249">
        <v>0</v>
      </c>
      <c r="AI2405" s="252">
        <v>0</v>
      </c>
      <c r="AJ2405" s="252">
        <v>0</v>
      </c>
      <c r="AK2405" s="252"/>
      <c r="AL2405" s="252"/>
      <c r="AM2405" s="252"/>
      <c r="AN2405" s="252"/>
      <c r="AO2405" s="252"/>
      <c r="AP2405" s="252"/>
    </row>
    <row r="2406" spans="2:44" hidden="1" outlineLevel="1">
      <c r="B2406"/>
      <c r="C2406" s="41"/>
      <c r="D2406" s="41"/>
      <c r="E2406" s="244" t="s">
        <v>1048</v>
      </c>
      <c r="F2406" s="55"/>
      <c r="G2406" s="55"/>
      <c r="H2406" s="55"/>
      <c r="I2406" s="55"/>
      <c r="J2406" s="55"/>
      <c r="K2406" s="55"/>
      <c r="L2406" s="55"/>
      <c r="M2406" s="55"/>
      <c r="N2406" s="55"/>
      <c r="O2406" s="55"/>
      <c r="P2406" s="55"/>
      <c r="Q2406" s="55"/>
      <c r="R2406" s="55"/>
      <c r="S2406" s="55"/>
      <c r="T2406" s="55"/>
      <c r="U2406" s="55"/>
      <c r="V2406" s="55"/>
      <c r="W2406" s="55"/>
      <c r="X2406" s="55"/>
      <c r="Y2406" s="249">
        <v>-450000</v>
      </c>
      <c r="Z2406" s="249">
        <v>0</v>
      </c>
      <c r="AA2406" s="249">
        <v>0</v>
      </c>
      <c r="AB2406" s="249">
        <v>0</v>
      </c>
      <c r="AC2406" s="249">
        <v>0</v>
      </c>
      <c r="AD2406" s="249">
        <v>0</v>
      </c>
      <c r="AE2406" s="249">
        <v>0</v>
      </c>
      <c r="AF2406" s="249">
        <v>0</v>
      </c>
      <c r="AG2406" s="249">
        <v>0</v>
      </c>
      <c r="AH2406" s="249">
        <v>0</v>
      </c>
      <c r="AI2406" s="252">
        <v>0</v>
      </c>
      <c r="AJ2406" s="252">
        <v>0</v>
      </c>
      <c r="AK2406" s="252"/>
      <c r="AL2406" s="252"/>
      <c r="AM2406" s="252"/>
      <c r="AN2406" s="252"/>
      <c r="AO2406" s="252"/>
      <c r="AP2406" s="252"/>
    </row>
    <row r="2407" spans="2:44" hidden="1" outlineLevel="1">
      <c r="B2407"/>
      <c r="C2407" s="41"/>
      <c r="D2407" s="41"/>
      <c r="E2407" s="244" t="s">
        <v>1632</v>
      </c>
      <c r="F2407" s="55"/>
      <c r="G2407" s="55"/>
      <c r="H2407" s="55"/>
      <c r="I2407" s="55"/>
      <c r="J2407" s="55"/>
      <c r="K2407" s="55"/>
      <c r="L2407" s="55"/>
      <c r="M2407" s="55"/>
      <c r="N2407" s="55"/>
      <c r="O2407" s="55"/>
      <c r="P2407" s="55"/>
      <c r="Q2407" s="55"/>
      <c r="R2407" s="55"/>
      <c r="S2407" s="55"/>
      <c r="T2407" s="55"/>
      <c r="U2407" s="55"/>
      <c r="V2407" s="55"/>
      <c r="W2407" s="55"/>
      <c r="X2407" s="55"/>
      <c r="Y2407" s="249">
        <v>-1060000</v>
      </c>
      <c r="Z2407" s="249">
        <v>-1060000</v>
      </c>
      <c r="AA2407" s="249">
        <v>-1060000</v>
      </c>
      <c r="AB2407" s="249">
        <v>-1060000</v>
      </c>
      <c r="AC2407" s="252">
        <v>-1060000</v>
      </c>
      <c r="AD2407" s="249">
        <v>-1060000</v>
      </c>
      <c r="AE2407" s="252">
        <v>-1060000</v>
      </c>
      <c r="AF2407" s="249">
        <v>-1060000</v>
      </c>
      <c r="AG2407" s="252">
        <v>-1060000</v>
      </c>
      <c r="AH2407" s="252">
        <v>-1060000</v>
      </c>
      <c r="AI2407" s="252">
        <v>-1060000</v>
      </c>
      <c r="AJ2407" s="252">
        <v>-1606000</v>
      </c>
      <c r="AK2407" s="252">
        <v>-1060000</v>
      </c>
      <c r="AL2407" s="252">
        <v>-1060000</v>
      </c>
      <c r="AM2407" s="252">
        <v>-1060000</v>
      </c>
      <c r="AN2407" s="252">
        <v>-1992000</v>
      </c>
      <c r="AO2407" s="252">
        <v>-1992000</v>
      </c>
      <c r="AP2407" s="252">
        <v>-1992000</v>
      </c>
    </row>
    <row r="2408" spans="2:44" hidden="1" outlineLevel="1">
      <c r="B2408"/>
      <c r="C2408" s="41"/>
      <c r="D2408" s="41"/>
      <c r="E2408" s="244" t="s">
        <v>1633</v>
      </c>
      <c r="F2408" s="55"/>
      <c r="G2408" s="55"/>
      <c r="H2408" s="55"/>
      <c r="I2408" s="55"/>
      <c r="J2408" s="55"/>
      <c r="K2408" s="55"/>
      <c r="L2408" s="55"/>
      <c r="M2408" s="55"/>
      <c r="N2408" s="55"/>
      <c r="O2408" s="55"/>
      <c r="P2408" s="55"/>
      <c r="Q2408" s="55"/>
      <c r="R2408" s="55"/>
      <c r="S2408" s="55"/>
      <c r="T2408" s="55"/>
      <c r="U2408" s="55"/>
      <c r="V2408" s="55"/>
      <c r="W2408" s="55"/>
      <c r="X2408" s="55"/>
      <c r="Y2408" s="249"/>
      <c r="Z2408" s="249"/>
      <c r="AA2408" s="249"/>
      <c r="AB2408" s="249"/>
      <c r="AC2408" s="249"/>
      <c r="AD2408" s="249"/>
      <c r="AE2408" s="249"/>
      <c r="AF2408" s="249"/>
      <c r="AG2408" s="249"/>
      <c r="AH2408" s="249"/>
      <c r="AI2408" s="249"/>
      <c r="AJ2408" s="252">
        <v>-9552268</v>
      </c>
      <c r="AK2408" s="252">
        <v>-4098800</v>
      </c>
      <c r="AL2408" s="252">
        <v>-32321000</v>
      </c>
      <c r="AM2408" s="252">
        <v>-42210410</v>
      </c>
      <c r="AN2408" s="252">
        <v>-17302933</v>
      </c>
      <c r="AO2408" s="252">
        <v>-3300000</v>
      </c>
      <c r="AP2408" s="252">
        <v>-167166667</v>
      </c>
    </row>
    <row r="2409" spans="2:44" hidden="1" outlineLevel="1">
      <c r="B2409"/>
      <c r="C2409" s="41"/>
      <c r="D2409" s="41"/>
      <c r="E2409" s="244" t="s">
        <v>1785</v>
      </c>
      <c r="F2409" s="55"/>
      <c r="G2409" s="55"/>
      <c r="H2409" s="55"/>
      <c r="I2409" s="55"/>
      <c r="J2409" s="55"/>
      <c r="K2409" s="55"/>
      <c r="L2409" s="55"/>
      <c r="M2409" s="55"/>
      <c r="N2409" s="55"/>
      <c r="O2409" s="55"/>
      <c r="P2409" s="55"/>
      <c r="Q2409" s="55"/>
      <c r="R2409" s="55"/>
      <c r="S2409" s="55"/>
      <c r="T2409" s="55"/>
      <c r="U2409" s="55"/>
      <c r="V2409" s="55"/>
      <c r="W2409" s="55"/>
      <c r="X2409" s="55"/>
      <c r="Y2409" s="250"/>
      <c r="Z2409" s="250"/>
      <c r="AA2409" s="250"/>
      <c r="AB2409" s="250"/>
      <c r="AC2409" s="251"/>
      <c r="AD2409" s="250"/>
      <c r="AE2409" s="251"/>
      <c r="AF2409" s="250"/>
      <c r="AG2409" s="251"/>
      <c r="AH2409" s="251"/>
      <c r="AI2409" s="251"/>
      <c r="AJ2409" s="251">
        <v>546000</v>
      </c>
      <c r="AK2409" s="251">
        <v>42322855</v>
      </c>
      <c r="AL2409" s="251"/>
      <c r="AM2409" s="251">
        <v>-1</v>
      </c>
      <c r="AN2409" s="251"/>
      <c r="AO2409" s="251"/>
      <c r="AP2409" s="251"/>
    </row>
    <row r="2410" spans="2:44" hidden="1" outlineLevel="1">
      <c r="B2410"/>
      <c r="C2410" s="41"/>
      <c r="D2410" s="41"/>
      <c r="E2410" s="245" t="s">
        <v>1036</v>
      </c>
      <c r="F2410" s="55"/>
      <c r="G2410" s="55"/>
      <c r="H2410" s="55"/>
      <c r="I2410" s="55"/>
      <c r="J2410" s="55"/>
      <c r="K2410" s="55"/>
      <c r="L2410" s="55"/>
      <c r="M2410" s="55"/>
      <c r="N2410" s="55"/>
      <c r="O2410" s="55"/>
      <c r="P2410" s="55"/>
      <c r="Q2410" s="55"/>
      <c r="R2410" s="55"/>
      <c r="S2410" s="55"/>
      <c r="T2410" s="55"/>
      <c r="U2410" s="55"/>
      <c r="V2410" s="55"/>
      <c r="W2410" s="55"/>
      <c r="X2410" s="55"/>
      <c r="Y2410" s="246">
        <v>-218669328</v>
      </c>
      <c r="Z2410" s="246">
        <v>-275763388</v>
      </c>
      <c r="AA2410" s="246">
        <v>-214709408</v>
      </c>
      <c r="AB2410" s="246">
        <v>-232793288</v>
      </c>
      <c r="AC2410" s="55">
        <v>-273432527</v>
      </c>
      <c r="AD2410" s="246">
        <v>-319936594</v>
      </c>
      <c r="AE2410" s="55">
        <v>-308405791</v>
      </c>
      <c r="AF2410" s="246">
        <v>-430005744</v>
      </c>
      <c r="AG2410" s="55">
        <v>-361829448</v>
      </c>
      <c r="AH2410" s="55">
        <v>-416013549</v>
      </c>
      <c r="AI2410" s="55">
        <v>-404079201</v>
      </c>
      <c r="AJ2410" s="55">
        <v>-528487492</v>
      </c>
      <c r="AK2410" s="634">
        <v>-570810347</v>
      </c>
      <c r="AL2410" s="634">
        <f>SUM(AL2383:AL2409)</f>
        <v>-568824676</v>
      </c>
      <c r="AM2410" s="634">
        <f>SUM(AM2384:AM2409)</f>
        <v>-616788250</v>
      </c>
      <c r="AN2410" s="634">
        <f>SUM(AN2384:AN2409)</f>
        <v>-646050017</v>
      </c>
      <c r="AO2410" s="634">
        <f>SUM(AO2384:AO2409)</f>
        <v>-743950240</v>
      </c>
      <c r="AP2410" s="634">
        <f>SUM(AP2384:AP2409)</f>
        <v>-989789858</v>
      </c>
    </row>
    <row r="2411" spans="2:44" hidden="1" outlineLevel="1">
      <c r="B2411"/>
      <c r="C2411" s="41"/>
      <c r="D2411" s="41"/>
      <c r="E2411" s="245" t="s">
        <v>1037</v>
      </c>
      <c r="F2411" s="55"/>
      <c r="G2411" s="55"/>
      <c r="H2411" s="55"/>
      <c r="I2411" s="55"/>
      <c r="J2411" s="55"/>
      <c r="K2411" s="55"/>
      <c r="L2411" s="55"/>
      <c r="M2411" s="55"/>
      <c r="N2411" s="55"/>
      <c r="O2411" s="55"/>
      <c r="P2411" s="55"/>
      <c r="Q2411" s="55"/>
      <c r="R2411" s="55"/>
      <c r="S2411" s="55"/>
      <c r="T2411" s="55"/>
      <c r="U2411" s="55"/>
      <c r="V2411" s="55"/>
      <c r="W2411" s="55"/>
      <c r="X2411" s="55"/>
      <c r="Y2411" s="249">
        <v>32820485</v>
      </c>
      <c r="Z2411" s="249">
        <v>-35671113</v>
      </c>
      <c r="AA2411" s="249">
        <v>23402299</v>
      </c>
      <c r="AB2411" s="249">
        <v>22900212</v>
      </c>
      <c r="AC2411" s="252">
        <v>14546526</v>
      </c>
      <c r="AD2411" s="249">
        <v>707034</v>
      </c>
      <c r="AE2411" s="252">
        <v>63848254</v>
      </c>
      <c r="AF2411" s="249">
        <v>-71859848</v>
      </c>
      <c r="AG2411" s="252">
        <v>-9576790</v>
      </c>
      <c r="AH2411" s="252">
        <v>-13172231</v>
      </c>
      <c r="AI2411" s="252">
        <v>44976084</v>
      </c>
      <c r="AJ2411" s="252">
        <v>78444727</v>
      </c>
      <c r="AK2411" s="252">
        <v>-26534383</v>
      </c>
      <c r="AL2411" s="252">
        <v>-19335935</v>
      </c>
      <c r="AM2411" s="252">
        <f>AM2382+AM2410</f>
        <v>-11230276</v>
      </c>
      <c r="AN2411" s="252">
        <f>AN2382+AN2410</f>
        <v>16645629</v>
      </c>
      <c r="AO2411" s="252">
        <f>AO2382+AO2410</f>
        <v>26020801</v>
      </c>
      <c r="AP2411" s="252">
        <f>AP2382+AP2410</f>
        <v>-26834858</v>
      </c>
      <c r="AQ2411" s="1160"/>
    </row>
    <row r="2412" spans="2:44" hidden="1" outlineLevel="1">
      <c r="B2412"/>
      <c r="C2412" s="41"/>
      <c r="D2412" s="41"/>
      <c r="E2412" s="245" t="s">
        <v>1038</v>
      </c>
      <c r="F2412" s="55"/>
      <c r="G2412" s="55"/>
      <c r="H2412" s="55"/>
      <c r="I2412" s="55"/>
      <c r="J2412" s="55"/>
      <c r="K2412" s="55"/>
      <c r="L2412" s="55"/>
      <c r="M2412" s="55"/>
      <c r="N2412" s="55"/>
      <c r="O2412" s="55"/>
      <c r="P2412" s="55"/>
      <c r="Q2412" s="55"/>
      <c r="R2412" s="55"/>
      <c r="S2412" s="55"/>
      <c r="T2412" s="55"/>
      <c r="U2412" s="55"/>
      <c r="V2412" s="55"/>
      <c r="W2412" s="55"/>
      <c r="X2412" s="55"/>
      <c r="Y2412" s="253" t="s">
        <v>1046</v>
      </c>
      <c r="Z2412" s="253" t="s">
        <v>1046</v>
      </c>
      <c r="AA2412" s="253" t="s">
        <v>1046</v>
      </c>
      <c r="AB2412" s="249" t="s">
        <v>1046</v>
      </c>
      <c r="AC2412" s="252" t="s">
        <v>1046</v>
      </c>
      <c r="AD2412" s="249" t="s">
        <v>1046</v>
      </c>
      <c r="AE2412" s="252">
        <v>107875526</v>
      </c>
      <c r="AF2412" s="249">
        <v>171723780</v>
      </c>
      <c r="AG2412" s="252">
        <v>99863932</v>
      </c>
      <c r="AH2412" s="252">
        <v>90287142</v>
      </c>
      <c r="AI2412" s="252">
        <v>77114911</v>
      </c>
      <c r="AJ2412" s="252">
        <v>122060995</v>
      </c>
      <c r="AK2412" s="252">
        <v>200535722</v>
      </c>
      <c r="AL2412" s="252">
        <v>174001339</v>
      </c>
      <c r="AM2412" s="252">
        <v>154665404</v>
      </c>
      <c r="AN2412" s="252">
        <v>143435128</v>
      </c>
      <c r="AO2412" s="252">
        <v>160080757</v>
      </c>
      <c r="AP2412" s="252">
        <v>186101558</v>
      </c>
    </row>
    <row r="2413" spans="2:44" hidden="1" outlineLevel="1">
      <c r="B2413"/>
      <c r="C2413" s="41"/>
      <c r="D2413" s="41"/>
      <c r="E2413" s="59" t="s">
        <v>1039</v>
      </c>
      <c r="F2413" s="55"/>
      <c r="G2413" s="55"/>
      <c r="H2413" s="55"/>
      <c r="I2413" s="55"/>
      <c r="J2413" s="55"/>
      <c r="K2413" s="55"/>
      <c r="L2413" s="55"/>
      <c r="M2413" s="55"/>
      <c r="N2413" s="55"/>
      <c r="O2413" s="55"/>
      <c r="P2413" s="55"/>
      <c r="Q2413" s="55"/>
      <c r="R2413" s="55"/>
      <c r="S2413" s="55"/>
      <c r="T2413" s="55"/>
      <c r="U2413" s="55"/>
      <c r="V2413" s="55"/>
      <c r="W2413" s="55"/>
      <c r="X2413" s="55"/>
      <c r="Y2413" s="253" t="s">
        <v>1046</v>
      </c>
      <c r="Z2413" s="253" t="s">
        <v>1046</v>
      </c>
      <c r="AA2413" s="253" t="s">
        <v>1046</v>
      </c>
      <c r="AB2413" s="250" t="s">
        <v>1046</v>
      </c>
      <c r="AC2413" s="251" t="s">
        <v>1046</v>
      </c>
      <c r="AD2413" s="250" t="s">
        <v>1046</v>
      </c>
      <c r="AE2413" s="251">
        <v>171723780</v>
      </c>
      <c r="AF2413" s="250">
        <v>99863932</v>
      </c>
      <c r="AG2413" s="251">
        <v>90287142</v>
      </c>
      <c r="AH2413" s="251">
        <v>77114911</v>
      </c>
      <c r="AI2413" s="251">
        <v>122090995</v>
      </c>
      <c r="AJ2413" s="251">
        <v>200535722</v>
      </c>
      <c r="AK2413" s="251">
        <v>174001339</v>
      </c>
      <c r="AL2413" s="251">
        <v>154665404</v>
      </c>
      <c r="AM2413" s="251">
        <f>SUM(AM2411:AM2412)</f>
        <v>143435128</v>
      </c>
      <c r="AN2413" s="251">
        <f>SUM(AN2411:AN2412)</f>
        <v>160080757</v>
      </c>
      <c r="AO2413" s="251">
        <v>186101558</v>
      </c>
      <c r="AP2413" s="251">
        <v>159266700</v>
      </c>
    </row>
    <row r="2414" spans="2:44" hidden="1" outlineLevel="1">
      <c r="B2414"/>
      <c r="C2414" s="41"/>
      <c r="D2414" s="41"/>
      <c r="E2414" s="59"/>
      <c r="F2414" s="55"/>
      <c r="G2414" s="55"/>
      <c r="H2414" s="55"/>
      <c r="I2414" s="55"/>
      <c r="J2414" s="55"/>
      <c r="K2414" s="55"/>
      <c r="L2414" s="55"/>
      <c r="M2414" s="55"/>
      <c r="N2414" s="55"/>
      <c r="O2414" s="55"/>
      <c r="P2414" s="55"/>
      <c r="Q2414" s="55"/>
      <c r="R2414" s="55"/>
      <c r="S2414" s="55"/>
      <c r="T2414" s="55"/>
      <c r="U2414" s="55"/>
      <c r="V2414" s="55"/>
      <c r="W2414" s="55"/>
      <c r="X2414" s="55"/>
      <c r="Y2414" s="253"/>
      <c r="Z2414" s="253"/>
      <c r="AA2414" s="253"/>
      <c r="AB2414" s="250"/>
      <c r="AC2414" s="251"/>
      <c r="AD2414" s="250"/>
      <c r="AE2414" s="251"/>
      <c r="AF2414" s="250"/>
      <c r="AG2414" s="251"/>
      <c r="AH2414" s="251"/>
      <c r="AI2414" s="251"/>
      <c r="AJ2414" s="251"/>
      <c r="AK2414" s="56"/>
      <c r="AL2414" s="56"/>
      <c r="AM2414" s="56"/>
      <c r="AN2414" s="1065"/>
      <c r="AO2414" s="1065"/>
      <c r="AP2414" s="1065"/>
    </row>
    <row r="2415" spans="2:44" hidden="1" outlineLevel="1">
      <c r="C2415" s="59" t="s">
        <v>1940</v>
      </c>
      <c r="D2415" s="59"/>
      <c r="E2415" s="59"/>
      <c r="F2415" s="55"/>
      <c r="G2415" s="55"/>
      <c r="H2415" s="55"/>
      <c r="I2415" s="55"/>
      <c r="J2415" s="55"/>
      <c r="K2415" s="55"/>
      <c r="L2415" s="55"/>
      <c r="M2415" s="55"/>
      <c r="N2415" s="55"/>
      <c r="O2415" s="55"/>
      <c r="P2415" s="55"/>
      <c r="Q2415" s="55"/>
      <c r="R2415" s="55"/>
      <c r="S2415" s="55"/>
      <c r="T2415" s="55"/>
      <c r="U2415" s="55"/>
      <c r="V2415" s="55"/>
      <c r="W2415" s="55"/>
      <c r="X2415" s="55"/>
      <c r="Y2415" s="253"/>
      <c r="Z2415" s="253"/>
      <c r="AA2415" s="253"/>
      <c r="AB2415" s="250"/>
      <c r="AC2415" s="251"/>
      <c r="AD2415" s="250"/>
      <c r="AE2415" s="251"/>
      <c r="AF2415" s="250">
        <v>10528535</v>
      </c>
      <c r="AG2415" s="251">
        <v>11178535</v>
      </c>
      <c r="AH2415" s="251">
        <v>13714211</v>
      </c>
      <c r="AI2415" s="251">
        <v>42902877</v>
      </c>
      <c r="AJ2415" s="251">
        <v>63396493</v>
      </c>
      <c r="AK2415" s="56">
        <v>15676777</v>
      </c>
      <c r="AL2415" s="56">
        <v>47542638</v>
      </c>
      <c r="AM2415" s="1065">
        <v>34146846</v>
      </c>
      <c r="AN2415" s="1065">
        <v>31093272</v>
      </c>
      <c r="AO2415" s="1065">
        <v>27386212</v>
      </c>
      <c r="AP2415" s="1065">
        <v>24956000</v>
      </c>
      <c r="AR2415" s="218"/>
    </row>
    <row r="2416" spans="2:44" s="173" customFormat="1" hidden="1" outlineLevel="1">
      <c r="B2416" s="566"/>
      <c r="C2416" s="59"/>
      <c r="D2416" s="59"/>
      <c r="E2416" s="1060"/>
      <c r="F2416" s="560"/>
      <c r="G2416" s="560"/>
      <c r="H2416" s="560"/>
      <c r="I2416" s="560"/>
      <c r="J2416" s="560"/>
      <c r="K2416" s="560"/>
      <c r="L2416" s="560"/>
      <c r="M2416" s="560"/>
      <c r="N2416" s="560"/>
      <c r="O2416" s="560"/>
      <c r="P2416" s="560"/>
      <c r="Q2416" s="560"/>
      <c r="R2416" s="560"/>
      <c r="S2416" s="560"/>
      <c r="T2416" s="560"/>
      <c r="U2416" s="560"/>
      <c r="V2416" s="560"/>
      <c r="W2416" s="560"/>
      <c r="X2416" s="560"/>
      <c r="Y2416" s="560"/>
      <c r="Z2416" s="560"/>
      <c r="AA2416" s="560"/>
      <c r="AB2416" s="561"/>
      <c r="AC2416" s="1161"/>
      <c r="AD2416" s="561"/>
      <c r="AE2416" s="1161"/>
      <c r="AF2416" s="561"/>
      <c r="AG2416" s="1161"/>
      <c r="AH2416" s="1161"/>
      <c r="AI2416" s="1161"/>
      <c r="AJ2416" s="1063"/>
      <c r="AK2416" s="1063"/>
      <c r="AL2416" s="1063"/>
      <c r="AM2416" s="1063"/>
      <c r="AN2416" s="1063"/>
      <c r="AO2416" s="1063"/>
      <c r="AP2416" s="1063"/>
      <c r="AQ2416" s="1063"/>
      <c r="AR2416"/>
    </row>
    <row r="2417" spans="2:42" collapsed="1">
      <c r="C2417" s="25" t="s">
        <v>1581</v>
      </c>
      <c r="D2417" s="25"/>
      <c r="E2417" s="6"/>
      <c r="F2417" s="6"/>
      <c r="G2417" s="6"/>
      <c r="H2417" s="6"/>
      <c r="I2417" s="6"/>
      <c r="J2417" s="6"/>
      <c r="K2417" s="6"/>
      <c r="L2417" s="6"/>
      <c r="M2417" s="6"/>
      <c r="N2417" s="6"/>
      <c r="O2417" s="6"/>
      <c r="P2417" s="6"/>
      <c r="Q2417" s="6"/>
      <c r="R2417" s="6"/>
      <c r="S2417" s="6"/>
      <c r="T2417" s="6"/>
      <c r="U2417" s="6"/>
      <c r="V2417" s="6"/>
      <c r="W2417" s="6"/>
      <c r="X2417" s="6"/>
      <c r="Y2417" s="6"/>
      <c r="Z2417" s="6"/>
      <c r="AA2417" s="6"/>
      <c r="AB2417" s="7"/>
      <c r="AC2417" s="7"/>
      <c r="AD2417" s="7"/>
      <c r="AE2417" s="7"/>
      <c r="AF2417" s="7"/>
      <c r="AG2417" s="61"/>
      <c r="AH2417" s="61"/>
      <c r="AI2417" s="61"/>
      <c r="AJ2417" s="61"/>
      <c r="AK2417" s="61"/>
      <c r="AL2417" s="780" t="s">
        <v>1842</v>
      </c>
      <c r="AM2417" s="780" t="s">
        <v>1842</v>
      </c>
      <c r="AN2417" s="780" t="s">
        <v>1842</v>
      </c>
      <c r="AO2417" s="1108" t="s">
        <v>1842</v>
      </c>
      <c r="AP2417" s="1044"/>
    </row>
    <row r="2418" spans="2:42" hidden="1" outlineLevel="1">
      <c r="B2418" s="565">
        <v>3607</v>
      </c>
      <c r="C2418" s="9" t="s">
        <v>759</v>
      </c>
      <c r="D2418" s="9"/>
      <c r="E2418" s="20" t="s">
        <v>101</v>
      </c>
      <c r="F2418" s="20"/>
      <c r="G2418" s="20"/>
      <c r="H2418" s="20"/>
      <c r="I2418" s="20"/>
      <c r="J2418" s="20"/>
      <c r="K2418" s="20"/>
      <c r="L2418" s="20"/>
      <c r="M2418" s="20"/>
      <c r="N2418" s="20"/>
      <c r="O2418" s="20"/>
      <c r="P2418" s="20"/>
      <c r="Q2418" s="20"/>
      <c r="R2418" s="20"/>
      <c r="S2418" s="20"/>
      <c r="T2418" s="20"/>
      <c r="U2418" s="20"/>
      <c r="V2418" s="20"/>
      <c r="W2418" s="20"/>
      <c r="X2418" s="20"/>
      <c r="Y2418" s="20"/>
      <c r="Z2418" s="20"/>
      <c r="AA2418" s="20"/>
      <c r="AB2418" s="12"/>
      <c r="AC2418" s="12"/>
      <c r="AD2418" s="12"/>
      <c r="AE2418" s="12"/>
      <c r="AF2418" s="12"/>
      <c r="AG2418" s="12">
        <v>137657095</v>
      </c>
      <c r="AH2418" s="12">
        <v>138923380</v>
      </c>
      <c r="AI2418" s="12">
        <v>149063093</v>
      </c>
      <c r="AJ2418" s="12">
        <v>126790387</v>
      </c>
      <c r="AK2418" s="12">
        <v>138890004</v>
      </c>
      <c r="AL2418" s="12">
        <v>159856530</v>
      </c>
      <c r="AM2418" s="1070">
        <v>166764067</v>
      </c>
      <c r="AN2418" s="1070">
        <v>166058888</v>
      </c>
      <c r="AO2418" s="1070">
        <v>176545503</v>
      </c>
      <c r="AP2418" s="1044"/>
    </row>
    <row r="2419" spans="2:42" hidden="1" outlineLevel="1">
      <c r="B2419" s="565">
        <v>3539</v>
      </c>
      <c r="C2419" s="9" t="s">
        <v>759</v>
      </c>
      <c r="D2419" s="9"/>
      <c r="E2419" s="20" t="s">
        <v>102</v>
      </c>
      <c r="F2419" s="20"/>
      <c r="G2419" s="20"/>
      <c r="H2419" s="20"/>
      <c r="I2419" s="20"/>
      <c r="J2419" s="20"/>
      <c r="K2419" s="20"/>
      <c r="L2419" s="20"/>
      <c r="M2419" s="20"/>
      <c r="N2419" s="20"/>
      <c r="O2419" s="20"/>
      <c r="P2419" s="20"/>
      <c r="Q2419" s="20"/>
      <c r="R2419" s="20"/>
      <c r="S2419" s="20"/>
      <c r="T2419" s="20"/>
      <c r="U2419" s="20"/>
      <c r="V2419" s="20"/>
      <c r="W2419" s="20"/>
      <c r="X2419" s="20"/>
      <c r="Y2419" s="20"/>
      <c r="Z2419" s="20"/>
      <c r="AA2419" s="20"/>
      <c r="AB2419" s="12"/>
      <c r="AC2419" s="12"/>
      <c r="AD2419" s="12"/>
      <c r="AE2419" s="12"/>
      <c r="AF2419" s="12"/>
      <c r="AG2419" s="12">
        <v>11588314</v>
      </c>
      <c r="AH2419" s="12">
        <v>11876516</v>
      </c>
      <c r="AI2419" s="12">
        <v>12261637</v>
      </c>
      <c r="AJ2419" s="12">
        <v>11586195</v>
      </c>
      <c r="AK2419" s="12">
        <v>13064017</v>
      </c>
      <c r="AL2419" s="12">
        <v>14110746</v>
      </c>
      <c r="AM2419" s="1070">
        <v>14677148</v>
      </c>
      <c r="AN2419" s="1070">
        <v>15289318</v>
      </c>
      <c r="AO2419" s="1070">
        <v>17296711</v>
      </c>
      <c r="AP2419" s="1044"/>
    </row>
    <row r="2420" spans="2:42" hidden="1" outlineLevel="1">
      <c r="B2420" s="565">
        <v>3540</v>
      </c>
      <c r="C2420" s="9" t="s">
        <v>759</v>
      </c>
      <c r="D2420" s="9"/>
      <c r="E2420" s="20" t="s">
        <v>103</v>
      </c>
      <c r="F2420" s="20"/>
      <c r="G2420" s="20"/>
      <c r="H2420" s="20"/>
      <c r="I2420" s="20"/>
      <c r="J2420" s="20"/>
      <c r="K2420" s="20"/>
      <c r="L2420" s="20"/>
      <c r="M2420" s="20"/>
      <c r="N2420" s="20"/>
      <c r="O2420" s="20"/>
      <c r="P2420" s="20"/>
      <c r="Q2420" s="20"/>
      <c r="R2420" s="20"/>
      <c r="S2420" s="20"/>
      <c r="T2420" s="20"/>
      <c r="U2420" s="20"/>
      <c r="V2420" s="20"/>
      <c r="W2420" s="20"/>
      <c r="X2420" s="20"/>
      <c r="Y2420" s="20"/>
      <c r="Z2420" s="20"/>
      <c r="AA2420" s="20"/>
      <c r="AB2420" s="12"/>
      <c r="AC2420" s="12"/>
      <c r="AD2420" s="12"/>
      <c r="AE2420" s="12"/>
      <c r="AF2420" s="12"/>
      <c r="AG2420" s="12">
        <v>18923299</v>
      </c>
      <c r="AH2420" s="12">
        <v>19348571</v>
      </c>
      <c r="AI2420" s="12">
        <v>20730558</v>
      </c>
      <c r="AJ2420" s="12">
        <v>16380168</v>
      </c>
      <c r="AK2420" s="12">
        <v>17610895</v>
      </c>
      <c r="AL2420" s="12">
        <v>18486354</v>
      </c>
      <c r="AM2420" s="1070">
        <v>19674646</v>
      </c>
      <c r="AN2420" s="1070">
        <v>19433980</v>
      </c>
      <c r="AO2420" s="1070">
        <v>21067011</v>
      </c>
      <c r="AP2420" s="1044"/>
    </row>
    <row r="2421" spans="2:42" hidden="1" outlineLevel="1">
      <c r="B2421" s="565">
        <v>6661</v>
      </c>
      <c r="C2421" s="9" t="s">
        <v>759</v>
      </c>
      <c r="D2421" s="9"/>
      <c r="E2421" s="20" t="s">
        <v>104</v>
      </c>
      <c r="F2421" s="20"/>
      <c r="G2421" s="20"/>
      <c r="H2421" s="20"/>
      <c r="I2421" s="20"/>
      <c r="J2421" s="20"/>
      <c r="K2421" s="20"/>
      <c r="L2421" s="20"/>
      <c r="M2421" s="20"/>
      <c r="N2421" s="20"/>
      <c r="O2421" s="20"/>
      <c r="P2421" s="20"/>
      <c r="Q2421" s="20"/>
      <c r="R2421" s="20"/>
      <c r="S2421" s="20"/>
      <c r="T2421" s="20"/>
      <c r="U2421" s="20"/>
      <c r="V2421" s="20"/>
      <c r="W2421" s="20"/>
      <c r="X2421" s="20"/>
      <c r="Y2421" s="20"/>
      <c r="Z2421" s="20"/>
      <c r="AA2421" s="20"/>
      <c r="AB2421" s="12"/>
      <c r="AC2421" s="12"/>
      <c r="AD2421" s="12"/>
      <c r="AE2421" s="12"/>
      <c r="AF2421" s="12"/>
      <c r="AG2421" s="12">
        <v>5855381</v>
      </c>
      <c r="AH2421" s="12">
        <v>6217240</v>
      </c>
      <c r="AI2421" s="12">
        <v>6412418</v>
      </c>
      <c r="AJ2421" s="12">
        <v>4994911</v>
      </c>
      <c r="AK2421" s="12">
        <v>5016251</v>
      </c>
      <c r="AL2421" s="12">
        <v>5244579</v>
      </c>
      <c r="AM2421" s="1070">
        <v>5532767</v>
      </c>
      <c r="AN2421" s="1070">
        <v>5781607</v>
      </c>
      <c r="AO2421" s="1070">
        <v>6220538</v>
      </c>
      <c r="AP2421" s="1044"/>
    </row>
    <row r="2422" spans="2:42" hidden="1" outlineLevel="1">
      <c r="B2422" s="565">
        <v>12015</v>
      </c>
      <c r="C2422" s="9" t="s">
        <v>759</v>
      </c>
      <c r="D2422" s="9"/>
      <c r="E2422" s="20" t="s">
        <v>105</v>
      </c>
      <c r="F2422" s="20"/>
      <c r="G2422" s="20"/>
      <c r="H2422" s="20"/>
      <c r="I2422" s="20"/>
      <c r="J2422" s="20"/>
      <c r="K2422" s="20"/>
      <c r="L2422" s="20"/>
      <c r="M2422" s="20"/>
      <c r="N2422" s="20"/>
      <c r="O2422" s="20"/>
      <c r="P2422" s="20"/>
      <c r="Q2422" s="20"/>
      <c r="R2422" s="20"/>
      <c r="S2422" s="20"/>
      <c r="T2422" s="20"/>
      <c r="U2422" s="20"/>
      <c r="V2422" s="20"/>
      <c r="W2422" s="20"/>
      <c r="X2422" s="20"/>
      <c r="Y2422" s="20"/>
      <c r="Z2422" s="20"/>
      <c r="AA2422" s="20"/>
      <c r="AB2422" s="12"/>
      <c r="AC2422" s="12"/>
      <c r="AD2422" s="12"/>
      <c r="AE2422" s="12"/>
      <c r="AF2422" s="12"/>
      <c r="AG2422" s="12">
        <v>100723494</v>
      </c>
      <c r="AH2422" s="12">
        <v>106083211</v>
      </c>
      <c r="AI2422" s="12">
        <v>111385047</v>
      </c>
      <c r="AJ2422" s="12">
        <v>112623323</v>
      </c>
      <c r="AK2422" s="12">
        <v>125223551</v>
      </c>
      <c r="AL2422" s="12">
        <v>142506659</v>
      </c>
      <c r="AM2422" s="1070">
        <v>161286989</v>
      </c>
      <c r="AN2422" s="1070">
        <v>177938068</v>
      </c>
      <c r="AO2422" s="1070">
        <v>196320613</v>
      </c>
      <c r="AP2422" s="1044"/>
    </row>
    <row r="2423" spans="2:42" hidden="1" outlineLevel="1">
      <c r="B2423" s="565">
        <v>3549</v>
      </c>
      <c r="C2423" s="9" t="s">
        <v>759</v>
      </c>
      <c r="D2423" s="9"/>
      <c r="E2423" s="20" t="s">
        <v>106</v>
      </c>
      <c r="F2423" s="20"/>
      <c r="G2423" s="20"/>
      <c r="H2423" s="20"/>
      <c r="I2423" s="20"/>
      <c r="J2423" s="20"/>
      <c r="K2423" s="20"/>
      <c r="L2423" s="20"/>
      <c r="M2423" s="20"/>
      <c r="N2423" s="20"/>
      <c r="O2423" s="20"/>
      <c r="P2423" s="20"/>
      <c r="Q2423" s="20"/>
      <c r="R2423" s="20"/>
      <c r="S2423" s="20"/>
      <c r="T2423" s="20"/>
      <c r="U2423" s="20"/>
      <c r="V2423" s="20"/>
      <c r="W2423" s="20"/>
      <c r="X2423" s="20"/>
      <c r="Y2423" s="20"/>
      <c r="Z2423" s="20"/>
      <c r="AA2423" s="20"/>
      <c r="AB2423" s="12"/>
      <c r="AC2423" s="12"/>
      <c r="AD2423" s="12"/>
      <c r="AE2423" s="12"/>
      <c r="AF2423" s="12"/>
      <c r="AG2423" s="12">
        <v>1428818</v>
      </c>
      <c r="AH2423" s="12">
        <v>1470887</v>
      </c>
      <c r="AI2423" s="12">
        <v>1504461</v>
      </c>
      <c r="AJ2423" s="12">
        <v>1637679</v>
      </c>
      <c r="AK2423" s="12">
        <v>1671349</v>
      </c>
      <c r="AL2423" s="12">
        <v>1823314</v>
      </c>
      <c r="AM2423" s="1070">
        <v>1831612</v>
      </c>
      <c r="AN2423" s="1070">
        <v>1966326</v>
      </c>
      <c r="AO2423" s="1070">
        <v>1939201</v>
      </c>
      <c r="AP2423" s="1044"/>
    </row>
    <row r="2424" spans="2:42" hidden="1" outlineLevel="1">
      <c r="B2424" s="565">
        <v>7857</v>
      </c>
      <c r="C2424" s="9" t="s">
        <v>759</v>
      </c>
      <c r="D2424" s="9"/>
      <c r="E2424" s="20" t="s">
        <v>107</v>
      </c>
      <c r="F2424" s="20"/>
      <c r="G2424" s="20"/>
      <c r="H2424" s="20"/>
      <c r="I2424" s="20"/>
      <c r="J2424" s="20"/>
      <c r="K2424" s="20"/>
      <c r="L2424" s="20"/>
      <c r="M2424" s="20"/>
      <c r="N2424" s="20"/>
      <c r="O2424" s="20"/>
      <c r="P2424" s="20"/>
      <c r="Q2424" s="20"/>
      <c r="R2424" s="20"/>
      <c r="S2424" s="20"/>
      <c r="T2424" s="20"/>
      <c r="U2424" s="20"/>
      <c r="V2424" s="20"/>
      <c r="W2424" s="20"/>
      <c r="X2424" s="20"/>
      <c r="Y2424" s="20"/>
      <c r="Z2424" s="20"/>
      <c r="AA2424" s="20"/>
      <c r="AB2424" s="12"/>
      <c r="AC2424" s="12"/>
      <c r="AD2424" s="12"/>
      <c r="AE2424" s="12"/>
      <c r="AF2424" s="12"/>
      <c r="AG2424" s="12">
        <v>11713488</v>
      </c>
      <c r="AH2424" s="12">
        <v>14704892</v>
      </c>
      <c r="AI2424" s="12">
        <v>16908797</v>
      </c>
      <c r="AJ2424" s="12">
        <v>13443042</v>
      </c>
      <c r="AK2424" s="12">
        <v>14232581</v>
      </c>
      <c r="AL2424" s="12">
        <v>15796243</v>
      </c>
      <c r="AM2424" s="1070">
        <v>18341987</v>
      </c>
      <c r="AN2424" s="1070">
        <v>21446438</v>
      </c>
      <c r="AO2424" s="1070">
        <v>23510066</v>
      </c>
      <c r="AP2424" s="1044"/>
    </row>
    <row r="2425" spans="2:42" hidden="1" outlineLevel="1">
      <c r="B2425" s="565">
        <v>4003</v>
      </c>
      <c r="C2425" s="9" t="s">
        <v>759</v>
      </c>
      <c r="D2425" s="9"/>
      <c r="E2425" s="20" t="s">
        <v>108</v>
      </c>
      <c r="F2425" s="20"/>
      <c r="G2425" s="20"/>
      <c r="H2425" s="20"/>
      <c r="I2425" s="20"/>
      <c r="J2425" s="20"/>
      <c r="K2425" s="20"/>
      <c r="L2425" s="20"/>
      <c r="M2425" s="20"/>
      <c r="N2425" s="20"/>
      <c r="O2425" s="20"/>
      <c r="P2425" s="20"/>
      <c r="Q2425" s="20"/>
      <c r="R2425" s="20"/>
      <c r="S2425" s="20"/>
      <c r="T2425" s="20"/>
      <c r="U2425" s="20"/>
      <c r="V2425" s="20"/>
      <c r="W2425" s="20"/>
      <c r="X2425" s="20"/>
      <c r="Y2425" s="20"/>
      <c r="Z2425" s="20"/>
      <c r="AA2425" s="20"/>
      <c r="AB2425" s="12"/>
      <c r="AC2425" s="12"/>
      <c r="AD2425" s="12"/>
      <c r="AE2425" s="12"/>
      <c r="AF2425" s="12"/>
      <c r="AG2425" s="12">
        <v>10954001</v>
      </c>
      <c r="AH2425" s="12">
        <v>11314027</v>
      </c>
      <c r="AI2425" s="12">
        <v>11370375</v>
      </c>
      <c r="AJ2425" s="12">
        <v>11447915</v>
      </c>
      <c r="AK2425" s="12">
        <v>11595465</v>
      </c>
      <c r="AL2425" s="12">
        <v>11940784</v>
      </c>
      <c r="AM2425" s="1070">
        <v>12299536</v>
      </c>
      <c r="AN2425" s="1070">
        <v>13331476</v>
      </c>
      <c r="AO2425" s="1070">
        <v>13352061</v>
      </c>
      <c r="AP2425" s="1044"/>
    </row>
    <row r="2426" spans="2:42" hidden="1" outlineLevel="1">
      <c r="B2426" s="565">
        <v>3553</v>
      </c>
      <c r="C2426" s="9" t="s">
        <v>759</v>
      </c>
      <c r="D2426" s="9"/>
      <c r="E2426" s="20" t="s">
        <v>109</v>
      </c>
      <c r="F2426" s="20"/>
      <c r="G2426" s="20"/>
      <c r="H2426" s="20"/>
      <c r="I2426" s="20"/>
      <c r="J2426" s="20"/>
      <c r="K2426" s="20"/>
      <c r="L2426" s="20"/>
      <c r="M2426" s="20"/>
      <c r="N2426" s="20"/>
      <c r="O2426" s="20"/>
      <c r="P2426" s="20"/>
      <c r="Q2426" s="20"/>
      <c r="R2426" s="20"/>
      <c r="S2426" s="20"/>
      <c r="T2426" s="20"/>
      <c r="U2426" s="20"/>
      <c r="V2426" s="20"/>
      <c r="W2426" s="20"/>
      <c r="X2426" s="20"/>
      <c r="Y2426" s="20"/>
      <c r="Z2426" s="20"/>
      <c r="AA2426" s="20"/>
      <c r="AB2426" s="12"/>
      <c r="AC2426" s="12"/>
      <c r="AD2426" s="12"/>
      <c r="AE2426" s="12"/>
      <c r="AF2426" s="12"/>
      <c r="AG2426" s="12">
        <v>507701</v>
      </c>
      <c r="AH2426" s="12">
        <v>541573</v>
      </c>
      <c r="AI2426" s="12">
        <v>597990</v>
      </c>
      <c r="AJ2426" s="12">
        <v>661898</v>
      </c>
      <c r="AK2426" s="12">
        <v>710957</v>
      </c>
      <c r="AL2426" s="12">
        <v>777352</v>
      </c>
      <c r="AM2426" s="1070">
        <v>840683</v>
      </c>
      <c r="AN2426" s="1070">
        <v>917097</v>
      </c>
      <c r="AO2426" s="1070">
        <v>1174942</v>
      </c>
      <c r="AP2426" s="1044"/>
    </row>
    <row r="2427" spans="2:42" hidden="1" outlineLevel="1">
      <c r="B2427" s="565">
        <v>3554</v>
      </c>
      <c r="C2427" s="9" t="s">
        <v>759</v>
      </c>
      <c r="D2427" s="9"/>
      <c r="E2427" s="20" t="s">
        <v>110</v>
      </c>
      <c r="F2427" s="20"/>
      <c r="G2427" s="20"/>
      <c r="H2427" s="20"/>
      <c r="I2427" s="20"/>
      <c r="J2427" s="20"/>
      <c r="K2427" s="20"/>
      <c r="L2427" s="20"/>
      <c r="M2427" s="20"/>
      <c r="N2427" s="20"/>
      <c r="O2427" s="20"/>
      <c r="P2427" s="20"/>
      <c r="Q2427" s="20"/>
      <c r="R2427" s="20"/>
      <c r="S2427" s="20"/>
      <c r="T2427" s="20"/>
      <c r="U2427" s="20"/>
      <c r="V2427" s="20"/>
      <c r="W2427" s="20"/>
      <c r="X2427" s="20"/>
      <c r="Y2427" s="20"/>
      <c r="Z2427" s="20"/>
      <c r="AA2427" s="20"/>
      <c r="AB2427" s="12"/>
      <c r="AC2427" s="12"/>
      <c r="AD2427" s="12"/>
      <c r="AE2427" s="12"/>
      <c r="AF2427" s="12"/>
      <c r="AG2427" s="12">
        <v>415206</v>
      </c>
      <c r="AH2427" s="12">
        <v>414491</v>
      </c>
      <c r="AI2427" s="12">
        <v>415199</v>
      </c>
      <c r="AJ2427" s="12">
        <v>431903</v>
      </c>
      <c r="AK2427" s="12">
        <v>463096</v>
      </c>
      <c r="AL2427" s="12">
        <v>434112</v>
      </c>
      <c r="AM2427" s="1070">
        <v>484869</v>
      </c>
      <c r="AN2427" s="1070">
        <v>482641</v>
      </c>
      <c r="AO2427" s="1070">
        <v>574714</v>
      </c>
      <c r="AP2427" s="1044"/>
    </row>
    <row r="2428" spans="2:42" hidden="1" outlineLevel="1">
      <c r="B2428" s="565">
        <v>3546</v>
      </c>
      <c r="C2428" s="9" t="s">
        <v>759</v>
      </c>
      <c r="D2428" s="9"/>
      <c r="E2428" s="20" t="s">
        <v>111</v>
      </c>
      <c r="F2428" s="20"/>
      <c r="G2428" s="20"/>
      <c r="H2428" s="20"/>
      <c r="I2428" s="20"/>
      <c r="J2428" s="20"/>
      <c r="K2428" s="20"/>
      <c r="L2428" s="20"/>
      <c r="M2428" s="20"/>
      <c r="N2428" s="20"/>
      <c r="O2428" s="20"/>
      <c r="P2428" s="20"/>
      <c r="Q2428" s="20"/>
      <c r="R2428" s="20"/>
      <c r="S2428" s="20"/>
      <c r="T2428" s="20"/>
      <c r="U2428" s="20"/>
      <c r="V2428" s="20"/>
      <c r="W2428" s="20"/>
      <c r="X2428" s="20"/>
      <c r="Y2428" s="20"/>
      <c r="Z2428" s="20"/>
      <c r="AA2428" s="20"/>
      <c r="AB2428" s="12"/>
      <c r="AC2428" s="12"/>
      <c r="AD2428" s="12"/>
      <c r="AE2428" s="12"/>
      <c r="AF2428" s="12"/>
      <c r="AG2428" s="12">
        <v>1809103</v>
      </c>
      <c r="AH2428" s="12">
        <v>1767948</v>
      </c>
      <c r="AI2428" s="12">
        <v>1904067</v>
      </c>
      <c r="AJ2428" s="12">
        <v>2322315</v>
      </c>
      <c r="AK2428" s="12">
        <v>2839872</v>
      </c>
      <c r="AL2428" s="12">
        <v>3057743</v>
      </c>
      <c r="AM2428" s="1070">
        <v>2534136</v>
      </c>
      <c r="AN2428" s="1070">
        <v>2307155</v>
      </c>
      <c r="AO2428" s="1070">
        <v>2293641</v>
      </c>
      <c r="AP2428" s="1044"/>
    </row>
    <row r="2429" spans="2:42" hidden="1" outlineLevel="1">
      <c r="B2429" s="565">
        <v>7096</v>
      </c>
      <c r="C2429" s="9" t="s">
        <v>759</v>
      </c>
      <c r="D2429" s="9"/>
      <c r="E2429" s="20" t="s">
        <v>112</v>
      </c>
      <c r="F2429" s="20"/>
      <c r="G2429" s="20"/>
      <c r="H2429" s="20"/>
      <c r="I2429" s="20"/>
      <c r="J2429" s="20"/>
      <c r="K2429" s="20"/>
      <c r="L2429" s="20"/>
      <c r="M2429" s="20"/>
      <c r="N2429" s="20"/>
      <c r="O2429" s="20"/>
      <c r="P2429" s="20"/>
      <c r="Q2429" s="20"/>
      <c r="R2429" s="20"/>
      <c r="S2429" s="20"/>
      <c r="T2429" s="20"/>
      <c r="U2429" s="20"/>
      <c r="V2429" s="20"/>
      <c r="W2429" s="20"/>
      <c r="X2429" s="20"/>
      <c r="Y2429" s="20"/>
      <c r="Z2429" s="20"/>
      <c r="AA2429" s="20"/>
      <c r="AB2429" s="12"/>
      <c r="AC2429" s="12"/>
      <c r="AD2429" s="12"/>
      <c r="AE2429" s="12"/>
      <c r="AF2429" s="12"/>
      <c r="AG2429" s="12">
        <v>20745267</v>
      </c>
      <c r="AH2429" s="12">
        <v>20964876</v>
      </c>
      <c r="AI2429" s="12">
        <v>21137942</v>
      </c>
      <c r="AJ2429" s="12">
        <v>20303526</v>
      </c>
      <c r="AK2429" s="12">
        <v>19989908</v>
      </c>
      <c r="AL2429" s="12">
        <v>19954036</v>
      </c>
      <c r="AM2429" s="1070">
        <v>20903680</v>
      </c>
      <c r="AN2429" s="1070">
        <v>22328742</v>
      </c>
      <c r="AO2429" s="1070">
        <v>22567888</v>
      </c>
      <c r="AP2429" s="1044"/>
    </row>
    <row r="2430" spans="2:42" hidden="1" outlineLevel="1">
      <c r="B2430" s="565">
        <v>23614</v>
      </c>
      <c r="C2430" s="9" t="s">
        <v>759</v>
      </c>
      <c r="D2430" s="9"/>
      <c r="E2430" s="20" t="s">
        <v>113</v>
      </c>
      <c r="F2430" s="20"/>
      <c r="G2430" s="20"/>
      <c r="H2430" s="20"/>
      <c r="I2430" s="20"/>
      <c r="J2430" s="20"/>
      <c r="K2430" s="20"/>
      <c r="L2430" s="20"/>
      <c r="M2430" s="20"/>
      <c r="N2430" s="20"/>
      <c r="O2430" s="20"/>
      <c r="P2430" s="20"/>
      <c r="Q2430" s="20"/>
      <c r="R2430" s="20"/>
      <c r="S2430" s="20"/>
      <c r="T2430" s="20"/>
      <c r="U2430" s="20"/>
      <c r="V2430" s="20"/>
      <c r="W2430" s="20"/>
      <c r="X2430" s="20"/>
      <c r="Y2430" s="20"/>
      <c r="Z2430" s="20"/>
      <c r="AA2430" s="20"/>
      <c r="AB2430" s="12"/>
      <c r="AC2430" s="12"/>
      <c r="AD2430" s="12"/>
      <c r="AE2430" s="12"/>
      <c r="AF2430" s="12"/>
      <c r="AG2430" s="12">
        <v>63598351</v>
      </c>
      <c r="AH2430" s="12">
        <v>64846218</v>
      </c>
      <c r="AI2430" s="12">
        <v>66783530</v>
      </c>
      <c r="AJ2430" s="12">
        <v>63956055</v>
      </c>
      <c r="AK2430" s="12">
        <v>69305745</v>
      </c>
      <c r="AL2430" s="12">
        <v>76691956</v>
      </c>
      <c r="AM2430" s="1070">
        <v>85704942</v>
      </c>
      <c r="AN2430" s="1070">
        <v>95075974</v>
      </c>
      <c r="AO2430" s="1070">
        <v>106276226</v>
      </c>
      <c r="AP2430" s="1044"/>
    </row>
    <row r="2431" spans="2:42" hidden="1" outlineLevel="1">
      <c r="B2431" s="565">
        <v>9331</v>
      </c>
      <c r="C2431" s="9" t="s">
        <v>759</v>
      </c>
      <c r="D2431" s="9"/>
      <c r="E2431" s="224" t="s">
        <v>1262</v>
      </c>
      <c r="F2431" s="20"/>
      <c r="G2431" s="20"/>
      <c r="H2431" s="20"/>
      <c r="I2431" s="20"/>
      <c r="J2431" s="20"/>
      <c r="K2431" s="20"/>
      <c r="L2431" s="20"/>
      <c r="M2431" s="20"/>
      <c r="N2431" s="20"/>
      <c r="O2431" s="20"/>
      <c r="P2431" s="20"/>
      <c r="Q2431" s="20"/>
      <c r="R2431" s="20"/>
      <c r="S2431" s="20"/>
      <c r="T2431" s="20"/>
      <c r="U2431" s="20"/>
      <c r="V2431" s="20"/>
      <c r="W2431" s="20"/>
      <c r="X2431" s="20"/>
      <c r="Y2431" s="20"/>
      <c r="Z2431" s="20"/>
      <c r="AA2431" s="20"/>
      <c r="AB2431" s="12"/>
      <c r="AC2431" s="12"/>
      <c r="AD2431" s="12"/>
      <c r="AE2431" s="12"/>
      <c r="AF2431" s="12"/>
      <c r="AG2431" s="12">
        <v>162084203</v>
      </c>
      <c r="AH2431" s="12">
        <v>161407124</v>
      </c>
      <c r="AI2431" s="12">
        <v>196000124</v>
      </c>
      <c r="AJ2431" s="12">
        <v>209828369</v>
      </c>
      <c r="AK2431" s="12">
        <v>224008395</v>
      </c>
      <c r="AL2431" s="12">
        <v>202642012</v>
      </c>
      <c r="AM2431" s="1070">
        <v>221798265</v>
      </c>
      <c r="AN2431" s="1070">
        <v>236277442</v>
      </c>
      <c r="AO2431" s="1070">
        <v>257730336</v>
      </c>
      <c r="AP2431" s="1044"/>
    </row>
    <row r="2432" spans="2:42" hidden="1" outlineLevel="1">
      <c r="B2432" s="565">
        <v>3563</v>
      </c>
      <c r="C2432" s="9" t="s">
        <v>759</v>
      </c>
      <c r="D2432" s="9"/>
      <c r="E2432" s="20" t="s">
        <v>114</v>
      </c>
      <c r="F2432" s="20"/>
      <c r="G2432" s="20"/>
      <c r="H2432" s="20"/>
      <c r="I2432" s="20"/>
      <c r="J2432" s="20"/>
      <c r="K2432" s="20"/>
      <c r="L2432" s="20"/>
      <c r="M2432" s="20"/>
      <c r="N2432" s="20"/>
      <c r="O2432" s="20"/>
      <c r="P2432" s="20"/>
      <c r="Q2432" s="20"/>
      <c r="R2432" s="20"/>
      <c r="S2432" s="20"/>
      <c r="T2432" s="20"/>
      <c r="U2432" s="20"/>
      <c r="V2432" s="20"/>
      <c r="W2432" s="20"/>
      <c r="X2432" s="20"/>
      <c r="Y2432" s="20"/>
      <c r="Z2432" s="20"/>
      <c r="AA2432" s="20"/>
      <c r="AB2432" s="12"/>
      <c r="AC2432" s="12"/>
      <c r="AD2432" s="12"/>
      <c r="AE2432" s="12"/>
      <c r="AF2432" s="12"/>
      <c r="AG2432" s="12">
        <v>43767128</v>
      </c>
      <c r="AH2432" s="12">
        <v>44483240</v>
      </c>
      <c r="AI2432" s="12">
        <v>45972603</v>
      </c>
      <c r="AJ2432" s="12">
        <v>40524142</v>
      </c>
      <c r="AK2432" s="12">
        <v>43341908</v>
      </c>
      <c r="AL2432" s="12">
        <v>46704072</v>
      </c>
      <c r="AM2432" s="1070">
        <v>47179178</v>
      </c>
      <c r="AN2432" s="1070">
        <v>51688633</v>
      </c>
      <c r="AO2432" s="1070">
        <v>54449297</v>
      </c>
      <c r="AP2432" s="1044"/>
    </row>
    <row r="2433" spans="2:42" hidden="1" outlineLevel="1">
      <c r="B2433" s="565">
        <v>10387</v>
      </c>
      <c r="C2433" s="9" t="s">
        <v>759</v>
      </c>
      <c r="D2433" s="9"/>
      <c r="E2433" s="20" t="s">
        <v>115</v>
      </c>
      <c r="F2433" s="20"/>
      <c r="G2433" s="20"/>
      <c r="H2433" s="20"/>
      <c r="I2433" s="20"/>
      <c r="J2433" s="20"/>
      <c r="K2433" s="20"/>
      <c r="L2433" s="20"/>
      <c r="M2433" s="20"/>
      <c r="N2433" s="20"/>
      <c r="O2433" s="20"/>
      <c r="P2433" s="20"/>
      <c r="Q2433" s="20"/>
      <c r="R2433" s="20"/>
      <c r="S2433" s="20"/>
      <c r="T2433" s="20"/>
      <c r="U2433" s="20"/>
      <c r="V2433" s="20"/>
      <c r="W2433" s="20"/>
      <c r="X2433" s="20"/>
      <c r="Y2433" s="20"/>
      <c r="Z2433" s="20"/>
      <c r="AA2433" s="20"/>
      <c r="AB2433" s="12"/>
      <c r="AC2433" s="12"/>
      <c r="AD2433" s="12"/>
      <c r="AE2433" s="12"/>
      <c r="AF2433" s="12"/>
      <c r="AG2433" s="12">
        <v>37689872</v>
      </c>
      <c r="AH2433" s="12">
        <v>42055081</v>
      </c>
      <c r="AI2433" s="12">
        <v>42729975</v>
      </c>
      <c r="AJ2433" s="12">
        <v>47104419</v>
      </c>
      <c r="AK2433" s="12">
        <v>49302345</v>
      </c>
      <c r="AL2433" s="12">
        <v>52876467</v>
      </c>
      <c r="AM2433" s="1070">
        <v>54511241</v>
      </c>
      <c r="AN2433" s="1070">
        <v>58183388</v>
      </c>
      <c r="AO2433" s="1070">
        <v>61284007</v>
      </c>
      <c r="AP2433" s="1044"/>
    </row>
    <row r="2434" spans="2:42" hidden="1" outlineLevel="1">
      <c r="B2434" s="565">
        <v>3568</v>
      </c>
      <c r="C2434" s="9" t="s">
        <v>759</v>
      </c>
      <c r="D2434" s="9"/>
      <c r="E2434" s="20" t="s">
        <v>116</v>
      </c>
      <c r="F2434" s="20"/>
      <c r="G2434" s="20"/>
      <c r="H2434" s="20"/>
      <c r="I2434" s="20"/>
      <c r="J2434" s="20"/>
      <c r="K2434" s="20"/>
      <c r="L2434" s="20"/>
      <c r="M2434" s="20"/>
      <c r="N2434" s="20"/>
      <c r="O2434" s="20"/>
      <c r="P2434" s="20"/>
      <c r="Q2434" s="20"/>
      <c r="R2434" s="20"/>
      <c r="S2434" s="20"/>
      <c r="T2434" s="20"/>
      <c r="U2434" s="20"/>
      <c r="V2434" s="20"/>
      <c r="W2434" s="20"/>
      <c r="X2434" s="20"/>
      <c r="Y2434" s="20"/>
      <c r="Z2434" s="20"/>
      <c r="AA2434" s="20"/>
      <c r="AB2434" s="12"/>
      <c r="AC2434" s="12"/>
      <c r="AD2434" s="12"/>
      <c r="AE2434" s="12"/>
      <c r="AF2434" s="12"/>
      <c r="AG2434" s="12">
        <v>1343430</v>
      </c>
      <c r="AH2434" s="12">
        <v>1415029</v>
      </c>
      <c r="AI2434" s="12">
        <v>1415029</v>
      </c>
      <c r="AJ2434" s="12">
        <v>1503577</v>
      </c>
      <c r="AK2434" s="12">
        <v>1521526</v>
      </c>
      <c r="AL2434" s="12">
        <v>1841383</v>
      </c>
      <c r="AM2434" s="1070">
        <v>2319123</v>
      </c>
      <c r="AN2434" s="1070">
        <v>2467740</v>
      </c>
      <c r="AO2434" s="1070">
        <v>2474830</v>
      </c>
      <c r="AP2434" s="1044"/>
    </row>
    <row r="2435" spans="2:42" hidden="1" outlineLevel="1">
      <c r="B2435" s="565">
        <v>6662</v>
      </c>
      <c r="C2435" s="9" t="s">
        <v>759</v>
      </c>
      <c r="D2435" s="9"/>
      <c r="E2435" s="20" t="s">
        <v>117</v>
      </c>
      <c r="F2435" s="20"/>
      <c r="G2435" s="20"/>
      <c r="H2435" s="20"/>
      <c r="I2435" s="20"/>
      <c r="J2435" s="20"/>
      <c r="K2435" s="20"/>
      <c r="L2435" s="20"/>
      <c r="M2435" s="20"/>
      <c r="N2435" s="20"/>
      <c r="O2435" s="20"/>
      <c r="P2435" s="20"/>
      <c r="Q2435" s="20"/>
      <c r="R2435" s="20"/>
      <c r="S2435" s="20"/>
      <c r="T2435" s="20"/>
      <c r="U2435" s="20"/>
      <c r="V2435" s="20"/>
      <c r="W2435" s="20"/>
      <c r="X2435" s="20"/>
      <c r="Y2435" s="20"/>
      <c r="Z2435" s="20"/>
      <c r="AA2435" s="20"/>
      <c r="AB2435" s="12"/>
      <c r="AC2435" s="12"/>
      <c r="AD2435" s="12"/>
      <c r="AE2435" s="12"/>
      <c r="AF2435" s="12"/>
      <c r="AG2435" s="12">
        <v>8962451</v>
      </c>
      <c r="AH2435" s="12">
        <v>9474409</v>
      </c>
      <c r="AI2435" s="12">
        <v>10084057</v>
      </c>
      <c r="AJ2435" s="12">
        <v>10511511</v>
      </c>
      <c r="AK2435" s="12">
        <v>11022556</v>
      </c>
      <c r="AL2435" s="12">
        <v>11815295</v>
      </c>
      <c r="AM2435" s="1070">
        <v>12355185</v>
      </c>
      <c r="AN2435" s="1070">
        <v>12761818</v>
      </c>
      <c r="AO2435" s="1070">
        <v>13869957</v>
      </c>
      <c r="AP2435" s="1044"/>
    </row>
    <row r="2436" spans="2:42" hidden="1" outlineLevel="1">
      <c r="B2436" s="565">
        <v>3570</v>
      </c>
      <c r="C2436" s="9" t="s">
        <v>759</v>
      </c>
      <c r="D2436" s="9"/>
      <c r="E2436" s="20" t="s">
        <v>118</v>
      </c>
      <c r="F2436" s="20"/>
      <c r="G2436" s="20"/>
      <c r="H2436" s="20"/>
      <c r="I2436" s="20"/>
      <c r="J2436" s="20"/>
      <c r="K2436" s="20"/>
      <c r="L2436" s="20"/>
      <c r="M2436" s="20"/>
      <c r="N2436" s="20"/>
      <c r="O2436" s="20"/>
      <c r="P2436" s="20"/>
      <c r="Q2436" s="20"/>
      <c r="R2436" s="20"/>
      <c r="S2436" s="20"/>
      <c r="T2436" s="20"/>
      <c r="U2436" s="20"/>
      <c r="V2436" s="20"/>
      <c r="W2436" s="20"/>
      <c r="X2436" s="20"/>
      <c r="Y2436" s="20"/>
      <c r="Z2436" s="20"/>
      <c r="AA2436" s="20"/>
      <c r="AB2436" s="12"/>
      <c r="AC2436" s="12"/>
      <c r="AD2436" s="12"/>
      <c r="AE2436" s="12"/>
      <c r="AF2436" s="12"/>
      <c r="AG2436" s="12">
        <v>12136108</v>
      </c>
      <c r="AH2436" s="12">
        <v>12528883</v>
      </c>
      <c r="AI2436" s="12">
        <v>12822686</v>
      </c>
      <c r="AJ2436" s="12">
        <v>9296000</v>
      </c>
      <c r="AK2436" s="12">
        <v>10096252</v>
      </c>
      <c r="AL2436" s="12">
        <v>11058200</v>
      </c>
      <c r="AM2436" s="1070">
        <v>11789443</v>
      </c>
      <c r="AN2436" s="1070">
        <v>12903863</v>
      </c>
      <c r="AO2436" s="1070">
        <v>14491190</v>
      </c>
      <c r="AP2436" s="1044"/>
    </row>
    <row r="2437" spans="2:42" hidden="1" outlineLevel="1">
      <c r="B2437" s="565">
        <v>103574</v>
      </c>
      <c r="C2437" s="9" t="s">
        <v>759</v>
      </c>
      <c r="D2437" s="9"/>
      <c r="E2437" s="20" t="s">
        <v>119</v>
      </c>
      <c r="F2437" s="20"/>
      <c r="G2437" s="20"/>
      <c r="H2437" s="20"/>
      <c r="I2437" s="20"/>
      <c r="J2437" s="20"/>
      <c r="K2437" s="20"/>
      <c r="L2437" s="20"/>
      <c r="M2437" s="20"/>
      <c r="N2437" s="20"/>
      <c r="O2437" s="20"/>
      <c r="P2437" s="20"/>
      <c r="Q2437" s="20"/>
      <c r="R2437" s="20"/>
      <c r="S2437" s="20"/>
      <c r="T2437" s="20"/>
      <c r="U2437" s="20"/>
      <c r="V2437" s="20"/>
      <c r="W2437" s="20"/>
      <c r="X2437" s="20"/>
      <c r="Y2437" s="20"/>
      <c r="Z2437" s="20"/>
      <c r="AA2437" s="20"/>
      <c r="AB2437" s="12"/>
      <c r="AC2437" s="12"/>
      <c r="AD2437" s="12"/>
      <c r="AE2437" s="12"/>
      <c r="AF2437" s="12"/>
      <c r="AG2437" s="12">
        <v>1280110</v>
      </c>
      <c r="AH2437" s="12">
        <v>1384171</v>
      </c>
      <c r="AI2437" s="12">
        <v>1427422</v>
      </c>
      <c r="AJ2437" s="12">
        <v>1464810</v>
      </c>
      <c r="AK2437" s="12">
        <v>1507984</v>
      </c>
      <c r="AL2437" s="12">
        <v>1611934</v>
      </c>
      <c r="AM2437" s="1070">
        <v>1667152</v>
      </c>
      <c r="AN2437" s="1070">
        <v>1731729</v>
      </c>
      <c r="AO2437" s="1070">
        <v>1879627</v>
      </c>
      <c r="AP2437" s="1044"/>
    </row>
    <row r="2438" spans="2:42" hidden="1" outlineLevel="1">
      <c r="B2438" s="565">
        <v>3573</v>
      </c>
      <c r="C2438" s="9" t="s">
        <v>759</v>
      </c>
      <c r="D2438" s="9"/>
      <c r="E2438" s="20" t="s">
        <v>120</v>
      </c>
      <c r="F2438" s="20"/>
      <c r="G2438" s="20"/>
      <c r="H2438" s="20"/>
      <c r="I2438" s="20"/>
      <c r="J2438" s="20"/>
      <c r="K2438" s="20"/>
      <c r="L2438" s="20"/>
      <c r="M2438" s="20"/>
      <c r="N2438" s="20"/>
      <c r="O2438" s="20"/>
      <c r="P2438" s="20"/>
      <c r="Q2438" s="20"/>
      <c r="R2438" s="20"/>
      <c r="S2438" s="20"/>
      <c r="T2438" s="20"/>
      <c r="U2438" s="20"/>
      <c r="V2438" s="20"/>
      <c r="W2438" s="20"/>
      <c r="X2438" s="20"/>
      <c r="Y2438" s="20"/>
      <c r="Z2438" s="20"/>
      <c r="AA2438" s="20"/>
      <c r="AB2438" s="12"/>
      <c r="AC2438" s="12"/>
      <c r="AD2438" s="12"/>
      <c r="AE2438" s="12"/>
      <c r="AF2438" s="12"/>
      <c r="AG2438" s="12">
        <v>117182808</v>
      </c>
      <c r="AH2438" s="12">
        <v>125264828</v>
      </c>
      <c r="AI2438" s="12">
        <v>130035929</v>
      </c>
      <c r="AJ2438" s="12">
        <v>113987287</v>
      </c>
      <c r="AK2438" s="12">
        <v>125073172</v>
      </c>
      <c r="AL2438" s="12">
        <v>133580908</v>
      </c>
      <c r="AM2438" s="1070">
        <v>145108181</v>
      </c>
      <c r="AN2438" s="1070">
        <v>150689019</v>
      </c>
      <c r="AO2438" s="1070">
        <v>152465955</v>
      </c>
      <c r="AP2438" s="1044"/>
    </row>
    <row r="2439" spans="2:42" hidden="1" outlineLevel="1">
      <c r="B2439" s="565">
        <v>10633</v>
      </c>
      <c r="C2439" s="9" t="s">
        <v>759</v>
      </c>
      <c r="D2439" s="9"/>
      <c r="E2439" s="20" t="s">
        <v>121</v>
      </c>
      <c r="F2439" s="20"/>
      <c r="G2439" s="20"/>
      <c r="H2439" s="20"/>
      <c r="I2439" s="20"/>
      <c r="J2439" s="20"/>
      <c r="K2439" s="20"/>
      <c r="L2439" s="20"/>
      <c r="M2439" s="20"/>
      <c r="N2439" s="20"/>
      <c r="O2439" s="20"/>
      <c r="P2439" s="20"/>
      <c r="Q2439" s="20"/>
      <c r="R2439" s="20"/>
      <c r="S2439" s="20"/>
      <c r="T2439" s="20"/>
      <c r="U2439" s="20"/>
      <c r="V2439" s="20"/>
      <c r="W2439" s="20"/>
      <c r="X2439" s="20"/>
      <c r="Y2439" s="20"/>
      <c r="Z2439" s="20"/>
      <c r="AA2439" s="20"/>
      <c r="AB2439" s="12"/>
      <c r="AC2439" s="12"/>
      <c r="AD2439" s="12"/>
      <c r="AE2439" s="12"/>
      <c r="AF2439" s="12"/>
      <c r="AG2439" s="12">
        <v>6117271</v>
      </c>
      <c r="AH2439" s="12">
        <v>6049940</v>
      </c>
      <c r="AI2439" s="12">
        <v>6299672</v>
      </c>
      <c r="AJ2439" s="12">
        <v>5118233</v>
      </c>
      <c r="AK2439" s="12">
        <v>5542489</v>
      </c>
      <c r="AL2439" s="12">
        <v>6798219</v>
      </c>
      <c r="AM2439" s="1070">
        <v>7604949</v>
      </c>
      <c r="AN2439" s="1070">
        <v>8030086</v>
      </c>
      <c r="AO2439" s="1070">
        <v>9691119</v>
      </c>
      <c r="AP2439" s="1044"/>
    </row>
    <row r="2440" spans="2:42" hidden="1" outlineLevel="1">
      <c r="B2440" s="565">
        <v>3580</v>
      </c>
      <c r="C2440" s="9" t="s">
        <v>759</v>
      </c>
      <c r="D2440" s="9"/>
      <c r="E2440" s="20" t="s">
        <v>122</v>
      </c>
      <c r="F2440" s="20"/>
      <c r="G2440" s="20"/>
      <c r="H2440" s="20"/>
      <c r="I2440" s="20"/>
      <c r="J2440" s="20"/>
      <c r="K2440" s="20"/>
      <c r="L2440" s="20"/>
      <c r="M2440" s="20"/>
      <c r="N2440" s="20"/>
      <c r="O2440" s="20"/>
      <c r="P2440" s="20"/>
      <c r="Q2440" s="20"/>
      <c r="R2440" s="20"/>
      <c r="S2440" s="20"/>
      <c r="T2440" s="20"/>
      <c r="U2440" s="20"/>
      <c r="V2440" s="20"/>
      <c r="W2440" s="20"/>
      <c r="X2440" s="20"/>
      <c r="Y2440" s="20"/>
      <c r="Z2440" s="20"/>
      <c r="AA2440" s="20"/>
      <c r="AB2440" s="12"/>
      <c r="AC2440" s="12"/>
      <c r="AD2440" s="12"/>
      <c r="AE2440" s="12"/>
      <c r="AF2440" s="12"/>
      <c r="AG2440" s="12">
        <v>5900991</v>
      </c>
      <c r="AH2440" s="12">
        <v>6010537</v>
      </c>
      <c r="AI2440" s="12">
        <v>6207262</v>
      </c>
      <c r="AJ2440" s="12">
        <v>6346275</v>
      </c>
      <c r="AK2440" s="12">
        <v>6483216</v>
      </c>
      <c r="AL2440" s="12">
        <v>6674038</v>
      </c>
      <c r="AM2440" s="1070">
        <v>6560191</v>
      </c>
      <c r="AN2440" s="1070">
        <v>6765580</v>
      </c>
      <c r="AO2440" s="1070">
        <v>6602588</v>
      </c>
      <c r="AP2440" s="1044"/>
    </row>
    <row r="2441" spans="2:42" hidden="1" outlineLevel="1">
      <c r="B2441" s="565">
        <v>3582</v>
      </c>
      <c r="C2441" s="9" t="s">
        <v>759</v>
      </c>
      <c r="D2441" s="9"/>
      <c r="E2441" s="20" t="s">
        <v>123</v>
      </c>
      <c r="F2441" s="20"/>
      <c r="G2441" s="20"/>
      <c r="H2441" s="20"/>
      <c r="I2441" s="20"/>
      <c r="J2441" s="20"/>
      <c r="K2441" s="20"/>
      <c r="L2441" s="20"/>
      <c r="M2441" s="20"/>
      <c r="N2441" s="20"/>
      <c r="O2441" s="20"/>
      <c r="P2441" s="20"/>
      <c r="Q2441" s="20"/>
      <c r="R2441" s="20"/>
      <c r="S2441" s="20"/>
      <c r="T2441" s="20"/>
      <c r="U2441" s="20"/>
      <c r="V2441" s="20"/>
      <c r="W2441" s="20"/>
      <c r="X2441" s="20"/>
      <c r="Y2441" s="20"/>
      <c r="Z2441" s="20"/>
      <c r="AA2441" s="20"/>
      <c r="AB2441" s="12"/>
      <c r="AC2441" s="12"/>
      <c r="AD2441" s="12"/>
      <c r="AE2441" s="12"/>
      <c r="AF2441" s="12"/>
      <c r="AG2441" s="12">
        <v>25993965</v>
      </c>
      <c r="AH2441" s="12">
        <v>27934664</v>
      </c>
      <c r="AI2441" s="12">
        <v>28155631</v>
      </c>
      <c r="AJ2441" s="12">
        <v>24808574</v>
      </c>
      <c r="AK2441" s="12">
        <v>26933855</v>
      </c>
      <c r="AL2441" s="12">
        <v>29531956</v>
      </c>
      <c r="AM2441" s="1070">
        <v>32004360</v>
      </c>
      <c r="AN2441" s="1070">
        <v>33565103</v>
      </c>
      <c r="AO2441" s="1070">
        <v>35954285</v>
      </c>
      <c r="AP2441" s="1044"/>
    </row>
    <row r="2442" spans="2:42" hidden="1" outlineLevel="1">
      <c r="B2442" s="565">
        <v>3583</v>
      </c>
      <c r="C2442" s="9" t="s">
        <v>759</v>
      </c>
      <c r="D2442" s="9"/>
      <c r="E2442" s="20" t="s">
        <v>124</v>
      </c>
      <c r="F2442" s="20"/>
      <c r="G2442" s="20"/>
      <c r="H2442" s="20"/>
      <c r="I2442" s="20"/>
      <c r="J2442" s="20"/>
      <c r="K2442" s="20"/>
      <c r="L2442" s="20"/>
      <c r="M2442" s="20"/>
      <c r="N2442" s="20"/>
      <c r="O2442" s="20"/>
      <c r="P2442" s="20"/>
      <c r="Q2442" s="20"/>
      <c r="R2442" s="20"/>
      <c r="S2442" s="20"/>
      <c r="T2442" s="20"/>
      <c r="U2442" s="20"/>
      <c r="V2442" s="20"/>
      <c r="W2442" s="20"/>
      <c r="X2442" s="20"/>
      <c r="Y2442" s="20"/>
      <c r="Z2442" s="20"/>
      <c r="AA2442" s="20"/>
      <c r="AB2442" s="12"/>
      <c r="AC2442" s="12"/>
      <c r="AD2442" s="12"/>
      <c r="AE2442" s="12"/>
      <c r="AF2442" s="12"/>
      <c r="AG2442" s="12">
        <v>19737609</v>
      </c>
      <c r="AH2442" s="12">
        <v>20561713</v>
      </c>
      <c r="AI2442" s="12">
        <v>21293088</v>
      </c>
      <c r="AJ2442" s="12">
        <v>19719673</v>
      </c>
      <c r="AK2442" s="12">
        <v>21179470</v>
      </c>
      <c r="AL2442" s="12">
        <v>22448452</v>
      </c>
      <c r="AM2442" s="1070">
        <v>23410884</v>
      </c>
      <c r="AN2442" s="1070">
        <v>26557447</v>
      </c>
      <c r="AO2442" s="1070">
        <v>31325219</v>
      </c>
      <c r="AP2442" s="1044"/>
    </row>
    <row r="2443" spans="2:42" hidden="1" outlineLevel="1">
      <c r="B2443" s="565">
        <v>11145</v>
      </c>
      <c r="C2443" s="9" t="s">
        <v>759</v>
      </c>
      <c r="D2443" s="9"/>
      <c r="E2443" s="20" t="s">
        <v>125</v>
      </c>
      <c r="F2443" s="20"/>
      <c r="G2443" s="20"/>
      <c r="H2443" s="20"/>
      <c r="I2443" s="20"/>
      <c r="J2443" s="20"/>
      <c r="K2443" s="20"/>
      <c r="L2443" s="20"/>
      <c r="M2443" s="20"/>
      <c r="N2443" s="20"/>
      <c r="O2443" s="20"/>
      <c r="P2443" s="20"/>
      <c r="Q2443" s="20"/>
      <c r="R2443" s="20"/>
      <c r="S2443" s="20"/>
      <c r="T2443" s="20"/>
      <c r="U2443" s="20"/>
      <c r="V2443" s="20"/>
      <c r="W2443" s="20"/>
      <c r="X2443" s="20"/>
      <c r="Y2443" s="20"/>
      <c r="Z2443" s="20"/>
      <c r="AA2443" s="20"/>
      <c r="AB2443" s="12"/>
      <c r="AC2443" s="12"/>
      <c r="AD2443" s="12"/>
      <c r="AE2443" s="12"/>
      <c r="AF2443" s="12"/>
      <c r="AG2443" s="12">
        <v>135443070</v>
      </c>
      <c r="AH2443" s="12">
        <v>141947513</v>
      </c>
      <c r="AI2443" s="12">
        <v>146569549</v>
      </c>
      <c r="AJ2443" s="12">
        <v>109040590</v>
      </c>
      <c r="AK2443" s="12">
        <v>112203019</v>
      </c>
      <c r="AL2443" s="12">
        <v>125089457</v>
      </c>
      <c r="AM2443" s="1070">
        <v>140258439</v>
      </c>
      <c r="AN2443" s="1070">
        <v>146643168</v>
      </c>
      <c r="AO2443" s="1070">
        <v>152277079</v>
      </c>
      <c r="AP2443" s="1044"/>
    </row>
    <row r="2444" spans="2:42" hidden="1" outlineLevel="1">
      <c r="B2444" s="565">
        <v>3590</v>
      </c>
      <c r="C2444" s="9" t="s">
        <v>759</v>
      </c>
      <c r="D2444" s="9"/>
      <c r="E2444" s="20" t="s">
        <v>126</v>
      </c>
      <c r="F2444" s="20"/>
      <c r="G2444" s="20"/>
      <c r="H2444" s="20"/>
      <c r="I2444" s="20"/>
      <c r="J2444" s="20"/>
      <c r="K2444" s="20"/>
      <c r="L2444" s="20"/>
      <c r="M2444" s="20"/>
      <c r="N2444" s="20"/>
      <c r="O2444" s="20"/>
      <c r="P2444" s="20"/>
      <c r="Q2444" s="20"/>
      <c r="R2444" s="20"/>
      <c r="S2444" s="20"/>
      <c r="T2444" s="20"/>
      <c r="U2444" s="20"/>
      <c r="V2444" s="20"/>
      <c r="W2444" s="20"/>
      <c r="X2444" s="20"/>
      <c r="Y2444" s="20"/>
      <c r="Z2444" s="20"/>
      <c r="AA2444" s="20"/>
      <c r="AB2444" s="12"/>
      <c r="AC2444" s="12"/>
      <c r="AD2444" s="12"/>
      <c r="AE2444" s="12"/>
      <c r="AF2444" s="12"/>
      <c r="AG2444" s="12">
        <v>17982616</v>
      </c>
      <c r="AH2444" s="12">
        <v>17982616</v>
      </c>
      <c r="AI2444" s="12">
        <v>12733190</v>
      </c>
      <c r="AJ2444" s="12">
        <v>13148553</v>
      </c>
      <c r="AK2444" s="12">
        <v>13919725</v>
      </c>
      <c r="AL2444" s="12">
        <v>15266357</v>
      </c>
      <c r="AM2444" s="1070">
        <v>16763347</v>
      </c>
      <c r="AN2444" s="1070">
        <v>18534740</v>
      </c>
      <c r="AO2444" s="1070">
        <v>20175004</v>
      </c>
      <c r="AP2444" s="1044"/>
    </row>
    <row r="2445" spans="2:42" hidden="1" outlineLevel="1">
      <c r="B2445" s="565">
        <v>9797</v>
      </c>
      <c r="C2445" s="9" t="s">
        <v>759</v>
      </c>
      <c r="D2445" s="9"/>
      <c r="E2445" s="20" t="s">
        <v>127</v>
      </c>
      <c r="F2445" s="20"/>
      <c r="G2445" s="20"/>
      <c r="H2445" s="20"/>
      <c r="I2445" s="20"/>
      <c r="J2445" s="20"/>
      <c r="K2445" s="20"/>
      <c r="L2445" s="20"/>
      <c r="M2445" s="20"/>
      <c r="N2445" s="20"/>
      <c r="O2445" s="20"/>
      <c r="P2445" s="20"/>
      <c r="Q2445" s="20"/>
      <c r="R2445" s="20"/>
      <c r="S2445" s="20"/>
      <c r="T2445" s="20"/>
      <c r="U2445" s="20"/>
      <c r="V2445" s="20"/>
      <c r="W2445" s="20"/>
      <c r="X2445" s="20"/>
      <c r="Y2445" s="20"/>
      <c r="Z2445" s="20"/>
      <c r="AA2445" s="20"/>
      <c r="AB2445" s="12"/>
      <c r="AC2445" s="12"/>
      <c r="AD2445" s="12"/>
      <c r="AE2445" s="12"/>
      <c r="AF2445" s="12"/>
      <c r="AG2445" s="12">
        <v>20151595</v>
      </c>
      <c r="AH2445" s="12">
        <v>21360680</v>
      </c>
      <c r="AI2445" s="12">
        <v>20113716</v>
      </c>
      <c r="AJ2445" s="12">
        <v>20910228</v>
      </c>
      <c r="AK2445" s="12">
        <v>22447041</v>
      </c>
      <c r="AL2445" s="12">
        <v>24490252</v>
      </c>
      <c r="AM2445" s="1070">
        <v>25230945</v>
      </c>
      <c r="AN2445" s="1070">
        <v>26340038</v>
      </c>
      <c r="AO2445" s="1070">
        <v>28295755</v>
      </c>
      <c r="AP2445" s="1044"/>
    </row>
    <row r="2446" spans="2:42" hidden="1" outlineLevel="1">
      <c r="B2446" s="565">
        <v>3593</v>
      </c>
      <c r="C2446" s="9" t="s">
        <v>759</v>
      </c>
      <c r="D2446" s="9"/>
      <c r="E2446" s="20" t="s">
        <v>128</v>
      </c>
      <c r="F2446" s="20"/>
      <c r="G2446" s="20"/>
      <c r="H2446" s="20"/>
      <c r="I2446" s="20"/>
      <c r="J2446" s="20"/>
      <c r="K2446" s="20"/>
      <c r="L2446" s="20"/>
      <c r="M2446" s="20"/>
      <c r="N2446" s="20"/>
      <c r="O2446" s="20"/>
      <c r="P2446" s="20"/>
      <c r="Q2446" s="20"/>
      <c r="R2446" s="20"/>
      <c r="S2446" s="20"/>
      <c r="T2446" s="20"/>
      <c r="U2446" s="20"/>
      <c r="V2446" s="20"/>
      <c r="W2446" s="20"/>
      <c r="X2446" s="20"/>
      <c r="Y2446" s="20"/>
      <c r="Z2446" s="20"/>
      <c r="AA2446" s="20"/>
      <c r="AB2446" s="12"/>
      <c r="AC2446" s="12"/>
      <c r="AD2446" s="12"/>
      <c r="AE2446" s="12"/>
      <c r="AF2446" s="12"/>
      <c r="AG2446" s="12">
        <v>3153904</v>
      </c>
      <c r="AH2446" s="12">
        <v>3224898</v>
      </c>
      <c r="AI2446" s="12">
        <v>3342472</v>
      </c>
      <c r="AJ2446" s="12">
        <v>3359627</v>
      </c>
      <c r="AK2446" s="12">
        <v>3533309</v>
      </c>
      <c r="AL2446" s="12">
        <v>3553400</v>
      </c>
      <c r="AM2446" s="1070">
        <v>3645253</v>
      </c>
      <c r="AN2446" s="1070">
        <v>3980582</v>
      </c>
      <c r="AO2446" s="1070">
        <v>4225699</v>
      </c>
      <c r="AP2446" s="1044"/>
    </row>
    <row r="2447" spans="2:42" hidden="1" outlineLevel="1">
      <c r="B2447" s="565">
        <v>3558</v>
      </c>
      <c r="C2447" s="9" t="s">
        <v>759</v>
      </c>
      <c r="D2447" s="9"/>
      <c r="E2447" s="20" t="s">
        <v>129</v>
      </c>
      <c r="F2447" s="20"/>
      <c r="G2447" s="20"/>
      <c r="H2447" s="20"/>
      <c r="I2447" s="20"/>
      <c r="J2447" s="20"/>
      <c r="K2447" s="20"/>
      <c r="L2447" s="20"/>
      <c r="M2447" s="20"/>
      <c r="N2447" s="20"/>
      <c r="O2447" s="20"/>
      <c r="P2447" s="20"/>
      <c r="Q2447" s="20"/>
      <c r="R2447" s="20"/>
      <c r="S2447" s="20"/>
      <c r="T2447" s="20"/>
      <c r="U2447" s="20"/>
      <c r="V2447" s="20"/>
      <c r="W2447" s="20"/>
      <c r="X2447" s="20"/>
      <c r="Y2447" s="20"/>
      <c r="Z2447" s="20"/>
      <c r="AA2447" s="20"/>
      <c r="AB2447" s="12"/>
      <c r="AC2447" s="12"/>
      <c r="AD2447" s="12"/>
      <c r="AE2447" s="12"/>
      <c r="AF2447" s="12"/>
      <c r="AG2447" s="12">
        <v>2169352</v>
      </c>
      <c r="AH2447" s="12">
        <v>2199017</v>
      </c>
      <c r="AI2447" s="12">
        <v>2220581</v>
      </c>
      <c r="AJ2447" s="12">
        <v>2267607</v>
      </c>
      <c r="AK2447" s="12">
        <v>2327616</v>
      </c>
      <c r="AL2447" s="12">
        <v>2588075</v>
      </c>
      <c r="AM2447" s="1070">
        <v>2802463</v>
      </c>
      <c r="AN2447" s="1070">
        <v>2932914</v>
      </c>
      <c r="AO2447" s="1070">
        <v>2994555</v>
      </c>
      <c r="AP2447" s="1044"/>
    </row>
    <row r="2448" spans="2:42" hidden="1" outlineLevel="1">
      <c r="B2448" s="565">
        <v>23154</v>
      </c>
      <c r="C2448" s="9" t="s">
        <v>759</v>
      </c>
      <c r="D2448" s="9"/>
      <c r="E2448" s="20" t="s">
        <v>130</v>
      </c>
      <c r="F2448" s="20"/>
      <c r="G2448" s="20"/>
      <c r="H2448" s="20"/>
      <c r="I2448" s="20"/>
      <c r="J2448" s="20"/>
      <c r="K2448" s="20"/>
      <c r="L2448" s="20"/>
      <c r="M2448" s="20"/>
      <c r="N2448" s="20"/>
      <c r="O2448" s="20"/>
      <c r="P2448" s="20"/>
      <c r="Q2448" s="20"/>
      <c r="R2448" s="20"/>
      <c r="S2448" s="20"/>
      <c r="T2448" s="20"/>
      <c r="U2448" s="20"/>
      <c r="V2448" s="20"/>
      <c r="W2448" s="20"/>
      <c r="X2448" s="20"/>
      <c r="Y2448" s="20"/>
      <c r="Z2448" s="20"/>
      <c r="AA2448" s="20"/>
      <c r="AB2448" s="12"/>
      <c r="AC2448" s="12"/>
      <c r="AD2448" s="12"/>
      <c r="AE2448" s="12"/>
      <c r="AF2448" s="12"/>
      <c r="AG2448" s="12">
        <v>4649119</v>
      </c>
      <c r="AH2448" s="12">
        <v>4649095</v>
      </c>
      <c r="AI2448" s="12">
        <v>4374652</v>
      </c>
      <c r="AJ2448" s="12">
        <v>3011059</v>
      </c>
      <c r="AK2448" s="12">
        <v>2954515</v>
      </c>
      <c r="AL2448" s="12">
        <v>3710237</v>
      </c>
      <c r="AM2448" s="1070">
        <v>3000685</v>
      </c>
      <c r="AN2448" s="1070">
        <v>3179001</v>
      </c>
      <c r="AO2448" s="1070">
        <v>3187208</v>
      </c>
      <c r="AP2448" s="1044"/>
    </row>
    <row r="2449" spans="2:42" hidden="1" outlineLevel="1">
      <c r="B2449" s="565">
        <v>3596</v>
      </c>
      <c r="C2449" s="9" t="s">
        <v>759</v>
      </c>
      <c r="D2449" s="9"/>
      <c r="E2449" s="20" t="s">
        <v>131</v>
      </c>
      <c r="F2449" s="20"/>
      <c r="G2449" s="20"/>
      <c r="H2449" s="20"/>
      <c r="I2449" s="20"/>
      <c r="J2449" s="20"/>
      <c r="K2449" s="20"/>
      <c r="L2449" s="20"/>
      <c r="M2449" s="20"/>
      <c r="N2449" s="20"/>
      <c r="O2449" s="20"/>
      <c r="P2449" s="20"/>
      <c r="Q2449" s="20"/>
      <c r="R2449" s="20"/>
      <c r="S2449" s="20"/>
      <c r="T2449" s="20"/>
      <c r="U2449" s="20"/>
      <c r="V2449" s="20"/>
      <c r="W2449" s="20"/>
      <c r="X2449" s="20"/>
      <c r="Y2449" s="20"/>
      <c r="Z2449" s="20"/>
      <c r="AA2449" s="20"/>
      <c r="AB2449" s="12"/>
      <c r="AC2449" s="12"/>
      <c r="AD2449" s="12"/>
      <c r="AE2449" s="12"/>
      <c r="AF2449" s="12"/>
      <c r="AG2449" s="12">
        <v>16080635</v>
      </c>
      <c r="AH2449" s="12">
        <v>21348141</v>
      </c>
      <c r="AI2449" s="12">
        <v>22655419</v>
      </c>
      <c r="AJ2449" s="12">
        <v>24150400</v>
      </c>
      <c r="AK2449" s="12">
        <v>21496969</v>
      </c>
      <c r="AL2449" s="12">
        <v>22137869</v>
      </c>
      <c r="AM2449" s="1070">
        <v>21172447</v>
      </c>
      <c r="AN2449" s="1070">
        <v>22407661</v>
      </c>
      <c r="AO2449" s="1070">
        <v>23863032</v>
      </c>
      <c r="AP2449" s="1044"/>
    </row>
    <row r="2450" spans="2:42" hidden="1" outlineLevel="1">
      <c r="B2450" s="565">
        <v>3600</v>
      </c>
      <c r="C2450" s="9" t="s">
        <v>759</v>
      </c>
      <c r="D2450" s="9"/>
      <c r="E2450" s="20" t="s">
        <v>132</v>
      </c>
      <c r="F2450" s="20"/>
      <c r="G2450" s="20"/>
      <c r="H2450" s="20"/>
      <c r="I2450" s="20"/>
      <c r="J2450" s="20"/>
      <c r="K2450" s="20"/>
      <c r="L2450" s="20"/>
      <c r="M2450" s="20"/>
      <c r="N2450" s="20"/>
      <c r="O2450" s="20"/>
      <c r="P2450" s="20"/>
      <c r="Q2450" s="20"/>
      <c r="R2450" s="20"/>
      <c r="S2450" s="20"/>
      <c r="T2450" s="20"/>
      <c r="U2450" s="20"/>
      <c r="V2450" s="20"/>
      <c r="W2450" s="20"/>
      <c r="X2450" s="20"/>
      <c r="Y2450" s="20"/>
      <c r="Z2450" s="20"/>
      <c r="AA2450" s="20"/>
      <c r="AB2450" s="12"/>
      <c r="AC2450" s="12"/>
      <c r="AD2450" s="12"/>
      <c r="AE2450" s="12"/>
      <c r="AF2450" s="12"/>
      <c r="AG2450" s="12">
        <v>5661200</v>
      </c>
      <c r="AH2450" s="12">
        <v>5750320</v>
      </c>
      <c r="AI2450" s="12">
        <v>5962541</v>
      </c>
      <c r="AJ2450" s="12">
        <v>6468902</v>
      </c>
      <c r="AK2450" s="12">
        <v>6936082</v>
      </c>
      <c r="AL2450" s="12">
        <v>6934903</v>
      </c>
      <c r="AM2450" s="1070">
        <v>6386554</v>
      </c>
      <c r="AN2450" s="1070">
        <v>6490785</v>
      </c>
      <c r="AO2450" s="1070">
        <v>6826243</v>
      </c>
      <c r="AP2450" s="1044"/>
    </row>
    <row r="2451" spans="2:42" hidden="1" outlineLevel="1">
      <c r="B2451" s="565">
        <v>3601</v>
      </c>
      <c r="C2451" s="9" t="s">
        <v>759</v>
      </c>
      <c r="D2451" s="9"/>
      <c r="E2451" s="20" t="s">
        <v>133</v>
      </c>
      <c r="F2451" s="20"/>
      <c r="G2451" s="20"/>
      <c r="H2451" s="20"/>
      <c r="I2451" s="20"/>
      <c r="J2451" s="20"/>
      <c r="K2451" s="20"/>
      <c r="L2451" s="20"/>
      <c r="M2451" s="20"/>
      <c r="N2451" s="20"/>
      <c r="O2451" s="20"/>
      <c r="P2451" s="20"/>
      <c r="Q2451" s="20"/>
      <c r="R2451" s="20"/>
      <c r="S2451" s="20"/>
      <c r="T2451" s="20"/>
      <c r="U2451" s="20"/>
      <c r="V2451" s="20"/>
      <c r="W2451" s="20"/>
      <c r="X2451" s="20"/>
      <c r="Y2451" s="20"/>
      <c r="Z2451" s="20"/>
      <c r="AA2451" s="20"/>
      <c r="AB2451" s="12"/>
      <c r="AC2451" s="12"/>
      <c r="AD2451" s="12"/>
      <c r="AE2451" s="12"/>
      <c r="AF2451" s="12"/>
      <c r="AG2451" s="12">
        <v>2898389</v>
      </c>
      <c r="AH2451" s="12">
        <v>2900541</v>
      </c>
      <c r="AI2451" s="12">
        <v>2891428</v>
      </c>
      <c r="AJ2451" s="12">
        <v>2920185</v>
      </c>
      <c r="AK2451" s="12">
        <v>2964030</v>
      </c>
      <c r="AL2451" s="12">
        <v>3004129</v>
      </c>
      <c r="AM2451" s="1070">
        <v>2997380</v>
      </c>
      <c r="AN2451" s="1070">
        <v>2843527</v>
      </c>
      <c r="AO2451" s="1070">
        <v>2941468</v>
      </c>
      <c r="AP2451" s="1044"/>
    </row>
    <row r="2452" spans="2:42" hidden="1" outlineLevel="1">
      <c r="B2452" s="565">
        <v>3603</v>
      </c>
      <c r="C2452" s="9" t="s">
        <v>759</v>
      </c>
      <c r="D2452" s="9"/>
      <c r="E2452" s="20" t="s">
        <v>134</v>
      </c>
      <c r="F2452" s="20"/>
      <c r="G2452" s="20"/>
      <c r="H2452" s="20"/>
      <c r="I2452" s="20"/>
      <c r="J2452" s="20"/>
      <c r="K2452" s="20"/>
      <c r="L2452" s="20"/>
      <c r="M2452" s="20"/>
      <c r="N2452" s="20"/>
      <c r="O2452" s="20"/>
      <c r="P2452" s="20"/>
      <c r="Q2452" s="20"/>
      <c r="R2452" s="20"/>
      <c r="S2452" s="20"/>
      <c r="T2452" s="20"/>
      <c r="U2452" s="20"/>
      <c r="V2452" s="20"/>
      <c r="W2452" s="20"/>
      <c r="X2452" s="20"/>
      <c r="Y2452" s="20"/>
      <c r="Z2452" s="20"/>
      <c r="AA2452" s="20"/>
      <c r="AB2452" s="12"/>
      <c r="AC2452" s="12"/>
      <c r="AD2452" s="12"/>
      <c r="AE2452" s="12"/>
      <c r="AF2452" s="12"/>
      <c r="AG2452" s="12">
        <v>237348</v>
      </c>
      <c r="AH2452" s="12">
        <v>239836</v>
      </c>
      <c r="AI2452" s="12">
        <v>260751</v>
      </c>
      <c r="AJ2452" s="12">
        <v>257462</v>
      </c>
      <c r="AK2452" s="12">
        <v>274276</v>
      </c>
      <c r="AL2452" s="12">
        <v>298871</v>
      </c>
      <c r="AM2452" s="1070">
        <v>341953</v>
      </c>
      <c r="AN2452" s="1070">
        <v>329498</v>
      </c>
      <c r="AO2452" s="1070">
        <v>34736</v>
      </c>
      <c r="AP2452" s="1044"/>
    </row>
    <row r="2453" spans="2:42" hidden="1" outlineLevel="1">
      <c r="B2453" s="565">
        <v>29137</v>
      </c>
      <c r="C2453" s="9" t="s">
        <v>759</v>
      </c>
      <c r="D2453" s="9"/>
      <c r="E2453" s="20" t="s">
        <v>135</v>
      </c>
      <c r="F2453" s="20"/>
      <c r="G2453" s="20"/>
      <c r="H2453" s="20"/>
      <c r="I2453" s="20"/>
      <c r="J2453" s="20"/>
      <c r="K2453" s="20"/>
      <c r="L2453" s="20"/>
      <c r="M2453" s="20"/>
      <c r="N2453" s="20"/>
      <c r="O2453" s="20"/>
      <c r="P2453" s="20"/>
      <c r="Q2453" s="20"/>
      <c r="R2453" s="20"/>
      <c r="S2453" s="20"/>
      <c r="T2453" s="20"/>
      <c r="U2453" s="20"/>
      <c r="V2453" s="20"/>
      <c r="W2453" s="20"/>
      <c r="X2453" s="20"/>
      <c r="Y2453" s="20"/>
      <c r="Z2453" s="20"/>
      <c r="AA2453" s="20"/>
      <c r="AB2453" s="12"/>
      <c r="AC2453" s="12"/>
      <c r="AD2453" s="12"/>
      <c r="AE2453" s="12"/>
      <c r="AF2453" s="12"/>
      <c r="AG2453" s="12">
        <v>64787742</v>
      </c>
      <c r="AH2453" s="12">
        <v>69019186</v>
      </c>
      <c r="AI2453" s="12">
        <v>73136908</v>
      </c>
      <c r="AJ2453" s="12">
        <v>52961418</v>
      </c>
      <c r="AK2453" s="12">
        <v>56605940</v>
      </c>
      <c r="AL2453" s="12">
        <v>62710688</v>
      </c>
      <c r="AM2453" s="1070">
        <v>64848898</v>
      </c>
      <c r="AN2453" s="1070">
        <v>66657043</v>
      </c>
      <c r="AO2453" s="1070">
        <v>69383250</v>
      </c>
      <c r="AP2453" s="1044"/>
    </row>
    <row r="2454" spans="2:42" hidden="1" outlineLevel="1">
      <c r="B2454" s="565">
        <v>3611</v>
      </c>
      <c r="C2454" s="9" t="s">
        <v>759</v>
      </c>
      <c r="D2454" s="9"/>
      <c r="E2454" s="20" t="s">
        <v>136</v>
      </c>
      <c r="F2454" s="20"/>
      <c r="G2454" s="20"/>
      <c r="H2454" s="20"/>
      <c r="I2454" s="20"/>
      <c r="J2454" s="20"/>
      <c r="K2454" s="20"/>
      <c r="L2454" s="20"/>
      <c r="M2454" s="20"/>
      <c r="N2454" s="20"/>
      <c r="O2454" s="20"/>
      <c r="P2454" s="20"/>
      <c r="Q2454" s="20"/>
      <c r="R2454" s="20"/>
      <c r="S2454" s="20"/>
      <c r="T2454" s="20"/>
      <c r="U2454" s="20"/>
      <c r="V2454" s="20"/>
      <c r="W2454" s="20"/>
      <c r="X2454" s="20"/>
      <c r="Y2454" s="20"/>
      <c r="Z2454" s="20"/>
      <c r="AA2454" s="20"/>
      <c r="AB2454" s="12"/>
      <c r="AC2454" s="12"/>
      <c r="AD2454" s="12"/>
      <c r="AE2454" s="12"/>
      <c r="AF2454" s="12"/>
      <c r="AG2454" s="12">
        <v>10601110</v>
      </c>
      <c r="AH2454" s="12">
        <v>10732939</v>
      </c>
      <c r="AI2454" s="12">
        <v>12628617</v>
      </c>
      <c r="AJ2454" s="12">
        <v>12638839</v>
      </c>
      <c r="AK2454" s="12">
        <v>12607384</v>
      </c>
      <c r="AL2454" s="12">
        <v>12657686</v>
      </c>
      <c r="AM2454" s="1070">
        <v>9408042</v>
      </c>
      <c r="AN2454" s="1070">
        <v>10156583</v>
      </c>
      <c r="AO2454" s="1070">
        <v>10813210</v>
      </c>
      <c r="AP2454" s="1044"/>
    </row>
    <row r="2455" spans="2:42" hidden="1" outlineLevel="1">
      <c r="B2455" s="565">
        <v>31034</v>
      </c>
      <c r="C2455" s="9" t="s">
        <v>759</v>
      </c>
      <c r="D2455" s="9"/>
      <c r="E2455" s="20" t="s">
        <v>137</v>
      </c>
      <c r="F2455" s="20"/>
      <c r="G2455" s="20"/>
      <c r="H2455" s="20"/>
      <c r="I2455" s="20"/>
      <c r="J2455" s="20"/>
      <c r="K2455" s="20"/>
      <c r="L2455" s="20"/>
      <c r="M2455" s="20"/>
      <c r="N2455" s="20"/>
      <c r="O2455" s="20"/>
      <c r="P2455" s="20"/>
      <c r="Q2455" s="20"/>
      <c r="R2455" s="20"/>
      <c r="S2455" s="20"/>
      <c r="T2455" s="20"/>
      <c r="U2455" s="20"/>
      <c r="V2455" s="20"/>
      <c r="W2455" s="20"/>
      <c r="X2455" s="20"/>
      <c r="Y2455" s="20"/>
      <c r="Z2455" s="20"/>
      <c r="AA2455" s="20"/>
      <c r="AB2455" s="12"/>
      <c r="AC2455" s="12"/>
      <c r="AD2455" s="12"/>
      <c r="AE2455" s="12"/>
      <c r="AF2455" s="12"/>
      <c r="AG2455" s="12">
        <v>45894813</v>
      </c>
      <c r="AH2455" s="12">
        <v>45742612</v>
      </c>
      <c r="AI2455" s="12">
        <v>45852447</v>
      </c>
      <c r="AJ2455" s="12">
        <v>33983319</v>
      </c>
      <c r="AK2455" s="12">
        <v>43951580</v>
      </c>
      <c r="AL2455" s="12">
        <v>46781602</v>
      </c>
      <c r="AM2455" s="1070">
        <v>48822561</v>
      </c>
      <c r="AN2455" s="1070">
        <v>48931234</v>
      </c>
      <c r="AO2455" s="1070">
        <v>53934103</v>
      </c>
      <c r="AP2455" s="1044"/>
    </row>
    <row r="2456" spans="2:42" hidden="1" outlineLevel="1">
      <c r="B2456" s="565">
        <v>3614</v>
      </c>
      <c r="C2456" s="9" t="s">
        <v>759</v>
      </c>
      <c r="D2456" s="9"/>
      <c r="E2456" s="20" t="s">
        <v>138</v>
      </c>
      <c r="F2456" s="20"/>
      <c r="G2456" s="20"/>
      <c r="H2456" s="20"/>
      <c r="I2456" s="20"/>
      <c r="J2456" s="20"/>
      <c r="K2456" s="20"/>
      <c r="L2456" s="20"/>
      <c r="M2456" s="20"/>
      <c r="N2456" s="20"/>
      <c r="O2456" s="20"/>
      <c r="P2456" s="20"/>
      <c r="Q2456" s="20"/>
      <c r="R2456" s="20"/>
      <c r="S2456" s="20"/>
      <c r="T2456" s="20"/>
      <c r="U2456" s="20"/>
      <c r="V2456" s="20"/>
      <c r="W2456" s="20"/>
      <c r="X2456" s="20"/>
      <c r="Y2456" s="20"/>
      <c r="Z2456" s="20"/>
      <c r="AA2456" s="20"/>
      <c r="AB2456" s="12"/>
      <c r="AC2456" s="12"/>
      <c r="AD2456" s="12"/>
      <c r="AE2456" s="12"/>
      <c r="AF2456" s="12"/>
      <c r="AG2456" s="12">
        <v>2447076</v>
      </c>
      <c r="AH2456" s="12">
        <v>2549671</v>
      </c>
      <c r="AI2456" s="12">
        <v>2703529</v>
      </c>
      <c r="AJ2456" s="12">
        <v>3121746</v>
      </c>
      <c r="AK2456" s="12">
        <v>3703685</v>
      </c>
      <c r="AL2456" s="12">
        <v>4143045</v>
      </c>
      <c r="AM2456" s="1070">
        <v>5175847</v>
      </c>
      <c r="AN2456" s="1070">
        <v>5281800</v>
      </c>
      <c r="AO2456" s="1070">
        <v>5557488</v>
      </c>
      <c r="AP2456" s="1044"/>
    </row>
    <row r="2457" spans="2:42" hidden="1" outlineLevel="1">
      <c r="B2457" s="565">
        <v>3626</v>
      </c>
      <c r="C2457" s="9" t="s">
        <v>759</v>
      </c>
      <c r="D2457" s="9"/>
      <c r="E2457" s="20" t="s">
        <v>139</v>
      </c>
      <c r="F2457" s="20"/>
      <c r="G2457" s="20"/>
      <c r="H2457" s="20"/>
      <c r="I2457" s="20"/>
      <c r="J2457" s="20"/>
      <c r="K2457" s="20"/>
      <c r="L2457" s="20"/>
      <c r="M2457" s="20"/>
      <c r="N2457" s="20"/>
      <c r="O2457" s="20"/>
      <c r="P2457" s="20"/>
      <c r="Q2457" s="20"/>
      <c r="R2457" s="20"/>
      <c r="S2457" s="20"/>
      <c r="T2457" s="20"/>
      <c r="U2457" s="20"/>
      <c r="V2457" s="20"/>
      <c r="W2457" s="20"/>
      <c r="X2457" s="20"/>
      <c r="Y2457" s="20"/>
      <c r="Z2457" s="20"/>
      <c r="AA2457" s="20"/>
      <c r="AB2457" s="12"/>
      <c r="AC2457" s="12"/>
      <c r="AD2457" s="12"/>
      <c r="AE2457" s="12"/>
      <c r="AF2457" s="12"/>
      <c r="AG2457" s="12">
        <v>167956654</v>
      </c>
      <c r="AH2457" s="12">
        <v>184432700</v>
      </c>
      <c r="AI2457" s="12">
        <v>186261467</v>
      </c>
      <c r="AJ2457" s="12">
        <v>179789467</v>
      </c>
      <c r="AK2457" s="12">
        <v>190805920</v>
      </c>
      <c r="AL2457" s="12">
        <v>206958870</v>
      </c>
      <c r="AM2457" s="1070">
        <v>220336268</v>
      </c>
      <c r="AN2457" s="1070">
        <v>232639439</v>
      </c>
      <c r="AO2457" s="1070">
        <v>244974129</v>
      </c>
      <c r="AP2457" s="1044"/>
    </row>
    <row r="2458" spans="2:42" hidden="1" outlineLevel="1">
      <c r="B2458" s="565">
        <v>3627</v>
      </c>
      <c r="C2458" s="9" t="s">
        <v>759</v>
      </c>
      <c r="D2458" s="9"/>
      <c r="E2458" s="20" t="s">
        <v>140</v>
      </c>
      <c r="F2458" s="20"/>
      <c r="G2458" s="20"/>
      <c r="H2458" s="20"/>
      <c r="I2458" s="20"/>
      <c r="J2458" s="20"/>
      <c r="K2458" s="20"/>
      <c r="L2458" s="20"/>
      <c r="M2458" s="20"/>
      <c r="N2458" s="20"/>
      <c r="O2458" s="20"/>
      <c r="P2458" s="20"/>
      <c r="Q2458" s="20"/>
      <c r="R2458" s="20"/>
      <c r="S2458" s="20"/>
      <c r="T2458" s="20"/>
      <c r="U2458" s="20"/>
      <c r="V2458" s="20"/>
      <c r="W2458" s="20"/>
      <c r="X2458" s="20"/>
      <c r="Y2458" s="20"/>
      <c r="Z2458" s="20"/>
      <c r="AA2458" s="20"/>
      <c r="AB2458" s="12"/>
      <c r="AC2458" s="12"/>
      <c r="AD2458" s="12"/>
      <c r="AE2458" s="12"/>
      <c r="AF2458" s="12"/>
      <c r="AG2458" s="12">
        <v>7090810</v>
      </c>
      <c r="AH2458" s="12">
        <v>7168855</v>
      </c>
      <c r="AI2458" s="12">
        <v>7275176</v>
      </c>
      <c r="AJ2458" s="12">
        <v>5524656</v>
      </c>
      <c r="AK2458" s="12">
        <v>5303079</v>
      </c>
      <c r="AL2458" s="12">
        <v>5997744</v>
      </c>
      <c r="AM2458" s="1070">
        <v>5832268</v>
      </c>
      <c r="AN2458" s="1070">
        <v>6059368</v>
      </c>
      <c r="AO2458" s="1070">
        <v>6243498</v>
      </c>
      <c r="AP2458" s="1044"/>
    </row>
    <row r="2459" spans="2:42" hidden="1" outlineLevel="1">
      <c r="B2459" s="565">
        <v>3628</v>
      </c>
      <c r="C2459" s="9" t="s">
        <v>759</v>
      </c>
      <c r="D2459" s="9"/>
      <c r="E2459" s="20" t="s">
        <v>141</v>
      </c>
      <c r="F2459" s="20"/>
      <c r="G2459" s="20"/>
      <c r="H2459" s="20"/>
      <c r="I2459" s="20"/>
      <c r="J2459" s="20"/>
      <c r="K2459" s="20"/>
      <c r="L2459" s="20"/>
      <c r="M2459" s="20"/>
      <c r="N2459" s="20"/>
      <c r="O2459" s="20"/>
      <c r="P2459" s="20"/>
      <c r="Q2459" s="20"/>
      <c r="R2459" s="20"/>
      <c r="S2459" s="20"/>
      <c r="T2459" s="20"/>
      <c r="U2459" s="20"/>
      <c r="V2459" s="20"/>
      <c r="W2459" s="20"/>
      <c r="X2459" s="20"/>
      <c r="Y2459" s="20"/>
      <c r="Z2459" s="20"/>
      <c r="AA2459" s="20"/>
      <c r="AB2459" s="12"/>
      <c r="AC2459" s="12"/>
      <c r="AD2459" s="12"/>
      <c r="AE2459" s="12"/>
      <c r="AF2459" s="12"/>
      <c r="AG2459" s="12">
        <v>1245710</v>
      </c>
      <c r="AH2459" s="12">
        <v>1354269</v>
      </c>
      <c r="AI2459" s="12">
        <v>1367528</v>
      </c>
      <c r="AJ2459" s="12">
        <v>5325560</v>
      </c>
      <c r="AK2459" s="12">
        <v>5397077</v>
      </c>
      <c r="AL2459" s="12">
        <v>5473882</v>
      </c>
      <c r="AM2459" s="1070">
        <v>5834054</v>
      </c>
      <c r="AN2459" s="1070">
        <v>6265405</v>
      </c>
      <c r="AO2459" s="1070">
        <v>6532330</v>
      </c>
      <c r="AP2459" s="1044"/>
    </row>
    <row r="2460" spans="2:42" hidden="1" outlineLevel="1">
      <c r="B2460" s="565">
        <v>3643</v>
      </c>
      <c r="C2460" s="9" t="s">
        <v>759</v>
      </c>
      <c r="D2460" s="9"/>
      <c r="E2460" s="20" t="s">
        <v>142</v>
      </c>
      <c r="F2460" s="20"/>
      <c r="G2460" s="20"/>
      <c r="H2460" s="20"/>
      <c r="I2460" s="20"/>
      <c r="J2460" s="20"/>
      <c r="K2460" s="20"/>
      <c r="L2460" s="20"/>
      <c r="M2460" s="20"/>
      <c r="N2460" s="20"/>
      <c r="O2460" s="20"/>
      <c r="P2460" s="20"/>
      <c r="Q2460" s="20"/>
      <c r="R2460" s="20"/>
      <c r="S2460" s="20"/>
      <c r="T2460" s="20"/>
      <c r="U2460" s="20"/>
      <c r="V2460" s="20"/>
      <c r="W2460" s="20"/>
      <c r="X2460" s="20"/>
      <c r="Y2460" s="20"/>
      <c r="Z2460" s="20"/>
      <c r="AA2460" s="20"/>
      <c r="AB2460" s="12"/>
      <c r="AC2460" s="12"/>
      <c r="AD2460" s="12"/>
      <c r="AE2460" s="12"/>
      <c r="AF2460" s="12"/>
      <c r="AG2460" s="12">
        <v>17049071</v>
      </c>
      <c r="AH2460" s="12">
        <v>17976953</v>
      </c>
      <c r="AI2460" s="12">
        <v>18257955</v>
      </c>
      <c r="AJ2460" s="12">
        <v>11284079</v>
      </c>
      <c r="AK2460" s="12">
        <v>11323301</v>
      </c>
      <c r="AL2460" s="12">
        <v>12280723</v>
      </c>
      <c r="AM2460" s="1070">
        <v>13339682</v>
      </c>
      <c r="AN2460" s="1070">
        <v>14406987</v>
      </c>
      <c r="AO2460" s="1070">
        <v>14516319</v>
      </c>
      <c r="AP2460" s="1044"/>
    </row>
    <row r="2461" spans="2:42" hidden="1" outlineLevel="1">
      <c r="B2461" s="565">
        <v>3572</v>
      </c>
      <c r="C2461" s="9" t="s">
        <v>759</v>
      </c>
      <c r="D2461" s="9"/>
      <c r="E2461" s="20" t="s">
        <v>143</v>
      </c>
      <c r="F2461" s="20"/>
      <c r="G2461" s="20"/>
      <c r="H2461" s="20"/>
      <c r="I2461" s="20"/>
      <c r="J2461" s="20"/>
      <c r="K2461" s="20"/>
      <c r="L2461" s="20"/>
      <c r="M2461" s="20"/>
      <c r="N2461" s="20"/>
      <c r="O2461" s="20"/>
      <c r="P2461" s="20"/>
      <c r="Q2461" s="20"/>
      <c r="R2461" s="20"/>
      <c r="S2461" s="20"/>
      <c r="T2461" s="20"/>
      <c r="U2461" s="20"/>
      <c r="V2461" s="20"/>
      <c r="W2461" s="20"/>
      <c r="X2461" s="20"/>
      <c r="Y2461" s="20"/>
      <c r="Z2461" s="20"/>
      <c r="AA2461" s="20"/>
      <c r="AB2461" s="12"/>
      <c r="AC2461" s="12"/>
      <c r="AD2461" s="12"/>
      <c r="AE2461" s="12"/>
      <c r="AF2461" s="12"/>
      <c r="AG2461" s="12">
        <v>7670620</v>
      </c>
      <c r="AH2461" s="12">
        <v>7940405</v>
      </c>
      <c r="AI2461" s="12">
        <v>8543457</v>
      </c>
      <c r="AJ2461" s="12">
        <v>9205394</v>
      </c>
      <c r="AK2461" s="12">
        <v>9900057</v>
      </c>
      <c r="AL2461" s="12">
        <v>12142786</v>
      </c>
      <c r="AM2461" s="1070">
        <v>13135141</v>
      </c>
      <c r="AN2461" s="1070">
        <v>14298413</v>
      </c>
      <c r="AO2461" s="1070">
        <v>15339294</v>
      </c>
      <c r="AP2461" s="1044"/>
    </row>
    <row r="2462" spans="2:42" hidden="1" outlineLevel="1">
      <c r="B2462" s="565">
        <v>3648</v>
      </c>
      <c r="C2462" s="9" t="s">
        <v>759</v>
      </c>
      <c r="D2462" s="9"/>
      <c r="E2462" s="20" t="s">
        <v>144</v>
      </c>
      <c r="F2462" s="20"/>
      <c r="G2462" s="20"/>
      <c r="H2462" s="20"/>
      <c r="I2462" s="20"/>
      <c r="J2462" s="20"/>
      <c r="K2462" s="20"/>
      <c r="L2462" s="20"/>
      <c r="M2462" s="20"/>
      <c r="N2462" s="20"/>
      <c r="O2462" s="20"/>
      <c r="P2462" s="20"/>
      <c r="Q2462" s="20"/>
      <c r="R2462" s="20"/>
      <c r="S2462" s="20"/>
      <c r="T2462" s="20"/>
      <c r="U2462" s="20"/>
      <c r="V2462" s="20"/>
      <c r="W2462" s="20"/>
      <c r="X2462" s="20"/>
      <c r="Y2462" s="20"/>
      <c r="Z2462" s="20"/>
      <c r="AA2462" s="20"/>
      <c r="AB2462" s="12"/>
      <c r="AC2462" s="12"/>
      <c r="AD2462" s="12"/>
      <c r="AE2462" s="12"/>
      <c r="AF2462" s="12"/>
      <c r="AG2462" s="12">
        <v>18638057</v>
      </c>
      <c r="AH2462" s="12">
        <v>18898206</v>
      </c>
      <c r="AI2462" s="12">
        <v>21022138</v>
      </c>
      <c r="AJ2462" s="12">
        <v>21554921</v>
      </c>
      <c r="AK2462" s="12">
        <v>22233785</v>
      </c>
      <c r="AL2462" s="12">
        <v>22952007</v>
      </c>
      <c r="AM2462" s="1070">
        <v>23551272</v>
      </c>
      <c r="AN2462" s="1070">
        <v>24581128</v>
      </c>
      <c r="AO2462" s="1070">
        <v>26115573</v>
      </c>
      <c r="AP2462" s="1044"/>
    </row>
    <row r="2463" spans="2:42" hidden="1" outlineLevel="1">
      <c r="B2463" s="565">
        <v>10060</v>
      </c>
      <c r="C2463" s="9" t="s">
        <v>759</v>
      </c>
      <c r="D2463" s="9"/>
      <c r="E2463" s="20" t="s">
        <v>145</v>
      </c>
      <c r="F2463" s="20"/>
      <c r="G2463" s="20"/>
      <c r="H2463" s="20"/>
      <c r="I2463" s="20"/>
      <c r="J2463" s="20"/>
      <c r="K2463" s="20"/>
      <c r="L2463" s="20"/>
      <c r="M2463" s="20"/>
      <c r="N2463" s="20"/>
      <c r="O2463" s="20"/>
      <c r="P2463" s="20"/>
      <c r="Q2463" s="20"/>
      <c r="R2463" s="20"/>
      <c r="S2463" s="20"/>
      <c r="T2463" s="20"/>
      <c r="U2463" s="20"/>
      <c r="V2463" s="20"/>
      <c r="W2463" s="20"/>
      <c r="X2463" s="20"/>
      <c r="Y2463" s="20"/>
      <c r="Z2463" s="20"/>
      <c r="AA2463" s="20"/>
      <c r="AB2463" s="12"/>
      <c r="AC2463" s="12"/>
      <c r="AD2463" s="12"/>
      <c r="AE2463" s="12"/>
      <c r="AF2463" s="12"/>
      <c r="AG2463" s="12">
        <v>2038823</v>
      </c>
      <c r="AH2463" s="12">
        <v>2167943</v>
      </c>
      <c r="AI2463" s="12">
        <v>2167336</v>
      </c>
      <c r="AJ2463" s="12">
        <v>2661134</v>
      </c>
      <c r="AK2463" s="12">
        <v>2648716</v>
      </c>
      <c r="AL2463" s="12">
        <v>2718006</v>
      </c>
      <c r="AM2463" s="1070">
        <v>2735221</v>
      </c>
      <c r="AN2463" s="1070">
        <v>2710670</v>
      </c>
      <c r="AO2463" s="1070">
        <v>2721282</v>
      </c>
      <c r="AP2463" s="1044"/>
    </row>
    <row r="2464" spans="2:42" hidden="1" outlineLevel="1">
      <c r="B2464" s="565">
        <v>3662</v>
      </c>
      <c r="C2464" s="9" t="s">
        <v>759</v>
      </c>
      <c r="D2464" s="9"/>
      <c r="E2464" s="20" t="s">
        <v>146</v>
      </c>
      <c r="F2464" s="20"/>
      <c r="G2464" s="20"/>
      <c r="H2464" s="20"/>
      <c r="I2464" s="20"/>
      <c r="J2464" s="20"/>
      <c r="K2464" s="20"/>
      <c r="L2464" s="20"/>
      <c r="M2464" s="20"/>
      <c r="N2464" s="20"/>
      <c r="O2464" s="20"/>
      <c r="P2464" s="20"/>
      <c r="Q2464" s="20"/>
      <c r="R2464" s="20"/>
      <c r="S2464" s="20"/>
      <c r="T2464" s="20"/>
      <c r="U2464" s="20"/>
      <c r="V2464" s="20"/>
      <c r="W2464" s="20"/>
      <c r="X2464" s="20"/>
      <c r="Y2464" s="20"/>
      <c r="Z2464" s="20"/>
      <c r="AA2464" s="20"/>
      <c r="AB2464" s="12"/>
      <c r="AC2464" s="12"/>
      <c r="AD2464" s="12"/>
      <c r="AE2464" s="12"/>
      <c r="AF2464" s="12"/>
      <c r="AG2464" s="12">
        <v>7780879</v>
      </c>
      <c r="AH2464" s="12">
        <v>8375917</v>
      </c>
      <c r="AI2464" s="12">
        <v>9115455</v>
      </c>
      <c r="AJ2464" s="12">
        <v>8131921</v>
      </c>
      <c r="AK2464" s="12">
        <v>9143748</v>
      </c>
      <c r="AL2464" s="12">
        <v>9864352</v>
      </c>
      <c r="AM2464" s="1070">
        <v>10470761</v>
      </c>
      <c r="AN2464" s="1070">
        <v>11180687</v>
      </c>
      <c r="AO2464" s="1070">
        <v>11588962</v>
      </c>
      <c r="AP2464" s="1044"/>
    </row>
    <row r="2465" spans="2:44" hidden="1" outlineLevel="1">
      <c r="B2465" s="565">
        <v>3664</v>
      </c>
      <c r="C2465" s="9" t="s">
        <v>759</v>
      </c>
      <c r="D2465" s="9"/>
      <c r="E2465" s="20" t="s">
        <v>147</v>
      </c>
      <c r="F2465" s="20"/>
      <c r="G2465" s="20"/>
      <c r="H2465" s="20"/>
      <c r="I2465" s="20"/>
      <c r="J2465" s="20"/>
      <c r="K2465" s="20"/>
      <c r="L2465" s="20"/>
      <c r="M2465" s="20"/>
      <c r="N2465" s="20"/>
      <c r="O2465" s="20"/>
      <c r="P2465" s="20"/>
      <c r="Q2465" s="20"/>
      <c r="R2465" s="20"/>
      <c r="S2465" s="20"/>
      <c r="T2465" s="20"/>
      <c r="U2465" s="20"/>
      <c r="V2465" s="20"/>
      <c r="W2465" s="20"/>
      <c r="X2465" s="20"/>
      <c r="Y2465" s="20"/>
      <c r="Z2465" s="20"/>
      <c r="AA2465" s="20"/>
      <c r="AB2465" s="12"/>
      <c r="AC2465" s="12"/>
      <c r="AD2465" s="12"/>
      <c r="AE2465" s="12"/>
      <c r="AF2465" s="12"/>
      <c r="AG2465" s="12">
        <v>10070929</v>
      </c>
      <c r="AH2465" s="12">
        <v>10271040</v>
      </c>
      <c r="AI2465" s="12">
        <v>9875105</v>
      </c>
      <c r="AJ2465" s="12">
        <v>10083289</v>
      </c>
      <c r="AK2465" s="12">
        <v>10539909</v>
      </c>
      <c r="AL2465" s="12">
        <v>11381683</v>
      </c>
      <c r="AM2465" s="1070">
        <v>11853117</v>
      </c>
      <c r="AN2465" s="1070">
        <v>13258104</v>
      </c>
      <c r="AO2465" s="1070">
        <v>14032739</v>
      </c>
      <c r="AP2465" s="1044"/>
    </row>
    <row r="2466" spans="2:44" hidden="1" outlineLevel="1">
      <c r="B2466" s="565">
        <v>9549</v>
      </c>
      <c r="C2466" s="9" t="s">
        <v>759</v>
      </c>
      <c r="D2466" s="9"/>
      <c r="E2466" s="20" t="s">
        <v>148</v>
      </c>
      <c r="F2466" s="20"/>
      <c r="G2466" s="20"/>
      <c r="H2466" s="20"/>
      <c r="I2466" s="20"/>
      <c r="J2466" s="20"/>
      <c r="K2466" s="20"/>
      <c r="L2466" s="20"/>
      <c r="M2466" s="20"/>
      <c r="N2466" s="20"/>
      <c r="O2466" s="20"/>
      <c r="P2466" s="20"/>
      <c r="Q2466" s="20"/>
      <c r="R2466" s="20"/>
      <c r="S2466" s="20"/>
      <c r="T2466" s="20"/>
      <c r="U2466" s="20"/>
      <c r="V2466" s="20"/>
      <c r="W2466" s="20"/>
      <c r="X2466" s="20"/>
      <c r="Y2466" s="20"/>
      <c r="Z2466" s="20"/>
      <c r="AA2466" s="20"/>
      <c r="AB2466" s="12"/>
      <c r="AC2466" s="12"/>
      <c r="AD2466" s="12"/>
      <c r="AE2466" s="12"/>
      <c r="AF2466" s="12"/>
      <c r="AG2466" s="12">
        <v>4066974</v>
      </c>
      <c r="AH2466" s="12">
        <v>5686282</v>
      </c>
      <c r="AI2466" s="12">
        <v>6194971</v>
      </c>
      <c r="AJ2466" s="12">
        <v>8452066</v>
      </c>
      <c r="AK2466" s="12">
        <v>8973730</v>
      </c>
      <c r="AL2466" s="12">
        <v>9602774</v>
      </c>
      <c r="AM2466" s="1070">
        <v>7964268</v>
      </c>
      <c r="AN2466" s="1070">
        <v>7884219</v>
      </c>
      <c r="AO2466" s="1070">
        <v>7950266</v>
      </c>
      <c r="AP2466" s="1044"/>
    </row>
    <row r="2467" spans="2:44" hidden="1" outlineLevel="1">
      <c r="B2467" s="565">
        <v>3668</v>
      </c>
      <c r="C2467" s="9" t="s">
        <v>759</v>
      </c>
      <c r="D2467" s="9"/>
      <c r="E2467" s="20" t="s">
        <v>149</v>
      </c>
      <c r="F2467" s="20"/>
      <c r="G2467" s="20"/>
      <c r="H2467" s="20"/>
      <c r="I2467" s="20"/>
      <c r="J2467" s="20"/>
      <c r="K2467" s="20"/>
      <c r="L2467" s="20"/>
      <c r="M2467" s="20"/>
      <c r="N2467" s="20"/>
      <c r="O2467" s="20"/>
      <c r="P2467" s="20"/>
      <c r="Q2467" s="20"/>
      <c r="R2467" s="20"/>
      <c r="S2467" s="20"/>
      <c r="T2467" s="20"/>
      <c r="U2467" s="20"/>
      <c r="V2467" s="20"/>
      <c r="W2467" s="20"/>
      <c r="X2467" s="20"/>
      <c r="Y2467" s="20"/>
      <c r="Z2467" s="20"/>
      <c r="AA2467" s="20"/>
      <c r="AB2467" s="12"/>
      <c r="AC2467" s="12"/>
      <c r="AD2467" s="12"/>
      <c r="AE2467" s="12"/>
      <c r="AF2467" s="12"/>
      <c r="AG2467" s="12">
        <v>5171594</v>
      </c>
      <c r="AH2467" s="12">
        <v>5169609</v>
      </c>
      <c r="AI2467" s="12">
        <v>5227590</v>
      </c>
      <c r="AJ2467" s="12">
        <v>5364132</v>
      </c>
      <c r="AK2467" s="12">
        <v>5634423</v>
      </c>
      <c r="AL2467" s="12">
        <v>5354611</v>
      </c>
      <c r="AM2467" s="1070">
        <v>5920590</v>
      </c>
      <c r="AN2467" s="1070">
        <v>6420784</v>
      </c>
      <c r="AO2467" s="1070">
        <v>7267859</v>
      </c>
      <c r="AP2467" s="1044"/>
      <c r="AR2467" s="218"/>
    </row>
    <row r="2468" spans="2:44" s="218" customFormat="1" hidden="1" outlineLevel="1">
      <c r="B2468" s="565"/>
      <c r="C2468" s="9" t="s">
        <v>759</v>
      </c>
      <c r="D2468" s="9"/>
      <c r="E2468" s="27" t="s">
        <v>150</v>
      </c>
      <c r="F2468" s="20"/>
      <c r="G2468" s="20"/>
      <c r="H2468" s="20"/>
      <c r="I2468" s="20"/>
      <c r="J2468" s="20"/>
      <c r="K2468" s="20"/>
      <c r="L2468" s="20"/>
      <c r="M2468" s="20"/>
      <c r="N2468" s="20"/>
      <c r="O2468" s="20"/>
      <c r="P2468" s="20"/>
      <c r="Q2468" s="20"/>
      <c r="R2468" s="20"/>
      <c r="S2468" s="20"/>
      <c r="T2468" s="20"/>
      <c r="U2468" s="20"/>
      <c r="V2468" s="20"/>
      <c r="W2468" s="20"/>
      <c r="X2468" s="20"/>
      <c r="Y2468" s="20"/>
      <c r="Z2468" s="20"/>
      <c r="AA2468" s="20"/>
      <c r="AB2468" s="12"/>
      <c r="AC2468" s="34"/>
      <c r="AD2468" s="12"/>
      <c r="AE2468" s="34"/>
      <c r="AF2468" s="12"/>
      <c r="AG2468" s="34">
        <f t="shared" ref="AG2468:AM2468" si="476">SUM(AG2418:AG2467)</f>
        <v>1409053554</v>
      </c>
      <c r="AH2468" s="34">
        <f t="shared" si="476"/>
        <v>1476132693</v>
      </c>
      <c r="AI2468" s="34">
        <f t="shared" si="476"/>
        <v>1553672570</v>
      </c>
      <c r="AJ2468" s="34">
        <f t="shared" si="476"/>
        <v>1432408741</v>
      </c>
      <c r="AK2468" s="34">
        <f t="shared" si="476"/>
        <v>1534455775</v>
      </c>
      <c r="AL2468" s="34">
        <f t="shared" si="476"/>
        <v>1636357353</v>
      </c>
      <c r="AM2468" s="1073">
        <f t="shared" si="476"/>
        <v>1749012670</v>
      </c>
      <c r="AN2468" s="1073">
        <f t="shared" ref="AN2468:AO2468" si="477">SUM(AN2418:AN2467)</f>
        <v>1848393336</v>
      </c>
      <c r="AO2468" s="1073">
        <f t="shared" si="477"/>
        <v>1973148606</v>
      </c>
      <c r="AR2468"/>
    </row>
    <row r="2469" spans="2:44" collapsed="1">
      <c r="C2469" s="25" t="s">
        <v>1578</v>
      </c>
      <c r="D2469" s="25"/>
      <c r="E2469" s="6"/>
      <c r="F2469" s="6"/>
      <c r="G2469" s="6"/>
      <c r="H2469" s="6"/>
      <c r="I2469" s="6"/>
      <c r="J2469" s="6"/>
      <c r="K2469" s="6"/>
      <c r="L2469" s="6"/>
      <c r="M2469" s="6"/>
      <c r="N2469" s="6"/>
      <c r="O2469" s="6"/>
      <c r="P2469" s="6"/>
      <c r="Q2469" s="6"/>
      <c r="R2469" s="6"/>
      <c r="S2469" s="6"/>
      <c r="T2469" s="6"/>
      <c r="U2469" s="6"/>
      <c r="V2469" s="6"/>
      <c r="W2469" s="6"/>
      <c r="X2469" s="6"/>
      <c r="Y2469" s="6"/>
      <c r="Z2469" s="6"/>
      <c r="AA2469" s="6"/>
      <c r="AB2469" s="7"/>
      <c r="AC2469" s="7"/>
      <c r="AD2469" s="7"/>
      <c r="AE2469" s="7"/>
      <c r="AF2469" s="7"/>
      <c r="AG2469" s="7"/>
      <c r="AH2469" s="7"/>
      <c r="AI2469" s="61"/>
      <c r="AJ2469" s="369" t="s">
        <v>1645</v>
      </c>
      <c r="AK2469" s="369" t="s">
        <v>1645</v>
      </c>
      <c r="AL2469" s="369" t="s">
        <v>1645</v>
      </c>
      <c r="AM2469" s="369" t="s">
        <v>1645</v>
      </c>
      <c r="AN2469" s="369" t="s">
        <v>1645</v>
      </c>
      <c r="AO2469" s="696" t="s">
        <v>1645</v>
      </c>
      <c r="AP2469" s="1044"/>
    </row>
    <row r="2470" spans="2:44" hidden="1" outlineLevel="1">
      <c r="B2470" s="565">
        <v>3607</v>
      </c>
      <c r="C2470" s="9" t="s">
        <v>760</v>
      </c>
      <c r="D2470" s="9"/>
      <c r="E2470" s="20" t="s">
        <v>101</v>
      </c>
      <c r="F2470" s="20"/>
      <c r="G2470" s="20"/>
      <c r="H2470" s="20"/>
      <c r="I2470" s="20"/>
      <c r="J2470" s="20"/>
      <c r="K2470" s="20"/>
      <c r="L2470" s="20"/>
      <c r="M2470" s="20"/>
      <c r="N2470" s="20"/>
      <c r="O2470" s="20"/>
      <c r="P2470" s="20"/>
      <c r="Q2470" s="20"/>
      <c r="R2470" s="20"/>
      <c r="S2470" s="20"/>
      <c r="T2470" s="20"/>
      <c r="U2470" s="20"/>
      <c r="V2470" s="20"/>
      <c r="W2470" s="20"/>
      <c r="X2470" s="20"/>
      <c r="Y2470" s="12">
        <v>31581289</v>
      </c>
      <c r="Z2470" s="12">
        <v>37482976</v>
      </c>
      <c r="AA2470" s="12">
        <v>43234582</v>
      </c>
      <c r="AB2470" s="12">
        <v>45343961</v>
      </c>
      <c r="AC2470" s="12">
        <v>49198458</v>
      </c>
      <c r="AD2470" s="12">
        <v>52796547</v>
      </c>
      <c r="AE2470" s="12">
        <v>51114954</v>
      </c>
      <c r="AF2470" s="12">
        <v>58892041</v>
      </c>
      <c r="AG2470" s="12">
        <v>48916644</v>
      </c>
      <c r="AH2470" s="12">
        <v>59696566</v>
      </c>
      <c r="AI2470" s="12">
        <v>64091209</v>
      </c>
      <c r="AJ2470" s="12">
        <v>58801056</v>
      </c>
      <c r="AK2470" s="12">
        <v>58189683</v>
      </c>
      <c r="AL2470" s="12">
        <v>57455959</v>
      </c>
      <c r="AM2470" s="12">
        <v>54367170</v>
      </c>
      <c r="AN2470" s="1070">
        <v>54867775</v>
      </c>
      <c r="AO2470" s="1070">
        <v>56682644</v>
      </c>
      <c r="AP2470" s="1044"/>
    </row>
    <row r="2471" spans="2:44" hidden="1" outlineLevel="1">
      <c r="B2471" s="565">
        <v>3539</v>
      </c>
      <c r="C2471" s="9" t="s">
        <v>760</v>
      </c>
      <c r="D2471" s="9"/>
      <c r="E2471" s="20" t="s">
        <v>102</v>
      </c>
      <c r="F2471" s="20"/>
      <c r="G2471" s="20"/>
      <c r="H2471" s="20"/>
      <c r="I2471" s="20"/>
      <c r="J2471" s="20"/>
      <c r="K2471" s="20"/>
      <c r="L2471" s="20"/>
      <c r="M2471" s="20"/>
      <c r="N2471" s="20"/>
      <c r="O2471" s="20"/>
      <c r="P2471" s="20"/>
      <c r="Q2471" s="20"/>
      <c r="R2471" s="20"/>
      <c r="S2471" s="20"/>
      <c r="T2471" s="20"/>
      <c r="U2471" s="20"/>
      <c r="V2471" s="20"/>
      <c r="W2471" s="20"/>
      <c r="X2471" s="20"/>
      <c r="Y2471" s="12">
        <v>4047722</v>
      </c>
      <c r="Z2471" s="12">
        <v>4997586</v>
      </c>
      <c r="AA2471" s="12">
        <v>4477358</v>
      </c>
      <c r="AB2471" s="12">
        <v>4997155</v>
      </c>
      <c r="AC2471" s="12">
        <v>5062369</v>
      </c>
      <c r="AD2471" s="12">
        <v>5826406</v>
      </c>
      <c r="AE2471" s="12">
        <v>6892971</v>
      </c>
      <c r="AF2471" s="12">
        <v>7872150</v>
      </c>
      <c r="AG2471" s="12">
        <v>8540491</v>
      </c>
      <c r="AH2471" s="12">
        <v>9482131</v>
      </c>
      <c r="AI2471" s="12">
        <v>9095957</v>
      </c>
      <c r="AJ2471" s="12">
        <v>10252689</v>
      </c>
      <c r="AK2471" s="12">
        <v>10107379</v>
      </c>
      <c r="AL2471" s="12">
        <v>9966110</v>
      </c>
      <c r="AM2471" s="12">
        <v>10952376</v>
      </c>
      <c r="AN2471" s="1070">
        <v>9377018</v>
      </c>
      <c r="AO2471" s="1070">
        <v>8857943</v>
      </c>
      <c r="AP2471" s="1044"/>
    </row>
    <row r="2472" spans="2:44" hidden="1" outlineLevel="1">
      <c r="B2472" s="565">
        <v>3540</v>
      </c>
      <c r="C2472" s="9" t="s">
        <v>760</v>
      </c>
      <c r="D2472" s="9"/>
      <c r="E2472" s="20" t="s">
        <v>103</v>
      </c>
      <c r="F2472" s="20"/>
      <c r="G2472" s="20"/>
      <c r="H2472" s="20"/>
      <c r="I2472" s="20"/>
      <c r="J2472" s="20"/>
      <c r="K2472" s="20"/>
      <c r="L2472" s="20"/>
      <c r="M2472" s="20"/>
      <c r="N2472" s="20"/>
      <c r="O2472" s="20"/>
      <c r="P2472" s="20"/>
      <c r="Q2472" s="20"/>
      <c r="R2472" s="20"/>
      <c r="S2472" s="20"/>
      <c r="T2472" s="20"/>
      <c r="U2472" s="20"/>
      <c r="V2472" s="20"/>
      <c r="W2472" s="20"/>
      <c r="X2472" s="20"/>
      <c r="Y2472" s="12">
        <v>5959627</v>
      </c>
      <c r="Z2472" s="12">
        <v>7779792</v>
      </c>
      <c r="AA2472" s="12">
        <v>8714839</v>
      </c>
      <c r="AB2472" s="12">
        <v>9384781</v>
      </c>
      <c r="AC2472" s="12">
        <v>9899224</v>
      </c>
      <c r="AD2472" s="12">
        <v>10578609</v>
      </c>
      <c r="AE2472" s="12">
        <v>11741493</v>
      </c>
      <c r="AF2472" s="12">
        <v>12778174</v>
      </c>
      <c r="AG2472" s="12">
        <v>13168808</v>
      </c>
      <c r="AH2472" s="12">
        <v>15109006</v>
      </c>
      <c r="AI2472" s="12">
        <v>15381607</v>
      </c>
      <c r="AJ2472" s="12">
        <v>14943828</v>
      </c>
      <c r="AK2472" s="12">
        <v>14348816</v>
      </c>
      <c r="AL2472" s="12">
        <v>15371596</v>
      </c>
      <c r="AM2472" s="12">
        <v>14318157</v>
      </c>
      <c r="AN2472" s="1070">
        <v>14416526</v>
      </c>
      <c r="AO2472" s="1070">
        <v>14506839</v>
      </c>
      <c r="AP2472" s="1044"/>
    </row>
    <row r="2473" spans="2:44" hidden="1" outlineLevel="1">
      <c r="B2473" s="565">
        <v>6661</v>
      </c>
      <c r="C2473" s="9" t="s">
        <v>760</v>
      </c>
      <c r="D2473" s="9"/>
      <c r="E2473" s="20" t="s">
        <v>104</v>
      </c>
      <c r="F2473" s="20"/>
      <c r="G2473" s="20"/>
      <c r="H2473" s="20"/>
      <c r="I2473" s="20"/>
      <c r="J2473" s="20"/>
      <c r="K2473" s="20"/>
      <c r="L2473" s="20"/>
      <c r="M2473" s="20"/>
      <c r="N2473" s="20"/>
      <c r="O2473" s="20"/>
      <c r="P2473" s="20"/>
      <c r="Q2473" s="20"/>
      <c r="R2473" s="20"/>
      <c r="S2473" s="20"/>
      <c r="T2473" s="20"/>
      <c r="U2473" s="20"/>
      <c r="V2473" s="20"/>
      <c r="W2473" s="20"/>
      <c r="X2473" s="20"/>
      <c r="Y2473" s="12">
        <v>2540121</v>
      </c>
      <c r="Z2473" s="12">
        <v>2844744</v>
      </c>
      <c r="AA2473" s="12">
        <v>3257808</v>
      </c>
      <c r="AB2473" s="12">
        <v>4335141</v>
      </c>
      <c r="AC2473" s="12">
        <v>4651422</v>
      </c>
      <c r="AD2473" s="12">
        <v>3872967</v>
      </c>
      <c r="AE2473" s="12">
        <v>4232590</v>
      </c>
      <c r="AF2473" s="12">
        <v>3994219</v>
      </c>
      <c r="AG2473" s="12">
        <v>4343311</v>
      </c>
      <c r="AH2473" s="12">
        <v>4533203</v>
      </c>
      <c r="AI2473" s="12">
        <v>4590713</v>
      </c>
      <c r="AJ2473" s="12">
        <v>5156839</v>
      </c>
      <c r="AK2473" s="12">
        <v>4993701</v>
      </c>
      <c r="AL2473" s="12">
        <v>5947776</v>
      </c>
      <c r="AM2473" s="12">
        <v>6157350</v>
      </c>
      <c r="AN2473" s="1070">
        <v>6182814</v>
      </c>
      <c r="AO2473" s="1070">
        <v>6271023</v>
      </c>
      <c r="AP2473" s="1044"/>
    </row>
    <row r="2474" spans="2:44" hidden="1" outlineLevel="1">
      <c r="B2474" s="565">
        <v>12015</v>
      </c>
      <c r="C2474" s="9" t="s">
        <v>760</v>
      </c>
      <c r="D2474" s="9"/>
      <c r="E2474" s="20" t="s">
        <v>105</v>
      </c>
      <c r="F2474" s="20"/>
      <c r="G2474" s="20"/>
      <c r="H2474" s="20"/>
      <c r="I2474" s="20"/>
      <c r="J2474" s="20"/>
      <c r="K2474" s="20"/>
      <c r="L2474" s="20"/>
      <c r="M2474" s="20"/>
      <c r="N2474" s="20"/>
      <c r="O2474" s="20"/>
      <c r="P2474" s="20"/>
      <c r="Q2474" s="20"/>
      <c r="R2474" s="20"/>
      <c r="S2474" s="20"/>
      <c r="T2474" s="20"/>
      <c r="U2474" s="20"/>
      <c r="V2474" s="20"/>
      <c r="W2474" s="20"/>
      <c r="X2474" s="20"/>
      <c r="Y2474" s="12">
        <v>32770446</v>
      </c>
      <c r="Z2474" s="12">
        <v>35902537</v>
      </c>
      <c r="AA2474" s="12">
        <v>38038633</v>
      </c>
      <c r="AB2474" s="12">
        <v>40232102</v>
      </c>
      <c r="AC2474" s="12">
        <v>45748936</v>
      </c>
      <c r="AD2474" s="12">
        <v>45751313</v>
      </c>
      <c r="AE2474" s="12">
        <v>47763327</v>
      </c>
      <c r="AF2474" s="12">
        <v>50540086</v>
      </c>
      <c r="AG2474" s="12">
        <v>52739591</v>
      </c>
      <c r="AH2474" s="12">
        <v>59016812</v>
      </c>
      <c r="AI2474" s="12">
        <v>59622584</v>
      </c>
      <c r="AJ2474" s="12">
        <v>58817581</v>
      </c>
      <c r="AK2474" s="12">
        <v>64209335</v>
      </c>
      <c r="AL2474" s="12">
        <v>64354364</v>
      </c>
      <c r="AM2474" s="12">
        <v>69290590</v>
      </c>
      <c r="AN2474" s="1070">
        <v>64225197</v>
      </c>
      <c r="AO2474" s="1070">
        <v>66946013</v>
      </c>
      <c r="AP2474" s="1044"/>
    </row>
    <row r="2475" spans="2:44" hidden="1" outlineLevel="1">
      <c r="B2475" s="565">
        <v>3549</v>
      </c>
      <c r="C2475" s="9" t="s">
        <v>760</v>
      </c>
      <c r="D2475" s="9"/>
      <c r="E2475" s="20" t="s">
        <v>106</v>
      </c>
      <c r="F2475" s="20"/>
      <c r="G2475" s="20"/>
      <c r="H2475" s="20"/>
      <c r="I2475" s="20"/>
      <c r="J2475" s="20"/>
      <c r="K2475" s="20"/>
      <c r="L2475" s="20"/>
      <c r="M2475" s="20"/>
      <c r="N2475" s="20"/>
      <c r="O2475" s="20"/>
      <c r="P2475" s="20"/>
      <c r="Q2475" s="20"/>
      <c r="R2475" s="20"/>
      <c r="S2475" s="20"/>
      <c r="T2475" s="20"/>
      <c r="U2475" s="20"/>
      <c r="V2475" s="20"/>
      <c r="W2475" s="20"/>
      <c r="X2475" s="20"/>
      <c r="Y2475" s="12">
        <v>17424538</v>
      </c>
      <c r="Z2475" s="12">
        <v>19991640</v>
      </c>
      <c r="AA2475" s="12">
        <v>21564591</v>
      </c>
      <c r="AB2475" s="12">
        <v>24226886</v>
      </c>
      <c r="AC2475" s="12">
        <v>26440167</v>
      </c>
      <c r="AD2475" s="12">
        <v>29520858</v>
      </c>
      <c r="AE2475" s="12">
        <v>31330490</v>
      </c>
      <c r="AF2475" s="12">
        <v>32226000</v>
      </c>
      <c r="AG2475" s="12">
        <v>32107736</v>
      </c>
      <c r="AH2475" s="12">
        <v>39353794</v>
      </c>
      <c r="AI2475" s="12">
        <v>42247252</v>
      </c>
      <c r="AJ2475" s="12">
        <v>45156170</v>
      </c>
      <c r="AK2475" s="12">
        <v>48806629</v>
      </c>
      <c r="AL2475" s="12">
        <v>55048041</v>
      </c>
      <c r="AM2475" s="12">
        <v>55653177</v>
      </c>
      <c r="AN2475" s="1070">
        <v>56999952</v>
      </c>
      <c r="AO2475" s="1070">
        <v>60568848</v>
      </c>
      <c r="AP2475" s="1044"/>
    </row>
    <row r="2476" spans="2:44" hidden="1" outlineLevel="1">
      <c r="B2476" s="565">
        <v>7857</v>
      </c>
      <c r="C2476" s="9" t="s">
        <v>760</v>
      </c>
      <c r="D2476" s="9"/>
      <c r="E2476" s="20" t="s">
        <v>107</v>
      </c>
      <c r="F2476" s="20"/>
      <c r="G2476" s="20"/>
      <c r="H2476" s="20"/>
      <c r="I2476" s="20"/>
      <c r="J2476" s="20"/>
      <c r="K2476" s="20"/>
      <c r="L2476" s="20"/>
      <c r="M2476" s="20"/>
      <c r="N2476" s="20"/>
      <c r="O2476" s="20"/>
      <c r="P2476" s="20"/>
      <c r="Q2476" s="20"/>
      <c r="R2476" s="20"/>
      <c r="S2476" s="20"/>
      <c r="T2476" s="20"/>
      <c r="U2476" s="20"/>
      <c r="V2476" s="20"/>
      <c r="W2476" s="20"/>
      <c r="X2476" s="20"/>
      <c r="Y2476" s="12">
        <v>4411759</v>
      </c>
      <c r="Z2476" s="12">
        <v>5514924</v>
      </c>
      <c r="AA2476" s="12">
        <v>5247364</v>
      </c>
      <c r="AB2476" s="12">
        <v>6038983</v>
      </c>
      <c r="AC2476" s="12">
        <v>6038938</v>
      </c>
      <c r="AD2476" s="12">
        <v>6075383</v>
      </c>
      <c r="AE2476" s="12">
        <v>5684861</v>
      </c>
      <c r="AF2476" s="12">
        <v>5139925</v>
      </c>
      <c r="AG2476" s="12">
        <v>7303581</v>
      </c>
      <c r="AH2476" s="12">
        <v>8186178</v>
      </c>
      <c r="AI2476" s="12">
        <v>8763635</v>
      </c>
      <c r="AJ2476" s="12">
        <v>9678512</v>
      </c>
      <c r="AK2476" s="12">
        <v>9576104</v>
      </c>
      <c r="AL2476" s="12">
        <v>9490012</v>
      </c>
      <c r="AM2476" s="12">
        <v>8543843</v>
      </c>
      <c r="AN2476" s="1070">
        <v>9425033</v>
      </c>
      <c r="AO2476" s="1070">
        <v>9099168</v>
      </c>
      <c r="AP2476" s="1044"/>
    </row>
    <row r="2477" spans="2:44" hidden="1" outlineLevel="1">
      <c r="B2477" s="565">
        <v>4003</v>
      </c>
      <c r="C2477" s="9" t="s">
        <v>760</v>
      </c>
      <c r="D2477" s="9"/>
      <c r="E2477" s="20" t="s">
        <v>108</v>
      </c>
      <c r="F2477" s="20"/>
      <c r="G2477" s="20"/>
      <c r="H2477" s="20"/>
      <c r="I2477" s="20"/>
      <c r="J2477" s="20"/>
      <c r="K2477" s="20"/>
      <c r="L2477" s="20"/>
      <c r="M2477" s="20"/>
      <c r="N2477" s="20"/>
      <c r="O2477" s="20"/>
      <c r="P2477" s="20"/>
      <c r="Q2477" s="20"/>
      <c r="R2477" s="20"/>
      <c r="S2477" s="20"/>
      <c r="T2477" s="20"/>
      <c r="U2477" s="20"/>
      <c r="V2477" s="20"/>
      <c r="W2477" s="20"/>
      <c r="X2477" s="20"/>
      <c r="Y2477" s="12">
        <v>20778780</v>
      </c>
      <c r="Z2477" s="12">
        <v>26805791</v>
      </c>
      <c r="AA2477" s="12">
        <v>25665667</v>
      </c>
      <c r="AB2477" s="12">
        <v>28033437</v>
      </c>
      <c r="AC2477" s="12">
        <v>27788360</v>
      </c>
      <c r="AD2477" s="12">
        <v>34295900</v>
      </c>
      <c r="AE2477" s="12">
        <v>45352318</v>
      </c>
      <c r="AF2477" s="12">
        <v>50668812</v>
      </c>
      <c r="AG2477" s="12">
        <v>55219698</v>
      </c>
      <c r="AH2477" s="12">
        <v>55520591</v>
      </c>
      <c r="AI2477" s="12">
        <v>55626692</v>
      </c>
      <c r="AJ2477" s="12">
        <v>44626464</v>
      </c>
      <c r="AK2477" s="12">
        <v>44969780</v>
      </c>
      <c r="AL2477" s="12">
        <v>41698659</v>
      </c>
      <c r="AM2477" s="12">
        <v>39578299</v>
      </c>
      <c r="AN2477" s="1070">
        <v>37130010</v>
      </c>
      <c r="AO2477" s="1070">
        <v>39425313</v>
      </c>
      <c r="AP2477" s="1044"/>
    </row>
    <row r="2478" spans="2:44" hidden="1" outlineLevel="1">
      <c r="B2478" s="565">
        <v>3553</v>
      </c>
      <c r="C2478" s="9" t="s">
        <v>760</v>
      </c>
      <c r="D2478" s="9"/>
      <c r="E2478" s="20" t="s">
        <v>109</v>
      </c>
      <c r="F2478" s="20"/>
      <c r="G2478" s="20"/>
      <c r="H2478" s="20"/>
      <c r="I2478" s="20"/>
      <c r="J2478" s="20"/>
      <c r="K2478" s="20"/>
      <c r="L2478" s="20"/>
      <c r="M2478" s="20"/>
      <c r="N2478" s="20"/>
      <c r="O2478" s="20"/>
      <c r="P2478" s="20"/>
      <c r="Q2478" s="20"/>
      <c r="R2478" s="20"/>
      <c r="S2478" s="20"/>
      <c r="T2478" s="20"/>
      <c r="U2478" s="20"/>
      <c r="V2478" s="20"/>
      <c r="W2478" s="20"/>
      <c r="X2478" s="20"/>
      <c r="Y2478" s="12">
        <v>679578</v>
      </c>
      <c r="Z2478" s="12">
        <v>989471</v>
      </c>
      <c r="AA2478" s="12">
        <v>1317547</v>
      </c>
      <c r="AB2478" s="12">
        <v>2088348</v>
      </c>
      <c r="AC2478" s="12">
        <v>2457955</v>
      </c>
      <c r="AD2478" s="12">
        <v>2163023</v>
      </c>
      <c r="AE2478" s="12">
        <v>1636729</v>
      </c>
      <c r="AF2478" s="12">
        <v>522925</v>
      </c>
      <c r="AG2478" s="12">
        <v>211674</v>
      </c>
      <c r="AH2478" s="12">
        <v>733390</v>
      </c>
      <c r="AI2478" s="12">
        <v>1674009</v>
      </c>
      <c r="AJ2478" s="12">
        <v>1797793</v>
      </c>
      <c r="AK2478" s="12">
        <v>1957737</v>
      </c>
      <c r="AL2478" s="12">
        <v>2728138</v>
      </c>
      <c r="AM2478" s="12">
        <v>3151184</v>
      </c>
      <c r="AN2478" s="1070">
        <v>3004349</v>
      </c>
      <c r="AO2478" s="1070">
        <v>4929103</v>
      </c>
      <c r="AP2478" s="1044"/>
    </row>
    <row r="2479" spans="2:44" hidden="1" outlineLevel="1">
      <c r="B2479" s="565">
        <v>3554</v>
      </c>
      <c r="C2479" s="9" t="s">
        <v>760</v>
      </c>
      <c r="D2479" s="9"/>
      <c r="E2479" s="224" t="s">
        <v>110</v>
      </c>
      <c r="F2479" s="20"/>
      <c r="G2479" s="20"/>
      <c r="H2479" s="20"/>
      <c r="I2479" s="20"/>
      <c r="J2479" s="20"/>
      <c r="K2479" s="20"/>
      <c r="L2479" s="20"/>
      <c r="M2479" s="20"/>
      <c r="N2479" s="20"/>
      <c r="O2479" s="20"/>
      <c r="P2479" s="20"/>
      <c r="Q2479" s="20"/>
      <c r="R2479" s="20"/>
      <c r="S2479" s="20"/>
      <c r="T2479" s="20"/>
      <c r="U2479" s="20"/>
      <c r="V2479" s="20"/>
      <c r="W2479" s="20"/>
      <c r="X2479" s="20"/>
      <c r="Y2479" s="12">
        <v>382665</v>
      </c>
      <c r="Z2479" s="12">
        <v>663908</v>
      </c>
      <c r="AA2479" s="12">
        <v>811627</v>
      </c>
      <c r="AB2479" s="12">
        <v>1133113</v>
      </c>
      <c r="AC2479" s="12">
        <v>898316</v>
      </c>
      <c r="AD2479" s="12">
        <v>1132875</v>
      </c>
      <c r="AE2479" s="12">
        <v>1348908</v>
      </c>
      <c r="AF2479" s="12">
        <v>1116560</v>
      </c>
      <c r="AG2479" s="12">
        <v>1177043</v>
      </c>
      <c r="AH2479" s="12">
        <v>1170051</v>
      </c>
      <c r="AI2479" s="12">
        <v>1238401</v>
      </c>
      <c r="AJ2479" s="12">
        <v>1358712</v>
      </c>
      <c r="AK2479" s="12">
        <v>1240842</v>
      </c>
      <c r="AL2479" s="12">
        <v>1368620</v>
      </c>
      <c r="AM2479" s="12">
        <v>1763593</v>
      </c>
      <c r="AN2479" s="1070">
        <v>1572184</v>
      </c>
      <c r="AO2479" s="1070">
        <v>2342738</v>
      </c>
      <c r="AP2479" s="1044"/>
    </row>
    <row r="2480" spans="2:44" hidden="1" outlineLevel="1">
      <c r="B2480" s="565">
        <v>3546</v>
      </c>
      <c r="C2480" s="9" t="s">
        <v>760</v>
      </c>
      <c r="D2480" s="9"/>
      <c r="E2480" s="20" t="s">
        <v>111</v>
      </c>
      <c r="F2480" s="20"/>
      <c r="G2480" s="20"/>
      <c r="H2480" s="20"/>
      <c r="I2480" s="20"/>
      <c r="J2480" s="20"/>
      <c r="K2480" s="20"/>
      <c r="L2480" s="20"/>
      <c r="M2480" s="20"/>
      <c r="N2480" s="20"/>
      <c r="O2480" s="20"/>
      <c r="P2480" s="20"/>
      <c r="Q2480" s="20"/>
      <c r="R2480" s="20"/>
      <c r="S2480" s="20"/>
      <c r="T2480" s="20"/>
      <c r="U2480" s="20"/>
      <c r="V2480" s="20"/>
      <c r="W2480" s="20"/>
      <c r="X2480" s="20"/>
      <c r="Y2480" s="12">
        <v>2584507</v>
      </c>
      <c r="Z2480" s="12">
        <v>2943468</v>
      </c>
      <c r="AA2480" s="12">
        <v>3488456</v>
      </c>
      <c r="AB2480" s="12">
        <v>3213122</v>
      </c>
      <c r="AC2480" s="12">
        <v>3667012</v>
      </c>
      <c r="AD2480" s="12">
        <v>3806938</v>
      </c>
      <c r="AE2480" s="12">
        <v>3350467</v>
      </c>
      <c r="AF2480" s="12">
        <v>3579332</v>
      </c>
      <c r="AG2480" s="12">
        <v>4721915</v>
      </c>
      <c r="AH2480" s="12">
        <v>4737240</v>
      </c>
      <c r="AI2480" s="12">
        <v>3067124</v>
      </c>
      <c r="AJ2480" s="12">
        <v>4076778</v>
      </c>
      <c r="AK2480" s="12">
        <v>4732002</v>
      </c>
      <c r="AL2480" s="12">
        <v>5126769</v>
      </c>
      <c r="AM2480" s="12">
        <v>5306353</v>
      </c>
      <c r="AN2480" s="1070">
        <v>3960552</v>
      </c>
      <c r="AO2480" s="1070">
        <v>2765132</v>
      </c>
      <c r="AP2480" s="1044"/>
    </row>
    <row r="2481" spans="2:42" hidden="1" outlineLevel="1">
      <c r="B2481" s="565">
        <v>7096</v>
      </c>
      <c r="C2481" s="9" t="s">
        <v>760</v>
      </c>
      <c r="D2481" s="9"/>
      <c r="E2481" s="20" t="s">
        <v>112</v>
      </c>
      <c r="F2481" s="20"/>
      <c r="G2481" s="20"/>
      <c r="H2481" s="20"/>
      <c r="I2481" s="20"/>
      <c r="J2481" s="20"/>
      <c r="K2481" s="20"/>
      <c r="L2481" s="20"/>
      <c r="M2481" s="20"/>
      <c r="N2481" s="20"/>
      <c r="O2481" s="20"/>
      <c r="P2481" s="20"/>
      <c r="Q2481" s="20"/>
      <c r="R2481" s="20"/>
      <c r="S2481" s="20"/>
      <c r="T2481" s="20"/>
      <c r="U2481" s="20"/>
      <c r="V2481" s="20"/>
      <c r="W2481" s="20"/>
      <c r="X2481" s="20"/>
      <c r="Y2481" s="12">
        <v>2491858</v>
      </c>
      <c r="Z2481" s="12">
        <v>3595529</v>
      </c>
      <c r="AA2481" s="12">
        <v>4362334</v>
      </c>
      <c r="AB2481" s="12">
        <v>3801129</v>
      </c>
      <c r="AC2481" s="12">
        <v>3690496</v>
      </c>
      <c r="AD2481" s="12">
        <v>4317845</v>
      </c>
      <c r="AE2481" s="12">
        <v>3821717</v>
      </c>
      <c r="AF2481" s="12">
        <v>3813204</v>
      </c>
      <c r="AG2481" s="12">
        <v>3422249</v>
      </c>
      <c r="AH2481" s="12">
        <v>3701392</v>
      </c>
      <c r="AI2481" s="12">
        <v>3306016</v>
      </c>
      <c r="AJ2481" s="12">
        <v>4013377</v>
      </c>
      <c r="AK2481" s="12">
        <v>3996658</v>
      </c>
      <c r="AL2481" s="12">
        <v>4560455</v>
      </c>
      <c r="AM2481" s="12">
        <v>4686816</v>
      </c>
      <c r="AN2481" s="1070">
        <v>4495757</v>
      </c>
      <c r="AO2481" s="1070">
        <v>7223980</v>
      </c>
      <c r="AP2481" s="1044"/>
    </row>
    <row r="2482" spans="2:42" hidden="1" outlineLevel="1">
      <c r="B2482" s="565">
        <v>23614</v>
      </c>
      <c r="C2482" s="9" t="s">
        <v>760</v>
      </c>
      <c r="D2482" s="9"/>
      <c r="E2482" s="20" t="s">
        <v>113</v>
      </c>
      <c r="F2482" s="20"/>
      <c r="G2482" s="20"/>
      <c r="H2482" s="20"/>
      <c r="I2482" s="20"/>
      <c r="J2482" s="20"/>
      <c r="K2482" s="20"/>
      <c r="L2482" s="20"/>
      <c r="M2482" s="20"/>
      <c r="N2482" s="20"/>
      <c r="O2482" s="20"/>
      <c r="P2482" s="20"/>
      <c r="Q2482" s="20"/>
      <c r="R2482" s="20"/>
      <c r="S2482" s="20"/>
      <c r="T2482" s="20"/>
      <c r="U2482" s="20"/>
      <c r="V2482" s="20"/>
      <c r="W2482" s="20"/>
      <c r="X2482" s="20"/>
      <c r="Y2482" s="12">
        <v>13232742</v>
      </c>
      <c r="Z2482" s="12">
        <v>15168539</v>
      </c>
      <c r="AA2482" s="12">
        <v>16296743</v>
      </c>
      <c r="AB2482" s="12">
        <v>17035800</v>
      </c>
      <c r="AC2482" s="12">
        <v>18277273</v>
      </c>
      <c r="AD2482" s="12">
        <v>19489224</v>
      </c>
      <c r="AE2482" s="12">
        <v>22498442</v>
      </c>
      <c r="AF2482" s="12">
        <v>24934426</v>
      </c>
      <c r="AG2482" s="12">
        <v>24395778</v>
      </c>
      <c r="AH2482" s="12">
        <v>23740042</v>
      </c>
      <c r="AI2482" s="12">
        <v>26569192</v>
      </c>
      <c r="AJ2482" s="12">
        <v>27967481</v>
      </c>
      <c r="AK2482" s="12">
        <v>28426123</v>
      </c>
      <c r="AL2482" s="12">
        <v>30671124</v>
      </c>
      <c r="AM2482" s="12">
        <v>34777289</v>
      </c>
      <c r="AN2482" s="1070">
        <v>35922095</v>
      </c>
      <c r="AO2482" s="1070">
        <v>40182049</v>
      </c>
      <c r="AP2482" s="1044"/>
    </row>
    <row r="2483" spans="2:42" hidden="1" outlineLevel="1">
      <c r="B2483" s="565">
        <v>9331</v>
      </c>
      <c r="C2483" s="9" t="s">
        <v>760</v>
      </c>
      <c r="D2483" s="9"/>
      <c r="E2483" s="224" t="s">
        <v>1262</v>
      </c>
      <c r="F2483" s="20"/>
      <c r="G2483" s="20"/>
      <c r="H2483" s="20"/>
      <c r="I2483" s="20"/>
      <c r="J2483" s="20"/>
      <c r="K2483" s="20"/>
      <c r="L2483" s="20"/>
      <c r="M2483" s="20"/>
      <c r="N2483" s="20"/>
      <c r="O2483" s="20"/>
      <c r="P2483" s="20"/>
      <c r="Q2483" s="20"/>
      <c r="R2483" s="20"/>
      <c r="S2483" s="20"/>
      <c r="T2483" s="20"/>
      <c r="U2483" s="20"/>
      <c r="V2483" s="20"/>
      <c r="W2483" s="20"/>
      <c r="X2483" s="20"/>
      <c r="Y2483" s="12">
        <v>39771189</v>
      </c>
      <c r="Z2483" s="12">
        <v>42747402</v>
      </c>
      <c r="AA2483" s="12">
        <v>44141486</v>
      </c>
      <c r="AB2483" s="12">
        <v>46054568</v>
      </c>
      <c r="AC2483" s="12">
        <v>51734872</v>
      </c>
      <c r="AD2483" s="12">
        <v>53799943</v>
      </c>
      <c r="AE2483" s="12">
        <v>59917657</v>
      </c>
      <c r="AF2483" s="12">
        <v>60679753</v>
      </c>
      <c r="AG2483" s="12">
        <v>59135122</v>
      </c>
      <c r="AH2483" s="12">
        <v>56484293</v>
      </c>
      <c r="AI2483" s="12">
        <v>58335519</v>
      </c>
      <c r="AJ2483" s="12">
        <v>59950395</v>
      </c>
      <c r="AK2483" s="12">
        <v>64915350</v>
      </c>
      <c r="AL2483" s="12">
        <v>70968674</v>
      </c>
      <c r="AM2483" s="12">
        <v>75077821</v>
      </c>
      <c r="AN2483" s="1070">
        <v>76150038</v>
      </c>
      <c r="AO2483" s="1070">
        <v>71216814</v>
      </c>
      <c r="AP2483" s="1044"/>
    </row>
    <row r="2484" spans="2:42" hidden="1" outlineLevel="1">
      <c r="B2484" s="565">
        <v>3563</v>
      </c>
      <c r="C2484" s="9" t="s">
        <v>760</v>
      </c>
      <c r="D2484" s="9"/>
      <c r="E2484" s="20" t="s">
        <v>114</v>
      </c>
      <c r="F2484" s="20"/>
      <c r="G2484" s="20"/>
      <c r="H2484" s="20"/>
      <c r="I2484" s="20"/>
      <c r="J2484" s="20"/>
      <c r="K2484" s="20"/>
      <c r="L2484" s="20"/>
      <c r="M2484" s="20"/>
      <c r="N2484" s="20"/>
      <c r="O2484" s="20"/>
      <c r="P2484" s="20"/>
      <c r="Q2484" s="20"/>
      <c r="R2484" s="20"/>
      <c r="S2484" s="20"/>
      <c r="T2484" s="20"/>
      <c r="U2484" s="20"/>
      <c r="V2484" s="20"/>
      <c r="W2484" s="20"/>
      <c r="X2484" s="20"/>
      <c r="Y2484" s="12">
        <v>6819477</v>
      </c>
      <c r="Z2484" s="12">
        <v>9750773</v>
      </c>
      <c r="AA2484" s="12">
        <v>10395652</v>
      </c>
      <c r="AB2484" s="12">
        <v>12385249</v>
      </c>
      <c r="AC2484" s="12">
        <v>13905089</v>
      </c>
      <c r="AD2484" s="12">
        <v>14031565</v>
      </c>
      <c r="AE2484" s="12">
        <v>11980079</v>
      </c>
      <c r="AF2484" s="12">
        <v>9560810</v>
      </c>
      <c r="AG2484" s="12">
        <v>10112626</v>
      </c>
      <c r="AH2484" s="12">
        <v>14874912</v>
      </c>
      <c r="AI2484" s="12">
        <v>9681161</v>
      </c>
      <c r="AJ2484" s="12">
        <v>10683123</v>
      </c>
      <c r="AK2484" s="12">
        <v>10878328</v>
      </c>
      <c r="AL2484" s="12">
        <v>11975986</v>
      </c>
      <c r="AM2484" s="12">
        <v>12755431</v>
      </c>
      <c r="AN2484" s="1070">
        <v>12528094</v>
      </c>
      <c r="AO2484" s="1070">
        <v>12574086</v>
      </c>
      <c r="AP2484" s="1044"/>
    </row>
    <row r="2485" spans="2:42" hidden="1" outlineLevel="1">
      <c r="B2485" s="565">
        <v>10387</v>
      </c>
      <c r="C2485" s="9" t="s">
        <v>760</v>
      </c>
      <c r="D2485" s="9"/>
      <c r="E2485" s="20" t="s">
        <v>115</v>
      </c>
      <c r="F2485" s="20"/>
      <c r="G2485" s="20"/>
      <c r="H2485" s="20"/>
      <c r="I2485" s="20"/>
      <c r="J2485" s="20"/>
      <c r="K2485" s="20"/>
      <c r="L2485" s="20"/>
      <c r="M2485" s="20"/>
      <c r="N2485" s="20"/>
      <c r="O2485" s="20"/>
      <c r="P2485" s="20"/>
      <c r="Q2485" s="20"/>
      <c r="R2485" s="20"/>
      <c r="S2485" s="20"/>
      <c r="T2485" s="20"/>
      <c r="U2485" s="20"/>
      <c r="V2485" s="20"/>
      <c r="W2485" s="20"/>
      <c r="X2485" s="20"/>
      <c r="Y2485" s="12">
        <v>12964477</v>
      </c>
      <c r="Z2485" s="12">
        <v>13569330</v>
      </c>
      <c r="AA2485" s="12">
        <v>15146645</v>
      </c>
      <c r="AB2485" s="12">
        <v>15768572</v>
      </c>
      <c r="AC2485" s="12">
        <v>16837075</v>
      </c>
      <c r="AD2485" s="12">
        <v>14338875</v>
      </c>
      <c r="AE2485" s="12">
        <v>13822341</v>
      </c>
      <c r="AF2485" s="12">
        <v>15418488</v>
      </c>
      <c r="AG2485" s="12">
        <v>14503070</v>
      </c>
      <c r="AH2485" s="12">
        <v>20414460</v>
      </c>
      <c r="AI2485" s="12">
        <v>22181240</v>
      </c>
      <c r="AJ2485" s="12">
        <v>20354706</v>
      </c>
      <c r="AK2485" s="12">
        <v>19754484</v>
      </c>
      <c r="AL2485" s="12">
        <v>22587165</v>
      </c>
      <c r="AM2485" s="12">
        <v>25742814</v>
      </c>
      <c r="AN2485" s="1070">
        <v>23584940</v>
      </c>
      <c r="AO2485" s="1070">
        <v>25133302</v>
      </c>
      <c r="AP2485" s="1044"/>
    </row>
    <row r="2486" spans="2:42" hidden="1" outlineLevel="1">
      <c r="B2486" s="565">
        <v>3568</v>
      </c>
      <c r="C2486" s="9" t="s">
        <v>760</v>
      </c>
      <c r="D2486" s="9"/>
      <c r="E2486" s="20" t="s">
        <v>116</v>
      </c>
      <c r="F2486" s="20"/>
      <c r="G2486" s="20"/>
      <c r="H2486" s="20"/>
      <c r="I2486" s="20"/>
      <c r="J2486" s="20"/>
      <c r="K2486" s="20"/>
      <c r="L2486" s="20"/>
      <c r="M2486" s="20"/>
      <c r="N2486" s="20"/>
      <c r="O2486" s="20"/>
      <c r="P2486" s="20"/>
      <c r="Q2486" s="20"/>
      <c r="R2486" s="20"/>
      <c r="S2486" s="20"/>
      <c r="T2486" s="20"/>
      <c r="U2486" s="20"/>
      <c r="V2486" s="20"/>
      <c r="W2486" s="20"/>
      <c r="X2486" s="20"/>
      <c r="Y2486" s="12">
        <v>402871</v>
      </c>
      <c r="Z2486" s="12">
        <v>504861</v>
      </c>
      <c r="AA2486" s="12">
        <v>707547</v>
      </c>
      <c r="AB2486" s="12">
        <v>1307469</v>
      </c>
      <c r="AC2486" s="12">
        <v>1378217</v>
      </c>
      <c r="AD2486" s="12">
        <v>1284954</v>
      </c>
      <c r="AE2486" s="12">
        <v>1297890</v>
      </c>
      <c r="AF2486" s="12">
        <v>366868</v>
      </c>
      <c r="AG2486" s="12">
        <v>155904</v>
      </c>
      <c r="AH2486" s="12">
        <v>619626</v>
      </c>
      <c r="AI2486" s="12">
        <v>809488</v>
      </c>
      <c r="AJ2486" s="12">
        <v>1009840</v>
      </c>
      <c r="AK2486" s="12">
        <v>993795</v>
      </c>
      <c r="AL2486" s="12">
        <v>1543126</v>
      </c>
      <c r="AM2486" s="12">
        <v>1479653</v>
      </c>
      <c r="AN2486" s="1070">
        <v>1420417</v>
      </c>
      <c r="AO2486" s="1070">
        <v>1448058</v>
      </c>
      <c r="AP2486" s="1044"/>
    </row>
    <row r="2487" spans="2:42" hidden="1" outlineLevel="1">
      <c r="B2487" s="565">
        <v>6662</v>
      </c>
      <c r="C2487" s="9" t="s">
        <v>760</v>
      </c>
      <c r="D2487" s="9"/>
      <c r="E2487" s="20" t="s">
        <v>117</v>
      </c>
      <c r="F2487" s="20"/>
      <c r="G2487" s="20"/>
      <c r="H2487" s="20"/>
      <c r="I2487" s="20"/>
      <c r="J2487" s="20"/>
      <c r="K2487" s="20"/>
      <c r="L2487" s="20"/>
      <c r="M2487" s="20"/>
      <c r="N2487" s="20"/>
      <c r="O2487" s="20"/>
      <c r="P2487" s="20"/>
      <c r="Q2487" s="20"/>
      <c r="R2487" s="20"/>
      <c r="S2487" s="20"/>
      <c r="T2487" s="20"/>
      <c r="U2487" s="20"/>
      <c r="V2487" s="20"/>
      <c r="W2487" s="20"/>
      <c r="X2487" s="20"/>
      <c r="Y2487" s="12">
        <v>1474943</v>
      </c>
      <c r="Z2487" s="12">
        <v>1810726</v>
      </c>
      <c r="AA2487" s="12">
        <v>1424513</v>
      </c>
      <c r="AB2487" s="12">
        <v>1276243</v>
      </c>
      <c r="AC2487" s="12">
        <v>1312760</v>
      </c>
      <c r="AD2487" s="12">
        <v>1737945</v>
      </c>
      <c r="AE2487" s="12">
        <v>1383929</v>
      </c>
      <c r="AF2487" s="12">
        <v>1715256</v>
      </c>
      <c r="AG2487" s="12">
        <v>1941971</v>
      </c>
      <c r="AH2487" s="12">
        <v>2523914</v>
      </c>
      <c r="AI2487" s="12">
        <v>2520989</v>
      </c>
      <c r="AJ2487" s="12">
        <v>2519438</v>
      </c>
      <c r="AK2487" s="12">
        <v>2574360</v>
      </c>
      <c r="AL2487" s="12">
        <v>2605353</v>
      </c>
      <c r="AM2487" s="12">
        <v>2766621</v>
      </c>
      <c r="AN2487" s="1070">
        <v>2908930</v>
      </c>
      <c r="AO2487" s="1070">
        <v>2900554</v>
      </c>
      <c r="AP2487" s="1044"/>
    </row>
    <row r="2488" spans="2:42" hidden="1" outlineLevel="1">
      <c r="B2488" s="565">
        <v>3570</v>
      </c>
      <c r="C2488" s="9" t="s">
        <v>760</v>
      </c>
      <c r="D2488" s="9"/>
      <c r="E2488" s="20" t="s">
        <v>118</v>
      </c>
      <c r="F2488" s="20"/>
      <c r="G2488" s="20"/>
      <c r="H2488" s="20"/>
      <c r="I2488" s="20"/>
      <c r="J2488" s="20"/>
      <c r="K2488" s="20"/>
      <c r="L2488" s="20"/>
      <c r="M2488" s="20"/>
      <c r="N2488" s="20"/>
      <c r="O2488" s="20"/>
      <c r="P2488" s="20"/>
      <c r="Q2488" s="20"/>
      <c r="R2488" s="20"/>
      <c r="S2488" s="20"/>
      <c r="T2488" s="20"/>
      <c r="U2488" s="20"/>
      <c r="V2488" s="20"/>
      <c r="W2488" s="20"/>
      <c r="X2488" s="20"/>
      <c r="Y2488" s="12">
        <v>2416573</v>
      </c>
      <c r="Z2488" s="12">
        <v>3002790</v>
      </c>
      <c r="AA2488" s="12">
        <v>3073719</v>
      </c>
      <c r="AB2488" s="12">
        <v>3288404</v>
      </c>
      <c r="AC2488" s="12">
        <v>3832207</v>
      </c>
      <c r="AD2488" s="12">
        <v>4022091</v>
      </c>
      <c r="AE2488" s="12">
        <v>4393415</v>
      </c>
      <c r="AF2488" s="12">
        <v>4434892</v>
      </c>
      <c r="AG2488" s="12">
        <v>4590793</v>
      </c>
      <c r="AH2488" s="12">
        <v>4923045</v>
      </c>
      <c r="AI2488" s="12">
        <v>4877086</v>
      </c>
      <c r="AJ2488" s="12">
        <v>4813795</v>
      </c>
      <c r="AK2488" s="12">
        <v>4670880</v>
      </c>
      <c r="AL2488" s="12">
        <v>5540489</v>
      </c>
      <c r="AM2488" s="12">
        <v>4766418</v>
      </c>
      <c r="AN2488" s="1070">
        <v>4840486</v>
      </c>
      <c r="AO2488" s="1070">
        <v>4683836</v>
      </c>
      <c r="AP2488" s="1044"/>
    </row>
    <row r="2489" spans="2:42" hidden="1" outlineLevel="1">
      <c r="B2489" s="565">
        <v>3573</v>
      </c>
      <c r="C2489" s="9" t="s">
        <v>760</v>
      </c>
      <c r="D2489" s="9"/>
      <c r="E2489" s="20" t="s">
        <v>119</v>
      </c>
      <c r="F2489" s="20"/>
      <c r="G2489" s="20"/>
      <c r="H2489" s="20"/>
      <c r="I2489" s="20"/>
      <c r="J2489" s="20"/>
      <c r="K2489" s="20"/>
      <c r="L2489" s="20"/>
      <c r="M2489" s="20"/>
      <c r="N2489" s="20"/>
      <c r="O2489" s="20"/>
      <c r="P2489" s="20"/>
      <c r="Q2489" s="20"/>
      <c r="R2489" s="20"/>
      <c r="S2489" s="20"/>
      <c r="T2489" s="20"/>
      <c r="U2489" s="20"/>
      <c r="V2489" s="20"/>
      <c r="W2489" s="20"/>
      <c r="X2489" s="20"/>
      <c r="Y2489" s="12">
        <v>2036709</v>
      </c>
      <c r="Z2489" s="12">
        <v>2416650</v>
      </c>
      <c r="AA2489" s="12">
        <v>2401927</v>
      </c>
      <c r="AB2489" s="12">
        <v>2467921</v>
      </c>
      <c r="AC2489" s="12">
        <v>2658965</v>
      </c>
      <c r="AD2489" s="12">
        <v>2733937</v>
      </c>
      <c r="AE2489" s="12">
        <v>3070133</v>
      </c>
      <c r="AF2489" s="12">
        <v>3371951</v>
      </c>
      <c r="AG2489" s="12">
        <v>3303180</v>
      </c>
      <c r="AH2489" s="12">
        <v>3472160</v>
      </c>
      <c r="AI2489" s="12">
        <v>3558023</v>
      </c>
      <c r="AJ2489" s="12">
        <v>3506436</v>
      </c>
      <c r="AK2489" s="12">
        <v>3487270</v>
      </c>
      <c r="AL2489" s="12">
        <v>3443149</v>
      </c>
      <c r="AM2489" s="12">
        <v>3997896</v>
      </c>
      <c r="AN2489" s="1070">
        <v>4027857</v>
      </c>
      <c r="AO2489" s="1070">
        <v>4662749</v>
      </c>
      <c r="AP2489" s="1044"/>
    </row>
    <row r="2490" spans="2:42" hidden="1" outlineLevel="1">
      <c r="B2490" s="565">
        <v>10633</v>
      </c>
      <c r="C2490" s="9" t="s">
        <v>760</v>
      </c>
      <c r="D2490" s="9"/>
      <c r="E2490" s="20" t="s">
        <v>120</v>
      </c>
      <c r="F2490" s="20"/>
      <c r="G2490" s="20"/>
      <c r="H2490" s="20"/>
      <c r="I2490" s="20"/>
      <c r="J2490" s="20"/>
      <c r="K2490" s="20"/>
      <c r="L2490" s="20"/>
      <c r="M2490" s="20"/>
      <c r="N2490" s="20"/>
      <c r="O2490" s="20"/>
      <c r="P2490" s="20"/>
      <c r="Q2490" s="20"/>
      <c r="R2490" s="20"/>
      <c r="S2490" s="20"/>
      <c r="T2490" s="20"/>
      <c r="U2490" s="20"/>
      <c r="V2490" s="20"/>
      <c r="W2490" s="20"/>
      <c r="X2490" s="20"/>
      <c r="Y2490" s="12">
        <v>46940539</v>
      </c>
      <c r="Z2490" s="12">
        <v>50673972</v>
      </c>
      <c r="AA2490" s="12">
        <v>50300876</v>
      </c>
      <c r="AB2490" s="12">
        <v>50027656</v>
      </c>
      <c r="AC2490" s="12">
        <v>54389997</v>
      </c>
      <c r="AD2490" s="12">
        <v>58939437</v>
      </c>
      <c r="AE2490" s="12">
        <v>64689510</v>
      </c>
      <c r="AF2490" s="12">
        <v>65655752</v>
      </c>
      <c r="AG2490" s="12">
        <v>67907897</v>
      </c>
      <c r="AH2490" s="12">
        <v>71415957</v>
      </c>
      <c r="AI2490" s="12">
        <v>71433953</v>
      </c>
      <c r="AJ2490" s="12">
        <v>70689034</v>
      </c>
      <c r="AK2490" s="12">
        <v>75079230</v>
      </c>
      <c r="AL2490" s="12">
        <v>79625900</v>
      </c>
      <c r="AM2490" s="12">
        <v>78928147</v>
      </c>
      <c r="AN2490" s="1070">
        <v>75875184</v>
      </c>
      <c r="AO2490" s="1070">
        <v>76925390</v>
      </c>
      <c r="AP2490" s="1044"/>
    </row>
    <row r="2491" spans="2:42" hidden="1" outlineLevel="1">
      <c r="B2491" s="565">
        <v>103574</v>
      </c>
      <c r="C2491" s="9" t="s">
        <v>760</v>
      </c>
      <c r="D2491" s="9"/>
      <c r="E2491" s="20" t="s">
        <v>121</v>
      </c>
      <c r="F2491" s="20"/>
      <c r="G2491" s="20"/>
      <c r="H2491" s="20"/>
      <c r="I2491" s="20"/>
      <c r="J2491" s="20"/>
      <c r="K2491" s="20"/>
      <c r="L2491" s="20"/>
      <c r="M2491" s="20"/>
      <c r="N2491" s="20"/>
      <c r="O2491" s="20"/>
      <c r="P2491" s="20"/>
      <c r="Q2491" s="20"/>
      <c r="R2491" s="20"/>
      <c r="S2491" s="20"/>
      <c r="T2491" s="20"/>
      <c r="U2491" s="20"/>
      <c r="V2491" s="20"/>
      <c r="W2491" s="20"/>
      <c r="X2491" s="20"/>
      <c r="Y2491" s="12">
        <v>1466170</v>
      </c>
      <c r="Z2491" s="12">
        <v>2214396</v>
      </c>
      <c r="AA2491" s="12">
        <v>1999938</v>
      </c>
      <c r="AB2491" s="12">
        <v>2131799</v>
      </c>
      <c r="AC2491" s="12">
        <v>2728505</v>
      </c>
      <c r="AD2491" s="12">
        <v>2659200</v>
      </c>
      <c r="AE2491" s="12">
        <v>2814027</v>
      </c>
      <c r="AF2491" s="12">
        <v>3097823</v>
      </c>
      <c r="AG2491" s="12">
        <v>3539834</v>
      </c>
      <c r="AH2491" s="12">
        <v>4163082</v>
      </c>
      <c r="AI2491" s="12">
        <v>4183889</v>
      </c>
      <c r="AJ2491" s="12">
        <v>4180218</v>
      </c>
      <c r="AK2491" s="12">
        <v>3784684</v>
      </c>
      <c r="AL2491" s="12">
        <v>4292218</v>
      </c>
      <c r="AM2491" s="12">
        <v>4558820</v>
      </c>
      <c r="AN2491" s="1070">
        <v>4499811</v>
      </c>
      <c r="AO2491" s="1070">
        <v>4456035</v>
      </c>
      <c r="AP2491" s="1044"/>
    </row>
    <row r="2492" spans="2:42" hidden="1" outlineLevel="1">
      <c r="B2492" s="565">
        <v>3580</v>
      </c>
      <c r="C2492" s="9" t="s">
        <v>760</v>
      </c>
      <c r="D2492" s="9"/>
      <c r="E2492" s="20" t="s">
        <v>122</v>
      </c>
      <c r="F2492" s="20"/>
      <c r="G2492" s="20"/>
      <c r="H2492" s="20"/>
      <c r="I2492" s="20"/>
      <c r="J2492" s="20"/>
      <c r="K2492" s="20"/>
      <c r="L2492" s="20"/>
      <c r="M2492" s="20"/>
      <c r="N2492" s="20"/>
      <c r="O2492" s="20"/>
      <c r="P2492" s="20"/>
      <c r="Q2492" s="20"/>
      <c r="R2492" s="20"/>
      <c r="S2492" s="20"/>
      <c r="T2492" s="20"/>
      <c r="U2492" s="20"/>
      <c r="V2492" s="20"/>
      <c r="W2492" s="20"/>
      <c r="X2492" s="20"/>
      <c r="Y2492" s="12">
        <v>4002517</v>
      </c>
      <c r="Z2492" s="12">
        <v>4729662</v>
      </c>
      <c r="AA2492" s="12">
        <v>4983412</v>
      </c>
      <c r="AB2492" s="12">
        <v>5341138</v>
      </c>
      <c r="AC2492" s="12">
        <v>6215139</v>
      </c>
      <c r="AD2492" s="12">
        <v>6946864</v>
      </c>
      <c r="AE2492" s="12">
        <v>7337452</v>
      </c>
      <c r="AF2492" s="12">
        <v>8121933</v>
      </c>
      <c r="AG2492" s="12">
        <v>7802173</v>
      </c>
      <c r="AH2492" s="12">
        <v>8259511</v>
      </c>
      <c r="AI2492" s="12">
        <v>8533498</v>
      </c>
      <c r="AJ2492" s="12">
        <v>7916233</v>
      </c>
      <c r="AK2492" s="12">
        <v>7021991</v>
      </c>
      <c r="AL2492" s="12">
        <v>6875502</v>
      </c>
      <c r="AM2492" s="12">
        <v>8007870</v>
      </c>
      <c r="AN2492" s="1070">
        <v>7997725</v>
      </c>
      <c r="AO2492" s="1070">
        <v>8576482</v>
      </c>
      <c r="AP2492" s="1044"/>
    </row>
    <row r="2493" spans="2:42" hidden="1" outlineLevel="1">
      <c r="B2493" s="565">
        <v>3582</v>
      </c>
      <c r="C2493" s="9" t="s">
        <v>760</v>
      </c>
      <c r="D2493" s="9"/>
      <c r="E2493" s="20" t="s">
        <v>123</v>
      </c>
      <c r="F2493" s="20"/>
      <c r="G2493" s="20"/>
      <c r="H2493" s="20"/>
      <c r="I2493" s="20"/>
      <c r="J2493" s="20"/>
      <c r="K2493" s="20"/>
      <c r="L2493" s="20"/>
      <c r="M2493" s="20"/>
      <c r="N2493" s="20"/>
      <c r="O2493" s="20"/>
      <c r="P2493" s="20"/>
      <c r="Q2493" s="20"/>
      <c r="R2493" s="20"/>
      <c r="S2493" s="20"/>
      <c r="T2493" s="20"/>
      <c r="U2493" s="20"/>
      <c r="V2493" s="20"/>
      <c r="W2493" s="20"/>
      <c r="X2493" s="20"/>
      <c r="Y2493" s="12">
        <v>3860979</v>
      </c>
      <c r="Z2493" s="12">
        <v>4458615</v>
      </c>
      <c r="AA2493" s="12">
        <v>5191014</v>
      </c>
      <c r="AB2493" s="12">
        <v>5895429</v>
      </c>
      <c r="AC2493" s="12">
        <v>5814999</v>
      </c>
      <c r="AD2493" s="12">
        <v>6517255</v>
      </c>
      <c r="AE2493" s="12">
        <v>6968193</v>
      </c>
      <c r="AF2493" s="12">
        <v>7258100</v>
      </c>
      <c r="AG2493" s="12">
        <v>8353943</v>
      </c>
      <c r="AH2493" s="12">
        <v>8254382</v>
      </c>
      <c r="AI2493" s="12">
        <v>8780001</v>
      </c>
      <c r="AJ2493" s="12">
        <v>8580215</v>
      </c>
      <c r="AK2493" s="12">
        <v>8833615</v>
      </c>
      <c r="AL2493" s="12">
        <v>8752051</v>
      </c>
      <c r="AM2493" s="12">
        <v>8197564</v>
      </c>
      <c r="AN2493" s="1070">
        <v>6514794</v>
      </c>
      <c r="AO2493" s="1070">
        <v>7536617</v>
      </c>
      <c r="AP2493" s="1044"/>
    </row>
    <row r="2494" spans="2:42" hidden="1" outlineLevel="1">
      <c r="B2494" s="565">
        <v>3583</v>
      </c>
      <c r="C2494" s="9" t="s">
        <v>760</v>
      </c>
      <c r="D2494" s="9"/>
      <c r="E2494" s="20" t="s">
        <v>124</v>
      </c>
      <c r="F2494" s="20"/>
      <c r="G2494" s="20"/>
      <c r="H2494" s="20"/>
      <c r="I2494" s="20"/>
      <c r="J2494" s="20"/>
      <c r="K2494" s="20"/>
      <c r="L2494" s="20"/>
      <c r="M2494" s="20"/>
      <c r="N2494" s="20"/>
      <c r="O2494" s="20"/>
      <c r="P2494" s="20"/>
      <c r="Q2494" s="20"/>
      <c r="R2494" s="20"/>
      <c r="S2494" s="20"/>
      <c r="T2494" s="20"/>
      <c r="U2494" s="20"/>
      <c r="V2494" s="20"/>
      <c r="W2494" s="20"/>
      <c r="X2494" s="20"/>
      <c r="Y2494" s="12">
        <v>4147040</v>
      </c>
      <c r="Z2494" s="12">
        <v>4284617</v>
      </c>
      <c r="AA2494" s="12">
        <v>4163969</v>
      </c>
      <c r="AB2494" s="12">
        <v>4417140</v>
      </c>
      <c r="AC2494" s="12">
        <v>5359387</v>
      </c>
      <c r="AD2494" s="12">
        <v>5359829</v>
      </c>
      <c r="AE2494" s="12">
        <v>5476770</v>
      </c>
      <c r="AF2494" s="12">
        <v>6055799</v>
      </c>
      <c r="AG2494" s="12">
        <v>6650894</v>
      </c>
      <c r="AH2494" s="12">
        <v>6532856</v>
      </c>
      <c r="AI2494" s="12">
        <v>6283578</v>
      </c>
      <c r="AJ2494" s="12">
        <v>6355384</v>
      </c>
      <c r="AK2494" s="12">
        <v>6971257</v>
      </c>
      <c r="AL2494" s="12">
        <v>9965420</v>
      </c>
      <c r="AM2494" s="12">
        <v>9362334</v>
      </c>
      <c r="AN2494" s="1070">
        <v>8565254</v>
      </c>
      <c r="AO2494" s="1070">
        <v>10535213</v>
      </c>
      <c r="AP2494" s="1044"/>
    </row>
    <row r="2495" spans="2:42" hidden="1" outlineLevel="1">
      <c r="B2495" s="565">
        <v>11145</v>
      </c>
      <c r="C2495" s="9" t="s">
        <v>760</v>
      </c>
      <c r="D2495" s="9"/>
      <c r="E2495" s="20" t="s">
        <v>125</v>
      </c>
      <c r="F2495" s="20"/>
      <c r="G2495" s="20"/>
      <c r="H2495" s="20"/>
      <c r="I2495" s="20"/>
      <c r="J2495" s="20"/>
      <c r="K2495" s="20"/>
      <c r="L2495" s="20"/>
      <c r="M2495" s="20"/>
      <c r="N2495" s="20"/>
      <c r="O2495" s="20"/>
      <c r="P2495" s="20"/>
      <c r="Q2495" s="20"/>
      <c r="R2495" s="20"/>
      <c r="S2495" s="20"/>
      <c r="T2495" s="20"/>
      <c r="U2495" s="20"/>
      <c r="V2495" s="20"/>
      <c r="W2495" s="20"/>
      <c r="X2495" s="20"/>
      <c r="Y2495" s="12">
        <v>22310874</v>
      </c>
      <c r="Z2495" s="12">
        <v>28614676</v>
      </c>
      <c r="AA2495" s="12">
        <v>30134103</v>
      </c>
      <c r="AB2495" s="12">
        <v>33411958</v>
      </c>
      <c r="AC2495" s="12">
        <v>36814548</v>
      </c>
      <c r="AD2495" s="12">
        <v>39170577</v>
      </c>
      <c r="AE2495" s="12">
        <v>42324625</v>
      </c>
      <c r="AF2495" s="12">
        <v>46329700</v>
      </c>
      <c r="AG2495" s="12">
        <v>54089193</v>
      </c>
      <c r="AH2495" s="12">
        <v>58863971</v>
      </c>
      <c r="AI2495" s="12">
        <v>59682149</v>
      </c>
      <c r="AJ2495" s="12">
        <v>61961356</v>
      </c>
      <c r="AK2495" s="12">
        <v>77564764</v>
      </c>
      <c r="AL2495" s="12">
        <v>77530673</v>
      </c>
      <c r="AM2495" s="12">
        <v>82415623</v>
      </c>
      <c r="AN2495" s="1070">
        <v>81366561</v>
      </c>
      <c r="AO2495" s="1070">
        <v>80966660</v>
      </c>
      <c r="AP2495" s="1044"/>
    </row>
    <row r="2496" spans="2:42" hidden="1" outlineLevel="1">
      <c r="B2496" s="565">
        <v>3590</v>
      </c>
      <c r="C2496" s="9" t="s">
        <v>760</v>
      </c>
      <c r="D2496" s="9"/>
      <c r="E2496" s="20" t="s">
        <v>126</v>
      </c>
      <c r="F2496" s="20"/>
      <c r="G2496" s="20"/>
      <c r="H2496" s="20"/>
      <c r="I2496" s="20"/>
      <c r="J2496" s="20"/>
      <c r="K2496" s="20"/>
      <c r="L2496" s="20"/>
      <c r="M2496" s="20"/>
      <c r="N2496" s="20"/>
      <c r="O2496" s="20"/>
      <c r="P2496" s="20"/>
      <c r="Q2496" s="20"/>
      <c r="R2496" s="20"/>
      <c r="S2496" s="20"/>
      <c r="T2496" s="20"/>
      <c r="U2496" s="20"/>
      <c r="V2496" s="20"/>
      <c r="W2496" s="20"/>
      <c r="X2496" s="20"/>
      <c r="Y2496" s="12">
        <v>5190620</v>
      </c>
      <c r="Z2496" s="12">
        <v>6103592</v>
      </c>
      <c r="AA2496" s="12">
        <v>7931313</v>
      </c>
      <c r="AB2496" s="12">
        <v>8047162</v>
      </c>
      <c r="AC2496" s="12">
        <v>9495638</v>
      </c>
      <c r="AD2496" s="12">
        <v>9855208</v>
      </c>
      <c r="AE2496" s="12">
        <v>10597229</v>
      </c>
      <c r="AF2496" s="12">
        <v>12087706</v>
      </c>
      <c r="AG2496" s="12">
        <v>15876034</v>
      </c>
      <c r="AH2496" s="12">
        <v>18759783</v>
      </c>
      <c r="AI2496" s="12">
        <v>19436996</v>
      </c>
      <c r="AJ2496" s="12">
        <v>17003014</v>
      </c>
      <c r="AK2496" s="12">
        <v>15666498</v>
      </c>
      <c r="AL2496" s="12">
        <v>16061587</v>
      </c>
      <c r="AM2496" s="12">
        <v>14191105</v>
      </c>
      <c r="AN2496" s="1070">
        <v>13492675</v>
      </c>
      <c r="AO2496" s="1070">
        <v>13453670</v>
      </c>
      <c r="AP2496" s="1044"/>
    </row>
    <row r="2497" spans="2:42" hidden="1" outlineLevel="1">
      <c r="B2497" s="565">
        <v>9797</v>
      </c>
      <c r="C2497" s="9" t="s">
        <v>760</v>
      </c>
      <c r="D2497" s="9"/>
      <c r="E2497" s="20" t="s">
        <v>127</v>
      </c>
      <c r="F2497" s="20"/>
      <c r="G2497" s="20"/>
      <c r="H2497" s="20"/>
      <c r="I2497" s="20"/>
      <c r="J2497" s="20"/>
      <c r="K2497" s="20"/>
      <c r="L2497" s="20"/>
      <c r="M2497" s="20"/>
      <c r="N2497" s="20"/>
      <c r="O2497" s="20"/>
      <c r="P2497" s="20"/>
      <c r="Q2497" s="20"/>
      <c r="R2497" s="20"/>
      <c r="S2497" s="20"/>
      <c r="T2497" s="20"/>
      <c r="U2497" s="20"/>
      <c r="V2497" s="20"/>
      <c r="W2497" s="20"/>
      <c r="X2497" s="20"/>
      <c r="Y2497" s="12">
        <v>3563458</v>
      </c>
      <c r="Z2497" s="12">
        <v>4617353</v>
      </c>
      <c r="AA2497" s="12">
        <v>5343662</v>
      </c>
      <c r="AB2497" s="12">
        <v>5803340</v>
      </c>
      <c r="AC2497" s="12">
        <v>7603200</v>
      </c>
      <c r="AD2497" s="12">
        <v>7521467</v>
      </c>
      <c r="AE2497" s="12">
        <v>8024336</v>
      </c>
      <c r="AF2497" s="12">
        <v>9364568</v>
      </c>
      <c r="AG2497" s="12">
        <v>9595412</v>
      </c>
      <c r="AH2497" s="12">
        <v>10416495</v>
      </c>
      <c r="AI2497" s="12">
        <v>10272180</v>
      </c>
      <c r="AJ2497" s="12">
        <v>9778001</v>
      </c>
      <c r="AK2497" s="12">
        <v>9231626</v>
      </c>
      <c r="AL2497" s="12">
        <v>9417291</v>
      </c>
      <c r="AM2497" s="12">
        <v>9839132</v>
      </c>
      <c r="AN2497" s="1070">
        <v>9648591</v>
      </c>
      <c r="AO2497" s="1070">
        <v>9170673</v>
      </c>
      <c r="AP2497" s="1044"/>
    </row>
    <row r="2498" spans="2:42" hidden="1" outlineLevel="1">
      <c r="B2498" s="565">
        <v>3593</v>
      </c>
      <c r="C2498" s="9" t="s">
        <v>760</v>
      </c>
      <c r="D2498" s="9"/>
      <c r="E2498" s="20" t="s">
        <v>128</v>
      </c>
      <c r="F2498" s="20"/>
      <c r="G2498" s="20"/>
      <c r="H2498" s="20"/>
      <c r="I2498" s="20"/>
      <c r="J2498" s="20"/>
      <c r="K2498" s="20"/>
      <c r="L2498" s="20"/>
      <c r="M2498" s="20"/>
      <c r="N2498" s="20"/>
      <c r="O2498" s="20"/>
      <c r="P2498" s="20"/>
      <c r="Q2498" s="20"/>
      <c r="R2498" s="20"/>
      <c r="S2498" s="20"/>
      <c r="T2498" s="20"/>
      <c r="U2498" s="20"/>
      <c r="V2498" s="20"/>
      <c r="W2498" s="20"/>
      <c r="X2498" s="20"/>
      <c r="Y2498" s="12">
        <v>3125956</v>
      </c>
      <c r="Z2498" s="12">
        <v>4084042</v>
      </c>
      <c r="AA2498" s="12">
        <v>5462894</v>
      </c>
      <c r="AB2498" s="12">
        <v>5522555</v>
      </c>
      <c r="AC2498" s="12">
        <v>5361391</v>
      </c>
      <c r="AD2498" s="12">
        <v>6125581</v>
      </c>
      <c r="AE2498" s="12">
        <v>11425170</v>
      </c>
      <c r="AF2498" s="12">
        <v>13325558</v>
      </c>
      <c r="AG2498" s="12">
        <v>13759423</v>
      </c>
      <c r="AH2498" s="12">
        <v>15014906</v>
      </c>
      <c r="AI2498" s="12">
        <v>14202493</v>
      </c>
      <c r="AJ2498" s="12">
        <v>14029788</v>
      </c>
      <c r="AK2498" s="12">
        <v>17535426</v>
      </c>
      <c r="AL2498" s="12">
        <v>16205416</v>
      </c>
      <c r="AM2498" s="12">
        <v>16982906</v>
      </c>
      <c r="AN2498" s="1070">
        <v>15201312</v>
      </c>
      <c r="AO2498" s="1070">
        <v>14804719</v>
      </c>
      <c r="AP2498" s="1044"/>
    </row>
    <row r="2499" spans="2:42" hidden="1" outlineLevel="1">
      <c r="B2499" s="565">
        <v>3558</v>
      </c>
      <c r="C2499" s="9" t="s">
        <v>760</v>
      </c>
      <c r="D2499" s="9"/>
      <c r="E2499" s="20" t="s">
        <v>129</v>
      </c>
      <c r="F2499" s="20"/>
      <c r="G2499" s="20"/>
      <c r="H2499" s="20"/>
      <c r="I2499" s="20"/>
      <c r="J2499" s="20"/>
      <c r="K2499" s="20"/>
      <c r="L2499" s="20"/>
      <c r="M2499" s="20"/>
      <c r="N2499" s="20"/>
      <c r="O2499" s="20"/>
      <c r="P2499" s="20"/>
      <c r="Q2499" s="20"/>
      <c r="R2499" s="20"/>
      <c r="S2499" s="20"/>
      <c r="T2499" s="20"/>
      <c r="U2499" s="20"/>
      <c r="V2499" s="20"/>
      <c r="W2499" s="20"/>
      <c r="X2499" s="20"/>
      <c r="Y2499" s="12">
        <v>4978107</v>
      </c>
      <c r="Z2499" s="12">
        <v>6341511</v>
      </c>
      <c r="AA2499" s="12">
        <v>6624832</v>
      </c>
      <c r="AB2499" s="12">
        <v>7721835</v>
      </c>
      <c r="AC2499" s="12">
        <v>9127946</v>
      </c>
      <c r="AD2499" s="12">
        <v>9612604</v>
      </c>
      <c r="AE2499" s="12">
        <v>10726071</v>
      </c>
      <c r="AF2499" s="12">
        <v>10499461</v>
      </c>
      <c r="AG2499" s="12">
        <v>11403453</v>
      </c>
      <c r="AH2499" s="12">
        <v>12585175</v>
      </c>
      <c r="AI2499" s="12">
        <v>13280934</v>
      </c>
      <c r="AJ2499" s="12">
        <v>13763954</v>
      </c>
      <c r="AK2499" s="12">
        <v>14337876</v>
      </c>
      <c r="AL2499" s="12">
        <v>15754222</v>
      </c>
      <c r="AM2499" s="12">
        <v>15999007</v>
      </c>
      <c r="AN2499" s="1070">
        <v>18573860</v>
      </c>
      <c r="AO2499" s="1070">
        <v>19735931</v>
      </c>
      <c r="AP2499" s="1044"/>
    </row>
    <row r="2500" spans="2:42" hidden="1" outlineLevel="1">
      <c r="B2500" s="565">
        <v>23154</v>
      </c>
      <c r="C2500" s="9" t="s">
        <v>760</v>
      </c>
      <c r="D2500" s="9"/>
      <c r="E2500" s="20" t="s">
        <v>130</v>
      </c>
      <c r="F2500" s="20"/>
      <c r="G2500" s="20"/>
      <c r="H2500" s="20"/>
      <c r="I2500" s="20"/>
      <c r="J2500" s="20"/>
      <c r="K2500" s="20"/>
      <c r="L2500" s="20"/>
      <c r="M2500" s="20"/>
      <c r="N2500" s="20"/>
      <c r="O2500" s="20"/>
      <c r="P2500" s="20"/>
      <c r="Q2500" s="20"/>
      <c r="R2500" s="20"/>
      <c r="S2500" s="20"/>
      <c r="T2500" s="20"/>
      <c r="U2500" s="20"/>
      <c r="V2500" s="20"/>
      <c r="W2500" s="20"/>
      <c r="X2500" s="20"/>
      <c r="Y2500" s="12">
        <v>1832136</v>
      </c>
      <c r="Z2500" s="12">
        <v>2169998</v>
      </c>
      <c r="AA2500" s="12">
        <v>2167101</v>
      </c>
      <c r="AB2500" s="12">
        <v>2672106</v>
      </c>
      <c r="AC2500" s="12">
        <v>2808248</v>
      </c>
      <c r="AD2500" s="12">
        <v>2730822</v>
      </c>
      <c r="AE2500" s="12">
        <v>2850418</v>
      </c>
      <c r="AF2500" s="12">
        <v>3302945</v>
      </c>
      <c r="AG2500" s="12">
        <v>2836096</v>
      </c>
      <c r="AH2500" s="12">
        <v>2899761</v>
      </c>
      <c r="AI2500" s="12">
        <v>3107885</v>
      </c>
      <c r="AJ2500" s="12">
        <v>3349945</v>
      </c>
      <c r="AK2500" s="12">
        <v>2855485</v>
      </c>
      <c r="AL2500" s="12">
        <v>3224094</v>
      </c>
      <c r="AM2500" s="12">
        <v>3672906</v>
      </c>
      <c r="AN2500" s="1070">
        <v>3754710</v>
      </c>
      <c r="AO2500" s="1070">
        <v>3862155</v>
      </c>
      <c r="AP2500" s="1044"/>
    </row>
    <row r="2501" spans="2:42" hidden="1" outlineLevel="1">
      <c r="B2501" s="565">
        <v>3596</v>
      </c>
      <c r="C2501" s="9" t="s">
        <v>760</v>
      </c>
      <c r="D2501" s="9"/>
      <c r="E2501" s="20" t="s">
        <v>131</v>
      </c>
      <c r="F2501" s="20"/>
      <c r="G2501" s="20"/>
      <c r="H2501" s="20"/>
      <c r="I2501" s="20"/>
      <c r="J2501" s="20"/>
      <c r="K2501" s="20"/>
      <c r="L2501" s="20"/>
      <c r="M2501" s="20"/>
      <c r="N2501" s="20"/>
      <c r="O2501" s="20"/>
      <c r="P2501" s="20"/>
      <c r="Q2501" s="20"/>
      <c r="R2501" s="20"/>
      <c r="S2501" s="20"/>
      <c r="T2501" s="20"/>
      <c r="U2501" s="20"/>
      <c r="V2501" s="20"/>
      <c r="W2501" s="20"/>
      <c r="X2501" s="20"/>
      <c r="Y2501" s="12">
        <v>2468390</v>
      </c>
      <c r="Z2501" s="12">
        <v>2643976</v>
      </c>
      <c r="AA2501" s="12">
        <v>2977564</v>
      </c>
      <c r="AB2501" s="12">
        <v>3733882</v>
      </c>
      <c r="AC2501" s="12">
        <v>3910433</v>
      </c>
      <c r="AD2501" s="12">
        <v>3595275</v>
      </c>
      <c r="AE2501" s="12">
        <v>3787742</v>
      </c>
      <c r="AF2501" s="12">
        <v>4661390</v>
      </c>
      <c r="AG2501" s="12">
        <v>5555764</v>
      </c>
      <c r="AH2501" s="12">
        <v>7463390</v>
      </c>
      <c r="AI2501" s="12">
        <v>7578923</v>
      </c>
      <c r="AJ2501" s="12">
        <v>6947080</v>
      </c>
      <c r="AK2501" s="12">
        <v>8327145</v>
      </c>
      <c r="AL2501" s="12">
        <v>7700564</v>
      </c>
      <c r="AM2501" s="12">
        <v>8829049</v>
      </c>
      <c r="AN2501" s="1070">
        <v>9298172</v>
      </c>
      <c r="AO2501" s="1070">
        <v>11192706</v>
      </c>
      <c r="AP2501" s="1044"/>
    </row>
    <row r="2502" spans="2:42" hidden="1" outlineLevel="1">
      <c r="B2502" s="565">
        <v>3600</v>
      </c>
      <c r="C2502" s="9" t="s">
        <v>760</v>
      </c>
      <c r="D2502" s="9"/>
      <c r="E2502" s="20" t="s">
        <v>132</v>
      </c>
      <c r="F2502" s="20"/>
      <c r="G2502" s="20"/>
      <c r="H2502" s="20"/>
      <c r="I2502" s="20"/>
      <c r="J2502" s="20"/>
      <c r="K2502" s="20"/>
      <c r="L2502" s="20"/>
      <c r="M2502" s="20"/>
      <c r="N2502" s="20"/>
      <c r="O2502" s="20"/>
      <c r="P2502" s="20"/>
      <c r="Q2502" s="20"/>
      <c r="R2502" s="20"/>
      <c r="S2502" s="20"/>
      <c r="T2502" s="20"/>
      <c r="U2502" s="20"/>
      <c r="V2502" s="20"/>
      <c r="W2502" s="20"/>
      <c r="X2502" s="20"/>
      <c r="Y2502" s="12">
        <v>1238410</v>
      </c>
      <c r="Z2502" s="12">
        <v>1476788</v>
      </c>
      <c r="AA2502" s="12">
        <v>1634788</v>
      </c>
      <c r="AB2502" s="12">
        <v>1913953</v>
      </c>
      <c r="AC2502" s="12">
        <v>2065117</v>
      </c>
      <c r="AD2502" s="12">
        <v>2247922</v>
      </c>
      <c r="AE2502" s="12">
        <v>2335955</v>
      </c>
      <c r="AF2502" s="12">
        <v>2087757</v>
      </c>
      <c r="AG2502" s="12">
        <v>2195515</v>
      </c>
      <c r="AH2502" s="12">
        <v>2879361</v>
      </c>
      <c r="AI2502" s="12">
        <v>2764154</v>
      </c>
      <c r="AJ2502" s="12">
        <v>3409716</v>
      </c>
      <c r="AK2502" s="12">
        <v>2974067</v>
      </c>
      <c r="AL2502" s="12">
        <v>3179548</v>
      </c>
      <c r="AM2502" s="12">
        <v>3263471</v>
      </c>
      <c r="AN2502" s="1070">
        <v>3827729</v>
      </c>
      <c r="AO2502" s="1070">
        <v>3794342</v>
      </c>
      <c r="AP2502" s="1044"/>
    </row>
    <row r="2503" spans="2:42" hidden="1" outlineLevel="1">
      <c r="B2503" s="565">
        <v>3601</v>
      </c>
      <c r="C2503" s="9" t="s">
        <v>760</v>
      </c>
      <c r="D2503" s="9"/>
      <c r="E2503" s="20" t="s">
        <v>133</v>
      </c>
      <c r="F2503" s="20"/>
      <c r="G2503" s="20"/>
      <c r="H2503" s="20"/>
      <c r="I2503" s="20"/>
      <c r="J2503" s="20"/>
      <c r="K2503" s="20"/>
      <c r="L2503" s="20"/>
      <c r="M2503" s="20"/>
      <c r="N2503" s="20"/>
      <c r="O2503" s="20"/>
      <c r="P2503" s="20"/>
      <c r="Q2503" s="20"/>
      <c r="R2503" s="20"/>
      <c r="S2503" s="20"/>
      <c r="T2503" s="20"/>
      <c r="U2503" s="20"/>
      <c r="V2503" s="20"/>
      <c r="W2503" s="20"/>
      <c r="X2503" s="20"/>
      <c r="Y2503" s="12">
        <v>3452193</v>
      </c>
      <c r="Z2503" s="12">
        <v>3965466</v>
      </c>
      <c r="AA2503" s="12">
        <v>4123218</v>
      </c>
      <c r="AB2503" s="12">
        <v>3996328</v>
      </c>
      <c r="AC2503" s="12">
        <v>4895375</v>
      </c>
      <c r="AD2503" s="12">
        <v>4819974</v>
      </c>
      <c r="AE2503" s="12">
        <v>5239223</v>
      </c>
      <c r="AF2503" s="12">
        <v>5582016</v>
      </c>
      <c r="AG2503" s="12">
        <v>5454475</v>
      </c>
      <c r="AH2503" s="12">
        <v>5691298</v>
      </c>
      <c r="AI2503" s="12">
        <v>5375845</v>
      </c>
      <c r="AJ2503" s="12">
        <v>5899150</v>
      </c>
      <c r="AK2503" s="12">
        <v>6355929</v>
      </c>
      <c r="AL2503" s="12">
        <v>6612041</v>
      </c>
      <c r="AM2503" s="12">
        <v>6854000</v>
      </c>
      <c r="AN2503" s="1070">
        <v>6852335</v>
      </c>
      <c r="AO2503" s="1070">
        <v>7131226</v>
      </c>
      <c r="AP2503" s="1044"/>
    </row>
    <row r="2504" spans="2:42" hidden="1" outlineLevel="1">
      <c r="B2504" s="565">
        <v>3603</v>
      </c>
      <c r="C2504" s="9" t="s">
        <v>760</v>
      </c>
      <c r="D2504" s="9"/>
      <c r="E2504" s="20" t="s">
        <v>134</v>
      </c>
      <c r="F2504" s="20"/>
      <c r="G2504" s="20"/>
      <c r="H2504" s="20"/>
      <c r="I2504" s="20"/>
      <c r="J2504" s="20"/>
      <c r="K2504" s="20"/>
      <c r="L2504" s="20"/>
      <c r="M2504" s="20"/>
      <c r="N2504" s="20"/>
      <c r="O2504" s="20"/>
      <c r="P2504" s="20"/>
      <c r="Q2504" s="20"/>
      <c r="R2504" s="20"/>
      <c r="S2504" s="20"/>
      <c r="T2504" s="20"/>
      <c r="U2504" s="20"/>
      <c r="V2504" s="20"/>
      <c r="W2504" s="20"/>
      <c r="X2504" s="20"/>
      <c r="Y2504" s="12">
        <v>509166</v>
      </c>
      <c r="Z2504" s="12">
        <v>543283</v>
      </c>
      <c r="AA2504" s="12">
        <v>507412</v>
      </c>
      <c r="AB2504" s="12">
        <v>535699</v>
      </c>
      <c r="AC2504" s="12">
        <v>592507</v>
      </c>
      <c r="AD2504" s="12">
        <v>857167</v>
      </c>
      <c r="AE2504" s="12">
        <v>804167</v>
      </c>
      <c r="AF2504" s="12">
        <v>1200799</v>
      </c>
      <c r="AG2504" s="12">
        <v>1478986</v>
      </c>
      <c r="AH2504" s="12">
        <v>2186758</v>
      </c>
      <c r="AI2504" s="12">
        <v>1584341</v>
      </c>
      <c r="AJ2504" s="12">
        <v>2736891</v>
      </c>
      <c r="AK2504" s="12">
        <v>3448653</v>
      </c>
      <c r="AL2504" s="12">
        <v>4097064</v>
      </c>
      <c r="AM2504" s="12">
        <v>4146154</v>
      </c>
      <c r="AN2504" s="1070">
        <v>4421075</v>
      </c>
      <c r="AO2504" s="1070">
        <v>3151878</v>
      </c>
      <c r="AP2504" s="1044"/>
    </row>
    <row r="2505" spans="2:42" hidden="1" outlineLevel="1">
      <c r="B2505" s="565">
        <v>29137</v>
      </c>
      <c r="C2505" s="9" t="s">
        <v>760</v>
      </c>
      <c r="D2505" s="9"/>
      <c r="E2505" s="20" t="s">
        <v>135</v>
      </c>
      <c r="F2505" s="20"/>
      <c r="G2505" s="20"/>
      <c r="H2505" s="20"/>
      <c r="I2505" s="20"/>
      <c r="J2505" s="20"/>
      <c r="K2505" s="20"/>
      <c r="L2505" s="20"/>
      <c r="M2505" s="20"/>
      <c r="N2505" s="20"/>
      <c r="O2505" s="20"/>
      <c r="P2505" s="20"/>
      <c r="Q2505" s="20"/>
      <c r="R2505" s="20"/>
      <c r="S2505" s="20"/>
      <c r="T2505" s="20"/>
      <c r="U2505" s="20"/>
      <c r="V2505" s="20"/>
      <c r="W2505" s="20"/>
      <c r="X2505" s="20"/>
      <c r="Y2505" s="12">
        <v>19669647</v>
      </c>
      <c r="Z2505" s="12">
        <v>28867649</v>
      </c>
      <c r="AA2505" s="12">
        <v>24445406</v>
      </c>
      <c r="AB2505" s="12">
        <v>27357720</v>
      </c>
      <c r="AC2505" s="12">
        <v>28361060</v>
      </c>
      <c r="AD2505" s="12">
        <v>29220128</v>
      </c>
      <c r="AE2505" s="12">
        <v>30068715</v>
      </c>
      <c r="AF2505" s="12">
        <v>31298022</v>
      </c>
      <c r="AG2505" s="12">
        <v>34233232</v>
      </c>
      <c r="AH2505" s="12">
        <v>32746050</v>
      </c>
      <c r="AI2505" s="12">
        <v>37524566</v>
      </c>
      <c r="AJ2505" s="12">
        <v>35402191</v>
      </c>
      <c r="AK2505" s="12">
        <v>38825003</v>
      </c>
      <c r="AL2505" s="12">
        <v>41846048</v>
      </c>
      <c r="AM2505" s="12">
        <v>44064835</v>
      </c>
      <c r="AN2505" s="1070">
        <v>43765315</v>
      </c>
      <c r="AO2505" s="1070">
        <v>44940388</v>
      </c>
      <c r="AP2505" s="1044"/>
    </row>
    <row r="2506" spans="2:42" hidden="1" outlineLevel="1">
      <c r="B2506" s="565">
        <v>3611</v>
      </c>
      <c r="C2506" s="9" t="s">
        <v>760</v>
      </c>
      <c r="D2506" s="9"/>
      <c r="E2506" s="20" t="s">
        <v>136</v>
      </c>
      <c r="F2506" s="20"/>
      <c r="G2506" s="20"/>
      <c r="H2506" s="20"/>
      <c r="I2506" s="20"/>
      <c r="J2506" s="20"/>
      <c r="K2506" s="20"/>
      <c r="L2506" s="20"/>
      <c r="M2506" s="20"/>
      <c r="N2506" s="20"/>
      <c r="O2506" s="20"/>
      <c r="P2506" s="20"/>
      <c r="Q2506" s="20"/>
      <c r="R2506" s="20"/>
      <c r="S2506" s="20"/>
      <c r="T2506" s="20"/>
      <c r="U2506" s="20"/>
      <c r="V2506" s="20"/>
      <c r="W2506" s="20"/>
      <c r="X2506" s="20"/>
      <c r="Y2506" s="12">
        <v>8516586</v>
      </c>
      <c r="Z2506" s="12">
        <v>11482006</v>
      </c>
      <c r="AA2506" s="12">
        <v>13005514</v>
      </c>
      <c r="AB2506" s="12">
        <v>12586702</v>
      </c>
      <c r="AC2506" s="12">
        <v>12228172</v>
      </c>
      <c r="AD2506" s="12">
        <v>12656404</v>
      </c>
      <c r="AE2506" s="12">
        <v>12983700</v>
      </c>
      <c r="AF2506" s="12">
        <v>13354233</v>
      </c>
      <c r="AG2506" s="12">
        <v>13438578</v>
      </c>
      <c r="AH2506" s="12">
        <v>13790746</v>
      </c>
      <c r="AI2506" s="12">
        <v>15807862</v>
      </c>
      <c r="AJ2506" s="12">
        <v>17060485</v>
      </c>
      <c r="AK2506" s="12">
        <v>16193440</v>
      </c>
      <c r="AL2506" s="12">
        <v>16718253</v>
      </c>
      <c r="AM2506" s="12">
        <v>16686853</v>
      </c>
      <c r="AN2506" s="1070">
        <v>16300832</v>
      </c>
      <c r="AO2506" s="1070">
        <v>16312605</v>
      </c>
      <c r="AP2506" s="1044"/>
    </row>
    <row r="2507" spans="2:42" hidden="1" outlineLevel="1">
      <c r="B2507" s="565">
        <v>31034</v>
      </c>
      <c r="C2507" s="9" t="s">
        <v>760</v>
      </c>
      <c r="D2507" s="9"/>
      <c r="E2507" s="20" t="s">
        <v>137</v>
      </c>
      <c r="F2507" s="20"/>
      <c r="G2507" s="20"/>
      <c r="H2507" s="20"/>
      <c r="I2507" s="20"/>
      <c r="J2507" s="20"/>
      <c r="K2507" s="20"/>
      <c r="L2507" s="20"/>
      <c r="M2507" s="20"/>
      <c r="N2507" s="20"/>
      <c r="O2507" s="20"/>
      <c r="P2507" s="20"/>
      <c r="Q2507" s="20"/>
      <c r="R2507" s="20"/>
      <c r="S2507" s="20"/>
      <c r="T2507" s="20"/>
      <c r="U2507" s="20"/>
      <c r="V2507" s="20"/>
      <c r="W2507" s="20"/>
      <c r="X2507" s="20"/>
      <c r="Y2507" s="12">
        <v>8457156</v>
      </c>
      <c r="Z2507" s="12">
        <v>8881318</v>
      </c>
      <c r="AA2507" s="12">
        <v>11453488</v>
      </c>
      <c r="AB2507" s="12">
        <v>14167536</v>
      </c>
      <c r="AC2507" s="12">
        <v>12396698</v>
      </c>
      <c r="AD2507" s="12">
        <v>15075608</v>
      </c>
      <c r="AE2507" s="12">
        <v>16561311</v>
      </c>
      <c r="AF2507" s="12">
        <v>17153615</v>
      </c>
      <c r="AG2507" s="12">
        <v>18281708</v>
      </c>
      <c r="AH2507" s="12">
        <v>19583509</v>
      </c>
      <c r="AI2507" s="12">
        <v>21051377</v>
      </c>
      <c r="AJ2507" s="12">
        <v>20488244</v>
      </c>
      <c r="AK2507" s="12">
        <v>21373162</v>
      </c>
      <c r="AL2507" s="12">
        <v>21452743</v>
      </c>
      <c r="AM2507" s="12">
        <v>23129705</v>
      </c>
      <c r="AN2507" s="1070">
        <v>21657866</v>
      </c>
      <c r="AO2507" s="1070">
        <v>22589007</v>
      </c>
      <c r="AP2507" s="1044"/>
    </row>
    <row r="2508" spans="2:42" hidden="1" outlineLevel="1">
      <c r="B2508" s="565">
        <v>3614</v>
      </c>
      <c r="C2508" s="9" t="s">
        <v>760</v>
      </c>
      <c r="D2508" s="9"/>
      <c r="E2508" s="20" t="s">
        <v>138</v>
      </c>
      <c r="F2508" s="20"/>
      <c r="G2508" s="20"/>
      <c r="H2508" s="20"/>
      <c r="I2508" s="20"/>
      <c r="J2508" s="20"/>
      <c r="K2508" s="20"/>
      <c r="L2508" s="20"/>
      <c r="M2508" s="20"/>
      <c r="N2508" s="20"/>
      <c r="O2508" s="20"/>
      <c r="P2508" s="20"/>
      <c r="Q2508" s="20"/>
      <c r="R2508" s="20"/>
      <c r="S2508" s="20"/>
      <c r="T2508" s="20"/>
      <c r="U2508" s="20"/>
      <c r="V2508" s="20"/>
      <c r="W2508" s="20"/>
      <c r="X2508" s="20"/>
      <c r="Y2508" s="12">
        <v>3723171</v>
      </c>
      <c r="Z2508" s="12">
        <v>2360262</v>
      </c>
      <c r="AA2508" s="12">
        <v>3033901</v>
      </c>
      <c r="AB2508" s="12">
        <v>3373893</v>
      </c>
      <c r="AC2508" s="12">
        <v>5532691</v>
      </c>
      <c r="AD2508" s="12">
        <v>4917321</v>
      </c>
      <c r="AE2508" s="12">
        <v>4132832</v>
      </c>
      <c r="AF2508" s="12">
        <v>3719006</v>
      </c>
      <c r="AG2508" s="12">
        <v>5930984</v>
      </c>
      <c r="AH2508" s="12">
        <v>5493939</v>
      </c>
      <c r="AI2508" s="12">
        <v>5130032</v>
      </c>
      <c r="AJ2508" s="12">
        <v>5567283</v>
      </c>
      <c r="AK2508" s="12">
        <v>5566228</v>
      </c>
      <c r="AL2508" s="12">
        <v>9300779</v>
      </c>
      <c r="AM2508" s="12">
        <v>6361957</v>
      </c>
      <c r="AN2508" s="1070">
        <v>6407407</v>
      </c>
      <c r="AO2508" s="1070">
        <v>7556069</v>
      </c>
      <c r="AP2508" s="1044"/>
    </row>
    <row r="2509" spans="2:42" hidden="1" outlineLevel="1">
      <c r="B2509" s="565">
        <v>3626</v>
      </c>
      <c r="C2509" s="9" t="s">
        <v>760</v>
      </c>
      <c r="D2509" s="9"/>
      <c r="E2509" s="20" t="s">
        <v>139</v>
      </c>
      <c r="F2509" s="20"/>
      <c r="G2509" s="20"/>
      <c r="H2509" s="20"/>
      <c r="I2509" s="20"/>
      <c r="J2509" s="20"/>
      <c r="K2509" s="20"/>
      <c r="L2509" s="20"/>
      <c r="M2509" s="20"/>
      <c r="N2509" s="20"/>
      <c r="O2509" s="20"/>
      <c r="P2509" s="20"/>
      <c r="Q2509" s="20"/>
      <c r="R2509" s="20"/>
      <c r="S2509" s="20"/>
      <c r="T2509" s="20"/>
      <c r="U2509" s="20"/>
      <c r="V2509" s="20"/>
      <c r="W2509" s="20"/>
      <c r="X2509" s="20"/>
      <c r="Y2509" s="12">
        <v>26528358</v>
      </c>
      <c r="Z2509" s="12">
        <v>28235712</v>
      </c>
      <c r="AA2509" s="12">
        <v>35771981</v>
      </c>
      <c r="AB2509" s="12">
        <v>37454608</v>
      </c>
      <c r="AC2509" s="12">
        <v>35651135</v>
      </c>
      <c r="AD2509" s="12">
        <v>38918863</v>
      </c>
      <c r="AE2509" s="12">
        <v>41411491</v>
      </c>
      <c r="AF2509" s="12">
        <v>45507326</v>
      </c>
      <c r="AG2509" s="12">
        <v>47961072</v>
      </c>
      <c r="AH2509" s="12">
        <v>50214996</v>
      </c>
      <c r="AI2509" s="12">
        <v>50245813</v>
      </c>
      <c r="AJ2509" s="12">
        <v>49371002</v>
      </c>
      <c r="AK2509" s="12">
        <v>49478068</v>
      </c>
      <c r="AL2509" s="12">
        <v>52482348</v>
      </c>
      <c r="AM2509" s="12">
        <v>54986934</v>
      </c>
      <c r="AN2509" s="1070">
        <v>55145642</v>
      </c>
      <c r="AO2509" s="1070">
        <v>55682936</v>
      </c>
      <c r="AP2509" s="1044"/>
    </row>
    <row r="2510" spans="2:42" hidden="1" outlineLevel="1">
      <c r="B2510" s="565">
        <v>3627</v>
      </c>
      <c r="C2510" s="9" t="s">
        <v>760</v>
      </c>
      <c r="D2510" s="9"/>
      <c r="E2510" s="20" t="s">
        <v>140</v>
      </c>
      <c r="F2510" s="20"/>
      <c r="G2510" s="20"/>
      <c r="H2510" s="20"/>
      <c r="I2510" s="20"/>
      <c r="J2510" s="20"/>
      <c r="K2510" s="20"/>
      <c r="L2510" s="20"/>
      <c r="M2510" s="20"/>
      <c r="N2510" s="20"/>
      <c r="O2510" s="20"/>
      <c r="P2510" s="20"/>
      <c r="Q2510" s="20"/>
      <c r="R2510" s="20"/>
      <c r="S2510" s="20"/>
      <c r="T2510" s="20"/>
      <c r="U2510" s="20"/>
      <c r="V2510" s="20"/>
      <c r="W2510" s="20"/>
      <c r="X2510" s="20"/>
      <c r="Y2510" s="12">
        <v>3625261</v>
      </c>
      <c r="Z2510" s="12">
        <v>4093418</v>
      </c>
      <c r="AA2510" s="12">
        <v>4171186</v>
      </c>
      <c r="AB2510" s="12">
        <v>4662394</v>
      </c>
      <c r="AC2510" s="12">
        <v>6152820</v>
      </c>
      <c r="AD2510" s="12">
        <v>7580630</v>
      </c>
      <c r="AE2510" s="12">
        <v>7747200</v>
      </c>
      <c r="AF2510" s="12">
        <v>9122959</v>
      </c>
      <c r="AG2510" s="12">
        <v>9891698</v>
      </c>
      <c r="AH2510" s="12">
        <v>12584768</v>
      </c>
      <c r="AI2510" s="12">
        <v>12237686</v>
      </c>
      <c r="AJ2510" s="12">
        <v>11467980</v>
      </c>
      <c r="AK2510" s="12">
        <v>10841836</v>
      </c>
      <c r="AL2510" s="12">
        <v>10102218</v>
      </c>
      <c r="AM2510" s="12">
        <v>9504632</v>
      </c>
      <c r="AN2510" s="1070">
        <v>9895666</v>
      </c>
      <c r="AO2510" s="1070">
        <v>11316689</v>
      </c>
      <c r="AP2510" s="1044"/>
    </row>
    <row r="2511" spans="2:42" hidden="1" outlineLevel="1">
      <c r="B2511" s="565">
        <v>3628</v>
      </c>
      <c r="C2511" s="9" t="s">
        <v>760</v>
      </c>
      <c r="D2511" s="9"/>
      <c r="E2511" s="20" t="s">
        <v>141</v>
      </c>
      <c r="F2511" s="20"/>
      <c r="G2511" s="20"/>
      <c r="H2511" s="20"/>
      <c r="I2511" s="20"/>
      <c r="J2511" s="20"/>
      <c r="K2511" s="20"/>
      <c r="L2511" s="20"/>
      <c r="M2511" s="20"/>
      <c r="N2511" s="20"/>
      <c r="O2511" s="20"/>
      <c r="P2511" s="20"/>
      <c r="Q2511" s="20"/>
      <c r="R2511" s="20"/>
      <c r="S2511" s="20"/>
      <c r="T2511" s="20"/>
      <c r="U2511" s="20"/>
      <c r="V2511" s="20"/>
      <c r="W2511" s="20"/>
      <c r="X2511" s="20"/>
      <c r="Y2511" s="12">
        <v>3183710</v>
      </c>
      <c r="Z2511" s="12">
        <v>3457484</v>
      </c>
      <c r="AA2511" s="12">
        <v>3593745</v>
      </c>
      <c r="AB2511" s="12">
        <v>3932661</v>
      </c>
      <c r="AC2511" s="12">
        <v>3843715</v>
      </c>
      <c r="AD2511" s="12">
        <v>3955930</v>
      </c>
      <c r="AE2511" s="12">
        <v>4276800</v>
      </c>
      <c r="AF2511" s="12">
        <v>5208655</v>
      </c>
      <c r="AG2511" s="12">
        <v>3419023</v>
      </c>
      <c r="AH2511" s="12">
        <v>4362146</v>
      </c>
      <c r="AI2511" s="12">
        <v>3726660</v>
      </c>
      <c r="AJ2511" s="12">
        <v>4446599</v>
      </c>
      <c r="AK2511" s="12">
        <v>5442105</v>
      </c>
      <c r="AL2511" s="12">
        <v>5356317</v>
      </c>
      <c r="AM2511" s="12">
        <v>6617193</v>
      </c>
      <c r="AN2511" s="1070">
        <v>5848482</v>
      </c>
      <c r="AO2511" s="1070">
        <v>6173965</v>
      </c>
      <c r="AP2511" s="1044"/>
    </row>
    <row r="2512" spans="2:42" hidden="1" outlineLevel="1">
      <c r="B2512" s="565">
        <v>3643</v>
      </c>
      <c r="C2512" s="9" t="s">
        <v>760</v>
      </c>
      <c r="D2512" s="9"/>
      <c r="E2512" s="20" t="s">
        <v>142</v>
      </c>
      <c r="F2512" s="20"/>
      <c r="G2512" s="20"/>
      <c r="H2512" s="20"/>
      <c r="I2512" s="20"/>
      <c r="J2512" s="20"/>
      <c r="K2512" s="20"/>
      <c r="L2512" s="20"/>
      <c r="M2512" s="20"/>
      <c r="N2512" s="20"/>
      <c r="O2512" s="20"/>
      <c r="P2512" s="20"/>
      <c r="Q2512" s="20"/>
      <c r="R2512" s="20"/>
      <c r="S2512" s="20"/>
      <c r="T2512" s="20"/>
      <c r="U2512" s="20"/>
      <c r="V2512" s="20"/>
      <c r="W2512" s="20"/>
      <c r="X2512" s="20"/>
      <c r="Y2512" s="12">
        <v>6112863</v>
      </c>
      <c r="Z2512" s="12">
        <v>15309239</v>
      </c>
      <c r="AA2512" s="12">
        <v>19399841</v>
      </c>
      <c r="AB2512" s="12">
        <v>23754562</v>
      </c>
      <c r="AC2512" s="12">
        <v>26948039</v>
      </c>
      <c r="AD2512" s="12">
        <v>25917215</v>
      </c>
      <c r="AE2512" s="12">
        <v>26843900</v>
      </c>
      <c r="AF2512" s="12">
        <v>31738816</v>
      </c>
      <c r="AG2512" s="12">
        <v>35737651</v>
      </c>
      <c r="AH2512" s="12">
        <v>32695242</v>
      </c>
      <c r="AI2512" s="12">
        <v>17786278</v>
      </c>
      <c r="AJ2512" s="12">
        <v>11611878</v>
      </c>
      <c r="AK2512" s="12">
        <v>12050358</v>
      </c>
      <c r="AL2512" s="12">
        <v>11871581</v>
      </c>
      <c r="AM2512" s="12">
        <v>12368507</v>
      </c>
      <c r="AN2512" s="1070">
        <v>11764726</v>
      </c>
      <c r="AO2512" s="1070">
        <v>12475770</v>
      </c>
      <c r="AP2512" s="1044"/>
    </row>
    <row r="2513" spans="1:44" hidden="1" outlineLevel="1">
      <c r="B2513" s="565">
        <v>3572</v>
      </c>
      <c r="C2513" s="9" t="s">
        <v>760</v>
      </c>
      <c r="D2513" s="9"/>
      <c r="E2513" s="20" t="s">
        <v>143</v>
      </c>
      <c r="F2513" s="20"/>
      <c r="G2513" s="20"/>
      <c r="H2513" s="20"/>
      <c r="I2513" s="20"/>
      <c r="J2513" s="20"/>
      <c r="K2513" s="20"/>
      <c r="L2513" s="20"/>
      <c r="M2513" s="20"/>
      <c r="N2513" s="20"/>
      <c r="O2513" s="20"/>
      <c r="P2513" s="20"/>
      <c r="Q2513" s="20"/>
      <c r="R2513" s="20"/>
      <c r="S2513" s="20"/>
      <c r="T2513" s="20"/>
      <c r="U2513" s="20"/>
      <c r="V2513" s="20"/>
      <c r="W2513" s="20"/>
      <c r="X2513" s="20"/>
      <c r="Y2513" s="12">
        <v>2546496</v>
      </c>
      <c r="Z2513" s="12">
        <v>3290105</v>
      </c>
      <c r="AA2513" s="12">
        <v>3321684</v>
      </c>
      <c r="AB2513" s="12">
        <v>3496499</v>
      </c>
      <c r="AC2513" s="12">
        <v>3512598</v>
      </c>
      <c r="AD2513" s="12">
        <v>3691258</v>
      </c>
      <c r="AE2513" s="12">
        <v>4098524</v>
      </c>
      <c r="AF2513" s="12">
        <v>4824036</v>
      </c>
      <c r="AG2513" s="12">
        <v>6393018</v>
      </c>
      <c r="AH2513" s="12">
        <v>6697098</v>
      </c>
      <c r="AI2513" s="12">
        <v>6681563</v>
      </c>
      <c r="AJ2513" s="12">
        <v>6678354</v>
      </c>
      <c r="AK2513" s="12">
        <v>6620064</v>
      </c>
      <c r="AL2513" s="12">
        <v>7075713</v>
      </c>
      <c r="AM2513" s="12">
        <v>7786852</v>
      </c>
      <c r="AN2513" s="1070">
        <v>7768319</v>
      </c>
      <c r="AO2513" s="1070">
        <v>7249164</v>
      </c>
      <c r="AP2513" s="1044"/>
    </row>
    <row r="2514" spans="1:44" hidden="1" outlineLevel="1">
      <c r="B2514" s="565">
        <v>3648</v>
      </c>
      <c r="C2514" s="9" t="s">
        <v>760</v>
      </c>
      <c r="D2514" s="9"/>
      <c r="E2514" s="20" t="s">
        <v>144</v>
      </c>
      <c r="F2514" s="20"/>
      <c r="G2514" s="20"/>
      <c r="H2514" s="20"/>
      <c r="I2514" s="20"/>
      <c r="J2514" s="20"/>
      <c r="K2514" s="20"/>
      <c r="L2514" s="20"/>
      <c r="M2514" s="20"/>
      <c r="N2514" s="20"/>
      <c r="O2514" s="20"/>
      <c r="P2514" s="20"/>
      <c r="Q2514" s="20"/>
      <c r="R2514" s="20"/>
      <c r="S2514" s="20"/>
      <c r="T2514" s="20"/>
      <c r="U2514" s="20"/>
      <c r="V2514" s="20"/>
      <c r="W2514" s="20"/>
      <c r="X2514" s="20"/>
      <c r="Y2514" s="12">
        <v>7879631</v>
      </c>
      <c r="Z2514" s="12">
        <v>9515381</v>
      </c>
      <c r="AA2514" s="12">
        <v>10595736</v>
      </c>
      <c r="AB2514" s="12">
        <v>10977104</v>
      </c>
      <c r="AC2514" s="12">
        <v>11730292</v>
      </c>
      <c r="AD2514" s="12">
        <v>12617864</v>
      </c>
      <c r="AE2514" s="12">
        <v>14089899</v>
      </c>
      <c r="AF2514" s="12">
        <v>13604236</v>
      </c>
      <c r="AG2514" s="12">
        <v>10816884</v>
      </c>
      <c r="AH2514" s="12">
        <v>12266066</v>
      </c>
      <c r="AI2514" s="12">
        <v>13880102</v>
      </c>
      <c r="AJ2514" s="12">
        <v>12241079</v>
      </c>
      <c r="AK2514" s="12">
        <v>14977980</v>
      </c>
      <c r="AL2514" s="12">
        <v>16754371</v>
      </c>
      <c r="AM2514" s="12">
        <v>20240101</v>
      </c>
      <c r="AN2514" s="1070">
        <v>19825016</v>
      </c>
      <c r="AO2514" s="1070">
        <v>21843430</v>
      </c>
      <c r="AP2514" s="1044"/>
    </row>
    <row r="2515" spans="1:44" hidden="1" outlineLevel="1">
      <c r="B2515" s="565">
        <v>10060</v>
      </c>
      <c r="C2515" s="9" t="s">
        <v>760</v>
      </c>
      <c r="D2515" s="9"/>
      <c r="E2515" s="20" t="s">
        <v>145</v>
      </c>
      <c r="F2515" s="20"/>
      <c r="G2515" s="20"/>
      <c r="H2515" s="20"/>
      <c r="I2515" s="20"/>
      <c r="J2515" s="20"/>
      <c r="K2515" s="20"/>
      <c r="L2515" s="20"/>
      <c r="M2515" s="20"/>
      <c r="N2515" s="20"/>
      <c r="O2515" s="20"/>
      <c r="P2515" s="20"/>
      <c r="Q2515" s="20"/>
      <c r="R2515" s="20"/>
      <c r="S2515" s="20"/>
      <c r="T2515" s="20"/>
      <c r="U2515" s="20"/>
      <c r="V2515" s="20"/>
      <c r="W2515" s="20"/>
      <c r="X2515" s="20"/>
      <c r="Y2515" s="12">
        <v>1697829</v>
      </c>
      <c r="Z2515" s="12">
        <v>2822103</v>
      </c>
      <c r="AA2515" s="12">
        <v>1720209</v>
      </c>
      <c r="AB2515" s="12">
        <v>1987464</v>
      </c>
      <c r="AC2515" s="12">
        <v>2198299</v>
      </c>
      <c r="AD2515" s="12">
        <v>1860137</v>
      </c>
      <c r="AE2515" s="12">
        <v>3330972</v>
      </c>
      <c r="AF2515" s="12">
        <v>3466174</v>
      </c>
      <c r="AG2515" s="12">
        <v>3639368</v>
      </c>
      <c r="AH2515" s="12">
        <v>3486551</v>
      </c>
      <c r="AI2515" s="12">
        <v>4662544</v>
      </c>
      <c r="AJ2515" s="12">
        <v>4880953</v>
      </c>
      <c r="AK2515" s="12">
        <v>4864086</v>
      </c>
      <c r="AL2515" s="12">
        <v>4589733</v>
      </c>
      <c r="AM2515" s="12">
        <v>4919921</v>
      </c>
      <c r="AN2515" s="1070">
        <v>5183006</v>
      </c>
      <c r="AO2515" s="1070">
        <v>4886531</v>
      </c>
      <c r="AP2515" s="1044"/>
    </row>
    <row r="2516" spans="1:44" hidden="1" outlineLevel="1">
      <c r="B2516" s="565">
        <v>3662</v>
      </c>
      <c r="C2516" s="9" t="s">
        <v>760</v>
      </c>
      <c r="D2516" s="9"/>
      <c r="E2516" s="20" t="s">
        <v>146</v>
      </c>
      <c r="F2516" s="20"/>
      <c r="G2516" s="20"/>
      <c r="H2516" s="20"/>
      <c r="I2516" s="20"/>
      <c r="J2516" s="20"/>
      <c r="K2516" s="20"/>
      <c r="L2516" s="20"/>
      <c r="M2516" s="20"/>
      <c r="N2516" s="20"/>
      <c r="O2516" s="20"/>
      <c r="P2516" s="20"/>
      <c r="Q2516" s="20"/>
      <c r="R2516" s="20"/>
      <c r="S2516" s="20"/>
      <c r="T2516" s="20"/>
      <c r="U2516" s="20"/>
      <c r="V2516" s="20"/>
      <c r="W2516" s="20"/>
      <c r="X2516" s="20"/>
      <c r="Y2516" s="12">
        <v>3111916</v>
      </c>
      <c r="Z2516" s="12">
        <v>3629253</v>
      </c>
      <c r="AA2516" s="12">
        <v>3554649</v>
      </c>
      <c r="AB2516" s="12">
        <v>3821570</v>
      </c>
      <c r="AC2516" s="12">
        <v>4205681</v>
      </c>
      <c r="AD2516" s="12">
        <v>4767400</v>
      </c>
      <c r="AE2516" s="12">
        <v>5124589</v>
      </c>
      <c r="AF2516" s="12">
        <v>8047030</v>
      </c>
      <c r="AG2516" s="12">
        <v>8571347</v>
      </c>
      <c r="AH2516" s="12">
        <v>9631402</v>
      </c>
      <c r="AI2516" s="12">
        <v>8934439</v>
      </c>
      <c r="AJ2516" s="12">
        <v>9344057</v>
      </c>
      <c r="AK2516" s="12">
        <v>9477859</v>
      </c>
      <c r="AL2516" s="12">
        <v>9440784</v>
      </c>
      <c r="AM2516" s="12">
        <v>9480754</v>
      </c>
      <c r="AN2516" s="1070">
        <v>9661710</v>
      </c>
      <c r="AO2516" s="1070">
        <v>9312815</v>
      </c>
      <c r="AP2516" s="1044"/>
    </row>
    <row r="2517" spans="1:44" hidden="1" outlineLevel="1">
      <c r="B2517" s="565">
        <v>3664</v>
      </c>
      <c r="C2517" s="9" t="s">
        <v>760</v>
      </c>
      <c r="D2517" s="9"/>
      <c r="E2517" s="20" t="s">
        <v>147</v>
      </c>
      <c r="F2517" s="20"/>
      <c r="G2517" s="20"/>
      <c r="H2517" s="20"/>
      <c r="I2517" s="20"/>
      <c r="J2517" s="20"/>
      <c r="K2517" s="20"/>
      <c r="L2517" s="20"/>
      <c r="M2517" s="20"/>
      <c r="N2517" s="20"/>
      <c r="O2517" s="20"/>
      <c r="P2517" s="20"/>
      <c r="Q2517" s="20"/>
      <c r="R2517" s="20"/>
      <c r="S2517" s="20"/>
      <c r="T2517" s="20"/>
      <c r="U2517" s="20"/>
      <c r="V2517" s="20"/>
      <c r="W2517" s="20"/>
      <c r="X2517" s="20"/>
      <c r="Y2517" s="12">
        <v>3419230</v>
      </c>
      <c r="Z2517" s="12">
        <v>3861632</v>
      </c>
      <c r="AA2517" s="12">
        <v>4640867</v>
      </c>
      <c r="AB2517" s="12">
        <v>5080185</v>
      </c>
      <c r="AC2517" s="12">
        <v>5330137</v>
      </c>
      <c r="AD2517" s="12">
        <v>5728458</v>
      </c>
      <c r="AE2517" s="12">
        <v>6146224</v>
      </c>
      <c r="AF2517" s="12">
        <v>7136544</v>
      </c>
      <c r="AG2517" s="12">
        <v>7269577</v>
      </c>
      <c r="AH2517" s="12">
        <v>7136957</v>
      </c>
      <c r="AI2517" s="12">
        <v>6973854</v>
      </c>
      <c r="AJ2517" s="12">
        <v>7603769</v>
      </c>
      <c r="AK2517" s="12">
        <v>7736630</v>
      </c>
      <c r="AL2517" s="12">
        <v>8101146</v>
      </c>
      <c r="AM2517" s="12">
        <v>8189674</v>
      </c>
      <c r="AN2517" s="1070">
        <v>9009931</v>
      </c>
      <c r="AO2517" s="1070">
        <v>8803947</v>
      </c>
      <c r="AP2517" s="1044"/>
    </row>
    <row r="2518" spans="1:44" hidden="1" outlineLevel="1">
      <c r="B2518" s="565">
        <v>9549</v>
      </c>
      <c r="C2518" s="9" t="s">
        <v>760</v>
      </c>
      <c r="D2518" s="9"/>
      <c r="E2518" s="20" t="s">
        <v>148</v>
      </c>
      <c r="F2518" s="20"/>
      <c r="G2518" s="20"/>
      <c r="H2518" s="20"/>
      <c r="I2518" s="20"/>
      <c r="J2518" s="20"/>
      <c r="K2518" s="20"/>
      <c r="L2518" s="20"/>
      <c r="M2518" s="20"/>
      <c r="N2518" s="20"/>
      <c r="O2518" s="20"/>
      <c r="P2518" s="20"/>
      <c r="Q2518" s="20"/>
      <c r="R2518" s="20"/>
      <c r="S2518" s="20"/>
      <c r="T2518" s="20"/>
      <c r="U2518" s="20"/>
      <c r="V2518" s="20"/>
      <c r="W2518" s="20"/>
      <c r="X2518" s="20"/>
      <c r="Y2518" s="12">
        <v>910491</v>
      </c>
      <c r="Z2518" s="12">
        <v>795943</v>
      </c>
      <c r="AA2518" s="12">
        <v>1266314</v>
      </c>
      <c r="AB2518" s="12">
        <v>1728836</v>
      </c>
      <c r="AC2518" s="12">
        <v>2087627</v>
      </c>
      <c r="AD2518" s="12">
        <v>2211612</v>
      </c>
      <c r="AE2518" s="12">
        <v>2685383</v>
      </c>
      <c r="AF2518" s="12">
        <v>2758218</v>
      </c>
      <c r="AG2518" s="12">
        <v>2643162</v>
      </c>
      <c r="AH2518" s="12">
        <v>2951458</v>
      </c>
      <c r="AI2518" s="12">
        <v>3268729</v>
      </c>
      <c r="AJ2518" s="12">
        <v>2858004</v>
      </c>
      <c r="AK2518" s="12">
        <v>3135282</v>
      </c>
      <c r="AL2518" s="12">
        <v>3474216</v>
      </c>
      <c r="AM2518" s="12">
        <v>3672916</v>
      </c>
      <c r="AN2518" s="1070">
        <v>4192686</v>
      </c>
      <c r="AO2518" s="1070">
        <v>3962951</v>
      </c>
      <c r="AP2518" s="1044"/>
    </row>
    <row r="2519" spans="1:44" hidden="1" outlineLevel="1">
      <c r="B2519" s="565">
        <v>3668</v>
      </c>
      <c r="C2519" s="9" t="s">
        <v>760</v>
      </c>
      <c r="D2519" s="9"/>
      <c r="E2519" s="20" t="s">
        <v>149</v>
      </c>
      <c r="F2519" s="20"/>
      <c r="G2519" s="20"/>
      <c r="H2519" s="20"/>
      <c r="I2519" s="20"/>
      <c r="J2519" s="20"/>
      <c r="K2519" s="20"/>
      <c r="L2519" s="20"/>
      <c r="M2519" s="20"/>
      <c r="N2519" s="20"/>
      <c r="O2519" s="20"/>
      <c r="P2519" s="20"/>
      <c r="Q2519" s="20"/>
      <c r="R2519" s="20"/>
      <c r="S2519" s="20"/>
      <c r="T2519" s="20"/>
      <c r="U2519" s="20"/>
      <c r="V2519" s="20"/>
      <c r="W2519" s="20"/>
      <c r="X2519" s="20"/>
      <c r="Y2519" s="12">
        <v>7750969</v>
      </c>
      <c r="Z2519" s="12">
        <v>9841094</v>
      </c>
      <c r="AA2519" s="12">
        <v>10415632</v>
      </c>
      <c r="AB2519" s="12">
        <v>10484524</v>
      </c>
      <c r="AC2519" s="12">
        <v>10962280</v>
      </c>
      <c r="AD2519" s="12">
        <v>11119680</v>
      </c>
      <c r="AE2519" s="12">
        <v>11945067</v>
      </c>
      <c r="AF2519" s="12">
        <v>14300266</v>
      </c>
      <c r="AG2519" s="12">
        <v>14973643</v>
      </c>
      <c r="AH2519" s="12">
        <v>16572420</v>
      </c>
      <c r="AI2519" s="12">
        <v>18007715</v>
      </c>
      <c r="AJ2519" s="12">
        <v>18656456</v>
      </c>
      <c r="AK2519" s="12">
        <v>18985613</v>
      </c>
      <c r="AL2519" s="12">
        <v>19442839</v>
      </c>
      <c r="AM2519" s="12">
        <v>19536140</v>
      </c>
      <c r="AN2519" s="1070">
        <v>19137107</v>
      </c>
      <c r="AO2519" s="1070">
        <v>19100874</v>
      </c>
      <c r="AP2519" s="1044"/>
      <c r="AR2519" s="218"/>
    </row>
    <row r="2520" spans="1:44" s="218" customFormat="1" hidden="1" outlineLevel="1">
      <c r="B2520" s="565"/>
      <c r="C2520" s="9" t="s">
        <v>760</v>
      </c>
      <c r="D2520" s="9"/>
      <c r="E2520" s="27" t="s">
        <v>1524</v>
      </c>
      <c r="F2520" s="20"/>
      <c r="G2520" s="20"/>
      <c r="H2520" s="20"/>
      <c r="I2520" s="20"/>
      <c r="J2520" s="20"/>
      <c r="K2520" s="20"/>
      <c r="L2520" s="20"/>
      <c r="M2520" s="20"/>
      <c r="N2520" s="20"/>
      <c r="O2520" s="20"/>
      <c r="P2520" s="20"/>
      <c r="Q2520" s="20"/>
      <c r="R2520" s="20"/>
      <c r="S2520" s="20"/>
      <c r="T2520" s="20"/>
      <c r="U2520" s="20"/>
      <c r="V2520" s="20"/>
      <c r="W2520" s="20"/>
      <c r="X2520" s="20"/>
      <c r="Y2520" s="34">
        <f t="shared" ref="Y2520:AI2520" si="478">SUM(Y2470:Y2519)</f>
        <v>420991740</v>
      </c>
      <c r="Z2520" s="34">
        <f t="shared" si="478"/>
        <v>501847983</v>
      </c>
      <c r="AA2520" s="34">
        <f t="shared" si="478"/>
        <v>537705287</v>
      </c>
      <c r="AB2520" s="34">
        <f t="shared" si="478"/>
        <v>578450622</v>
      </c>
      <c r="AC2520" s="34">
        <f t="shared" si="478"/>
        <v>623801785</v>
      </c>
      <c r="AD2520" s="34">
        <f t="shared" si="478"/>
        <v>658774888</v>
      </c>
      <c r="AE2520" s="34">
        <f t="shared" si="478"/>
        <v>709482206</v>
      </c>
      <c r="AF2520" s="34">
        <f t="shared" si="478"/>
        <v>761496315</v>
      </c>
      <c r="AG2520" s="34">
        <f t="shared" si="478"/>
        <v>789711222</v>
      </c>
      <c r="AH2520" s="34">
        <f t="shared" si="478"/>
        <v>853892840</v>
      </c>
      <c r="AI2520" s="34">
        <f t="shared" si="478"/>
        <v>859657936</v>
      </c>
      <c r="AJ2520" s="34">
        <f t="shared" ref="AJ2520:AM2520" si="479">SUM(AJ2470:AJ2519)</f>
        <v>843763326</v>
      </c>
      <c r="AK2520" s="34">
        <f t="shared" si="479"/>
        <v>888385216</v>
      </c>
      <c r="AL2520" s="34">
        <f t="shared" si="479"/>
        <v>929754245</v>
      </c>
      <c r="AM2520" s="1073">
        <f t="shared" si="479"/>
        <v>957927913</v>
      </c>
      <c r="AN2520" s="1073">
        <f t="shared" ref="AN2520:AO2520" si="480">SUM(AN2470:AN2519)</f>
        <v>942493523</v>
      </c>
      <c r="AO2520" s="1073">
        <f t="shared" si="480"/>
        <v>969921030</v>
      </c>
    </row>
    <row r="2521" spans="1:44" s="66" customFormat="1" hidden="1" outlineLevel="1">
      <c r="B2521" s="575"/>
      <c r="C2521" s="1051"/>
      <c r="D2521" s="1051"/>
      <c r="E2521" s="968" t="s">
        <v>2060</v>
      </c>
      <c r="F2521" s="968"/>
      <c r="G2521" s="968"/>
      <c r="H2521" s="968"/>
      <c r="I2521" s="968"/>
      <c r="J2521" s="968"/>
      <c r="K2521" s="968"/>
      <c r="L2521" s="968"/>
      <c r="M2521" s="968"/>
      <c r="N2521" s="968"/>
      <c r="O2521" s="968"/>
      <c r="P2521" s="968"/>
      <c r="Q2521" s="968"/>
      <c r="R2521" s="968"/>
      <c r="S2521" s="968"/>
      <c r="T2521" s="968"/>
      <c r="U2521" s="968"/>
      <c r="V2521" s="968"/>
      <c r="W2521" s="968"/>
      <c r="X2521" s="968"/>
      <c r="Y2521" s="1073"/>
      <c r="Z2521" s="1073"/>
      <c r="AA2521" s="1073"/>
      <c r="AB2521" s="1073"/>
      <c r="AC2521" s="1073"/>
      <c r="AD2521" s="1073"/>
      <c r="AE2521" s="1073"/>
      <c r="AF2521" s="1073"/>
      <c r="AG2521" s="1073"/>
      <c r="AH2521" s="1073"/>
      <c r="AI2521" s="1073"/>
      <c r="AJ2521" s="1073"/>
      <c r="AK2521" s="1073"/>
      <c r="AL2521" s="1073"/>
      <c r="AM2521" s="1073"/>
      <c r="AN2521" s="1198">
        <v>0.86020059417221573</v>
      </c>
      <c r="AO2521" s="1182">
        <v>0.86834097155848988</v>
      </c>
      <c r="AR2521" s="218"/>
    </row>
    <row r="2522" spans="1:44" s="66" customFormat="1" hidden="1" outlineLevel="1">
      <c r="B2522" s="575"/>
      <c r="C2522" s="1051"/>
      <c r="D2522" s="1051"/>
      <c r="E2522" s="968" t="s">
        <v>2061</v>
      </c>
      <c r="F2522" s="968"/>
      <c r="G2522" s="968"/>
      <c r="H2522" s="968"/>
      <c r="I2522" s="968"/>
      <c r="J2522" s="968"/>
      <c r="K2522" s="968"/>
      <c r="L2522" s="968"/>
      <c r="M2522" s="968"/>
      <c r="N2522" s="968"/>
      <c r="O2522" s="968"/>
      <c r="P2522" s="968"/>
      <c r="Q2522" s="968"/>
      <c r="R2522" s="968"/>
      <c r="S2522" s="968"/>
      <c r="T2522" s="968"/>
      <c r="U2522" s="968"/>
      <c r="V2522" s="968"/>
      <c r="W2522" s="968"/>
      <c r="X2522" s="968"/>
      <c r="Y2522" s="1073"/>
      <c r="Z2522" s="1073"/>
      <c r="AA2522" s="1073"/>
      <c r="AB2522" s="1073"/>
      <c r="AC2522" s="1073"/>
      <c r="AD2522" s="1073"/>
      <c r="AE2522" s="1073"/>
      <c r="AF2522" s="1073"/>
      <c r="AG2522" s="1073"/>
      <c r="AH2522" s="1073"/>
      <c r="AI2522" s="1073"/>
      <c r="AJ2522" s="1073"/>
      <c r="AK2522" s="1073"/>
      <c r="AL2522" s="1073"/>
      <c r="AM2522" s="1073"/>
      <c r="AN2522" s="1198">
        <v>0.13979940582778425</v>
      </c>
      <c r="AO2522" s="1182">
        <v>0.13165902844151026</v>
      </c>
      <c r="AR2522" s="218"/>
    </row>
    <row r="2523" spans="1:44" s="66" customFormat="1" hidden="1" outlineLevel="1">
      <c r="B2523" s="575"/>
      <c r="C2523" s="1051"/>
      <c r="D2523" s="1051"/>
      <c r="E2523" s="968" t="s">
        <v>2058</v>
      </c>
      <c r="F2523" s="968"/>
      <c r="G2523" s="968"/>
      <c r="H2523" s="968"/>
      <c r="I2523" s="968"/>
      <c r="J2523" s="968"/>
      <c r="K2523" s="968"/>
      <c r="L2523" s="968"/>
      <c r="M2523" s="968"/>
      <c r="N2523" s="968"/>
      <c r="O2523" s="968"/>
      <c r="P2523" s="968"/>
      <c r="Q2523" s="968"/>
      <c r="R2523" s="968"/>
      <c r="S2523" s="968"/>
      <c r="T2523" s="968"/>
      <c r="U2523" s="968"/>
      <c r="V2523" s="968"/>
      <c r="W2523" s="968"/>
      <c r="X2523" s="968"/>
      <c r="Y2523" s="1073"/>
      <c r="Z2523" s="1073"/>
      <c r="AA2523" s="1073"/>
      <c r="AB2523" s="1073"/>
      <c r="AC2523" s="1073"/>
      <c r="AD2523" s="1073"/>
      <c r="AE2523" s="1073"/>
      <c r="AF2523" s="1073"/>
      <c r="AG2523" s="1073"/>
      <c r="AH2523" s="1073"/>
      <c r="AI2523" s="1073"/>
      <c r="AJ2523" s="1073"/>
      <c r="AK2523" s="1073"/>
      <c r="AL2523" s="1073"/>
      <c r="AM2523" s="1073"/>
      <c r="AN2523" s="1072">
        <f>ROUND(AN2521*AN2520,0)</f>
        <v>810733488</v>
      </c>
      <c r="AO2523" s="1073">
        <f>ROUND(AO2521*AO2520,0)</f>
        <v>842222170</v>
      </c>
      <c r="AR2523" s="218"/>
    </row>
    <row r="2524" spans="1:44" s="66" customFormat="1" hidden="1" outlineLevel="1">
      <c r="B2524" s="575"/>
      <c r="C2524" s="1051"/>
      <c r="D2524" s="1051"/>
      <c r="E2524" s="968" t="s">
        <v>2059</v>
      </c>
      <c r="F2524" s="968"/>
      <c r="G2524" s="968"/>
      <c r="H2524" s="968"/>
      <c r="I2524" s="968"/>
      <c r="J2524" s="968"/>
      <c r="K2524" s="968"/>
      <c r="L2524" s="968"/>
      <c r="M2524" s="968"/>
      <c r="N2524" s="968"/>
      <c r="O2524" s="968"/>
      <c r="P2524" s="968"/>
      <c r="Q2524" s="968"/>
      <c r="R2524" s="968"/>
      <c r="S2524" s="968"/>
      <c r="T2524" s="968"/>
      <c r="U2524" s="968"/>
      <c r="V2524" s="968"/>
      <c r="W2524" s="968"/>
      <c r="X2524" s="968"/>
      <c r="Y2524" s="1073"/>
      <c r="Z2524" s="1073"/>
      <c r="AA2524" s="1073"/>
      <c r="AB2524" s="1073"/>
      <c r="AC2524" s="1073"/>
      <c r="AD2524" s="1073"/>
      <c r="AE2524" s="1073"/>
      <c r="AF2524" s="1073"/>
      <c r="AG2524" s="1073"/>
      <c r="AH2524" s="1073"/>
      <c r="AI2524" s="1073"/>
      <c r="AJ2524" s="1073"/>
      <c r="AK2524" s="1073"/>
      <c r="AL2524" s="1073"/>
      <c r="AM2524" s="1073"/>
      <c r="AN2524" s="1072">
        <f>ROUND(AN2522*AN2520,0)</f>
        <v>131760035</v>
      </c>
      <c r="AO2524" s="1073">
        <f>ROUND(AO2522*AO2520,0)</f>
        <v>127698860</v>
      </c>
      <c r="AR2524"/>
    </row>
    <row r="2525" spans="1:44" collapsed="1">
      <c r="C2525" s="25" t="s">
        <v>1577</v>
      </c>
      <c r="D2525" s="25"/>
      <c r="E2525" s="6"/>
      <c r="F2525" s="6"/>
      <c r="G2525" s="6"/>
      <c r="H2525" s="6"/>
      <c r="I2525" s="6"/>
      <c r="J2525" s="6"/>
      <c r="K2525" s="6"/>
      <c r="L2525" s="6"/>
      <c r="M2525" s="6"/>
      <c r="N2525" s="6"/>
      <c r="O2525" s="6"/>
      <c r="P2525" s="6"/>
      <c r="Q2525" s="6"/>
      <c r="R2525" s="6"/>
      <c r="S2525" s="6"/>
      <c r="T2525" s="6"/>
      <c r="U2525" s="6"/>
      <c r="V2525" s="6"/>
      <c r="W2525" s="6"/>
      <c r="X2525" s="6"/>
      <c r="Y2525" s="6"/>
      <c r="Z2525" s="6"/>
      <c r="AA2525" s="6"/>
      <c r="AB2525" s="7"/>
      <c r="AC2525" s="7"/>
      <c r="AD2525" s="7"/>
      <c r="AE2525" s="7"/>
      <c r="AF2525" s="7"/>
      <c r="AG2525" s="7"/>
      <c r="AH2525" s="61"/>
      <c r="AI2525" s="61"/>
      <c r="AJ2525" s="26"/>
      <c r="AK2525" s="26"/>
      <c r="AL2525" s="26"/>
      <c r="AM2525" s="26"/>
      <c r="AN2525" s="26"/>
      <c r="AO2525" s="1069"/>
      <c r="AP2525" s="1044"/>
      <c r="AR2525" s="218"/>
    </row>
    <row r="2526" spans="1:44" s="218" customFormat="1" hidden="1" outlineLevel="1">
      <c r="A2526" s="218">
        <v>490</v>
      </c>
      <c r="B2526" s="565">
        <v>36273</v>
      </c>
      <c r="C2526" s="9" t="s">
        <v>760</v>
      </c>
      <c r="D2526" s="9"/>
      <c r="E2526" s="224" t="s">
        <v>739</v>
      </c>
      <c r="F2526" s="20"/>
      <c r="G2526" s="20"/>
      <c r="H2526" s="20"/>
      <c r="I2526" s="20"/>
      <c r="J2526" s="20"/>
      <c r="K2526" s="20"/>
      <c r="L2526" s="20"/>
      <c r="M2526" s="20"/>
      <c r="N2526" s="20"/>
      <c r="O2526" s="20"/>
      <c r="P2526" s="20"/>
      <c r="Q2526" s="20"/>
      <c r="R2526" s="20"/>
      <c r="S2526" s="20"/>
      <c r="T2526" s="20"/>
      <c r="U2526" s="20"/>
      <c r="V2526" s="20"/>
      <c r="W2526" s="20"/>
      <c r="X2526" s="20"/>
      <c r="Y2526" s="20"/>
      <c r="Z2526" s="20"/>
      <c r="AA2526" s="20"/>
      <c r="AB2526" s="12">
        <v>6446206</v>
      </c>
      <c r="AC2526" s="12">
        <v>6446206</v>
      </c>
      <c r="AD2526" s="12">
        <v>6446206</v>
      </c>
      <c r="AE2526" s="12">
        <v>6446206</v>
      </c>
      <c r="AF2526" s="12">
        <v>7903851</v>
      </c>
      <c r="AG2526" s="12">
        <v>7094140</v>
      </c>
      <c r="AH2526" s="12">
        <v>7306446</v>
      </c>
      <c r="AI2526" s="14">
        <v>7664409</v>
      </c>
      <c r="AJ2526" s="14">
        <v>6402790</v>
      </c>
      <c r="AK2526" s="14">
        <v>5958448</v>
      </c>
      <c r="AL2526" s="14">
        <v>6133378</v>
      </c>
      <c r="AM2526" s="14">
        <v>6207263</v>
      </c>
      <c r="AN2526" s="1071">
        <v>6355452</v>
      </c>
      <c r="AO2526" s="1071">
        <v>7187488</v>
      </c>
    </row>
    <row r="2527" spans="1:44" s="218" customFormat="1" hidden="1" outlineLevel="1">
      <c r="A2527" s="218">
        <v>500</v>
      </c>
      <c r="B2527" s="565">
        <v>23582</v>
      </c>
      <c r="C2527" s="9" t="s">
        <v>760</v>
      </c>
      <c r="D2527" s="9"/>
      <c r="E2527" s="224" t="s">
        <v>1382</v>
      </c>
      <c r="F2527" s="20"/>
      <c r="G2527" s="20"/>
      <c r="H2527" s="20"/>
      <c r="I2527" s="20"/>
      <c r="J2527" s="20"/>
      <c r="K2527" s="20"/>
      <c r="L2527" s="20"/>
      <c r="M2527" s="20"/>
      <c r="N2527" s="20"/>
      <c r="O2527" s="20"/>
      <c r="P2527" s="20"/>
      <c r="Q2527" s="20"/>
      <c r="R2527" s="20"/>
      <c r="S2527" s="20"/>
      <c r="T2527" s="20"/>
      <c r="U2527" s="20"/>
      <c r="V2527" s="20"/>
      <c r="W2527" s="20"/>
      <c r="X2527" s="20"/>
      <c r="Y2527" s="20"/>
      <c r="Z2527" s="20"/>
      <c r="AA2527" s="20"/>
      <c r="AB2527" s="12">
        <v>3096030</v>
      </c>
      <c r="AC2527" s="12">
        <v>3096030</v>
      </c>
      <c r="AD2527" s="12">
        <v>3096030</v>
      </c>
      <c r="AE2527" s="12">
        <v>3096030</v>
      </c>
      <c r="AF2527" s="12">
        <v>4032168</v>
      </c>
      <c r="AG2527" s="12">
        <v>4598502</v>
      </c>
      <c r="AH2527" s="12">
        <v>4240267</v>
      </c>
      <c r="AI2527" s="14">
        <v>4298956</v>
      </c>
      <c r="AJ2527" s="14">
        <v>4143798</v>
      </c>
      <c r="AK2527" s="14">
        <v>4425906</v>
      </c>
      <c r="AL2527" s="14">
        <v>4327557</v>
      </c>
      <c r="AM2527" s="14">
        <v>4853763</v>
      </c>
      <c r="AN2527" s="1071">
        <v>4626454</v>
      </c>
      <c r="AO2527" s="1071">
        <v>5199475</v>
      </c>
    </row>
    <row r="2528" spans="1:44" s="218" customFormat="1" hidden="1" outlineLevel="1">
      <c r="A2528" s="218">
        <v>510</v>
      </c>
      <c r="B2528" s="565">
        <v>23485</v>
      </c>
      <c r="C2528" s="9" t="s">
        <v>760</v>
      </c>
      <c r="D2528" s="9"/>
      <c r="E2528" s="224" t="s">
        <v>1383</v>
      </c>
      <c r="F2528" s="20"/>
      <c r="G2528" s="20"/>
      <c r="H2528" s="20"/>
      <c r="I2528" s="20"/>
      <c r="J2528" s="20"/>
      <c r="K2528" s="20"/>
      <c r="L2528" s="20"/>
      <c r="M2528" s="20"/>
      <c r="N2528" s="20"/>
      <c r="O2528" s="20"/>
      <c r="P2528" s="20"/>
      <c r="Q2528" s="20"/>
      <c r="R2528" s="20"/>
      <c r="S2528" s="20"/>
      <c r="T2528" s="20"/>
      <c r="U2528" s="20"/>
      <c r="V2528" s="20"/>
      <c r="W2528" s="20"/>
      <c r="X2528" s="20"/>
      <c r="Y2528" s="20"/>
      <c r="Z2528" s="20"/>
      <c r="AA2528" s="20"/>
      <c r="AB2528" s="12">
        <v>3082402</v>
      </c>
      <c r="AC2528" s="12">
        <v>3082402</v>
      </c>
      <c r="AD2528" s="12">
        <v>3082402</v>
      </c>
      <c r="AE2528" s="12">
        <v>3082402</v>
      </c>
      <c r="AF2528" s="12">
        <v>3884913</v>
      </c>
      <c r="AG2528" s="12">
        <v>5016984</v>
      </c>
      <c r="AH2528" s="12">
        <v>4647270</v>
      </c>
      <c r="AI2528" s="14">
        <v>5086397</v>
      </c>
      <c r="AJ2528" s="14">
        <v>4286938</v>
      </c>
      <c r="AK2528" s="14">
        <v>4122726</v>
      </c>
      <c r="AL2528" s="14">
        <v>3875344</v>
      </c>
      <c r="AM2528" s="14">
        <v>4436598</v>
      </c>
      <c r="AN2528" s="1071">
        <v>4660452</v>
      </c>
      <c r="AO2528" s="1071">
        <v>6472716</v>
      </c>
    </row>
    <row r="2529" spans="1:44" s="218" customFormat="1" hidden="1" outlineLevel="1">
      <c r="A2529" s="218">
        <v>520</v>
      </c>
      <c r="B2529" s="565">
        <v>9225</v>
      </c>
      <c r="C2529" s="9" t="s">
        <v>760</v>
      </c>
      <c r="D2529" s="9"/>
      <c r="E2529" s="224" t="s">
        <v>1532</v>
      </c>
      <c r="F2529" s="20"/>
      <c r="G2529" s="20"/>
      <c r="H2529" s="20"/>
      <c r="I2529" s="20"/>
      <c r="J2529" s="20"/>
      <c r="K2529" s="20"/>
      <c r="L2529" s="20"/>
      <c r="M2529" s="20"/>
      <c r="N2529" s="20"/>
      <c r="O2529" s="20"/>
      <c r="P2529" s="20"/>
      <c r="Q2529" s="20"/>
      <c r="R2529" s="20"/>
      <c r="S2529" s="20"/>
      <c r="T2529" s="20"/>
      <c r="U2529" s="20"/>
      <c r="V2529" s="20"/>
      <c r="W2529" s="20"/>
      <c r="X2529" s="20"/>
      <c r="Y2529" s="20"/>
      <c r="Z2529" s="20"/>
      <c r="AA2529" s="20"/>
      <c r="AB2529" s="12">
        <v>235479</v>
      </c>
      <c r="AC2529" s="12">
        <v>235479</v>
      </c>
      <c r="AD2529" s="12">
        <v>235479</v>
      </c>
      <c r="AE2529" s="12">
        <v>235479</v>
      </c>
      <c r="AF2529" s="12">
        <v>2754323</v>
      </c>
      <c r="AG2529" s="12">
        <v>4547085</v>
      </c>
      <c r="AH2529" s="12">
        <v>3596521</v>
      </c>
      <c r="AI2529" s="14">
        <v>3906225</v>
      </c>
      <c r="AJ2529" s="14">
        <v>3905886</v>
      </c>
      <c r="AK2529" s="14">
        <v>4648750</v>
      </c>
      <c r="AL2529" s="14">
        <v>4616040</v>
      </c>
      <c r="AM2529" s="14">
        <v>7308365</v>
      </c>
      <c r="AN2529" s="1071">
        <v>9807622</v>
      </c>
      <c r="AO2529" s="1071">
        <v>7135153</v>
      </c>
    </row>
    <row r="2530" spans="1:44" s="218" customFormat="1" hidden="1" outlineLevel="1">
      <c r="A2530" s="218">
        <v>530</v>
      </c>
      <c r="B2530" s="565">
        <v>9932</v>
      </c>
      <c r="C2530" s="9" t="s">
        <v>760</v>
      </c>
      <c r="D2530" s="9"/>
      <c r="E2530" s="224" t="s">
        <v>1470</v>
      </c>
      <c r="F2530" s="20"/>
      <c r="G2530" s="20"/>
      <c r="H2530" s="20"/>
      <c r="I2530" s="20"/>
      <c r="J2530" s="20"/>
      <c r="K2530" s="20"/>
      <c r="L2530" s="20"/>
      <c r="M2530" s="20"/>
      <c r="N2530" s="20"/>
      <c r="O2530" s="20"/>
      <c r="P2530" s="20"/>
      <c r="Q2530" s="20"/>
      <c r="R2530" s="20"/>
      <c r="S2530" s="20"/>
      <c r="T2530" s="20"/>
      <c r="U2530" s="20"/>
      <c r="V2530" s="20"/>
      <c r="W2530" s="20"/>
      <c r="X2530" s="20"/>
      <c r="Y2530" s="20"/>
      <c r="Z2530" s="20"/>
      <c r="AA2530" s="20"/>
      <c r="AB2530" s="12">
        <v>830807</v>
      </c>
      <c r="AC2530" s="12">
        <v>830807</v>
      </c>
      <c r="AD2530" s="12">
        <v>830807</v>
      </c>
      <c r="AE2530" s="12">
        <v>830807</v>
      </c>
      <c r="AF2530" s="12">
        <v>1578310</v>
      </c>
      <c r="AG2530" s="12">
        <v>2136351</v>
      </c>
      <c r="AH2530" s="12">
        <v>1953554</v>
      </c>
      <c r="AI2530" s="14">
        <v>2437760</v>
      </c>
      <c r="AJ2530" s="14">
        <v>3670810</v>
      </c>
      <c r="AK2530" s="14">
        <v>3091403</v>
      </c>
      <c r="AL2530" s="14">
        <v>2570843</v>
      </c>
      <c r="AM2530" s="14">
        <v>3314282</v>
      </c>
      <c r="AN2530" s="1071">
        <v>3235319</v>
      </c>
      <c r="AO2530" s="1071">
        <v>4093533</v>
      </c>
    </row>
    <row r="2531" spans="1:44" s="218" customFormat="1" hidden="1" outlineLevel="1">
      <c r="A2531" s="218">
        <v>540</v>
      </c>
      <c r="B2531" s="565">
        <v>33965</v>
      </c>
      <c r="C2531" s="9" t="s">
        <v>760</v>
      </c>
      <c r="D2531" s="9"/>
      <c r="E2531" s="224" t="s">
        <v>1533</v>
      </c>
      <c r="F2531" s="20"/>
      <c r="G2531" s="20"/>
      <c r="H2531" s="20"/>
      <c r="I2531" s="20"/>
      <c r="J2531" s="20"/>
      <c r="K2531" s="20"/>
      <c r="L2531" s="20"/>
      <c r="M2531" s="20"/>
      <c r="N2531" s="20"/>
      <c r="O2531" s="20"/>
      <c r="P2531" s="20"/>
      <c r="Q2531" s="20"/>
      <c r="R2531" s="20"/>
      <c r="S2531" s="20"/>
      <c r="T2531" s="20"/>
      <c r="U2531" s="20"/>
      <c r="V2531" s="20"/>
      <c r="W2531" s="20"/>
      <c r="X2531" s="20"/>
      <c r="Y2531" s="20"/>
      <c r="Z2531" s="20"/>
      <c r="AA2531" s="20"/>
      <c r="AB2531" s="12">
        <v>921610</v>
      </c>
      <c r="AC2531" s="12">
        <v>921610</v>
      </c>
      <c r="AD2531" s="12">
        <v>921610</v>
      </c>
      <c r="AE2531" s="12">
        <v>921610</v>
      </c>
      <c r="AF2531" s="12">
        <v>1776400</v>
      </c>
      <c r="AG2531" s="12">
        <v>2100667</v>
      </c>
      <c r="AH2531" s="12">
        <v>2150257</v>
      </c>
      <c r="AI2531" s="14">
        <v>2084206</v>
      </c>
      <c r="AJ2531" s="14">
        <v>1871523</v>
      </c>
      <c r="AK2531" s="14">
        <v>2138880</v>
      </c>
      <c r="AL2531" s="14">
        <v>1796097</v>
      </c>
      <c r="AM2531" s="14">
        <v>1766311</v>
      </c>
      <c r="AN2531" s="1071">
        <v>2409444</v>
      </c>
      <c r="AO2531" s="1071">
        <v>1371882</v>
      </c>
    </row>
    <row r="2532" spans="1:44" s="218" customFormat="1" hidden="1" outlineLevel="1">
      <c r="A2532" s="218">
        <v>550</v>
      </c>
      <c r="B2532" s="565">
        <v>3634</v>
      </c>
      <c r="C2532" s="9" t="s">
        <v>760</v>
      </c>
      <c r="D2532" s="9"/>
      <c r="E2532" s="224" t="s">
        <v>1534</v>
      </c>
      <c r="F2532" s="20"/>
      <c r="G2532" s="20"/>
      <c r="H2532" s="20"/>
      <c r="I2532" s="20"/>
      <c r="J2532" s="20"/>
      <c r="K2532" s="20"/>
      <c r="L2532" s="20"/>
      <c r="M2532" s="20"/>
      <c r="N2532" s="20"/>
      <c r="O2532" s="20"/>
      <c r="P2532" s="20"/>
      <c r="Q2532" s="20"/>
      <c r="R2532" s="20"/>
      <c r="S2532" s="20"/>
      <c r="T2532" s="20"/>
      <c r="U2532" s="20"/>
      <c r="V2532" s="20"/>
      <c r="W2532" s="20"/>
      <c r="X2532" s="20"/>
      <c r="Y2532" s="20"/>
      <c r="Z2532" s="20"/>
      <c r="AA2532" s="20"/>
      <c r="AB2532" s="12">
        <v>2603017</v>
      </c>
      <c r="AC2532" s="12">
        <v>2603017</v>
      </c>
      <c r="AD2532" s="12">
        <v>2603017</v>
      </c>
      <c r="AE2532" s="12">
        <v>2603017</v>
      </c>
      <c r="AF2532" s="12">
        <v>10510590</v>
      </c>
      <c r="AG2532" s="12">
        <v>12204132</v>
      </c>
      <c r="AH2532" s="12">
        <v>14608309</v>
      </c>
      <c r="AI2532" s="14">
        <v>12299657</v>
      </c>
      <c r="AJ2532" s="14">
        <v>12589597</v>
      </c>
      <c r="AK2532" s="14">
        <v>11812371</v>
      </c>
      <c r="AL2532" s="14">
        <v>10380072</v>
      </c>
      <c r="AM2532" s="14">
        <v>13067513</v>
      </c>
      <c r="AN2532" s="1071">
        <v>12639226</v>
      </c>
      <c r="AO2532" s="1071">
        <v>14083664</v>
      </c>
    </row>
    <row r="2533" spans="1:44" s="218" customFormat="1" hidden="1" outlineLevel="1">
      <c r="A2533" s="218">
        <v>552</v>
      </c>
      <c r="B2533" s="1045">
        <v>133965</v>
      </c>
      <c r="C2533" s="1030" t="s">
        <v>760</v>
      </c>
      <c r="D2533" s="1030"/>
      <c r="E2533" s="1054" t="s">
        <v>1920</v>
      </c>
      <c r="F2533" s="1047"/>
      <c r="G2533" s="1047"/>
      <c r="H2533" s="1047"/>
      <c r="I2533" s="1047"/>
      <c r="J2533" s="1047"/>
      <c r="K2533" s="1047"/>
      <c r="L2533" s="1047"/>
      <c r="M2533" s="1047"/>
      <c r="N2533" s="1047"/>
      <c r="O2533" s="1047"/>
      <c r="P2533" s="1047"/>
      <c r="Q2533" s="1047"/>
      <c r="R2533" s="1047"/>
      <c r="S2533" s="1047"/>
      <c r="T2533" s="1047"/>
      <c r="U2533" s="1047"/>
      <c r="V2533" s="1047"/>
      <c r="W2533" s="1047"/>
      <c r="X2533" s="1047"/>
      <c r="Y2533" s="1047"/>
      <c r="Z2533" s="1047"/>
      <c r="AA2533" s="1047"/>
      <c r="AB2533" s="1070"/>
      <c r="AC2533" s="1070"/>
      <c r="AD2533" s="1070"/>
      <c r="AE2533" s="1070"/>
      <c r="AF2533" s="1070"/>
      <c r="AG2533" s="1070"/>
      <c r="AH2533" s="1070"/>
      <c r="AI2533" s="1071"/>
      <c r="AJ2533" s="1071"/>
      <c r="AK2533" s="1071"/>
      <c r="AL2533" s="1071"/>
      <c r="AM2533" s="1071">
        <v>825134</v>
      </c>
      <c r="AN2533" s="1071">
        <v>860125</v>
      </c>
      <c r="AO2533" s="1071">
        <v>826762</v>
      </c>
    </row>
    <row r="2534" spans="1:44" s="218" customFormat="1" hidden="1" outlineLevel="1">
      <c r="A2534" s="218">
        <v>553</v>
      </c>
      <c r="B2534" s="1045">
        <v>203634</v>
      </c>
      <c r="C2534" s="1030" t="s">
        <v>760</v>
      </c>
      <c r="D2534" s="1030"/>
      <c r="E2534" s="1054" t="s">
        <v>1921</v>
      </c>
      <c r="F2534" s="1047"/>
      <c r="G2534" s="1047"/>
      <c r="H2534" s="1047"/>
      <c r="I2534" s="1047"/>
      <c r="J2534" s="1047"/>
      <c r="K2534" s="1047"/>
      <c r="L2534" s="1047"/>
      <c r="M2534" s="1047"/>
      <c r="N2534" s="1047"/>
      <c r="O2534" s="1047"/>
      <c r="P2534" s="1047"/>
      <c r="Q2534" s="1047"/>
      <c r="R2534" s="1047"/>
      <c r="S2534" s="1047"/>
      <c r="T2534" s="1047"/>
      <c r="U2534" s="1047"/>
      <c r="V2534" s="1047"/>
      <c r="W2534" s="1047"/>
      <c r="X2534" s="1047"/>
      <c r="Y2534" s="1047"/>
      <c r="Z2534" s="1047"/>
      <c r="AA2534" s="1047"/>
      <c r="AB2534" s="1070"/>
      <c r="AC2534" s="1070"/>
      <c r="AD2534" s="1070"/>
      <c r="AE2534" s="1070"/>
      <c r="AF2534" s="1070"/>
      <c r="AG2534" s="1070"/>
      <c r="AH2534" s="1070"/>
      <c r="AI2534" s="1071"/>
      <c r="AJ2534" s="1071"/>
      <c r="AK2534" s="1071"/>
      <c r="AL2534" s="1071"/>
      <c r="AM2534" s="1071">
        <v>1113747</v>
      </c>
      <c r="AN2534" s="1071">
        <v>931422</v>
      </c>
      <c r="AO2534" s="1071">
        <v>1241507</v>
      </c>
    </row>
    <row r="2535" spans="1:44" s="218" customFormat="1" hidden="1" outlineLevel="1">
      <c r="B2535" s="565"/>
      <c r="C2535" s="9" t="s">
        <v>760</v>
      </c>
      <c r="D2535" s="9"/>
      <c r="E2535" s="27" t="s">
        <v>1523</v>
      </c>
      <c r="F2535" s="20"/>
      <c r="G2535" s="20"/>
      <c r="H2535" s="20"/>
      <c r="I2535" s="20"/>
      <c r="J2535" s="20"/>
      <c r="K2535" s="20"/>
      <c r="L2535" s="20"/>
      <c r="M2535" s="20"/>
      <c r="N2535" s="20"/>
      <c r="O2535" s="20"/>
      <c r="P2535" s="20"/>
      <c r="Q2535" s="20"/>
      <c r="R2535" s="20"/>
      <c r="S2535" s="20"/>
      <c r="T2535" s="20"/>
      <c r="U2535" s="20"/>
      <c r="V2535" s="20"/>
      <c r="W2535" s="20"/>
      <c r="X2535" s="20"/>
      <c r="Y2535" s="20"/>
      <c r="Z2535" s="20"/>
      <c r="AA2535" s="20"/>
      <c r="AB2535" s="34">
        <f t="shared" ref="AB2535:AH2535" si="481">SUM(AB2526:AB2532)</f>
        <v>17215551</v>
      </c>
      <c r="AC2535" s="34">
        <f t="shared" si="481"/>
        <v>17215551</v>
      </c>
      <c r="AD2535" s="34">
        <f t="shared" si="481"/>
        <v>17215551</v>
      </c>
      <c r="AE2535" s="34">
        <f t="shared" si="481"/>
        <v>17215551</v>
      </c>
      <c r="AF2535" s="34">
        <f t="shared" si="481"/>
        <v>32440555</v>
      </c>
      <c r="AG2535" s="34">
        <f t="shared" si="481"/>
        <v>37697861</v>
      </c>
      <c r="AH2535" s="34">
        <f t="shared" si="481"/>
        <v>38502624</v>
      </c>
      <c r="AI2535" s="34">
        <f>SUM(AI2526:AI2532)</f>
        <v>37777610</v>
      </c>
      <c r="AJ2535" s="34">
        <v>36871342</v>
      </c>
      <c r="AK2535" s="34">
        <f>SUM(AK2526:AK2532)</f>
        <v>36198484</v>
      </c>
      <c r="AL2535" s="34">
        <f>SUM(AL2526:AL2534)</f>
        <v>33699331</v>
      </c>
      <c r="AM2535" s="1073">
        <f>SUM(AM2526:AM2534)</f>
        <v>42892976</v>
      </c>
      <c r="AN2535" s="1073">
        <f>SUM(AN2526:AN2534)</f>
        <v>45525516</v>
      </c>
      <c r="AO2535" s="1073">
        <f>SUM(AO2526:AO2534)</f>
        <v>47612180</v>
      </c>
    </row>
    <row r="2536" spans="1:44" s="66" customFormat="1" hidden="1" outlineLevel="1">
      <c r="B2536" s="575"/>
      <c r="C2536" s="1051"/>
      <c r="D2536" s="1051"/>
      <c r="E2536" s="968" t="s">
        <v>2060</v>
      </c>
      <c r="F2536" s="968"/>
      <c r="G2536" s="968"/>
      <c r="H2536" s="968"/>
      <c r="I2536" s="968"/>
      <c r="J2536" s="968"/>
      <c r="K2536" s="968"/>
      <c r="L2536" s="968"/>
      <c r="M2536" s="968"/>
      <c r="N2536" s="968"/>
      <c r="O2536" s="968"/>
      <c r="P2536" s="968"/>
      <c r="Q2536" s="968"/>
      <c r="R2536" s="968"/>
      <c r="S2536" s="968"/>
      <c r="T2536" s="968"/>
      <c r="U2536" s="968"/>
      <c r="V2536" s="968"/>
      <c r="W2536" s="968"/>
      <c r="X2536" s="968"/>
      <c r="Y2536" s="1073"/>
      <c r="Z2536" s="1073"/>
      <c r="AA2536" s="1073"/>
      <c r="AB2536" s="1073"/>
      <c r="AC2536" s="1073"/>
      <c r="AD2536" s="1073"/>
      <c r="AE2536" s="1073"/>
      <c r="AF2536" s="1073"/>
      <c r="AG2536" s="1073"/>
      <c r="AH2536" s="1073"/>
      <c r="AI2536" s="1073"/>
      <c r="AJ2536" s="1073"/>
      <c r="AK2536" s="1073"/>
      <c r="AL2536" s="1073"/>
      <c r="AM2536" s="1073"/>
      <c r="AN2536" s="1182">
        <v>0.94650463504592164</v>
      </c>
      <c r="AO2536" s="1182">
        <v>0.94702470156757101</v>
      </c>
      <c r="AR2536" s="218"/>
    </row>
    <row r="2537" spans="1:44" s="66" customFormat="1" hidden="1" outlineLevel="1">
      <c r="B2537" s="575"/>
      <c r="C2537" s="1051"/>
      <c r="D2537" s="1051"/>
      <c r="E2537" s="968" t="s">
        <v>2061</v>
      </c>
      <c r="F2537" s="968"/>
      <c r="G2537" s="968"/>
      <c r="H2537" s="968"/>
      <c r="I2537" s="968"/>
      <c r="J2537" s="968"/>
      <c r="K2537" s="968"/>
      <c r="L2537" s="968"/>
      <c r="M2537" s="968"/>
      <c r="N2537" s="968"/>
      <c r="O2537" s="968"/>
      <c r="P2537" s="968"/>
      <c r="Q2537" s="968"/>
      <c r="R2537" s="968"/>
      <c r="S2537" s="968"/>
      <c r="T2537" s="968"/>
      <c r="U2537" s="968"/>
      <c r="V2537" s="968"/>
      <c r="W2537" s="968"/>
      <c r="X2537" s="968"/>
      <c r="Y2537" s="1073"/>
      <c r="Z2537" s="1073"/>
      <c r="AA2537" s="1073"/>
      <c r="AB2537" s="1073"/>
      <c r="AC2537" s="1073"/>
      <c r="AD2537" s="1073"/>
      <c r="AE2537" s="1073"/>
      <c r="AF2537" s="1073"/>
      <c r="AG2537" s="1073"/>
      <c r="AH2537" s="1073"/>
      <c r="AI2537" s="1073"/>
      <c r="AJ2537" s="1073"/>
      <c r="AK2537" s="1073"/>
      <c r="AL2537" s="1073"/>
      <c r="AM2537" s="1073"/>
      <c r="AN2537" s="1182">
        <v>5.3495364954078299E-2</v>
      </c>
      <c r="AO2537" s="1182">
        <v>5.2975298432428923E-2</v>
      </c>
      <c r="AR2537" s="218"/>
    </row>
    <row r="2538" spans="1:44" s="66" customFormat="1" hidden="1" outlineLevel="1">
      <c r="B2538" s="575"/>
      <c r="C2538" s="1051"/>
      <c r="D2538" s="1051"/>
      <c r="E2538" s="968" t="s">
        <v>2058</v>
      </c>
      <c r="F2538" s="968"/>
      <c r="G2538" s="968"/>
      <c r="H2538" s="968"/>
      <c r="I2538" s="968"/>
      <c r="J2538" s="968"/>
      <c r="K2538" s="968"/>
      <c r="L2538" s="968"/>
      <c r="M2538" s="968"/>
      <c r="N2538" s="968"/>
      <c r="O2538" s="968"/>
      <c r="P2538" s="968"/>
      <c r="Q2538" s="968"/>
      <c r="R2538" s="968"/>
      <c r="S2538" s="968"/>
      <c r="T2538" s="968"/>
      <c r="U2538" s="968"/>
      <c r="V2538" s="968"/>
      <c r="W2538" s="968"/>
      <c r="X2538" s="968"/>
      <c r="Y2538" s="1073"/>
      <c r="Z2538" s="1073"/>
      <c r="AA2538" s="1073"/>
      <c r="AB2538" s="1073"/>
      <c r="AC2538" s="1073"/>
      <c r="AD2538" s="1073"/>
      <c r="AE2538" s="1073"/>
      <c r="AF2538" s="1073"/>
      <c r="AG2538" s="1073"/>
      <c r="AH2538" s="1073"/>
      <c r="AI2538" s="1073"/>
      <c r="AJ2538" s="1073"/>
      <c r="AK2538" s="1073"/>
      <c r="AL2538" s="1073"/>
      <c r="AM2538" s="1073"/>
      <c r="AN2538" s="1073">
        <f>ROUND(AN2536*AN2535,0)</f>
        <v>43090112</v>
      </c>
      <c r="AO2538" s="1073">
        <f>ROUND(AO2536*AO2535,0)</f>
        <v>45089911</v>
      </c>
      <c r="AR2538" s="218"/>
    </row>
    <row r="2539" spans="1:44" s="66" customFormat="1" hidden="1" outlineLevel="1">
      <c r="B2539" s="575"/>
      <c r="C2539" s="1051"/>
      <c r="D2539" s="1051"/>
      <c r="E2539" s="968" t="s">
        <v>2059</v>
      </c>
      <c r="F2539" s="968"/>
      <c r="G2539" s="968"/>
      <c r="H2539" s="968"/>
      <c r="I2539" s="968"/>
      <c r="J2539" s="968"/>
      <c r="K2539" s="968"/>
      <c r="L2539" s="968"/>
      <c r="M2539" s="968"/>
      <c r="N2539" s="968"/>
      <c r="O2539" s="968"/>
      <c r="P2539" s="968"/>
      <c r="Q2539" s="968"/>
      <c r="R2539" s="968"/>
      <c r="S2539" s="968"/>
      <c r="T2539" s="968"/>
      <c r="U2539" s="968"/>
      <c r="V2539" s="968"/>
      <c r="W2539" s="968"/>
      <c r="X2539" s="968"/>
      <c r="Y2539" s="1073"/>
      <c r="Z2539" s="1073"/>
      <c r="AA2539" s="1073"/>
      <c r="AB2539" s="1073"/>
      <c r="AC2539" s="1073"/>
      <c r="AD2539" s="1073"/>
      <c r="AE2539" s="1073"/>
      <c r="AF2539" s="1073"/>
      <c r="AG2539" s="1073"/>
      <c r="AH2539" s="1073"/>
      <c r="AI2539" s="1073"/>
      <c r="AJ2539" s="1073"/>
      <c r="AK2539" s="1073"/>
      <c r="AL2539" s="1073"/>
      <c r="AM2539" s="1073"/>
      <c r="AN2539" s="1073">
        <f>ROUND(AN2537*AN2535,0)</f>
        <v>2435404</v>
      </c>
      <c r="AO2539" s="1073">
        <f>ROUND(AO2537*AO2535,0)</f>
        <v>2522269</v>
      </c>
      <c r="AR2539"/>
    </row>
    <row r="2540" spans="1:44" collapsed="1">
      <c r="C2540" s="25" t="s">
        <v>1579</v>
      </c>
      <c r="D2540" s="25"/>
      <c r="E2540" s="6"/>
      <c r="F2540" s="6"/>
      <c r="G2540" s="6"/>
      <c r="H2540" s="6"/>
      <c r="I2540" s="6"/>
      <c r="J2540" s="6"/>
      <c r="K2540" s="6"/>
      <c r="L2540" s="6"/>
      <c r="M2540" s="6"/>
      <c r="N2540" s="6"/>
      <c r="O2540" s="6"/>
      <c r="P2540" s="6"/>
      <c r="Q2540" s="6"/>
      <c r="R2540" s="6"/>
      <c r="S2540" s="6"/>
      <c r="T2540" s="6"/>
      <c r="U2540" s="6"/>
      <c r="V2540" s="6"/>
      <c r="W2540" s="6"/>
      <c r="X2540" s="6"/>
      <c r="Y2540" s="6"/>
      <c r="Z2540" s="6"/>
      <c r="AA2540" s="6"/>
      <c r="AB2540" s="7"/>
      <c r="AC2540" s="7"/>
      <c r="AD2540" s="7"/>
      <c r="AE2540" s="7"/>
      <c r="AF2540" s="7"/>
      <c r="AG2540" s="7"/>
      <c r="AH2540" s="61"/>
      <c r="AI2540" s="61"/>
      <c r="AJ2540" s="26"/>
      <c r="AK2540" s="26"/>
      <c r="AL2540" s="26"/>
      <c r="AM2540" s="26"/>
      <c r="AN2540" s="26"/>
      <c r="AO2540" s="1069"/>
      <c r="AP2540" s="1044"/>
      <c r="AR2540" s="218"/>
    </row>
    <row r="2541" spans="1:44" s="218" customFormat="1" hidden="1" outlineLevel="1">
      <c r="A2541" s="218">
        <v>40</v>
      </c>
      <c r="B2541" s="633">
        <v>3656</v>
      </c>
      <c r="C2541" s="9" t="s">
        <v>760</v>
      </c>
      <c r="D2541" s="9"/>
      <c r="E2541" s="224" t="s">
        <v>754</v>
      </c>
      <c r="F2541" s="224"/>
      <c r="G2541" s="224"/>
      <c r="H2541" s="224"/>
      <c r="I2541" s="224"/>
      <c r="J2541" s="224"/>
      <c r="K2541" s="224"/>
      <c r="L2541" s="224"/>
      <c r="M2541" s="224"/>
      <c r="N2541" s="224"/>
      <c r="O2541" s="224"/>
      <c r="P2541" s="224"/>
      <c r="Q2541" s="224"/>
      <c r="R2541" s="224"/>
      <c r="S2541" s="224"/>
      <c r="T2541" s="224"/>
      <c r="U2541" s="224"/>
      <c r="V2541" s="224"/>
      <c r="W2541" s="224"/>
      <c r="X2541" s="224"/>
      <c r="Y2541" s="12">
        <v>69754725</v>
      </c>
      <c r="Z2541" s="12">
        <v>83689762</v>
      </c>
      <c r="AA2541" s="12">
        <v>98363355</v>
      </c>
      <c r="AB2541" s="12">
        <v>103110434</v>
      </c>
      <c r="AC2541" s="12">
        <v>114397571</v>
      </c>
      <c r="AD2541" s="12">
        <v>121865645</v>
      </c>
      <c r="AE2541" s="12">
        <v>127979766</v>
      </c>
      <c r="AF2541" s="12">
        <v>142534161</v>
      </c>
      <c r="AG2541" s="12">
        <v>172271292</v>
      </c>
      <c r="AH2541" s="12">
        <v>195930801</v>
      </c>
      <c r="AI2541" s="14">
        <v>182249596</v>
      </c>
      <c r="AJ2541" s="14">
        <v>210712249</v>
      </c>
      <c r="AK2541" s="14">
        <v>228179699</v>
      </c>
      <c r="AL2541" s="14">
        <v>268348785</v>
      </c>
      <c r="AM2541" s="14">
        <v>289020468</v>
      </c>
      <c r="AN2541" s="1071">
        <v>301692413</v>
      </c>
      <c r="AO2541" s="1071">
        <v>311918978</v>
      </c>
    </row>
    <row r="2542" spans="1:44" s="218" customFormat="1" hidden="1" outlineLevel="1">
      <c r="A2542" s="218">
        <v>50</v>
      </c>
      <c r="B2542" s="633">
        <v>3658</v>
      </c>
      <c r="C2542" s="9" t="s">
        <v>760</v>
      </c>
      <c r="D2542" s="9"/>
      <c r="E2542" s="224" t="s">
        <v>749</v>
      </c>
      <c r="F2542" s="224"/>
      <c r="G2542" s="224"/>
      <c r="H2542" s="224"/>
      <c r="I2542" s="224"/>
      <c r="J2542" s="224"/>
      <c r="K2542" s="224"/>
      <c r="L2542" s="224"/>
      <c r="M2542" s="224"/>
      <c r="N2542" s="224"/>
      <c r="O2542" s="224"/>
      <c r="P2542" s="224"/>
      <c r="Q2542" s="224"/>
      <c r="R2542" s="224"/>
      <c r="S2542" s="224"/>
      <c r="T2542" s="224"/>
      <c r="U2542" s="224"/>
      <c r="V2542" s="224"/>
      <c r="W2542" s="224"/>
      <c r="X2542" s="224"/>
      <c r="Y2542" s="12">
        <v>228959399</v>
      </c>
      <c r="Z2542" s="12">
        <v>247610024</v>
      </c>
      <c r="AA2542" s="12">
        <v>281374454</v>
      </c>
      <c r="AB2542" s="12">
        <v>307065487</v>
      </c>
      <c r="AC2542" s="12">
        <v>341492508</v>
      </c>
      <c r="AD2542" s="12">
        <v>351597610</v>
      </c>
      <c r="AE2542" s="12">
        <v>373376151</v>
      </c>
      <c r="AF2542" s="12">
        <v>403248445</v>
      </c>
      <c r="AG2542" s="12">
        <v>421203153</v>
      </c>
      <c r="AH2542" s="12">
        <v>434121812</v>
      </c>
      <c r="AI2542" s="14">
        <v>458702122</v>
      </c>
      <c r="AJ2542" s="14">
        <v>444317943</v>
      </c>
      <c r="AK2542" s="14">
        <v>437113389</v>
      </c>
      <c r="AL2542" s="14">
        <v>440179963</v>
      </c>
      <c r="AM2542" s="14">
        <v>429347278</v>
      </c>
      <c r="AN2542" s="1071">
        <v>471826602</v>
      </c>
      <c r="AO2542" s="1071">
        <v>477601226</v>
      </c>
    </row>
    <row r="2543" spans="1:44" s="218" customFormat="1" hidden="1" outlineLevel="1">
      <c r="A2543" s="218">
        <v>60</v>
      </c>
      <c r="B2543" s="633">
        <v>9741</v>
      </c>
      <c r="C2543" s="9" t="s">
        <v>760</v>
      </c>
      <c r="D2543" s="9"/>
      <c r="E2543" s="224" t="s">
        <v>755</v>
      </c>
      <c r="F2543" s="224"/>
      <c r="G2543" s="224"/>
      <c r="H2543" s="224"/>
      <c r="I2543" s="224"/>
      <c r="J2543" s="224"/>
      <c r="K2543" s="224"/>
      <c r="L2543" s="224"/>
      <c r="M2543" s="224"/>
      <c r="N2543" s="224"/>
      <c r="O2543" s="224"/>
      <c r="P2543" s="224"/>
      <c r="Q2543" s="224"/>
      <c r="R2543" s="224"/>
      <c r="S2543" s="224"/>
      <c r="T2543" s="224"/>
      <c r="U2543" s="224"/>
      <c r="V2543" s="224"/>
      <c r="W2543" s="224"/>
      <c r="X2543" s="224"/>
      <c r="Y2543" s="12">
        <v>50811563</v>
      </c>
      <c r="Z2543" s="12">
        <v>54412626</v>
      </c>
      <c r="AA2543" s="12">
        <v>64544283</v>
      </c>
      <c r="AB2543" s="12">
        <v>70118802</v>
      </c>
      <c r="AC2543" s="12">
        <v>84123576</v>
      </c>
      <c r="AD2543" s="12">
        <v>92087281</v>
      </c>
      <c r="AE2543" s="12">
        <v>105074591</v>
      </c>
      <c r="AF2543" s="12">
        <v>120745243</v>
      </c>
      <c r="AG2543" s="12">
        <v>141987470</v>
      </c>
      <c r="AH2543" s="12">
        <v>160321174</v>
      </c>
      <c r="AI2543" s="14">
        <v>183814538</v>
      </c>
      <c r="AJ2543" s="14">
        <v>200235800</v>
      </c>
      <c r="AK2543" s="14">
        <v>237038764</v>
      </c>
      <c r="AL2543" s="14">
        <v>252795160</v>
      </c>
      <c r="AM2543" s="14">
        <v>276163374</v>
      </c>
      <c r="AN2543" s="1071">
        <v>288475163</v>
      </c>
      <c r="AO2543" s="1071">
        <v>272494083</v>
      </c>
    </row>
    <row r="2544" spans="1:44" s="218" customFormat="1" hidden="1" outlineLevel="1">
      <c r="A2544" s="218">
        <v>70</v>
      </c>
      <c r="B2544" s="633">
        <v>3661</v>
      </c>
      <c r="C2544" s="9" t="s">
        <v>760</v>
      </c>
      <c r="D2544" s="9"/>
      <c r="E2544" s="224" t="s">
        <v>756</v>
      </c>
      <c r="F2544" s="224"/>
      <c r="G2544" s="224"/>
      <c r="H2544" s="224"/>
      <c r="I2544" s="224"/>
      <c r="J2544" s="224"/>
      <c r="K2544" s="224"/>
      <c r="L2544" s="224"/>
      <c r="M2544" s="224"/>
      <c r="N2544" s="224"/>
      <c r="O2544" s="224"/>
      <c r="P2544" s="224"/>
      <c r="Q2544" s="224"/>
      <c r="R2544" s="224"/>
      <c r="S2544" s="224"/>
      <c r="T2544" s="224"/>
      <c r="U2544" s="224"/>
      <c r="V2544" s="224"/>
      <c r="W2544" s="224"/>
      <c r="X2544" s="224"/>
      <c r="Y2544" s="12">
        <v>34594281</v>
      </c>
      <c r="Z2544" s="12">
        <v>42596990</v>
      </c>
      <c r="AA2544" s="12">
        <v>52752479</v>
      </c>
      <c r="AB2544" s="12">
        <v>58201300</v>
      </c>
      <c r="AC2544" s="12">
        <v>65844349</v>
      </c>
      <c r="AD2544" s="12">
        <v>71018233</v>
      </c>
      <c r="AE2544" s="12">
        <v>78811612</v>
      </c>
      <c r="AF2544" s="12">
        <v>82409410</v>
      </c>
      <c r="AG2544" s="12">
        <v>89021936</v>
      </c>
      <c r="AH2544" s="12">
        <v>96243343</v>
      </c>
      <c r="AI2544" s="14">
        <v>80444489</v>
      </c>
      <c r="AJ2544" s="14">
        <v>97008096</v>
      </c>
      <c r="AK2544" s="14">
        <v>103430389</v>
      </c>
      <c r="AL2544" s="14">
        <v>104241630</v>
      </c>
      <c r="AM2544" s="14">
        <v>106210683</v>
      </c>
      <c r="AN2544" s="1071">
        <v>120341561</v>
      </c>
      <c r="AO2544" s="1071">
        <v>130124360</v>
      </c>
    </row>
    <row r="2545" spans="1:41" s="218" customFormat="1" hidden="1" outlineLevel="1">
      <c r="A2545" s="218">
        <v>80</v>
      </c>
      <c r="B2545" s="633">
        <v>3599</v>
      </c>
      <c r="C2545" s="9" t="s">
        <v>760</v>
      </c>
      <c r="D2545" s="9"/>
      <c r="E2545" s="224" t="s">
        <v>1356</v>
      </c>
      <c r="F2545" s="224"/>
      <c r="G2545" s="224"/>
      <c r="H2545" s="224"/>
      <c r="I2545" s="224"/>
      <c r="J2545" s="224"/>
      <c r="K2545" s="224"/>
      <c r="L2545" s="224"/>
      <c r="M2545" s="224"/>
      <c r="N2545" s="224"/>
      <c r="O2545" s="224"/>
      <c r="P2545" s="224"/>
      <c r="Q2545" s="224"/>
      <c r="R2545" s="224"/>
      <c r="S2545" s="224"/>
      <c r="T2545" s="224"/>
      <c r="U2545" s="224"/>
      <c r="V2545" s="224"/>
      <c r="W2545" s="224"/>
      <c r="X2545" s="224"/>
      <c r="Y2545" s="12">
        <v>18172833</v>
      </c>
      <c r="Z2545" s="12">
        <v>15426120</v>
      </c>
      <c r="AA2545" s="12">
        <v>25594942</v>
      </c>
      <c r="AB2545" s="12">
        <v>30242474</v>
      </c>
      <c r="AC2545" s="12">
        <v>34224125</v>
      </c>
      <c r="AD2545" s="12">
        <v>42496881</v>
      </c>
      <c r="AE2545" s="12">
        <v>43673114</v>
      </c>
      <c r="AF2545" s="12">
        <v>44501009</v>
      </c>
      <c r="AG2545" s="12">
        <v>46760581</v>
      </c>
      <c r="AH2545" s="12">
        <v>53978804</v>
      </c>
      <c r="AI2545" s="14">
        <v>37114601</v>
      </c>
      <c r="AJ2545" s="14">
        <v>61971865</v>
      </c>
      <c r="AK2545" s="14">
        <v>52265925</v>
      </c>
      <c r="AL2545" s="14"/>
      <c r="AM2545" s="14"/>
      <c r="AN2545" s="1071"/>
      <c r="AO2545" s="1071"/>
    </row>
    <row r="2546" spans="1:41" s="218" customFormat="1" hidden="1" outlineLevel="1">
      <c r="A2546" s="218">
        <v>91</v>
      </c>
      <c r="B2546" s="633">
        <v>3599</v>
      </c>
      <c r="C2546" s="9" t="s">
        <v>760</v>
      </c>
      <c r="D2546" s="9"/>
      <c r="E2546" s="224" t="s">
        <v>1667</v>
      </c>
      <c r="F2546" s="224"/>
      <c r="G2546" s="224"/>
      <c r="H2546" s="224"/>
      <c r="I2546" s="224"/>
      <c r="J2546" s="224"/>
      <c r="K2546" s="224"/>
      <c r="L2546" s="224"/>
      <c r="M2546" s="224"/>
      <c r="N2546" s="224"/>
      <c r="O2546" s="224"/>
      <c r="P2546" s="224"/>
      <c r="Q2546" s="224"/>
      <c r="R2546" s="224"/>
      <c r="S2546" s="224"/>
      <c r="T2546" s="224"/>
      <c r="U2546" s="224"/>
      <c r="V2546" s="224"/>
      <c r="W2546" s="224"/>
      <c r="X2546" s="224"/>
      <c r="Y2546" s="12"/>
      <c r="Z2546" s="12"/>
      <c r="AA2546" s="12"/>
      <c r="AB2546" s="12"/>
      <c r="AC2546" s="12"/>
      <c r="AD2546" s="12"/>
      <c r="AE2546" s="12"/>
      <c r="AF2546" s="12"/>
      <c r="AG2546" s="12"/>
      <c r="AH2546" s="12"/>
      <c r="AI2546" s="14"/>
      <c r="AJ2546" s="14"/>
      <c r="AK2546" s="14"/>
      <c r="AL2546" s="14">
        <v>89751236</v>
      </c>
      <c r="AM2546" s="14">
        <v>94370627</v>
      </c>
      <c r="AN2546" s="1071">
        <v>81836302</v>
      </c>
      <c r="AO2546" s="1071">
        <v>90949003</v>
      </c>
    </row>
    <row r="2547" spans="1:41" s="218" customFormat="1" hidden="1" outlineLevel="1">
      <c r="A2547" s="218">
        <v>90</v>
      </c>
      <c r="B2547" s="633">
        <v>30646</v>
      </c>
      <c r="C2547" s="9" t="s">
        <v>760</v>
      </c>
      <c r="D2547" s="9"/>
      <c r="E2547" s="224" t="s">
        <v>1527</v>
      </c>
      <c r="F2547" s="224"/>
      <c r="G2547" s="224"/>
      <c r="H2547" s="224"/>
      <c r="I2547" s="224"/>
      <c r="J2547" s="224"/>
      <c r="K2547" s="224"/>
      <c r="L2547" s="224"/>
      <c r="M2547" s="224"/>
      <c r="N2547" s="224"/>
      <c r="O2547" s="224"/>
      <c r="P2547" s="224"/>
      <c r="Q2547" s="224"/>
      <c r="R2547" s="224"/>
      <c r="S2547" s="224"/>
      <c r="T2547" s="224"/>
      <c r="U2547" s="224"/>
      <c r="V2547" s="224"/>
      <c r="W2547" s="224"/>
      <c r="X2547" s="224"/>
      <c r="Y2547" s="12">
        <v>3508968</v>
      </c>
      <c r="Z2547" s="12">
        <v>5478077</v>
      </c>
      <c r="AA2547" s="12">
        <v>8310456</v>
      </c>
      <c r="AB2547" s="12">
        <v>9495727</v>
      </c>
      <c r="AC2547" s="12">
        <v>10644269</v>
      </c>
      <c r="AD2547" s="12">
        <v>12866035</v>
      </c>
      <c r="AE2547" s="12">
        <v>14925476</v>
      </c>
      <c r="AF2547" s="12">
        <v>15240504</v>
      </c>
      <c r="AG2547" s="12">
        <v>17294119</v>
      </c>
      <c r="AH2547" s="12">
        <v>19747641</v>
      </c>
      <c r="AI2547" s="14">
        <v>27619038</v>
      </c>
      <c r="AJ2547" s="14">
        <v>26467657</v>
      </c>
      <c r="AK2547" s="14">
        <v>27998226</v>
      </c>
      <c r="AL2547" s="14"/>
      <c r="AM2547" s="14"/>
      <c r="AN2547" s="1071"/>
      <c r="AO2547" s="1071"/>
    </row>
    <row r="2548" spans="1:41" s="218" customFormat="1" hidden="1" outlineLevel="1">
      <c r="A2548" s="218">
        <v>100</v>
      </c>
      <c r="B2548" s="633">
        <v>9930</v>
      </c>
      <c r="C2548" s="9" t="s">
        <v>760</v>
      </c>
      <c r="D2548" s="9"/>
      <c r="E2548" s="224" t="s">
        <v>1358</v>
      </c>
      <c r="F2548" s="224"/>
      <c r="G2548" s="224"/>
      <c r="H2548" s="224"/>
      <c r="I2548" s="224"/>
      <c r="J2548" s="224"/>
      <c r="K2548" s="224"/>
      <c r="L2548" s="224"/>
      <c r="M2548" s="224"/>
      <c r="N2548" s="224"/>
      <c r="O2548" s="224"/>
      <c r="P2548" s="224"/>
      <c r="Q2548" s="224"/>
      <c r="R2548" s="224"/>
      <c r="S2548" s="224"/>
      <c r="T2548" s="224"/>
      <c r="U2548" s="224"/>
      <c r="V2548" s="224"/>
      <c r="W2548" s="224"/>
      <c r="X2548" s="224"/>
      <c r="Y2548" s="12">
        <v>4303461</v>
      </c>
      <c r="Z2548" s="12">
        <v>4442070</v>
      </c>
      <c r="AA2548" s="12">
        <v>6795989</v>
      </c>
      <c r="AB2548" s="12">
        <v>7898431</v>
      </c>
      <c r="AC2548" s="12">
        <v>7396321</v>
      </c>
      <c r="AD2548" s="12">
        <v>9651695</v>
      </c>
      <c r="AE2548" s="12">
        <v>8929633</v>
      </c>
      <c r="AF2548" s="12">
        <v>12852688</v>
      </c>
      <c r="AG2548" s="12">
        <v>9136429</v>
      </c>
      <c r="AH2548" s="12">
        <v>8799473</v>
      </c>
      <c r="AI2548" s="14">
        <v>13643671</v>
      </c>
      <c r="AJ2548" s="14">
        <v>21563949</v>
      </c>
      <c r="AK2548" s="14">
        <v>15127105</v>
      </c>
      <c r="AL2548" s="14">
        <v>20664270</v>
      </c>
      <c r="AM2548" s="14">
        <v>19321198</v>
      </c>
      <c r="AN2548" s="1071">
        <v>29843817</v>
      </c>
      <c r="AO2548" s="1154">
        <v>-9101562</v>
      </c>
    </row>
    <row r="2549" spans="1:41" s="218" customFormat="1" hidden="1" outlineLevel="1">
      <c r="A2549" s="218">
        <v>110</v>
      </c>
      <c r="B2549" s="633">
        <v>10115</v>
      </c>
      <c r="C2549" s="9" t="s">
        <v>760</v>
      </c>
      <c r="D2549" s="9"/>
      <c r="E2549" s="224" t="s">
        <v>757</v>
      </c>
      <c r="F2549" s="224"/>
      <c r="G2549" s="224"/>
      <c r="H2549" s="224"/>
      <c r="I2549" s="224"/>
      <c r="J2549" s="224"/>
      <c r="K2549" s="224"/>
      <c r="L2549" s="224"/>
      <c r="M2549" s="224"/>
      <c r="N2549" s="224"/>
      <c r="O2549" s="224"/>
      <c r="P2549" s="224"/>
      <c r="Q2549" s="224"/>
      <c r="R2549" s="224"/>
      <c r="S2549" s="224"/>
      <c r="T2549" s="224"/>
      <c r="U2549" s="224"/>
      <c r="V2549" s="224"/>
      <c r="W2549" s="224"/>
      <c r="X2549" s="224"/>
      <c r="Y2549" s="12">
        <v>54837111</v>
      </c>
      <c r="Z2549" s="12">
        <v>79706735</v>
      </c>
      <c r="AA2549" s="12">
        <v>103655633</v>
      </c>
      <c r="AB2549" s="12">
        <v>110609769</v>
      </c>
      <c r="AC2549" s="12">
        <v>133859504</v>
      </c>
      <c r="AD2549" s="12">
        <v>138738892</v>
      </c>
      <c r="AE2549" s="12">
        <v>142798066</v>
      </c>
      <c r="AF2549" s="12">
        <v>149426664</v>
      </c>
      <c r="AG2549" s="12">
        <v>151734638</v>
      </c>
      <c r="AH2549" s="12">
        <v>169624392</v>
      </c>
      <c r="AI2549" s="14">
        <v>158403609</v>
      </c>
      <c r="AJ2549" s="14">
        <v>161993022</v>
      </c>
      <c r="AK2549" s="14">
        <v>167758047</v>
      </c>
      <c r="AL2549" s="14">
        <v>161739981</v>
      </c>
      <c r="AM2549" s="14">
        <v>166834508</v>
      </c>
      <c r="AN2549" s="1071">
        <v>180422145</v>
      </c>
      <c r="AO2549" s="1071">
        <v>183418781</v>
      </c>
    </row>
    <row r="2550" spans="1:41" s="218" customFormat="1" hidden="1" outlineLevel="1">
      <c r="A2550" s="218">
        <v>120</v>
      </c>
      <c r="B2550" s="633">
        <v>11163</v>
      </c>
      <c r="C2550" s="9" t="s">
        <v>760</v>
      </c>
      <c r="D2550" s="9"/>
      <c r="E2550" s="224" t="s">
        <v>1359</v>
      </c>
      <c r="F2550" s="224"/>
      <c r="G2550" s="224"/>
      <c r="H2550" s="224"/>
      <c r="I2550" s="224"/>
      <c r="J2550" s="224"/>
      <c r="K2550" s="224"/>
      <c r="L2550" s="224"/>
      <c r="M2550" s="224"/>
      <c r="N2550" s="224"/>
      <c r="O2550" s="224"/>
      <c r="P2550" s="224"/>
      <c r="Q2550" s="224"/>
      <c r="R2550" s="224"/>
      <c r="S2550" s="224"/>
      <c r="T2550" s="224"/>
      <c r="U2550" s="224"/>
      <c r="V2550" s="224"/>
      <c r="W2550" s="224"/>
      <c r="X2550" s="224"/>
      <c r="Y2550" s="12">
        <v>6187312</v>
      </c>
      <c r="Z2550" s="12">
        <v>9230228</v>
      </c>
      <c r="AA2550" s="12">
        <v>13173044</v>
      </c>
      <c r="AB2550" s="12">
        <v>15641259</v>
      </c>
      <c r="AC2550" s="12">
        <v>19220153</v>
      </c>
      <c r="AD2550" s="12">
        <v>20695193</v>
      </c>
      <c r="AE2550" s="12">
        <v>23536901</v>
      </c>
      <c r="AF2550" s="12">
        <v>20731971</v>
      </c>
      <c r="AG2550" s="12">
        <v>23726764</v>
      </c>
      <c r="AH2550" s="12">
        <v>25360270</v>
      </c>
      <c r="AI2550" s="14">
        <v>27363871</v>
      </c>
      <c r="AJ2550" s="14">
        <v>32899701</v>
      </c>
      <c r="AK2550" s="14">
        <v>36256289</v>
      </c>
      <c r="AL2550" s="14">
        <v>39328317</v>
      </c>
      <c r="AM2550" s="14">
        <v>43796384</v>
      </c>
      <c r="AN2550" s="1071">
        <v>46375754</v>
      </c>
      <c r="AO2550" s="1071">
        <v>47209824</v>
      </c>
    </row>
    <row r="2551" spans="1:41" s="218" customFormat="1" hidden="1" outlineLevel="1">
      <c r="A2551" s="218">
        <v>130</v>
      </c>
      <c r="B2551" s="633">
        <v>3632</v>
      </c>
      <c r="C2551" s="9" t="s">
        <v>760</v>
      </c>
      <c r="D2551" s="9"/>
      <c r="E2551" s="224" t="s">
        <v>751</v>
      </c>
      <c r="F2551" s="224"/>
      <c r="G2551" s="224"/>
      <c r="H2551" s="224"/>
      <c r="I2551" s="224"/>
      <c r="J2551" s="224"/>
      <c r="K2551" s="224"/>
      <c r="L2551" s="224"/>
      <c r="M2551" s="224"/>
      <c r="N2551" s="224"/>
      <c r="O2551" s="224"/>
      <c r="P2551" s="224"/>
      <c r="Q2551" s="224"/>
      <c r="R2551" s="224"/>
      <c r="S2551" s="224"/>
      <c r="T2551" s="224"/>
      <c r="U2551" s="224"/>
      <c r="V2551" s="224"/>
      <c r="W2551" s="224"/>
      <c r="X2551" s="224"/>
      <c r="Y2551" s="12">
        <v>194181793</v>
      </c>
      <c r="Z2551" s="12">
        <v>153654117</v>
      </c>
      <c r="AA2551" s="12">
        <v>194565489</v>
      </c>
      <c r="AB2551" s="12">
        <v>223224830</v>
      </c>
      <c r="AC2551" s="12">
        <v>251759172</v>
      </c>
      <c r="AD2551" s="12">
        <v>276911093</v>
      </c>
      <c r="AE2551" s="12">
        <v>296266021</v>
      </c>
      <c r="AF2551" s="12">
        <v>306749790</v>
      </c>
      <c r="AG2551" s="12">
        <v>317501262</v>
      </c>
      <c r="AH2551" s="12">
        <v>347806937</v>
      </c>
      <c r="AI2551" s="14">
        <v>351591714</v>
      </c>
      <c r="AJ2551" s="14">
        <v>388920020</v>
      </c>
      <c r="AK2551" s="14">
        <v>450717786</v>
      </c>
      <c r="AL2551" s="14">
        <v>479736869</v>
      </c>
      <c r="AM2551" s="14">
        <v>514912744</v>
      </c>
      <c r="AN2551" s="1071">
        <v>554419655</v>
      </c>
      <c r="AO2551" s="1071">
        <v>592727096</v>
      </c>
    </row>
    <row r="2552" spans="1:41" s="218" customFormat="1" hidden="1" outlineLevel="1">
      <c r="A2552" s="218">
        <v>140</v>
      </c>
      <c r="B2552" s="633">
        <v>10298</v>
      </c>
      <c r="C2552" s="9" t="s">
        <v>760</v>
      </c>
      <c r="D2552" s="9"/>
      <c r="E2552" s="224" t="s">
        <v>876</v>
      </c>
      <c r="F2552" s="224"/>
      <c r="G2552" s="224"/>
      <c r="H2552" s="224"/>
      <c r="I2552" s="224"/>
      <c r="J2552" s="224"/>
      <c r="K2552" s="224"/>
      <c r="L2552" s="224"/>
      <c r="M2552" s="224"/>
      <c r="N2552" s="224"/>
      <c r="O2552" s="224"/>
      <c r="P2552" s="224"/>
      <c r="Q2552" s="224"/>
      <c r="R2552" s="224"/>
      <c r="S2552" s="224"/>
      <c r="T2552" s="224"/>
      <c r="U2552" s="224"/>
      <c r="V2552" s="224"/>
      <c r="W2552" s="224"/>
      <c r="X2552" s="224"/>
      <c r="Y2552" s="12">
        <v>6656901</v>
      </c>
      <c r="Z2552" s="12">
        <v>7309383</v>
      </c>
      <c r="AA2552" s="12">
        <v>7894395</v>
      </c>
      <c r="AB2552" s="12">
        <v>8779204</v>
      </c>
      <c r="AC2552" s="12">
        <v>9329353</v>
      </c>
      <c r="AD2552" s="12">
        <v>10110169</v>
      </c>
      <c r="AE2552" s="12">
        <v>10709519</v>
      </c>
      <c r="AF2552" s="12">
        <v>11712353</v>
      </c>
      <c r="AG2552" s="12">
        <v>13379933</v>
      </c>
      <c r="AH2552" s="12">
        <v>15240304</v>
      </c>
      <c r="AI2552" s="14">
        <v>16003426</v>
      </c>
      <c r="AJ2552" s="14">
        <v>17891709</v>
      </c>
      <c r="AK2552" s="14">
        <v>20812561</v>
      </c>
      <c r="AL2552" s="14">
        <v>21813337</v>
      </c>
      <c r="AM2552" s="14">
        <v>21755094</v>
      </c>
      <c r="AN2552" s="1071">
        <v>21188678</v>
      </c>
      <c r="AO2552" s="1071">
        <v>21182278</v>
      </c>
    </row>
    <row r="2553" spans="1:41" s="218" customFormat="1" hidden="1" outlineLevel="1">
      <c r="A2553" s="218">
        <v>150</v>
      </c>
      <c r="B2553" s="633">
        <v>3630</v>
      </c>
      <c r="C2553" s="9" t="s">
        <v>760</v>
      </c>
      <c r="D2553" s="9"/>
      <c r="E2553" s="224" t="s">
        <v>750</v>
      </c>
      <c r="F2553" s="224"/>
      <c r="G2553" s="224"/>
      <c r="H2553" s="224"/>
      <c r="I2553" s="224"/>
      <c r="J2553" s="224"/>
      <c r="K2553" s="224"/>
      <c r="L2553" s="224"/>
      <c r="M2553" s="224"/>
      <c r="N2553" s="224"/>
      <c r="O2553" s="224"/>
      <c r="P2553" s="224"/>
      <c r="Q2553" s="224"/>
      <c r="R2553" s="224"/>
      <c r="S2553" s="224"/>
      <c r="T2553" s="224"/>
      <c r="U2553" s="224"/>
      <c r="V2553" s="224"/>
      <c r="W2553" s="224"/>
      <c r="X2553" s="224"/>
      <c r="Y2553" s="12">
        <v>15220217</v>
      </c>
      <c r="Z2553" s="12">
        <v>14522976</v>
      </c>
      <c r="AA2553" s="12">
        <v>19797135</v>
      </c>
      <c r="AB2553" s="12">
        <v>22203365</v>
      </c>
      <c r="AC2553" s="12">
        <v>27607262</v>
      </c>
      <c r="AD2553" s="12">
        <v>31035171</v>
      </c>
      <c r="AE2553" s="12">
        <v>28804973</v>
      </c>
      <c r="AF2553" s="12">
        <v>31613201</v>
      </c>
      <c r="AG2553" s="12">
        <v>31764529</v>
      </c>
      <c r="AH2553" s="12">
        <v>35818950</v>
      </c>
      <c r="AI2553" s="14">
        <v>32976606</v>
      </c>
      <c r="AJ2553" s="14">
        <v>32483688</v>
      </c>
      <c r="AK2553" s="14">
        <v>40480781</v>
      </c>
      <c r="AL2553" s="14">
        <v>37521858</v>
      </c>
      <c r="AM2553" s="14">
        <v>36306088</v>
      </c>
      <c r="AN2553" s="1071">
        <v>41862856</v>
      </c>
      <c r="AO2553" s="1071">
        <v>40878006</v>
      </c>
    </row>
    <row r="2554" spans="1:41" s="218" customFormat="1" hidden="1" outlineLevel="1">
      <c r="A2554" s="218">
        <v>160</v>
      </c>
      <c r="B2554" s="633">
        <v>3631</v>
      </c>
      <c r="C2554" s="9" t="s">
        <v>760</v>
      </c>
      <c r="D2554" s="9"/>
      <c r="E2554" s="224" t="s">
        <v>1209</v>
      </c>
      <c r="F2554" s="224"/>
      <c r="G2554" s="224"/>
      <c r="H2554" s="224"/>
      <c r="I2554" s="224"/>
      <c r="J2554" s="224"/>
      <c r="K2554" s="224"/>
      <c r="L2554" s="224"/>
      <c r="M2554" s="224"/>
      <c r="N2554" s="224"/>
      <c r="O2554" s="224"/>
      <c r="P2554" s="224"/>
      <c r="Q2554" s="224"/>
      <c r="R2554" s="224"/>
      <c r="S2554" s="224"/>
      <c r="T2554" s="224"/>
      <c r="U2554" s="224"/>
      <c r="V2554" s="224"/>
      <c r="W2554" s="224"/>
      <c r="X2554" s="224"/>
      <c r="Y2554" s="12">
        <v>19079120</v>
      </c>
      <c r="Z2554" s="12">
        <v>20763796</v>
      </c>
      <c r="AA2554" s="12">
        <v>24159912</v>
      </c>
      <c r="AB2554" s="12">
        <v>26504328</v>
      </c>
      <c r="AC2554" s="12">
        <v>29803046</v>
      </c>
      <c r="AD2554" s="12">
        <v>31873209</v>
      </c>
      <c r="AE2554" s="12">
        <v>34621307</v>
      </c>
      <c r="AF2554" s="12">
        <v>30809342</v>
      </c>
      <c r="AG2554" s="12">
        <v>34253193</v>
      </c>
      <c r="AH2554" s="12">
        <v>39600221</v>
      </c>
      <c r="AI2554" s="14">
        <v>44883493</v>
      </c>
      <c r="AJ2554" s="14">
        <v>49669471</v>
      </c>
      <c r="AK2554" s="14">
        <v>58961898</v>
      </c>
      <c r="AL2554" s="14">
        <v>65520556</v>
      </c>
      <c r="AM2554" s="14">
        <v>62071538</v>
      </c>
      <c r="AN2554" s="1071">
        <v>66574021</v>
      </c>
      <c r="AO2554" s="1071">
        <v>71174877</v>
      </c>
    </row>
    <row r="2555" spans="1:41" s="218" customFormat="1" hidden="1" outlineLevel="1">
      <c r="A2555" s="218">
        <v>170</v>
      </c>
      <c r="B2555" s="633">
        <v>11161</v>
      </c>
      <c r="C2555" s="9" t="s">
        <v>760</v>
      </c>
      <c r="D2555" s="9"/>
      <c r="E2555" s="224" t="s">
        <v>1211</v>
      </c>
      <c r="F2555" s="224"/>
      <c r="G2555" s="224"/>
      <c r="H2555" s="224"/>
      <c r="I2555" s="224"/>
      <c r="J2555" s="224"/>
      <c r="K2555" s="224"/>
      <c r="L2555" s="224"/>
      <c r="M2555" s="224"/>
      <c r="N2555" s="224"/>
      <c r="O2555" s="224"/>
      <c r="P2555" s="224"/>
      <c r="Q2555" s="224"/>
      <c r="R2555" s="224"/>
      <c r="S2555" s="224"/>
      <c r="T2555" s="224"/>
      <c r="U2555" s="224"/>
      <c r="V2555" s="224"/>
      <c r="W2555" s="224"/>
      <c r="X2555" s="224"/>
      <c r="Y2555" s="12">
        <v>12324115</v>
      </c>
      <c r="Z2555" s="12">
        <v>15298796</v>
      </c>
      <c r="AA2555" s="12">
        <v>23516660</v>
      </c>
      <c r="AB2555" s="12">
        <v>25125646</v>
      </c>
      <c r="AC2555" s="12">
        <v>27863809</v>
      </c>
      <c r="AD2555" s="12">
        <v>29755664</v>
      </c>
      <c r="AE2555" s="12">
        <v>30800844</v>
      </c>
      <c r="AF2555" s="12">
        <v>35524357</v>
      </c>
      <c r="AG2555" s="12">
        <v>39952591</v>
      </c>
      <c r="AH2555" s="12">
        <v>44833707</v>
      </c>
      <c r="AI2555" s="14">
        <v>48308637</v>
      </c>
      <c r="AJ2555" s="14">
        <v>51187347</v>
      </c>
      <c r="AK2555" s="14">
        <v>54808462</v>
      </c>
      <c r="AL2555" s="14">
        <v>58297423</v>
      </c>
      <c r="AM2555" s="14">
        <v>62041576</v>
      </c>
      <c r="AN2555" s="1071">
        <v>65505114</v>
      </c>
      <c r="AO2555" s="1071">
        <v>64350604</v>
      </c>
    </row>
    <row r="2556" spans="1:41" s="218" customFormat="1" hidden="1" outlineLevel="1">
      <c r="A2556" s="218">
        <v>180</v>
      </c>
      <c r="B2556" s="633">
        <v>3639</v>
      </c>
      <c r="C2556" s="9" t="s">
        <v>760</v>
      </c>
      <c r="D2556" s="9"/>
      <c r="E2556" s="224" t="s">
        <v>1212</v>
      </c>
      <c r="F2556" s="224"/>
      <c r="G2556" s="224"/>
      <c r="H2556" s="224"/>
      <c r="I2556" s="224"/>
      <c r="J2556" s="224"/>
      <c r="K2556" s="224"/>
      <c r="L2556" s="224"/>
      <c r="M2556" s="224"/>
      <c r="N2556" s="224"/>
      <c r="O2556" s="224"/>
      <c r="P2556" s="224"/>
      <c r="Q2556" s="224"/>
      <c r="R2556" s="224"/>
      <c r="S2556" s="224"/>
      <c r="T2556" s="224"/>
      <c r="U2556" s="224"/>
      <c r="V2556" s="224"/>
      <c r="W2556" s="224"/>
      <c r="X2556" s="224"/>
      <c r="Y2556" s="12">
        <v>14939788</v>
      </c>
      <c r="Z2556" s="12">
        <v>15923731</v>
      </c>
      <c r="AA2556" s="12">
        <v>18061629</v>
      </c>
      <c r="AB2556" s="12">
        <v>18178560</v>
      </c>
      <c r="AC2556" s="12">
        <v>20328705</v>
      </c>
      <c r="AD2556" s="12">
        <v>21729528</v>
      </c>
      <c r="AE2556" s="12">
        <v>24469101</v>
      </c>
      <c r="AF2556" s="12">
        <v>21580779</v>
      </c>
      <c r="AG2556" s="12">
        <v>20824816</v>
      </c>
      <c r="AH2556" s="12">
        <v>22307324</v>
      </c>
      <c r="AI2556" s="14">
        <v>28897075</v>
      </c>
      <c r="AJ2556" s="14">
        <v>35423712</v>
      </c>
      <c r="AK2556" s="14">
        <v>45088528</v>
      </c>
      <c r="AL2556" s="14">
        <v>49519639</v>
      </c>
      <c r="AM2556" s="14">
        <v>44542627</v>
      </c>
      <c r="AN2556" s="1071">
        <v>38222258</v>
      </c>
      <c r="AO2556" s="1071">
        <v>40437658</v>
      </c>
    </row>
    <row r="2557" spans="1:41" s="218" customFormat="1" hidden="1" outlineLevel="1">
      <c r="A2557" s="218">
        <v>190</v>
      </c>
      <c r="B2557" s="633">
        <v>9651</v>
      </c>
      <c r="C2557" s="9" t="s">
        <v>760</v>
      </c>
      <c r="D2557" s="9"/>
      <c r="E2557" s="224" t="s">
        <v>861</v>
      </c>
      <c r="F2557" s="224"/>
      <c r="G2557" s="224"/>
      <c r="H2557" s="224"/>
      <c r="I2557" s="224"/>
      <c r="J2557" s="224"/>
      <c r="K2557" s="224"/>
      <c r="L2557" s="224"/>
      <c r="M2557" s="224"/>
      <c r="N2557" s="224"/>
      <c r="O2557" s="224"/>
      <c r="P2557" s="224"/>
      <c r="Q2557" s="224"/>
      <c r="R2557" s="224"/>
      <c r="S2557" s="224"/>
      <c r="T2557" s="224"/>
      <c r="U2557" s="224"/>
      <c r="V2557" s="224"/>
      <c r="W2557" s="224"/>
      <c r="X2557" s="224"/>
      <c r="Y2557" s="12">
        <v>6213394</v>
      </c>
      <c r="Z2557" s="12">
        <v>3115813</v>
      </c>
      <c r="AA2557" s="12">
        <v>4543612</v>
      </c>
      <c r="AB2557" s="12">
        <v>6271838</v>
      </c>
      <c r="AC2557" s="12">
        <v>8017222</v>
      </c>
      <c r="AD2557" s="12">
        <v>11340882</v>
      </c>
      <c r="AE2557" s="12">
        <v>13386744</v>
      </c>
      <c r="AF2557" s="12">
        <v>13643975</v>
      </c>
      <c r="AG2557" s="12">
        <v>17187089</v>
      </c>
      <c r="AH2557" s="12">
        <v>13892825</v>
      </c>
      <c r="AI2557" s="14">
        <v>16855507</v>
      </c>
      <c r="AJ2557" s="14">
        <v>17850797</v>
      </c>
      <c r="AK2557" s="14">
        <v>19258079</v>
      </c>
      <c r="AL2557" s="14">
        <v>19845658</v>
      </c>
      <c r="AM2557" s="14">
        <v>20997629</v>
      </c>
      <c r="AN2557" s="1071">
        <v>22286348</v>
      </c>
      <c r="AO2557" s="1071">
        <v>23789547</v>
      </c>
    </row>
    <row r="2558" spans="1:41" s="218" customFormat="1" hidden="1" outlineLevel="1">
      <c r="A2558" s="218">
        <v>200</v>
      </c>
      <c r="B2558" s="633">
        <v>3665</v>
      </c>
      <c r="C2558" s="9" t="s">
        <v>760</v>
      </c>
      <c r="D2558" s="9"/>
      <c r="E2558" s="224" t="s">
        <v>871</v>
      </c>
      <c r="F2558" s="224"/>
      <c r="G2558" s="224"/>
      <c r="H2558" s="224"/>
      <c r="I2558" s="224"/>
      <c r="J2558" s="224"/>
      <c r="K2558" s="224"/>
      <c r="L2558" s="224"/>
      <c r="M2558" s="224"/>
      <c r="N2558" s="224"/>
      <c r="O2558" s="224"/>
      <c r="P2558" s="224"/>
      <c r="Q2558" s="224"/>
      <c r="R2558" s="224"/>
      <c r="S2558" s="224"/>
      <c r="T2558" s="224"/>
      <c r="U2558" s="224"/>
      <c r="V2558" s="224"/>
      <c r="W2558" s="224"/>
      <c r="X2558" s="224"/>
      <c r="Y2558" s="12">
        <v>12137917</v>
      </c>
      <c r="Z2558" s="12">
        <v>14303354</v>
      </c>
      <c r="AA2558" s="12">
        <v>18000373</v>
      </c>
      <c r="AB2558" s="12">
        <v>20377108</v>
      </c>
      <c r="AC2558" s="12">
        <v>20512058</v>
      </c>
      <c r="AD2558" s="12">
        <v>22624083</v>
      </c>
      <c r="AE2558" s="12">
        <v>23070870</v>
      </c>
      <c r="AF2558" s="12">
        <v>23267852</v>
      </c>
      <c r="AG2558" s="12">
        <v>24610936</v>
      </c>
      <c r="AH2558" s="12">
        <v>28659933</v>
      </c>
      <c r="AI2558" s="14">
        <v>32655974</v>
      </c>
      <c r="AJ2558" s="14">
        <v>36080197</v>
      </c>
      <c r="AK2558" s="14">
        <v>40766881</v>
      </c>
      <c r="AL2558" s="14">
        <v>45402467</v>
      </c>
      <c r="AM2558" s="14">
        <v>46700119</v>
      </c>
      <c r="AN2558" s="1071">
        <v>46831537</v>
      </c>
      <c r="AO2558" s="1071">
        <v>49435605</v>
      </c>
    </row>
    <row r="2559" spans="1:41" s="218" customFormat="1" hidden="1" outlineLevel="1">
      <c r="A2559" s="218">
        <v>210</v>
      </c>
      <c r="B2559" s="633">
        <v>3565</v>
      </c>
      <c r="C2559" s="9" t="s">
        <v>760</v>
      </c>
      <c r="D2559" s="9"/>
      <c r="E2559" s="224" t="s">
        <v>1361</v>
      </c>
      <c r="F2559" s="224"/>
      <c r="G2559" s="224"/>
      <c r="H2559" s="224"/>
      <c r="I2559" s="224"/>
      <c r="J2559" s="224"/>
      <c r="K2559" s="224"/>
      <c r="L2559" s="224"/>
      <c r="M2559" s="224"/>
      <c r="N2559" s="224"/>
      <c r="O2559" s="224"/>
      <c r="P2559" s="224"/>
      <c r="Q2559" s="224"/>
      <c r="R2559" s="224"/>
      <c r="S2559" s="224"/>
      <c r="T2559" s="224"/>
      <c r="U2559" s="224"/>
      <c r="V2559" s="224"/>
      <c r="W2559" s="224"/>
      <c r="X2559" s="224"/>
      <c r="Y2559" s="12">
        <v>17444099</v>
      </c>
      <c r="Z2559" s="12">
        <v>17721561</v>
      </c>
      <c r="AA2559" s="12">
        <v>19857249</v>
      </c>
      <c r="AB2559" s="12">
        <v>24035591</v>
      </c>
      <c r="AC2559" s="12">
        <v>26110251</v>
      </c>
      <c r="AD2559" s="12">
        <v>30511291</v>
      </c>
      <c r="AE2559" s="12">
        <v>29482816</v>
      </c>
      <c r="AF2559" s="12">
        <v>34584043</v>
      </c>
      <c r="AG2559" s="12">
        <v>41920233</v>
      </c>
      <c r="AH2559" s="12">
        <v>50660607</v>
      </c>
      <c r="AI2559" s="14">
        <v>59458198</v>
      </c>
      <c r="AJ2559" s="14">
        <v>51751806</v>
      </c>
      <c r="AK2559" s="14">
        <v>56379268</v>
      </c>
      <c r="AL2559" s="14">
        <v>60430194</v>
      </c>
      <c r="AM2559" s="14">
        <v>58800645</v>
      </c>
      <c r="AN2559" s="1071">
        <v>56879916</v>
      </c>
      <c r="AO2559" s="1071">
        <v>52643350</v>
      </c>
    </row>
    <row r="2560" spans="1:41" s="218" customFormat="1" hidden="1" outlineLevel="1">
      <c r="A2560" s="218">
        <v>220</v>
      </c>
      <c r="B2560" s="633">
        <v>29269</v>
      </c>
      <c r="C2560" s="9" t="s">
        <v>760</v>
      </c>
      <c r="D2560" s="9"/>
      <c r="E2560" s="224" t="s">
        <v>1425</v>
      </c>
      <c r="F2560" s="224"/>
      <c r="G2560" s="224"/>
      <c r="H2560" s="224"/>
      <c r="I2560" s="224"/>
      <c r="J2560" s="224"/>
      <c r="K2560" s="224"/>
      <c r="L2560" s="224"/>
      <c r="M2560" s="224"/>
      <c r="N2560" s="224"/>
      <c r="O2560" s="224"/>
      <c r="P2560" s="224"/>
      <c r="Q2560" s="224"/>
      <c r="R2560" s="224"/>
      <c r="S2560" s="224"/>
      <c r="T2560" s="224"/>
      <c r="U2560" s="224"/>
      <c r="V2560" s="224"/>
      <c r="W2560" s="224"/>
      <c r="X2560" s="224"/>
      <c r="Y2560" s="12">
        <v>3887832</v>
      </c>
      <c r="Z2560" s="12">
        <v>3768644</v>
      </c>
      <c r="AA2560" s="12">
        <v>1650961</v>
      </c>
      <c r="AB2560" s="12">
        <v>1827400</v>
      </c>
      <c r="AC2560" s="12">
        <v>2991319</v>
      </c>
      <c r="AD2560" s="12">
        <v>3054073</v>
      </c>
      <c r="AE2560" s="12">
        <v>3628826</v>
      </c>
      <c r="AF2560" s="12">
        <v>4822061</v>
      </c>
      <c r="AG2560" s="12">
        <v>5231270</v>
      </c>
      <c r="AH2560" s="12">
        <v>5570849</v>
      </c>
      <c r="AI2560" s="14">
        <v>6381690</v>
      </c>
      <c r="AJ2560" s="14">
        <v>5659395</v>
      </c>
      <c r="AK2560" s="14">
        <v>7671840</v>
      </c>
      <c r="AL2560" s="14">
        <v>7576833</v>
      </c>
      <c r="AM2560" s="14">
        <v>9345952</v>
      </c>
      <c r="AN2560" s="1071">
        <v>9766043</v>
      </c>
      <c r="AO2560" s="1071">
        <v>10322235</v>
      </c>
    </row>
    <row r="2561" spans="1:41" s="218" customFormat="1" hidden="1" outlineLevel="1">
      <c r="A2561" s="218">
        <v>223</v>
      </c>
      <c r="B2561" s="633">
        <v>42295</v>
      </c>
      <c r="C2561" s="9" t="s">
        <v>760</v>
      </c>
      <c r="D2561" s="9"/>
      <c r="E2561" s="224" t="s">
        <v>1210</v>
      </c>
      <c r="F2561" s="224"/>
      <c r="G2561" s="224"/>
      <c r="H2561" s="224"/>
      <c r="I2561" s="224"/>
      <c r="J2561" s="224"/>
      <c r="K2561" s="224"/>
      <c r="L2561" s="224"/>
      <c r="M2561" s="224"/>
      <c r="N2561" s="224"/>
      <c r="O2561" s="224"/>
      <c r="P2561" s="224"/>
      <c r="Q2561" s="224"/>
      <c r="R2561" s="224"/>
      <c r="S2561" s="224"/>
      <c r="T2561" s="224"/>
      <c r="U2561" s="224"/>
      <c r="V2561" s="224"/>
      <c r="W2561" s="224"/>
      <c r="X2561" s="224"/>
      <c r="Y2561" s="12"/>
      <c r="Z2561" s="12"/>
      <c r="AA2561" s="12"/>
      <c r="AB2561" s="12"/>
      <c r="AC2561" s="12"/>
      <c r="AD2561" s="12"/>
      <c r="AE2561" s="12"/>
      <c r="AF2561" s="12">
        <v>7589721</v>
      </c>
      <c r="AG2561" s="12">
        <v>7723759</v>
      </c>
      <c r="AH2561" s="12">
        <v>8355482</v>
      </c>
      <c r="AI2561" s="14">
        <v>10114054</v>
      </c>
      <c r="AJ2561" s="14">
        <v>11694832</v>
      </c>
      <c r="AK2561" s="14">
        <v>10329011</v>
      </c>
      <c r="AL2561" s="14">
        <v>10896699</v>
      </c>
      <c r="AM2561" s="14">
        <v>12493594</v>
      </c>
      <c r="AN2561" s="1071">
        <v>10572476</v>
      </c>
      <c r="AO2561" s="1071">
        <v>11993667</v>
      </c>
    </row>
    <row r="2562" spans="1:41" s="218" customFormat="1" hidden="1" outlineLevel="1">
      <c r="A2562" s="218">
        <v>226</v>
      </c>
      <c r="B2562" s="787">
        <v>42485</v>
      </c>
      <c r="C2562" s="9" t="s">
        <v>760</v>
      </c>
      <c r="D2562" s="9"/>
      <c r="E2562" s="224" t="s">
        <v>1213</v>
      </c>
      <c r="F2562" s="224"/>
      <c r="G2562" s="224"/>
      <c r="H2562" s="224"/>
      <c r="I2562" s="224"/>
      <c r="J2562" s="224"/>
      <c r="K2562" s="224"/>
      <c r="L2562" s="224"/>
      <c r="M2562" s="224"/>
      <c r="N2562" s="224"/>
      <c r="O2562" s="224"/>
      <c r="P2562" s="224"/>
      <c r="Q2562" s="224"/>
      <c r="R2562" s="224"/>
      <c r="S2562" s="224"/>
      <c r="T2562" s="224"/>
      <c r="U2562" s="224"/>
      <c r="V2562" s="224"/>
      <c r="W2562" s="224"/>
      <c r="X2562" s="224"/>
      <c r="Y2562" s="12"/>
      <c r="Z2562" s="12"/>
      <c r="AA2562" s="12"/>
      <c r="AB2562" s="12"/>
      <c r="AC2562" s="12"/>
      <c r="AD2562" s="12"/>
      <c r="AE2562" s="12"/>
      <c r="AF2562" s="12">
        <v>7827563</v>
      </c>
      <c r="AG2562" s="12">
        <v>11186795</v>
      </c>
      <c r="AH2562" s="12">
        <v>15423103</v>
      </c>
      <c r="AI2562" s="14">
        <v>18054212</v>
      </c>
      <c r="AJ2562" s="14">
        <v>19136282</v>
      </c>
      <c r="AK2562" s="14">
        <v>20581566</v>
      </c>
      <c r="AL2562" s="14">
        <v>21568169</v>
      </c>
      <c r="AM2562" s="14">
        <v>26142496</v>
      </c>
      <c r="AN2562" s="1071">
        <v>31899730</v>
      </c>
      <c r="AO2562" s="1071">
        <v>30298894</v>
      </c>
    </row>
    <row r="2563" spans="1:41" s="218" customFormat="1" hidden="1" outlineLevel="1">
      <c r="A2563" s="218">
        <v>230</v>
      </c>
      <c r="B2563" s="633">
        <v>3652</v>
      </c>
      <c r="C2563" s="9" t="s">
        <v>760</v>
      </c>
      <c r="D2563" s="9"/>
      <c r="E2563" s="224" t="s">
        <v>726</v>
      </c>
      <c r="F2563" s="224"/>
      <c r="G2563" s="224"/>
      <c r="H2563" s="224"/>
      <c r="I2563" s="224"/>
      <c r="J2563" s="224"/>
      <c r="K2563" s="224"/>
      <c r="L2563" s="224"/>
      <c r="M2563" s="224"/>
      <c r="N2563" s="224"/>
      <c r="O2563" s="224"/>
      <c r="P2563" s="224"/>
      <c r="Q2563" s="224"/>
      <c r="R2563" s="224"/>
      <c r="S2563" s="224"/>
      <c r="T2563" s="224"/>
      <c r="U2563" s="224"/>
      <c r="V2563" s="224"/>
      <c r="W2563" s="224"/>
      <c r="X2563" s="224"/>
      <c r="Y2563" s="12">
        <v>101615910</v>
      </c>
      <c r="Z2563" s="12">
        <v>139299271</v>
      </c>
      <c r="AA2563" s="12">
        <v>164161509</v>
      </c>
      <c r="AB2563" s="12">
        <v>171220730</v>
      </c>
      <c r="AC2563" s="12">
        <v>189406869</v>
      </c>
      <c r="AD2563" s="12">
        <v>201355431</v>
      </c>
      <c r="AE2563" s="12">
        <v>213416032</v>
      </c>
      <c r="AF2563" s="12">
        <v>222184771</v>
      </c>
      <c r="AG2563" s="12">
        <v>258718001</v>
      </c>
      <c r="AH2563" s="12">
        <v>299359861</v>
      </c>
      <c r="AI2563" s="14">
        <v>283284674</v>
      </c>
      <c r="AJ2563" s="14">
        <v>295962039</v>
      </c>
      <c r="AK2563" s="14">
        <v>316143238</v>
      </c>
      <c r="AL2563" s="14">
        <v>337284686</v>
      </c>
      <c r="AM2563" s="14">
        <v>351843198</v>
      </c>
      <c r="AN2563" s="1071">
        <v>356456926</v>
      </c>
      <c r="AO2563" s="1071">
        <v>360651617</v>
      </c>
    </row>
    <row r="2564" spans="1:41" s="218" customFormat="1" hidden="1" outlineLevel="1">
      <c r="A2564" s="218">
        <v>240</v>
      </c>
      <c r="B2564" s="633">
        <v>11711</v>
      </c>
      <c r="C2564" s="9" t="s">
        <v>760</v>
      </c>
      <c r="D2564" s="9"/>
      <c r="E2564" s="224" t="s">
        <v>1363</v>
      </c>
      <c r="F2564" s="224"/>
      <c r="G2564" s="224"/>
      <c r="H2564" s="224"/>
      <c r="I2564" s="224"/>
      <c r="J2564" s="224"/>
      <c r="K2564" s="224"/>
      <c r="L2564" s="224"/>
      <c r="M2564" s="224"/>
      <c r="N2564" s="224"/>
      <c r="O2564" s="224"/>
      <c r="P2564" s="224"/>
      <c r="Q2564" s="224"/>
      <c r="R2564" s="224"/>
      <c r="S2564" s="224"/>
      <c r="T2564" s="224"/>
      <c r="U2564" s="224"/>
      <c r="V2564" s="224"/>
      <c r="W2564" s="224"/>
      <c r="X2564" s="224"/>
      <c r="Y2564" s="12">
        <v>17005779</v>
      </c>
      <c r="Z2564" s="12">
        <v>21731296</v>
      </c>
      <c r="AA2564" s="12">
        <v>24633602</v>
      </c>
      <c r="AB2564" s="12">
        <v>26872538</v>
      </c>
      <c r="AC2564" s="12">
        <v>28804452</v>
      </c>
      <c r="AD2564" s="12">
        <v>30994061</v>
      </c>
      <c r="AE2564" s="12">
        <v>34157945</v>
      </c>
      <c r="AF2564" s="12">
        <v>34590266</v>
      </c>
      <c r="AG2564" s="12">
        <v>37478645</v>
      </c>
      <c r="AH2564" s="12">
        <v>39836085</v>
      </c>
      <c r="AI2564" s="14">
        <v>40241610</v>
      </c>
      <c r="AJ2564" s="14">
        <v>49027228</v>
      </c>
      <c r="AK2564" s="14">
        <v>55066162</v>
      </c>
      <c r="AL2564" s="14">
        <v>58913892</v>
      </c>
      <c r="AM2564" s="14">
        <v>54244638</v>
      </c>
      <c r="AN2564" s="1071">
        <v>51387588</v>
      </c>
      <c r="AO2564" s="1071">
        <v>53589439</v>
      </c>
    </row>
    <row r="2565" spans="1:41" s="218" customFormat="1" hidden="1" outlineLevel="1">
      <c r="A2565" s="218">
        <v>250</v>
      </c>
      <c r="B2565" s="633">
        <v>12826</v>
      </c>
      <c r="C2565" s="9" t="s">
        <v>760</v>
      </c>
      <c r="D2565" s="9"/>
      <c r="E2565" s="224" t="s">
        <v>1364</v>
      </c>
      <c r="F2565" s="224"/>
      <c r="G2565" s="224"/>
      <c r="H2565" s="224"/>
      <c r="I2565" s="224"/>
      <c r="J2565" s="224"/>
      <c r="K2565" s="224"/>
      <c r="L2565" s="224"/>
      <c r="M2565" s="224"/>
      <c r="N2565" s="224"/>
      <c r="O2565" s="224"/>
      <c r="P2565" s="224"/>
      <c r="Q2565" s="224"/>
      <c r="R2565" s="224"/>
      <c r="S2565" s="224"/>
      <c r="T2565" s="224"/>
      <c r="U2565" s="224"/>
      <c r="V2565" s="224"/>
      <c r="W2565" s="224"/>
      <c r="X2565" s="224"/>
      <c r="Y2565" s="12">
        <v>17395602</v>
      </c>
      <c r="Z2565" s="12">
        <v>23155356</v>
      </c>
      <c r="AA2565" s="12">
        <v>26864791</v>
      </c>
      <c r="AB2565" s="12">
        <v>26965114</v>
      </c>
      <c r="AC2565" s="12">
        <v>32540302</v>
      </c>
      <c r="AD2565" s="12">
        <v>36592057</v>
      </c>
      <c r="AE2565" s="12">
        <v>37484637</v>
      </c>
      <c r="AF2565" s="12">
        <v>38888810</v>
      </c>
      <c r="AG2565" s="12">
        <v>45716408</v>
      </c>
      <c r="AH2565" s="12">
        <v>51989356</v>
      </c>
      <c r="AI2565" s="14">
        <v>56733631</v>
      </c>
      <c r="AJ2565" s="14">
        <v>55933873</v>
      </c>
      <c r="AK2565" s="14">
        <v>65484211</v>
      </c>
      <c r="AL2565" s="14">
        <v>68086566</v>
      </c>
      <c r="AM2565" s="14">
        <v>73795804</v>
      </c>
      <c r="AN2565" s="1071">
        <v>67121858</v>
      </c>
      <c r="AO2565" s="1071">
        <v>65819688</v>
      </c>
    </row>
    <row r="2566" spans="1:41" s="218" customFormat="1" hidden="1" outlineLevel="1">
      <c r="A2566" s="218">
        <v>260</v>
      </c>
      <c r="B2566" s="633">
        <v>13231</v>
      </c>
      <c r="C2566" s="9" t="s">
        <v>760</v>
      </c>
      <c r="D2566" s="9"/>
      <c r="E2566" s="224" t="s">
        <v>1365</v>
      </c>
      <c r="F2566" s="224"/>
      <c r="G2566" s="224"/>
      <c r="H2566" s="224"/>
      <c r="I2566" s="224"/>
      <c r="J2566" s="224"/>
      <c r="K2566" s="224"/>
      <c r="L2566" s="224"/>
      <c r="M2566" s="224"/>
      <c r="N2566" s="224"/>
      <c r="O2566" s="224"/>
      <c r="P2566" s="224"/>
      <c r="Q2566" s="224"/>
      <c r="R2566" s="224"/>
      <c r="S2566" s="224"/>
      <c r="T2566" s="224"/>
      <c r="U2566" s="224"/>
      <c r="V2566" s="224"/>
      <c r="W2566" s="224"/>
      <c r="X2566" s="224"/>
      <c r="Y2566" s="12">
        <v>5371430</v>
      </c>
      <c r="Z2566" s="12">
        <v>6177964</v>
      </c>
      <c r="AA2566" s="12">
        <v>6477537</v>
      </c>
      <c r="AB2566" s="12">
        <v>7118295</v>
      </c>
      <c r="AC2566" s="12">
        <v>8471186</v>
      </c>
      <c r="AD2566" s="12">
        <v>10456539</v>
      </c>
      <c r="AE2566" s="12">
        <v>11782897</v>
      </c>
      <c r="AF2566" s="12">
        <v>12598514</v>
      </c>
      <c r="AG2566" s="12">
        <v>13810884</v>
      </c>
      <c r="AH2566" s="12">
        <v>15469974</v>
      </c>
      <c r="AI2566" s="14">
        <v>14902527</v>
      </c>
      <c r="AJ2566" s="14">
        <v>16664907</v>
      </c>
      <c r="AK2566" s="14">
        <v>17482062</v>
      </c>
      <c r="AL2566" s="14">
        <v>16255839</v>
      </c>
      <c r="AM2566" s="14">
        <v>19075662</v>
      </c>
      <c r="AN2566" s="1071">
        <v>17167036</v>
      </c>
      <c r="AO2566" s="1071">
        <v>19716905</v>
      </c>
    </row>
    <row r="2567" spans="1:41" s="218" customFormat="1" hidden="1" outlineLevel="1">
      <c r="A2567" s="218">
        <v>270</v>
      </c>
      <c r="B2567" s="633">
        <v>3581</v>
      </c>
      <c r="C2567" s="9" t="s">
        <v>760</v>
      </c>
      <c r="D2567" s="9"/>
      <c r="E2567" s="224" t="s">
        <v>1366</v>
      </c>
      <c r="F2567" s="224"/>
      <c r="G2567" s="224"/>
      <c r="H2567" s="224"/>
      <c r="I2567" s="224"/>
      <c r="J2567" s="224"/>
      <c r="K2567" s="224"/>
      <c r="L2567" s="224"/>
      <c r="M2567" s="224"/>
      <c r="N2567" s="224"/>
      <c r="O2567" s="224"/>
      <c r="P2567" s="224"/>
      <c r="Q2567" s="224"/>
      <c r="R2567" s="224"/>
      <c r="S2567" s="224"/>
      <c r="T2567" s="224"/>
      <c r="U2567" s="224"/>
      <c r="V2567" s="224"/>
      <c r="W2567" s="224"/>
      <c r="X2567" s="224"/>
      <c r="Y2567" s="12">
        <v>23575611</v>
      </c>
      <c r="Z2567" s="12">
        <v>27880476</v>
      </c>
      <c r="AA2567" s="12">
        <v>33654500</v>
      </c>
      <c r="AB2567" s="12">
        <v>35444293</v>
      </c>
      <c r="AC2567" s="12">
        <v>35250928</v>
      </c>
      <c r="AD2567" s="12">
        <v>45069099</v>
      </c>
      <c r="AE2567" s="12">
        <v>55334797</v>
      </c>
      <c r="AF2567" s="12">
        <v>58091949</v>
      </c>
      <c r="AG2567" s="12">
        <v>59667096</v>
      </c>
      <c r="AH2567" s="12">
        <v>71731634</v>
      </c>
      <c r="AI2567" s="14">
        <v>83404139</v>
      </c>
      <c r="AJ2567" s="14">
        <v>85080557</v>
      </c>
      <c r="AK2567" s="14">
        <v>94672439</v>
      </c>
      <c r="AL2567" s="14">
        <v>101040512</v>
      </c>
      <c r="AM2567" s="14">
        <v>87127791</v>
      </c>
      <c r="AN2567" s="1071">
        <v>78385094</v>
      </c>
      <c r="AO2567" s="1071">
        <v>83931633</v>
      </c>
    </row>
    <row r="2568" spans="1:41" s="218" customFormat="1" hidden="1" outlineLevel="1">
      <c r="A2568" s="218">
        <v>280</v>
      </c>
      <c r="B2568" s="633">
        <v>3606</v>
      </c>
      <c r="C2568" s="9" t="s">
        <v>760</v>
      </c>
      <c r="D2568" s="9"/>
      <c r="E2568" s="224" t="s">
        <v>1367</v>
      </c>
      <c r="F2568" s="224"/>
      <c r="G2568" s="224"/>
      <c r="H2568" s="224"/>
      <c r="I2568" s="224"/>
      <c r="J2568" s="224"/>
      <c r="K2568" s="224"/>
      <c r="L2568" s="224"/>
      <c r="M2568" s="224"/>
      <c r="N2568" s="224"/>
      <c r="O2568" s="224"/>
      <c r="P2568" s="224"/>
      <c r="Q2568" s="224"/>
      <c r="R2568" s="224"/>
      <c r="S2568" s="224"/>
      <c r="T2568" s="224"/>
      <c r="U2568" s="224"/>
      <c r="V2568" s="224"/>
      <c r="W2568" s="224"/>
      <c r="X2568" s="224"/>
      <c r="Y2568" s="12">
        <v>30245857</v>
      </c>
      <c r="Z2568" s="12">
        <v>37226168</v>
      </c>
      <c r="AA2568" s="12">
        <v>44969239</v>
      </c>
      <c r="AB2568" s="12">
        <v>54841795</v>
      </c>
      <c r="AC2568" s="12">
        <v>59535831</v>
      </c>
      <c r="AD2568" s="12">
        <v>64032603</v>
      </c>
      <c r="AE2568" s="12">
        <v>69370977</v>
      </c>
      <c r="AF2568" s="12">
        <v>70824080</v>
      </c>
      <c r="AG2568" s="12">
        <v>79278344</v>
      </c>
      <c r="AH2568" s="12">
        <v>90545811</v>
      </c>
      <c r="AI2568" s="14">
        <v>95482701</v>
      </c>
      <c r="AJ2568" s="14">
        <v>113966816</v>
      </c>
      <c r="AK2568" s="14">
        <v>121674996</v>
      </c>
      <c r="AL2568" s="14">
        <v>128251092</v>
      </c>
      <c r="AM2568" s="14">
        <v>141919163</v>
      </c>
      <c r="AN2568" s="1071">
        <v>146778165</v>
      </c>
      <c r="AO2568" s="1071">
        <v>154563100</v>
      </c>
    </row>
    <row r="2569" spans="1:41" s="218" customFormat="1" hidden="1" outlineLevel="1">
      <c r="A2569" s="218">
        <v>290</v>
      </c>
      <c r="B2569" s="633">
        <v>3615</v>
      </c>
      <c r="C2569" s="9" t="s">
        <v>760</v>
      </c>
      <c r="D2569" s="9"/>
      <c r="E2569" s="224" t="s">
        <v>1094</v>
      </c>
      <c r="F2569" s="224"/>
      <c r="G2569" s="224"/>
      <c r="H2569" s="224"/>
      <c r="I2569" s="224"/>
      <c r="J2569" s="224"/>
      <c r="K2569" s="224"/>
      <c r="L2569" s="224"/>
      <c r="M2569" s="224"/>
      <c r="N2569" s="224"/>
      <c r="O2569" s="224"/>
      <c r="P2569" s="224"/>
      <c r="Q2569" s="224"/>
      <c r="R2569" s="224"/>
      <c r="S2569" s="224"/>
      <c r="T2569" s="224"/>
      <c r="U2569" s="224"/>
      <c r="V2569" s="224"/>
      <c r="W2569" s="224"/>
      <c r="X2569" s="224"/>
      <c r="Y2569" s="12">
        <v>57973029</v>
      </c>
      <c r="Z2569" s="12">
        <v>64062223</v>
      </c>
      <c r="AA2569" s="12">
        <v>91890838</v>
      </c>
      <c r="AB2569" s="12">
        <v>98620101</v>
      </c>
      <c r="AC2569" s="12">
        <v>115330983</v>
      </c>
      <c r="AD2569" s="12">
        <v>122507829</v>
      </c>
      <c r="AE2569" s="12">
        <v>132641666</v>
      </c>
      <c r="AF2569" s="12">
        <v>142253754</v>
      </c>
      <c r="AG2569" s="12">
        <v>149290361</v>
      </c>
      <c r="AH2569" s="12">
        <v>164748661</v>
      </c>
      <c r="AI2569" s="14">
        <v>169094909</v>
      </c>
      <c r="AJ2569" s="14">
        <v>187726876</v>
      </c>
      <c r="AK2569" s="14">
        <v>205160296</v>
      </c>
      <c r="AL2569" s="14">
        <v>221661427</v>
      </c>
      <c r="AM2569" s="14">
        <v>233494375</v>
      </c>
      <c r="AN2569" s="1071">
        <v>234148864</v>
      </c>
      <c r="AO2569" s="1071">
        <v>238678109</v>
      </c>
    </row>
    <row r="2570" spans="1:41" s="218" customFormat="1" hidden="1" outlineLevel="1">
      <c r="A2570" s="218">
        <v>300</v>
      </c>
      <c r="B2570" s="633">
        <v>3625</v>
      </c>
      <c r="C2570" s="9" t="s">
        <v>760</v>
      </c>
      <c r="D2570" s="9"/>
      <c r="E2570" s="224" t="s">
        <v>1525</v>
      </c>
      <c r="F2570" s="224"/>
      <c r="G2570" s="224"/>
      <c r="H2570" s="224"/>
      <c r="I2570" s="224"/>
      <c r="J2570" s="224"/>
      <c r="K2570" s="224"/>
      <c r="L2570" s="224"/>
      <c r="M2570" s="224"/>
      <c r="N2570" s="224"/>
      <c r="O2570" s="224"/>
      <c r="P2570" s="224"/>
      <c r="Q2570" s="224"/>
      <c r="R2570" s="224"/>
      <c r="S2570" s="224"/>
      <c r="T2570" s="224"/>
      <c r="U2570" s="224"/>
      <c r="V2570" s="224"/>
      <c r="W2570" s="224"/>
      <c r="X2570" s="224"/>
      <c r="Y2570" s="12">
        <v>3686677</v>
      </c>
      <c r="Z2570" s="12">
        <v>5511459</v>
      </c>
      <c r="AA2570" s="12">
        <v>6150329</v>
      </c>
      <c r="AB2570" s="12">
        <v>6308595</v>
      </c>
      <c r="AC2570" s="12">
        <v>6752652</v>
      </c>
      <c r="AD2570" s="12">
        <v>6713483</v>
      </c>
      <c r="AE2570" s="12">
        <v>6879262</v>
      </c>
      <c r="AF2570" s="12">
        <v>6563108</v>
      </c>
      <c r="AG2570" s="12">
        <v>10824554</v>
      </c>
      <c r="AH2570" s="12">
        <v>11260206</v>
      </c>
      <c r="AI2570" s="14">
        <v>10709181</v>
      </c>
      <c r="AJ2570" s="14">
        <v>7643400</v>
      </c>
      <c r="AK2570" s="14">
        <v>6479582</v>
      </c>
      <c r="AL2570" s="14">
        <v>6771654</v>
      </c>
      <c r="AM2570" s="14">
        <v>7135160</v>
      </c>
      <c r="AN2570" s="1071">
        <v>7067949</v>
      </c>
      <c r="AO2570" s="1071">
        <v>5952891</v>
      </c>
    </row>
    <row r="2571" spans="1:41" s="218" customFormat="1" hidden="1" outlineLevel="1">
      <c r="A2571" s="218">
        <v>310</v>
      </c>
      <c r="B2571" s="633">
        <v>3644</v>
      </c>
      <c r="C2571" s="9" t="s">
        <v>760</v>
      </c>
      <c r="D2571" s="9"/>
      <c r="E2571" s="224" t="s">
        <v>735</v>
      </c>
      <c r="F2571" s="224"/>
      <c r="G2571" s="224"/>
      <c r="H2571" s="224"/>
      <c r="I2571" s="224"/>
      <c r="J2571" s="224"/>
      <c r="K2571" s="224"/>
      <c r="L2571" s="224"/>
      <c r="M2571" s="224"/>
      <c r="N2571" s="224"/>
      <c r="O2571" s="224"/>
      <c r="P2571" s="224"/>
      <c r="Q2571" s="224"/>
      <c r="R2571" s="224"/>
      <c r="S2571" s="224"/>
      <c r="T2571" s="224"/>
      <c r="U2571" s="224"/>
      <c r="V2571" s="224"/>
      <c r="W2571" s="224"/>
      <c r="X2571" s="224"/>
      <c r="Y2571" s="12">
        <v>108344001</v>
      </c>
      <c r="Z2571" s="12">
        <v>139302765</v>
      </c>
      <c r="AA2571" s="12">
        <v>160007799</v>
      </c>
      <c r="AB2571" s="12">
        <v>165329109</v>
      </c>
      <c r="AC2571" s="12">
        <v>171631138</v>
      </c>
      <c r="AD2571" s="12">
        <v>177286284</v>
      </c>
      <c r="AE2571" s="12">
        <v>181524144</v>
      </c>
      <c r="AF2571" s="12">
        <v>204281015</v>
      </c>
      <c r="AG2571" s="12">
        <v>229303339</v>
      </c>
      <c r="AH2571" s="12">
        <v>240229071</v>
      </c>
      <c r="AI2571" s="14">
        <v>257319023</v>
      </c>
      <c r="AJ2571" s="14">
        <v>256676360</v>
      </c>
      <c r="AK2571" s="14">
        <v>281954310</v>
      </c>
      <c r="AL2571" s="14">
        <v>295899496</v>
      </c>
      <c r="AM2571" s="14">
        <v>299280815</v>
      </c>
      <c r="AN2571" s="1071">
        <v>307738012</v>
      </c>
      <c r="AO2571" s="1071">
        <v>312261175</v>
      </c>
    </row>
    <row r="2572" spans="1:41" s="218" customFormat="1" hidden="1" outlineLevel="1">
      <c r="A2572" s="218">
        <v>320</v>
      </c>
      <c r="B2572" s="633">
        <v>3541</v>
      </c>
      <c r="C2572" s="9" t="s">
        <v>760</v>
      </c>
      <c r="D2572" s="9"/>
      <c r="E2572" s="224" t="s">
        <v>855</v>
      </c>
      <c r="F2572" s="224"/>
      <c r="G2572" s="224"/>
      <c r="H2572" s="224"/>
      <c r="I2572" s="224"/>
      <c r="J2572" s="224"/>
      <c r="K2572" s="224"/>
      <c r="L2572" s="224"/>
      <c r="M2572" s="224"/>
      <c r="N2572" s="224"/>
      <c r="O2572" s="224"/>
      <c r="P2572" s="224"/>
      <c r="Q2572" s="224"/>
      <c r="R2572" s="224"/>
      <c r="S2572" s="224"/>
      <c r="T2572" s="224"/>
      <c r="U2572" s="224"/>
      <c r="V2572" s="224"/>
      <c r="W2572" s="224"/>
      <c r="X2572" s="224"/>
      <c r="Y2572" s="12">
        <v>11170500</v>
      </c>
      <c r="Z2572" s="12">
        <v>14855774</v>
      </c>
      <c r="AA2572" s="12">
        <v>16451298</v>
      </c>
      <c r="AB2572" s="12">
        <v>16242142</v>
      </c>
      <c r="AC2572" s="12">
        <v>18763939</v>
      </c>
      <c r="AD2572" s="12">
        <v>22003251</v>
      </c>
      <c r="AE2572" s="12">
        <v>23541896</v>
      </c>
      <c r="AF2572" s="12">
        <v>24695739</v>
      </c>
      <c r="AG2572" s="12">
        <v>31383718</v>
      </c>
      <c r="AH2572" s="12">
        <v>34775417</v>
      </c>
      <c r="AI2572" s="14">
        <v>33916306</v>
      </c>
      <c r="AJ2572" s="14">
        <v>30735695</v>
      </c>
      <c r="AK2572" s="14">
        <v>31368278</v>
      </c>
      <c r="AL2572" s="14">
        <v>36971418</v>
      </c>
      <c r="AM2572" s="14">
        <v>39260610</v>
      </c>
      <c r="AN2572" s="1071">
        <v>41251499</v>
      </c>
      <c r="AO2572" s="1071">
        <v>41562764</v>
      </c>
    </row>
    <row r="2573" spans="1:41" s="218" customFormat="1" hidden="1" outlineLevel="1">
      <c r="A2573" s="218">
        <v>330</v>
      </c>
      <c r="B2573" s="633">
        <v>3594</v>
      </c>
      <c r="C2573" s="9" t="s">
        <v>760</v>
      </c>
      <c r="D2573" s="9"/>
      <c r="E2573" s="224" t="s">
        <v>731</v>
      </c>
      <c r="F2573" s="224"/>
      <c r="G2573" s="224"/>
      <c r="H2573" s="224"/>
      <c r="I2573" s="224"/>
      <c r="J2573" s="224"/>
      <c r="K2573" s="224"/>
      <c r="L2573" s="224"/>
      <c r="M2573" s="224"/>
      <c r="N2573" s="224"/>
      <c r="O2573" s="224"/>
      <c r="P2573" s="224"/>
      <c r="Q2573" s="224"/>
      <c r="R2573" s="224"/>
      <c r="S2573" s="224"/>
      <c r="T2573" s="224"/>
      <c r="U2573" s="224"/>
      <c r="V2573" s="224"/>
      <c r="W2573" s="224"/>
      <c r="X2573" s="224"/>
      <c r="Y2573" s="12">
        <v>99371916</v>
      </c>
      <c r="Z2573" s="12">
        <v>119756186</v>
      </c>
      <c r="AA2573" s="12">
        <v>143944264</v>
      </c>
      <c r="AB2573" s="12">
        <v>153356194</v>
      </c>
      <c r="AC2573" s="12">
        <v>166549557</v>
      </c>
      <c r="AD2573" s="12">
        <v>180767072</v>
      </c>
      <c r="AE2573" s="12">
        <v>190124739</v>
      </c>
      <c r="AF2573" s="12">
        <v>199634307</v>
      </c>
      <c r="AG2573" s="12">
        <v>205749337</v>
      </c>
      <c r="AH2573" s="12">
        <v>217267392</v>
      </c>
      <c r="AI2573" s="14">
        <v>224311842</v>
      </c>
      <c r="AJ2573" s="14">
        <v>236918876</v>
      </c>
      <c r="AK2573" s="14">
        <v>243175730</v>
      </c>
      <c r="AL2573" s="14">
        <v>279051958</v>
      </c>
      <c r="AM2573" s="14">
        <v>293378184</v>
      </c>
      <c r="AN2573" s="1071">
        <v>298809650</v>
      </c>
      <c r="AO2573" s="1071">
        <v>310215849</v>
      </c>
    </row>
    <row r="2574" spans="1:41" s="218" customFormat="1" hidden="1" outlineLevel="1">
      <c r="A2574" s="218">
        <v>333</v>
      </c>
      <c r="B2574" s="633">
        <v>42421</v>
      </c>
      <c r="C2574" s="9" t="s">
        <v>760</v>
      </c>
      <c r="D2574" s="9"/>
      <c r="E2574" s="224" t="s">
        <v>1370</v>
      </c>
      <c r="F2574" s="224"/>
      <c r="G2574" s="224"/>
      <c r="H2574" s="224"/>
      <c r="I2574" s="224"/>
      <c r="J2574" s="224"/>
      <c r="K2574" s="224"/>
      <c r="L2574" s="224"/>
      <c r="M2574" s="224"/>
      <c r="N2574" s="224"/>
      <c r="O2574" s="224"/>
      <c r="P2574" s="224"/>
      <c r="Q2574" s="224"/>
      <c r="R2574" s="224"/>
      <c r="S2574" s="224"/>
      <c r="T2574" s="224"/>
      <c r="U2574" s="224"/>
      <c r="V2574" s="224"/>
      <c r="W2574" s="224"/>
      <c r="X2574" s="224"/>
      <c r="Y2574" s="12"/>
      <c r="Z2574" s="12"/>
      <c r="AA2574" s="12"/>
      <c r="AB2574" s="12"/>
      <c r="AC2574" s="12"/>
      <c r="AD2574" s="12"/>
      <c r="AE2574" s="12"/>
      <c r="AF2574" s="12">
        <v>5167456</v>
      </c>
      <c r="AG2574" s="12">
        <v>6481644</v>
      </c>
      <c r="AH2574" s="12">
        <v>7642235</v>
      </c>
      <c r="AI2574" s="14">
        <v>8823113</v>
      </c>
      <c r="AJ2574" s="14">
        <v>9491522</v>
      </c>
      <c r="AK2574" s="14">
        <v>13000910</v>
      </c>
      <c r="AL2574" s="14">
        <v>14515018</v>
      </c>
      <c r="AM2574" s="14">
        <v>17417284</v>
      </c>
      <c r="AN2574" s="1071">
        <v>20365561</v>
      </c>
      <c r="AO2574" s="1071">
        <v>24792120</v>
      </c>
    </row>
    <row r="2575" spans="1:41" s="218" customFormat="1" hidden="1" outlineLevel="1">
      <c r="A2575" s="218">
        <v>340</v>
      </c>
      <c r="B2575" s="633">
        <v>3592</v>
      </c>
      <c r="C2575" s="9" t="s">
        <v>760</v>
      </c>
      <c r="D2575" s="9"/>
      <c r="E2575" s="224" t="s">
        <v>730</v>
      </c>
      <c r="F2575" s="224"/>
      <c r="G2575" s="224"/>
      <c r="H2575" s="224"/>
      <c r="I2575" s="224"/>
      <c r="J2575" s="224"/>
      <c r="K2575" s="224"/>
      <c r="L2575" s="224"/>
      <c r="M2575" s="224"/>
      <c r="N2575" s="224"/>
      <c r="O2575" s="224"/>
      <c r="P2575" s="224"/>
      <c r="Q2575" s="224"/>
      <c r="R2575" s="224"/>
      <c r="S2575" s="224"/>
      <c r="T2575" s="224"/>
      <c r="U2575" s="224"/>
      <c r="V2575" s="224"/>
      <c r="W2575" s="224"/>
      <c r="X2575" s="224"/>
      <c r="Y2575" s="12">
        <v>12176291</v>
      </c>
      <c r="Z2575" s="12">
        <v>14118925</v>
      </c>
      <c r="AA2575" s="12">
        <v>16443487</v>
      </c>
      <c r="AB2575" s="12">
        <v>19427656</v>
      </c>
      <c r="AC2575" s="12">
        <v>18986830</v>
      </c>
      <c r="AD2575" s="12">
        <v>24588114</v>
      </c>
      <c r="AE2575" s="12">
        <v>26518675</v>
      </c>
      <c r="AF2575" s="12">
        <v>27132101</v>
      </c>
      <c r="AG2575" s="12">
        <v>29851186</v>
      </c>
      <c r="AH2575" s="12">
        <v>29192043</v>
      </c>
      <c r="AI2575" s="14">
        <v>31130657</v>
      </c>
      <c r="AJ2575" s="14">
        <v>31048888</v>
      </c>
      <c r="AK2575" s="14">
        <v>32331893</v>
      </c>
      <c r="AL2575" s="14">
        <v>34175093</v>
      </c>
      <c r="AM2575" s="14">
        <v>33865467</v>
      </c>
      <c r="AN2575" s="1071">
        <v>35178590</v>
      </c>
      <c r="AO2575" s="1071">
        <v>35183763</v>
      </c>
    </row>
    <row r="2576" spans="1:41" s="218" customFormat="1" hidden="1" outlineLevel="1">
      <c r="A2576" s="218">
        <v>350</v>
      </c>
      <c r="B2576" s="633">
        <v>3624</v>
      </c>
      <c r="C2576" s="9" t="s">
        <v>760</v>
      </c>
      <c r="D2576" s="9"/>
      <c r="E2576" s="224" t="s">
        <v>858</v>
      </c>
      <c r="F2576" s="224"/>
      <c r="G2576" s="224"/>
      <c r="H2576" s="224"/>
      <c r="I2576" s="224"/>
      <c r="J2576" s="224"/>
      <c r="K2576" s="224"/>
      <c r="L2576" s="224"/>
      <c r="M2576" s="224"/>
      <c r="N2576" s="224"/>
      <c r="O2576" s="224"/>
      <c r="P2576" s="224"/>
      <c r="Q2576" s="224"/>
      <c r="R2576" s="224"/>
      <c r="S2576" s="224"/>
      <c r="T2576" s="224"/>
      <c r="U2576" s="224"/>
      <c r="V2576" s="224"/>
      <c r="W2576" s="224"/>
      <c r="X2576" s="224"/>
      <c r="Y2576" s="12">
        <v>22434086</v>
      </c>
      <c r="Z2576" s="12">
        <v>22352685</v>
      </c>
      <c r="AA2576" s="12">
        <v>35020171</v>
      </c>
      <c r="AB2576" s="12">
        <v>39843450</v>
      </c>
      <c r="AC2576" s="12">
        <v>44067189</v>
      </c>
      <c r="AD2576" s="12">
        <v>52788874</v>
      </c>
      <c r="AE2576" s="12">
        <v>55789586</v>
      </c>
      <c r="AF2576" s="12">
        <v>55908722</v>
      </c>
      <c r="AG2576" s="12">
        <v>61418107</v>
      </c>
      <c r="AH2576" s="12">
        <v>64139740</v>
      </c>
      <c r="AI2576" s="14">
        <v>68185946</v>
      </c>
      <c r="AJ2576" s="14">
        <v>71040569</v>
      </c>
      <c r="AK2576" s="14">
        <v>75595053</v>
      </c>
      <c r="AL2576" s="14">
        <v>78923775</v>
      </c>
      <c r="AM2576" s="14">
        <v>80144098</v>
      </c>
      <c r="AN2576" s="1071">
        <v>78382970</v>
      </c>
      <c r="AO2576" s="1071">
        <v>83460589</v>
      </c>
    </row>
    <row r="2577" spans="1:44" s="218" customFormat="1" hidden="1" outlineLevel="1">
      <c r="A2577" s="218">
        <v>360</v>
      </c>
      <c r="B2577" s="633">
        <v>3642</v>
      </c>
      <c r="C2577" s="9" t="s">
        <v>760</v>
      </c>
      <c r="D2577" s="9"/>
      <c r="E2577" s="224" t="s">
        <v>733</v>
      </c>
      <c r="F2577" s="224"/>
      <c r="G2577" s="224"/>
      <c r="H2577" s="224"/>
      <c r="I2577" s="224"/>
      <c r="J2577" s="224"/>
      <c r="K2577" s="224"/>
      <c r="L2577" s="224"/>
      <c r="M2577" s="224"/>
      <c r="N2577" s="224"/>
      <c r="O2577" s="224"/>
      <c r="P2577" s="224"/>
      <c r="Q2577" s="224"/>
      <c r="R2577" s="224"/>
      <c r="S2577" s="224"/>
      <c r="T2577" s="224"/>
      <c r="U2577" s="224"/>
      <c r="V2577" s="224"/>
      <c r="W2577" s="224"/>
      <c r="X2577" s="224"/>
      <c r="Y2577" s="12">
        <v>20087639</v>
      </c>
      <c r="Z2577" s="12">
        <v>28666661</v>
      </c>
      <c r="AA2577" s="12">
        <v>38804764</v>
      </c>
      <c r="AB2577" s="12">
        <v>39718075</v>
      </c>
      <c r="AC2577" s="12">
        <v>54898101</v>
      </c>
      <c r="AD2577" s="12">
        <v>42641753</v>
      </c>
      <c r="AE2577" s="12">
        <v>43292521</v>
      </c>
      <c r="AF2577" s="12">
        <v>49813799</v>
      </c>
      <c r="AG2577" s="12">
        <v>52328627</v>
      </c>
      <c r="AH2577" s="12">
        <v>56292384</v>
      </c>
      <c r="AI2577" s="14">
        <v>60443378</v>
      </c>
      <c r="AJ2577" s="14">
        <v>49774869</v>
      </c>
      <c r="AK2577" s="14">
        <v>53273867</v>
      </c>
      <c r="AL2577" s="14">
        <v>59562953</v>
      </c>
      <c r="AM2577" s="14">
        <v>65274093</v>
      </c>
      <c r="AN2577" s="1071">
        <v>72875753</v>
      </c>
      <c r="AO2577" s="1071">
        <v>62210273</v>
      </c>
    </row>
    <row r="2578" spans="1:44" s="218" customFormat="1" hidden="1" outlineLevel="1">
      <c r="A2578" s="218">
        <v>370</v>
      </c>
      <c r="B2578" s="633">
        <v>3646</v>
      </c>
      <c r="C2578" s="9" t="s">
        <v>760</v>
      </c>
      <c r="D2578" s="9"/>
      <c r="E2578" s="224" t="s">
        <v>737</v>
      </c>
      <c r="F2578" s="224"/>
      <c r="G2578" s="224"/>
      <c r="H2578" s="224"/>
      <c r="I2578" s="224"/>
      <c r="J2578" s="224"/>
      <c r="K2578" s="224"/>
      <c r="L2578" s="224"/>
      <c r="M2578" s="224"/>
      <c r="N2578" s="224"/>
      <c r="O2578" s="224"/>
      <c r="P2578" s="224"/>
      <c r="Q2578" s="224"/>
      <c r="R2578" s="224"/>
      <c r="S2578" s="224"/>
      <c r="T2578" s="224"/>
      <c r="U2578" s="224"/>
      <c r="V2578" s="224"/>
      <c r="W2578" s="224"/>
      <c r="X2578" s="224"/>
      <c r="Y2578" s="12">
        <v>25549366</v>
      </c>
      <c r="Z2578" s="12">
        <v>32248547</v>
      </c>
      <c r="AA2578" s="12">
        <v>42296501</v>
      </c>
      <c r="AB2578" s="12">
        <v>49571800</v>
      </c>
      <c r="AC2578" s="12">
        <v>43776413</v>
      </c>
      <c r="AD2578" s="12">
        <v>51054036</v>
      </c>
      <c r="AE2578" s="12">
        <v>53289474</v>
      </c>
      <c r="AF2578" s="12">
        <v>57205237</v>
      </c>
      <c r="AG2578" s="12">
        <v>63655783</v>
      </c>
      <c r="AH2578" s="12">
        <v>69429244</v>
      </c>
      <c r="AI2578" s="14">
        <v>65839859</v>
      </c>
      <c r="AJ2578" s="14">
        <v>67171639</v>
      </c>
      <c r="AK2578" s="14">
        <v>71114836</v>
      </c>
      <c r="AL2578" s="14">
        <v>78513945</v>
      </c>
      <c r="AM2578" s="14">
        <v>79963511</v>
      </c>
      <c r="AN2578" s="1071">
        <v>79048731</v>
      </c>
      <c r="AO2578" s="1071">
        <v>77541183</v>
      </c>
    </row>
    <row r="2579" spans="1:44" s="66" customFormat="1" hidden="1" outlineLevel="1">
      <c r="B2579" s="575">
        <v>445566</v>
      </c>
      <c r="C2579" s="223" t="s">
        <v>760</v>
      </c>
      <c r="D2579" s="223"/>
      <c r="E2579" s="27" t="s">
        <v>1522</v>
      </c>
      <c r="F2579" s="27"/>
      <c r="G2579" s="27"/>
      <c r="H2579" s="27"/>
      <c r="I2579" s="27"/>
      <c r="J2579" s="27"/>
      <c r="K2579" s="27"/>
      <c r="L2579" s="27"/>
      <c r="M2579" s="27"/>
      <c r="N2579" s="27"/>
      <c r="O2579" s="27"/>
      <c r="P2579" s="27"/>
      <c r="Q2579" s="27"/>
      <c r="R2579" s="27"/>
      <c r="S2579" s="27"/>
      <c r="T2579" s="27"/>
      <c r="U2579" s="27"/>
      <c r="V2579" s="27"/>
      <c r="W2579" s="27"/>
      <c r="X2579" s="27"/>
      <c r="Y2579" s="34">
        <f t="shared" ref="Y2579:AH2579" si="482">SUM(Y2541:Y2578)</f>
        <v>1329218523</v>
      </c>
      <c r="Z2579" s="34">
        <f t="shared" si="482"/>
        <v>1505320559</v>
      </c>
      <c r="AA2579" s="34">
        <f t="shared" si="482"/>
        <v>1838382679</v>
      </c>
      <c r="AB2579" s="34">
        <f t="shared" si="482"/>
        <v>1999791440</v>
      </c>
      <c r="AC2579" s="34">
        <f t="shared" si="482"/>
        <v>2230290943</v>
      </c>
      <c r="AD2579" s="34">
        <f t="shared" si="482"/>
        <v>2398813114</v>
      </c>
      <c r="AE2579" s="34">
        <f t="shared" si="482"/>
        <v>2549495579</v>
      </c>
      <c r="AF2579" s="34">
        <f t="shared" si="482"/>
        <v>2731248760</v>
      </c>
      <c r="AG2579" s="34">
        <f t="shared" si="482"/>
        <v>2973628822</v>
      </c>
      <c r="AH2579" s="34">
        <f t="shared" si="482"/>
        <v>3256207066</v>
      </c>
      <c r="AI2579" s="34">
        <v>3339359617</v>
      </c>
      <c r="AJ2579" s="34">
        <v>3539783652</v>
      </c>
      <c r="AK2579" s="34">
        <f>SUM(AK2541:AK2578)</f>
        <v>3815002357</v>
      </c>
      <c r="AL2579" s="34">
        <f>SUM(AL2541:AL2578)</f>
        <v>4071058368</v>
      </c>
      <c r="AM2579" s="1073">
        <f>SUM(AM2541:AM2578)</f>
        <v>4218394475</v>
      </c>
      <c r="AN2579" s="1073">
        <f>SUM(AN2541:AN2578)</f>
        <v>4378986635</v>
      </c>
      <c r="AO2579" s="1073">
        <f>SUM(AO2541:AO2578)</f>
        <v>4443979608</v>
      </c>
      <c r="AR2579" s="218"/>
    </row>
    <row r="2580" spans="1:44" s="66" customFormat="1" hidden="1" outlineLevel="1">
      <c r="B2580" s="575"/>
      <c r="C2580" s="1051"/>
      <c r="D2580" s="1051"/>
      <c r="E2580" s="968" t="s">
        <v>2060</v>
      </c>
      <c r="F2580" s="968"/>
      <c r="G2580" s="968"/>
      <c r="H2580" s="968"/>
      <c r="I2580" s="968"/>
      <c r="J2580" s="968"/>
      <c r="K2580" s="968"/>
      <c r="L2580" s="968"/>
      <c r="M2580" s="968"/>
      <c r="N2580" s="968"/>
      <c r="O2580" s="968"/>
      <c r="P2580" s="968"/>
      <c r="Q2580" s="968"/>
      <c r="R2580" s="968"/>
      <c r="S2580" s="968"/>
      <c r="T2580" s="968"/>
      <c r="U2580" s="968"/>
      <c r="V2580" s="968"/>
      <c r="W2580" s="968"/>
      <c r="X2580" s="968"/>
      <c r="Y2580" s="1073"/>
      <c r="Z2580" s="1073"/>
      <c r="AA2580" s="1073"/>
      <c r="AB2580" s="1073"/>
      <c r="AC2580" s="1073"/>
      <c r="AD2580" s="1073"/>
      <c r="AE2580" s="1073"/>
      <c r="AF2580" s="1073"/>
      <c r="AG2580" s="1073"/>
      <c r="AH2580" s="1073"/>
      <c r="AI2580" s="1073"/>
      <c r="AJ2580" s="1073"/>
      <c r="AK2580" s="1073"/>
      <c r="AL2580" s="1073"/>
      <c r="AM2580" s="1073"/>
      <c r="AN2580" s="1198">
        <v>0.76661544933142989</v>
      </c>
      <c r="AO2580" s="1182">
        <v>0.77297640344566898</v>
      </c>
      <c r="AR2580" s="218"/>
    </row>
    <row r="2581" spans="1:44" s="66" customFormat="1" hidden="1" outlineLevel="1">
      <c r="B2581" s="575"/>
      <c r="C2581" s="1051"/>
      <c r="D2581" s="1051"/>
      <c r="E2581" s="968" t="s">
        <v>2061</v>
      </c>
      <c r="F2581" s="968"/>
      <c r="G2581" s="968"/>
      <c r="H2581" s="968"/>
      <c r="I2581" s="968"/>
      <c r="J2581" s="968"/>
      <c r="K2581" s="968"/>
      <c r="L2581" s="968"/>
      <c r="M2581" s="968"/>
      <c r="N2581" s="968"/>
      <c r="O2581" s="968"/>
      <c r="P2581" s="968"/>
      <c r="Q2581" s="968"/>
      <c r="R2581" s="968"/>
      <c r="S2581" s="968"/>
      <c r="T2581" s="968"/>
      <c r="U2581" s="968"/>
      <c r="V2581" s="968"/>
      <c r="W2581" s="968"/>
      <c r="X2581" s="968"/>
      <c r="Y2581" s="1073"/>
      <c r="Z2581" s="1073"/>
      <c r="AA2581" s="1073"/>
      <c r="AB2581" s="1073"/>
      <c r="AC2581" s="1073"/>
      <c r="AD2581" s="1073"/>
      <c r="AE2581" s="1073"/>
      <c r="AF2581" s="1073"/>
      <c r="AG2581" s="1073"/>
      <c r="AH2581" s="1073"/>
      <c r="AI2581" s="1073"/>
      <c r="AJ2581" s="1073"/>
      <c r="AK2581" s="1073"/>
      <c r="AL2581" s="1073"/>
      <c r="AM2581" s="1073"/>
      <c r="AN2581" s="1198">
        <v>0.2333845506685702</v>
      </c>
      <c r="AO2581" s="1182">
        <v>0.22702359655433102</v>
      </c>
      <c r="AR2581" s="218"/>
    </row>
    <row r="2582" spans="1:44" s="66" customFormat="1" hidden="1" outlineLevel="1">
      <c r="B2582" s="575"/>
      <c r="C2582" s="1051"/>
      <c r="D2582" s="1051"/>
      <c r="E2582" s="968" t="s">
        <v>2058</v>
      </c>
      <c r="F2582" s="968"/>
      <c r="G2582" s="968"/>
      <c r="H2582" s="968"/>
      <c r="I2582" s="968"/>
      <c r="J2582" s="968"/>
      <c r="K2582" s="968"/>
      <c r="L2582" s="968"/>
      <c r="M2582" s="968"/>
      <c r="N2582" s="968"/>
      <c r="O2582" s="968"/>
      <c r="P2582" s="968"/>
      <c r="Q2582" s="968"/>
      <c r="R2582" s="968"/>
      <c r="S2582" s="968"/>
      <c r="T2582" s="968"/>
      <c r="U2582" s="968"/>
      <c r="V2582" s="968"/>
      <c r="W2582" s="968"/>
      <c r="X2582" s="968"/>
      <c r="Y2582" s="1073"/>
      <c r="Z2582" s="1073"/>
      <c r="AA2582" s="1073"/>
      <c r="AB2582" s="1073"/>
      <c r="AC2582" s="1073"/>
      <c r="AD2582" s="1073"/>
      <c r="AE2582" s="1073"/>
      <c r="AF2582" s="1073"/>
      <c r="AG2582" s="1073"/>
      <c r="AH2582" s="1073"/>
      <c r="AI2582" s="1073"/>
      <c r="AJ2582" s="1073"/>
      <c r="AK2582" s="1073"/>
      <c r="AL2582" s="1073"/>
      <c r="AM2582" s="1073"/>
      <c r="AN2582" s="1072">
        <f>ROUND(AN2580*AN2579,0)</f>
        <v>3356998807</v>
      </c>
      <c r="AO2582" s="1073">
        <f>ROUND(AO2580*AO2579,0)</f>
        <v>3435091374</v>
      </c>
    </row>
    <row r="2583" spans="1:44" s="66" customFormat="1" hidden="1" outlineLevel="1">
      <c r="B2583" s="575"/>
      <c r="C2583" s="1051"/>
      <c r="D2583" s="1051"/>
      <c r="E2583" s="968" t="s">
        <v>2059</v>
      </c>
      <c r="F2583" s="968"/>
      <c r="G2583" s="968"/>
      <c r="H2583" s="968"/>
      <c r="I2583" s="968"/>
      <c r="J2583" s="968"/>
      <c r="K2583" s="968"/>
      <c r="L2583" s="968"/>
      <c r="M2583" s="968"/>
      <c r="N2583" s="968"/>
      <c r="O2583" s="968"/>
      <c r="P2583" s="968"/>
      <c r="Q2583" s="968"/>
      <c r="R2583" s="968"/>
      <c r="S2583" s="968"/>
      <c r="T2583" s="968"/>
      <c r="U2583" s="968"/>
      <c r="V2583" s="968"/>
      <c r="W2583" s="968"/>
      <c r="X2583" s="968"/>
      <c r="Y2583" s="1073"/>
      <c r="Z2583" s="1073"/>
      <c r="AA2583" s="1073"/>
      <c r="AB2583" s="1073"/>
      <c r="AC2583" s="1073"/>
      <c r="AD2583" s="1073"/>
      <c r="AE2583" s="1073"/>
      <c r="AF2583" s="1073"/>
      <c r="AG2583" s="1073"/>
      <c r="AH2583" s="1073"/>
      <c r="AI2583" s="1073"/>
      <c r="AJ2583" s="1073"/>
      <c r="AK2583" s="1073"/>
      <c r="AL2583" s="1073"/>
      <c r="AM2583" s="1073"/>
      <c r="AN2583" s="1072">
        <f>ROUND(AN2581*AN2579,0)</f>
        <v>1021987828</v>
      </c>
      <c r="AO2583" s="1073">
        <f>ROUND(AO2581*AO2579,0)</f>
        <v>1008888234</v>
      </c>
    </row>
    <row r="2584" spans="1:44" s="66" customFormat="1" hidden="1" outlineLevel="1">
      <c r="B2584" s="295"/>
      <c r="C2584" s="9" t="s">
        <v>760</v>
      </c>
      <c r="D2584" s="9"/>
      <c r="E2584" s="224" t="s">
        <v>1531</v>
      </c>
      <c r="F2584" s="27"/>
      <c r="G2584" s="27"/>
      <c r="H2584" s="27"/>
      <c r="I2584" s="27"/>
      <c r="J2584" s="27"/>
      <c r="K2584" s="27"/>
      <c r="L2584" s="27"/>
      <c r="M2584" s="27"/>
      <c r="N2584" s="27"/>
      <c r="O2584" s="27"/>
      <c r="P2584" s="27"/>
      <c r="Q2584" s="27"/>
      <c r="R2584" s="27"/>
      <c r="S2584" s="27"/>
      <c r="T2584" s="27"/>
      <c r="U2584" s="27"/>
      <c r="V2584" s="27"/>
      <c r="W2584" s="27"/>
      <c r="X2584" s="27"/>
      <c r="Y2584" s="12">
        <v>7854400</v>
      </c>
      <c r="Z2584" s="12">
        <v>8680438</v>
      </c>
      <c r="AA2584" s="12">
        <v>9537207</v>
      </c>
      <c r="AB2584" s="12">
        <v>9920232</v>
      </c>
      <c r="AC2584" s="12">
        <v>10643982</v>
      </c>
      <c r="AD2584" s="12">
        <v>10823886</v>
      </c>
      <c r="AE2584" s="12">
        <v>12448074</v>
      </c>
      <c r="AF2584" s="12">
        <v>12197769</v>
      </c>
      <c r="AG2584" s="12">
        <v>12219573</v>
      </c>
      <c r="AH2584" s="12">
        <v>12707884</v>
      </c>
      <c r="AI2584" s="12">
        <v>13749215</v>
      </c>
      <c r="AJ2584" s="12">
        <v>17698530</v>
      </c>
      <c r="AK2584" s="12">
        <v>18685055</v>
      </c>
      <c r="AL2584" s="12">
        <v>18990175.600000001</v>
      </c>
      <c r="AM2584" s="12">
        <v>19554711</v>
      </c>
      <c r="AN2584" s="1070">
        <v>19272378</v>
      </c>
      <c r="AO2584" s="1070">
        <v>22581829</v>
      </c>
      <c r="AR2584"/>
    </row>
    <row r="2585" spans="1:44" collapsed="1">
      <c r="C2585" s="25" t="s">
        <v>1580</v>
      </c>
      <c r="D2585" s="25"/>
      <c r="E2585" s="6"/>
      <c r="F2585" s="6"/>
      <c r="G2585" s="6"/>
      <c r="H2585" s="6"/>
      <c r="I2585" s="6"/>
      <c r="J2585" s="6"/>
      <c r="K2585" s="6"/>
      <c r="L2585" s="6"/>
      <c r="M2585" s="6"/>
      <c r="N2585" s="6"/>
      <c r="O2585" s="6"/>
      <c r="P2585" s="6"/>
      <c r="Q2585" s="6"/>
      <c r="R2585" s="6"/>
      <c r="S2585" s="6"/>
      <c r="T2585" s="6"/>
      <c r="U2585" s="6"/>
      <c r="V2585" s="6"/>
      <c r="W2585" s="6"/>
      <c r="X2585" s="6"/>
      <c r="Y2585" s="6"/>
      <c r="Z2585" s="6"/>
      <c r="AA2585" s="6"/>
      <c r="AB2585" s="7"/>
      <c r="AC2585" s="7"/>
      <c r="AD2585" s="7"/>
      <c r="AE2585" s="7"/>
      <c r="AF2585" s="7"/>
      <c r="AG2585" s="7"/>
      <c r="AH2585" s="61"/>
      <c r="AI2585" s="61"/>
      <c r="AJ2585" s="26"/>
      <c r="AK2585" s="26"/>
      <c r="AL2585" s="26"/>
      <c r="AM2585" s="26"/>
      <c r="AN2585" s="26"/>
      <c r="AO2585" s="1069"/>
      <c r="AP2585" s="1044"/>
      <c r="AR2585" s="66"/>
    </row>
    <row r="2586" spans="1:44" s="66" customFormat="1" hidden="1" outlineLevel="1">
      <c r="A2586" s="579">
        <v>390</v>
      </c>
      <c r="B2586" s="568">
        <v>30</v>
      </c>
      <c r="C2586" s="9" t="s">
        <v>760</v>
      </c>
      <c r="D2586" s="9"/>
      <c r="E2586" s="23" t="s">
        <v>1371</v>
      </c>
      <c r="F2586" s="27"/>
      <c r="G2586" s="27"/>
      <c r="H2586" s="27"/>
      <c r="I2586" s="27"/>
      <c r="J2586" s="27"/>
      <c r="K2586" s="27"/>
      <c r="L2586" s="27"/>
      <c r="M2586" s="27"/>
      <c r="N2586" s="27"/>
      <c r="O2586" s="27"/>
      <c r="P2586" s="27"/>
      <c r="Q2586" s="27"/>
      <c r="R2586" s="27"/>
      <c r="S2586" s="27"/>
      <c r="T2586" s="27"/>
      <c r="U2586" s="27"/>
      <c r="V2586" s="27"/>
      <c r="W2586" s="27"/>
      <c r="X2586" s="27"/>
      <c r="Y2586" s="27"/>
      <c r="Z2586" s="27"/>
      <c r="AA2586" s="12">
        <v>9937814</v>
      </c>
      <c r="AB2586" s="12">
        <v>11341094</v>
      </c>
      <c r="AC2586" s="12">
        <v>12188267</v>
      </c>
      <c r="AD2586" s="12">
        <v>12813526</v>
      </c>
      <c r="AE2586" s="12">
        <v>13219342</v>
      </c>
      <c r="AF2586" s="12">
        <v>13834315</v>
      </c>
      <c r="AG2586" s="12">
        <v>15685237</v>
      </c>
      <c r="AH2586" s="12">
        <v>16793191</v>
      </c>
      <c r="AI2586" s="12">
        <v>17871405</v>
      </c>
      <c r="AJ2586" s="12">
        <v>20818275</v>
      </c>
      <c r="AK2586" s="14">
        <v>21386261</v>
      </c>
      <c r="AL2586" s="12">
        <v>22361507</v>
      </c>
      <c r="AM2586" s="12">
        <v>23498771</v>
      </c>
      <c r="AN2586" s="1070">
        <v>25522759</v>
      </c>
      <c r="AO2586" s="1070">
        <v>26161864</v>
      </c>
    </row>
    <row r="2587" spans="1:44" s="66" customFormat="1" hidden="1" outlineLevel="1">
      <c r="A2587" s="579">
        <v>400</v>
      </c>
      <c r="B2587" s="568">
        <v>104952</v>
      </c>
      <c r="C2587" s="9" t="s">
        <v>760</v>
      </c>
      <c r="D2587" s="9"/>
      <c r="E2587" s="23" t="s">
        <v>1372</v>
      </c>
      <c r="F2587" s="27"/>
      <c r="G2587" s="27"/>
      <c r="H2587" s="27"/>
      <c r="I2587" s="27"/>
      <c r="J2587" s="27"/>
      <c r="K2587" s="27"/>
      <c r="L2587" s="27"/>
      <c r="M2587" s="27"/>
      <c r="N2587" s="27"/>
      <c r="O2587" s="27"/>
      <c r="P2587" s="27"/>
      <c r="Q2587" s="27"/>
      <c r="R2587" s="27"/>
      <c r="S2587" s="27"/>
      <c r="T2587" s="27"/>
      <c r="U2587" s="27"/>
      <c r="V2587" s="27"/>
      <c r="W2587" s="27"/>
      <c r="X2587" s="27"/>
      <c r="Y2587" s="27"/>
      <c r="Z2587" s="27"/>
      <c r="AA2587" s="12">
        <v>11302481</v>
      </c>
      <c r="AB2587" s="12">
        <v>11768629</v>
      </c>
      <c r="AC2587" s="12">
        <v>14664874</v>
      </c>
      <c r="AD2587" s="12">
        <v>17081503</v>
      </c>
      <c r="AE2587" s="12">
        <v>19648433</v>
      </c>
      <c r="AF2587" s="12">
        <v>21909812</v>
      </c>
      <c r="AG2587" s="12">
        <v>25004158</v>
      </c>
      <c r="AH2587" s="12">
        <v>28891848</v>
      </c>
      <c r="AI2587" s="12">
        <v>29568236</v>
      </c>
      <c r="AJ2587" s="12">
        <v>32785714</v>
      </c>
      <c r="AK2587" s="14">
        <v>32630771</v>
      </c>
      <c r="AL2587" s="12">
        <v>36218619</v>
      </c>
      <c r="AM2587" s="12">
        <v>37789996</v>
      </c>
      <c r="AN2587" s="1070">
        <v>40834540</v>
      </c>
      <c r="AO2587" s="1070">
        <v>48740553</v>
      </c>
    </row>
    <row r="2588" spans="1:44" s="66" customFormat="1" hidden="1" outlineLevel="1">
      <c r="A2588" s="579">
        <v>410</v>
      </c>
      <c r="B2588" s="568">
        <v>11618</v>
      </c>
      <c r="C2588" s="9" t="s">
        <v>760</v>
      </c>
      <c r="D2588" s="9"/>
      <c r="E2588" s="23" t="s">
        <v>1373</v>
      </c>
      <c r="F2588" s="27"/>
      <c r="G2588" s="27"/>
      <c r="H2588" s="27"/>
      <c r="I2588" s="27"/>
      <c r="J2588" s="27"/>
      <c r="K2588" s="27"/>
      <c r="L2588" s="27"/>
      <c r="M2588" s="27"/>
      <c r="N2588" s="27"/>
      <c r="O2588" s="27"/>
      <c r="P2588" s="27"/>
      <c r="Q2588" s="27"/>
      <c r="R2588" s="27"/>
      <c r="S2588" s="27"/>
      <c r="T2588" s="27"/>
      <c r="U2588" s="27"/>
      <c r="V2588" s="27"/>
      <c r="W2588" s="27"/>
      <c r="X2588" s="27"/>
      <c r="Y2588" s="27"/>
      <c r="Z2588" s="27"/>
      <c r="AA2588" s="12">
        <v>15830721</v>
      </c>
      <c r="AB2588" s="12">
        <v>19328065</v>
      </c>
      <c r="AC2588" s="12">
        <v>20422359</v>
      </c>
      <c r="AD2588" s="12">
        <v>20676142</v>
      </c>
      <c r="AE2588" s="12">
        <v>23837257</v>
      </c>
      <c r="AF2588" s="12">
        <v>26015642</v>
      </c>
      <c r="AG2588" s="12">
        <v>30391403</v>
      </c>
      <c r="AH2588" s="12">
        <v>35916483</v>
      </c>
      <c r="AI2588" s="12">
        <v>37857366</v>
      </c>
      <c r="AJ2588" s="12">
        <v>39813717</v>
      </c>
      <c r="AK2588" s="14">
        <v>42878656</v>
      </c>
      <c r="AL2588" s="12">
        <v>47769880</v>
      </c>
      <c r="AM2588" s="12">
        <v>51464734</v>
      </c>
      <c r="AN2588" s="1070">
        <v>54210396</v>
      </c>
      <c r="AO2588" s="1070">
        <v>40213693</v>
      </c>
    </row>
    <row r="2589" spans="1:44" s="66" customFormat="1" hidden="1" outlineLevel="1">
      <c r="A2589" s="579">
        <v>420</v>
      </c>
      <c r="B2589" s="568">
        <v>40</v>
      </c>
      <c r="C2589" s="9" t="s">
        <v>760</v>
      </c>
      <c r="D2589" s="9"/>
      <c r="E2589" s="23" t="s">
        <v>1374</v>
      </c>
      <c r="F2589" s="27"/>
      <c r="G2589" s="27"/>
      <c r="H2589" s="27"/>
      <c r="I2589" s="27"/>
      <c r="J2589" s="27"/>
      <c r="K2589" s="27"/>
      <c r="L2589" s="27"/>
      <c r="M2589" s="27"/>
      <c r="N2589" s="27"/>
      <c r="O2589" s="27"/>
      <c r="P2589" s="27"/>
      <c r="Q2589" s="27"/>
      <c r="R2589" s="27"/>
      <c r="S2589" s="27"/>
      <c r="T2589" s="27"/>
      <c r="U2589" s="27"/>
      <c r="V2589" s="27"/>
      <c r="W2589" s="27"/>
      <c r="X2589" s="27"/>
      <c r="Y2589" s="27"/>
      <c r="Z2589" s="27"/>
      <c r="AA2589" s="12">
        <v>20643998</v>
      </c>
      <c r="AB2589" s="12">
        <v>20661853</v>
      </c>
      <c r="AC2589" s="12">
        <v>23771545</v>
      </c>
      <c r="AD2589" s="12">
        <v>28142978</v>
      </c>
      <c r="AE2589" s="12">
        <v>25151314</v>
      </c>
      <c r="AF2589" s="12">
        <v>26940217</v>
      </c>
      <c r="AG2589" s="12">
        <v>28069975</v>
      </c>
      <c r="AH2589" s="12">
        <v>30407962</v>
      </c>
      <c r="AI2589" s="12">
        <v>32579892</v>
      </c>
      <c r="AJ2589" s="12">
        <v>33144653</v>
      </c>
      <c r="AK2589" s="14">
        <v>35928268</v>
      </c>
      <c r="AL2589" s="12">
        <v>38002691</v>
      </c>
      <c r="AM2589" s="12">
        <v>40996220</v>
      </c>
      <c r="AN2589" s="1070">
        <v>43132587</v>
      </c>
      <c r="AO2589" s="1070">
        <v>30598820</v>
      </c>
    </row>
    <row r="2590" spans="1:44" s="66" customFormat="1" hidden="1" outlineLevel="1">
      <c r="A2590" s="579">
        <v>430</v>
      </c>
      <c r="B2590" s="568">
        <v>25554</v>
      </c>
      <c r="C2590" s="9" t="s">
        <v>760</v>
      </c>
      <c r="D2590" s="9"/>
      <c r="E2590" s="23" t="s">
        <v>1375</v>
      </c>
      <c r="F2590" s="27"/>
      <c r="G2590" s="27"/>
      <c r="H2590" s="27"/>
      <c r="I2590" s="27"/>
      <c r="J2590" s="27"/>
      <c r="K2590" s="27"/>
      <c r="L2590" s="27"/>
      <c r="M2590" s="27"/>
      <c r="N2590" s="27"/>
      <c r="O2590" s="27"/>
      <c r="P2590" s="27"/>
      <c r="Q2590" s="27"/>
      <c r="R2590" s="27"/>
      <c r="S2590" s="27"/>
      <c r="T2590" s="27"/>
      <c r="U2590" s="27"/>
      <c r="V2590" s="27"/>
      <c r="W2590" s="27"/>
      <c r="X2590" s="27"/>
      <c r="Y2590" s="27"/>
      <c r="Z2590" s="27"/>
      <c r="AA2590" s="12">
        <v>186807</v>
      </c>
      <c r="AB2590" s="12">
        <v>318708</v>
      </c>
      <c r="AC2590" s="12">
        <v>574137</v>
      </c>
      <c r="AD2590" s="12">
        <v>599819</v>
      </c>
      <c r="AE2590" s="12">
        <v>886930</v>
      </c>
      <c r="AF2590" s="12">
        <v>932454</v>
      </c>
      <c r="AG2590" s="12">
        <v>1093490</v>
      </c>
      <c r="AH2590" s="12">
        <v>1282629</v>
      </c>
      <c r="AI2590" s="12">
        <v>1241361</v>
      </c>
      <c r="AJ2590" s="12">
        <v>1447921</v>
      </c>
      <c r="AK2590" s="14">
        <v>1380193</v>
      </c>
      <c r="AL2590" s="12">
        <v>1615568</v>
      </c>
      <c r="AM2590" s="12">
        <v>2375613</v>
      </c>
      <c r="AN2590" s="1070">
        <v>1113485</v>
      </c>
      <c r="AO2590" s="1070">
        <v>262489</v>
      </c>
    </row>
    <row r="2591" spans="1:44" s="66" customFormat="1" hidden="1" outlineLevel="1">
      <c r="A2591" s="579">
        <v>440</v>
      </c>
      <c r="B2591" s="781">
        <v>42439</v>
      </c>
      <c r="C2591" s="9" t="s">
        <v>760</v>
      </c>
      <c r="D2591" s="9"/>
      <c r="E2591" s="23" t="s">
        <v>1376</v>
      </c>
      <c r="F2591" s="27"/>
      <c r="G2591" s="27"/>
      <c r="H2591" s="27"/>
      <c r="I2591" s="27"/>
      <c r="J2591" s="27"/>
      <c r="K2591" s="27"/>
      <c r="L2591" s="27"/>
      <c r="M2591" s="27"/>
      <c r="N2591" s="27"/>
      <c r="O2591" s="27"/>
      <c r="P2591" s="27"/>
      <c r="Q2591" s="27"/>
      <c r="R2591" s="27"/>
      <c r="S2591" s="27"/>
      <c r="T2591" s="27"/>
      <c r="U2591" s="27"/>
      <c r="V2591" s="27"/>
      <c r="W2591" s="27"/>
      <c r="X2591" s="27"/>
      <c r="Y2591" s="27"/>
      <c r="Z2591" s="27"/>
      <c r="AA2591" s="12">
        <v>0</v>
      </c>
      <c r="AB2591" s="12">
        <v>0</v>
      </c>
      <c r="AC2591" s="12">
        <v>0</v>
      </c>
      <c r="AD2591" s="12">
        <v>0</v>
      </c>
      <c r="AE2591" s="12">
        <v>0</v>
      </c>
      <c r="AF2591" s="12">
        <v>0</v>
      </c>
      <c r="AG2591" s="12">
        <v>0</v>
      </c>
      <c r="AH2591" s="12">
        <v>0</v>
      </c>
      <c r="AI2591" s="12">
        <v>39200</v>
      </c>
      <c r="AJ2591" s="12">
        <v>114700</v>
      </c>
      <c r="AK2591" s="14">
        <v>115211</v>
      </c>
      <c r="AL2591" s="12">
        <v>111705</v>
      </c>
      <c r="AM2591" s="12">
        <v>163504</v>
      </c>
      <c r="AN2591" s="1070">
        <v>182967</v>
      </c>
      <c r="AO2591" s="1070">
        <v>58132912</v>
      </c>
    </row>
    <row r="2592" spans="1:44" s="66" customFormat="1" hidden="1" outlineLevel="1">
      <c r="A2592" s="579">
        <v>450</v>
      </c>
      <c r="B2592" s="568">
        <v>89</v>
      </c>
      <c r="C2592" s="9" t="s">
        <v>760</v>
      </c>
      <c r="D2592" s="9"/>
      <c r="E2592" s="23" t="s">
        <v>1377</v>
      </c>
      <c r="F2592" s="27"/>
      <c r="G2592" s="27"/>
      <c r="H2592" s="27"/>
      <c r="I2592" s="27"/>
      <c r="J2592" s="27"/>
      <c r="K2592" s="27"/>
      <c r="L2592" s="27"/>
      <c r="M2592" s="27"/>
      <c r="N2592" s="27"/>
      <c r="O2592" s="27"/>
      <c r="P2592" s="27"/>
      <c r="Q2592" s="27"/>
      <c r="R2592" s="27"/>
      <c r="S2592" s="27"/>
      <c r="T2592" s="27"/>
      <c r="U2592" s="27"/>
      <c r="V2592" s="27"/>
      <c r="W2592" s="27"/>
      <c r="X2592" s="27"/>
      <c r="Y2592" s="27"/>
      <c r="Z2592" s="27"/>
      <c r="AA2592" s="12">
        <v>7073628</v>
      </c>
      <c r="AB2592" s="12">
        <v>7776643</v>
      </c>
      <c r="AC2592" s="12">
        <v>9990666</v>
      </c>
      <c r="AD2592" s="12">
        <v>12259312</v>
      </c>
      <c r="AE2592" s="12">
        <v>17802079</v>
      </c>
      <c r="AF2592" s="12">
        <v>20034051</v>
      </c>
      <c r="AG2592" s="12">
        <v>23585735</v>
      </c>
      <c r="AH2592" s="12">
        <v>27403032</v>
      </c>
      <c r="AI2592" s="12">
        <v>29879928</v>
      </c>
      <c r="AJ2592" s="12">
        <v>29825154</v>
      </c>
      <c r="AK2592" s="14">
        <v>33088298</v>
      </c>
      <c r="AL2592" s="12">
        <v>34199728</v>
      </c>
      <c r="AM2592" s="12">
        <v>36836194</v>
      </c>
      <c r="AN2592" s="1070">
        <v>37044848</v>
      </c>
      <c r="AO2592" s="1070">
        <v>59692493</v>
      </c>
    </row>
    <row r="2593" spans="1:44" s="66" customFormat="1" hidden="1" outlineLevel="1">
      <c r="A2593" s="579">
        <v>460</v>
      </c>
      <c r="B2593" s="568">
        <v>130</v>
      </c>
      <c r="C2593" s="9" t="s">
        <v>760</v>
      </c>
      <c r="D2593" s="9"/>
      <c r="E2593" s="23" t="s">
        <v>1378</v>
      </c>
      <c r="F2593" s="27"/>
      <c r="G2593" s="27"/>
      <c r="H2593" s="27"/>
      <c r="I2593" s="27"/>
      <c r="J2593" s="27"/>
      <c r="K2593" s="27"/>
      <c r="L2593" s="27"/>
      <c r="M2593" s="27"/>
      <c r="N2593" s="27"/>
      <c r="O2593" s="27"/>
      <c r="P2593" s="27"/>
      <c r="Q2593" s="27"/>
      <c r="R2593" s="27"/>
      <c r="S2593" s="27"/>
      <c r="T2593" s="27"/>
      <c r="U2593" s="27"/>
      <c r="V2593" s="27"/>
      <c r="W2593" s="27"/>
      <c r="X2593" s="27"/>
      <c r="Y2593" s="27"/>
      <c r="Z2593" s="27"/>
      <c r="AA2593" s="12">
        <v>7172113</v>
      </c>
      <c r="AB2593" s="12">
        <v>7786851</v>
      </c>
      <c r="AC2593" s="12">
        <v>9652161</v>
      </c>
      <c r="AD2593" s="12">
        <v>10172348</v>
      </c>
      <c r="AE2593" s="12">
        <v>11679092</v>
      </c>
      <c r="AF2593" s="12">
        <v>13412656</v>
      </c>
      <c r="AG2593" s="12">
        <v>16145228</v>
      </c>
      <c r="AH2593" s="12">
        <v>20948541</v>
      </c>
      <c r="AI2593" s="12">
        <v>23047717</v>
      </c>
      <c r="AJ2593" s="12">
        <v>24542106</v>
      </c>
      <c r="AK2593" s="14">
        <v>26859189</v>
      </c>
      <c r="AL2593" s="12">
        <v>30089005</v>
      </c>
      <c r="AM2593" s="12">
        <v>30152923</v>
      </c>
      <c r="AN2593" s="1070">
        <v>29810882</v>
      </c>
      <c r="AO2593" s="1070">
        <v>1815921</v>
      </c>
    </row>
    <row r="2594" spans="1:44" s="66" customFormat="1" hidden="1" outlineLevel="1">
      <c r="A2594" s="579">
        <v>470</v>
      </c>
      <c r="B2594" s="568">
        <v>412</v>
      </c>
      <c r="C2594" s="9" t="s">
        <v>760</v>
      </c>
      <c r="D2594" s="9"/>
      <c r="E2594" s="23" t="s">
        <v>942</v>
      </c>
      <c r="F2594" s="27"/>
      <c r="G2594" s="27"/>
      <c r="H2594" s="27"/>
      <c r="I2594" s="27"/>
      <c r="J2594" s="27"/>
      <c r="K2594" s="27"/>
      <c r="L2594" s="27"/>
      <c r="M2594" s="27"/>
      <c r="N2594" s="27"/>
      <c r="O2594" s="27"/>
      <c r="P2594" s="27"/>
      <c r="Q2594" s="27"/>
      <c r="R2594" s="27"/>
      <c r="S2594" s="27"/>
      <c r="T2594" s="27"/>
      <c r="U2594" s="27"/>
      <c r="V2594" s="27"/>
      <c r="W2594" s="27"/>
      <c r="X2594" s="27"/>
      <c r="Y2594" s="27"/>
      <c r="Z2594" s="27"/>
      <c r="AA2594" s="12">
        <v>13513581</v>
      </c>
      <c r="AB2594" s="12">
        <v>17317114</v>
      </c>
      <c r="AC2594" s="12">
        <v>18588371</v>
      </c>
      <c r="AD2594" s="12">
        <v>19788877</v>
      </c>
      <c r="AE2594" s="12">
        <v>22369550</v>
      </c>
      <c r="AF2594" s="12">
        <v>30363005</v>
      </c>
      <c r="AG2594" s="12">
        <v>32814666</v>
      </c>
      <c r="AH2594" s="12">
        <v>39085218</v>
      </c>
      <c r="AI2594" s="12">
        <v>42551274</v>
      </c>
      <c r="AJ2594" s="12">
        <v>45295909</v>
      </c>
      <c r="AK2594" s="14">
        <v>48798769</v>
      </c>
      <c r="AL2594" s="12">
        <v>45071705</v>
      </c>
      <c r="AM2594" s="12">
        <v>46425576</v>
      </c>
      <c r="AN2594" s="1070">
        <v>51990811</v>
      </c>
      <c r="AO2594" s="1070">
        <v>44011035</v>
      </c>
    </row>
    <row r="2595" spans="1:44" s="66" customFormat="1" hidden="1" outlineLevel="1">
      <c r="A2595" s="579">
        <v>480</v>
      </c>
      <c r="B2595" s="568">
        <v>812</v>
      </c>
      <c r="C2595" s="9" t="s">
        <v>760</v>
      </c>
      <c r="D2595" s="9"/>
      <c r="E2595" s="375" t="s">
        <v>1403</v>
      </c>
      <c r="F2595" s="27"/>
      <c r="G2595" s="27"/>
      <c r="H2595" s="27"/>
      <c r="I2595" s="27"/>
      <c r="J2595" s="27"/>
      <c r="K2595" s="27"/>
      <c r="L2595" s="27"/>
      <c r="M2595" s="27"/>
      <c r="N2595" s="27"/>
      <c r="O2595" s="27"/>
      <c r="P2595" s="27"/>
      <c r="Q2595" s="27"/>
      <c r="R2595" s="27"/>
      <c r="S2595" s="27"/>
      <c r="T2595" s="27"/>
      <c r="U2595" s="27"/>
      <c r="V2595" s="27"/>
      <c r="W2595" s="27"/>
      <c r="X2595" s="27"/>
      <c r="Y2595" s="27"/>
      <c r="Z2595" s="27"/>
      <c r="AA2595" s="34"/>
      <c r="AB2595" s="34"/>
      <c r="AC2595" s="12"/>
      <c r="AD2595" s="34"/>
      <c r="AE2595" s="12"/>
      <c r="AF2595" s="34"/>
      <c r="AG2595" s="12"/>
      <c r="AH2595" s="12"/>
      <c r="AI2595" s="34"/>
      <c r="AJ2595" s="34"/>
      <c r="AK2595" s="34"/>
      <c r="AL2595" s="12">
        <v>7681655</v>
      </c>
      <c r="AM2595" s="1070">
        <v>8875664</v>
      </c>
      <c r="AN2595" s="1070">
        <v>8991570</v>
      </c>
      <c r="AO2595" s="1070">
        <v>10151693</v>
      </c>
    </row>
    <row r="2596" spans="1:44" s="66" customFormat="1" hidden="1" outlineLevel="1">
      <c r="A2596" s="579">
        <v>500</v>
      </c>
      <c r="B2596" s="781">
        <v>203658</v>
      </c>
      <c r="C2596" s="9" t="s">
        <v>760</v>
      </c>
      <c r="D2596" s="9"/>
      <c r="E2596" s="375" t="s">
        <v>1843</v>
      </c>
      <c r="F2596" s="27"/>
      <c r="G2596" s="27"/>
      <c r="H2596" s="27"/>
      <c r="I2596" s="27"/>
      <c r="J2596" s="27"/>
      <c r="K2596" s="27"/>
      <c r="L2596" s="27"/>
      <c r="M2596" s="27"/>
      <c r="N2596" s="27"/>
      <c r="O2596" s="27"/>
      <c r="P2596" s="27"/>
      <c r="Q2596" s="27"/>
      <c r="R2596" s="27"/>
      <c r="S2596" s="27"/>
      <c r="T2596" s="27"/>
      <c r="U2596" s="27"/>
      <c r="V2596" s="27"/>
      <c r="W2596" s="27"/>
      <c r="X2596" s="27"/>
      <c r="Y2596" s="27"/>
      <c r="Z2596" s="27"/>
      <c r="AA2596" s="12"/>
      <c r="AB2596" s="12"/>
      <c r="AC2596" s="12"/>
      <c r="AD2596" s="12"/>
      <c r="AE2596" s="12"/>
      <c r="AF2596" s="12"/>
      <c r="AG2596" s="12"/>
      <c r="AH2596" s="12"/>
      <c r="AI2596" s="12"/>
      <c r="AJ2596" s="12"/>
      <c r="AK2596" s="14"/>
      <c r="AL2596" s="12">
        <v>452800</v>
      </c>
      <c r="AM2596" s="1070">
        <v>1155447</v>
      </c>
      <c r="AN2596" s="1070">
        <v>2146974</v>
      </c>
      <c r="AO2596" s="1070">
        <v>3383352</v>
      </c>
    </row>
    <row r="2597" spans="1:44" s="66" customFormat="1" hidden="1" outlineLevel="1">
      <c r="A2597" s="579">
        <v>510</v>
      </c>
      <c r="B2597" s="781">
        <v>203599</v>
      </c>
      <c r="C2597" s="1030" t="s">
        <v>760</v>
      </c>
      <c r="D2597" s="1030"/>
      <c r="E2597" s="1060" t="s">
        <v>1685</v>
      </c>
      <c r="F2597" s="968"/>
      <c r="G2597" s="968"/>
      <c r="H2597" s="968"/>
      <c r="I2597" s="968"/>
      <c r="J2597" s="968"/>
      <c r="K2597" s="968"/>
      <c r="L2597" s="968"/>
      <c r="M2597" s="968"/>
      <c r="N2597" s="968"/>
      <c r="O2597" s="968"/>
      <c r="P2597" s="968"/>
      <c r="Q2597" s="968"/>
      <c r="R2597" s="968"/>
      <c r="S2597" s="968"/>
      <c r="T2597" s="968"/>
      <c r="U2597" s="968"/>
      <c r="V2597" s="968"/>
      <c r="W2597" s="968"/>
      <c r="X2597" s="968"/>
      <c r="Y2597" s="968"/>
      <c r="Z2597" s="968"/>
      <c r="AA2597" s="1073"/>
      <c r="AB2597" s="1073"/>
      <c r="AC2597" s="1070"/>
      <c r="AD2597" s="1073"/>
      <c r="AE2597" s="1070"/>
      <c r="AF2597" s="1073"/>
      <c r="AG2597" s="1070"/>
      <c r="AH2597" s="1070"/>
      <c r="AI2597" s="1073"/>
      <c r="AJ2597" s="1073"/>
      <c r="AK2597" s="1073"/>
      <c r="AL2597" s="1070">
        <v>41559</v>
      </c>
      <c r="AM2597" s="1070">
        <v>1377580</v>
      </c>
      <c r="AN2597" s="1070">
        <v>2537661</v>
      </c>
      <c r="AO2597" s="1070">
        <v>3631944</v>
      </c>
    </row>
    <row r="2598" spans="1:44" s="66" customFormat="1" hidden="1" outlineLevel="1">
      <c r="A2598" s="579">
        <v>520</v>
      </c>
      <c r="B2598" s="781">
        <v>203652</v>
      </c>
      <c r="C2598" s="9" t="s">
        <v>760</v>
      </c>
      <c r="D2598" s="9"/>
      <c r="E2598" s="23" t="s">
        <v>2012</v>
      </c>
      <c r="F2598" s="27"/>
      <c r="G2598" s="27"/>
      <c r="H2598" s="27"/>
      <c r="I2598" s="27"/>
      <c r="J2598" s="27"/>
      <c r="K2598" s="27"/>
      <c r="L2598" s="27"/>
      <c r="M2598" s="27"/>
      <c r="N2598" s="27"/>
      <c r="O2598" s="27"/>
      <c r="P2598" s="27"/>
      <c r="Q2598" s="27"/>
      <c r="R2598" s="27"/>
      <c r="S2598" s="27"/>
      <c r="T2598" s="27"/>
      <c r="U2598" s="27"/>
      <c r="V2598" s="27"/>
      <c r="W2598" s="27"/>
      <c r="X2598" s="27"/>
      <c r="Y2598" s="27"/>
      <c r="Z2598" s="27"/>
      <c r="AA2598" s="34"/>
      <c r="AB2598" s="34"/>
      <c r="AC2598" s="12"/>
      <c r="AD2598" s="34"/>
      <c r="AE2598" s="12"/>
      <c r="AF2598" s="34"/>
      <c r="AG2598" s="12"/>
      <c r="AH2598" s="12"/>
      <c r="AI2598" s="34"/>
      <c r="AJ2598" s="34"/>
      <c r="AK2598" s="34"/>
      <c r="AL2598" s="12"/>
      <c r="AM2598" s="1070"/>
      <c r="AN2598" s="1070"/>
      <c r="AO2598" s="1070">
        <v>0</v>
      </c>
      <c r="AR2598" s="218"/>
    </row>
    <row r="2599" spans="1:44" s="66" customFormat="1" hidden="1" outlineLevel="1">
      <c r="B2599" s="575">
        <v>445566</v>
      </c>
      <c r="C2599" s="9" t="s">
        <v>760</v>
      </c>
      <c r="D2599" s="9"/>
      <c r="E2599" s="27" t="s">
        <v>1521</v>
      </c>
      <c r="F2599" s="27"/>
      <c r="G2599" s="27"/>
      <c r="H2599" s="27"/>
      <c r="I2599" s="27"/>
      <c r="J2599" s="27"/>
      <c r="K2599" s="27"/>
      <c r="L2599" s="27"/>
      <c r="M2599" s="27"/>
      <c r="N2599" s="27"/>
      <c r="O2599" s="27"/>
      <c r="P2599" s="27"/>
      <c r="Q2599" s="27"/>
      <c r="R2599" s="27"/>
      <c r="S2599" s="27"/>
      <c r="T2599" s="27"/>
      <c r="U2599" s="27"/>
      <c r="V2599" s="27"/>
      <c r="W2599" s="27"/>
      <c r="X2599" s="27"/>
      <c r="Y2599" s="27"/>
      <c r="Z2599" s="27"/>
      <c r="AA2599" s="34">
        <f t="shared" ref="AA2599:AI2599" si="483">SUM(AA2586:AA2598)</f>
        <v>85661143</v>
      </c>
      <c r="AB2599" s="34">
        <f t="shared" si="483"/>
        <v>96298957</v>
      </c>
      <c r="AC2599" s="34">
        <f t="shared" si="483"/>
        <v>109852380</v>
      </c>
      <c r="AD2599" s="34">
        <f t="shared" si="483"/>
        <v>121534505</v>
      </c>
      <c r="AE2599" s="34">
        <f t="shared" si="483"/>
        <v>134593997</v>
      </c>
      <c r="AF2599" s="34">
        <f t="shared" si="483"/>
        <v>153442152</v>
      </c>
      <c r="AG2599" s="34">
        <f t="shared" si="483"/>
        <v>172789892</v>
      </c>
      <c r="AH2599" s="34">
        <f t="shared" si="483"/>
        <v>200728904</v>
      </c>
      <c r="AI2599" s="34">
        <f t="shared" si="483"/>
        <v>214636379</v>
      </c>
      <c r="AJ2599" s="34">
        <v>227788149</v>
      </c>
      <c r="AK2599" s="34">
        <f>SUM(AK2586:AK2598)</f>
        <v>243065616</v>
      </c>
      <c r="AL2599" s="34">
        <f>SUM(AL2586:AL2598)</f>
        <v>263616422</v>
      </c>
      <c r="AM2599" s="1073">
        <f>SUM(AM2586:AM2598)</f>
        <v>281112222</v>
      </c>
      <c r="AN2599" s="1073">
        <f>SUM(AN2586:AN2598)</f>
        <v>297519480</v>
      </c>
      <c r="AO2599" s="1073">
        <f>SUM(AO2586:AO2598)</f>
        <v>326796769</v>
      </c>
      <c r="AR2599" s="218"/>
    </row>
    <row r="2600" spans="1:44" s="66" customFormat="1" hidden="1" outlineLevel="1">
      <c r="B2600" s="575"/>
      <c r="C2600" s="1051"/>
      <c r="D2600" s="1051"/>
      <c r="E2600" s="968" t="s">
        <v>2060</v>
      </c>
      <c r="F2600" s="968"/>
      <c r="G2600" s="968"/>
      <c r="H2600" s="968"/>
      <c r="I2600" s="968"/>
      <c r="J2600" s="968"/>
      <c r="K2600" s="968"/>
      <c r="L2600" s="968"/>
      <c r="M2600" s="968"/>
      <c r="N2600" s="968"/>
      <c r="O2600" s="968"/>
      <c r="P2600" s="968"/>
      <c r="Q2600" s="968"/>
      <c r="R2600" s="968"/>
      <c r="S2600" s="968"/>
      <c r="T2600" s="968"/>
      <c r="U2600" s="968"/>
      <c r="V2600" s="968"/>
      <c r="W2600" s="968"/>
      <c r="X2600" s="968"/>
      <c r="Y2600" s="1073"/>
      <c r="Z2600" s="1073"/>
      <c r="AA2600" s="1073"/>
      <c r="AB2600" s="1073"/>
      <c r="AC2600" s="1073"/>
      <c r="AD2600" s="1073"/>
      <c r="AE2600" s="1073"/>
      <c r="AF2600" s="1073"/>
      <c r="AG2600" s="1073"/>
      <c r="AH2600" s="1073"/>
      <c r="AI2600" s="1073"/>
      <c r="AJ2600" s="1073"/>
      <c r="AK2600" s="1073"/>
      <c r="AL2600" s="1073"/>
      <c r="AM2600" s="1073"/>
      <c r="AN2600" s="1182">
        <v>0.78401718310758739</v>
      </c>
      <c r="AO2600" s="1182">
        <v>0.79508039154137555</v>
      </c>
      <c r="AR2600" s="218"/>
    </row>
    <row r="2601" spans="1:44" s="66" customFormat="1" hidden="1" outlineLevel="1">
      <c r="B2601" s="575"/>
      <c r="C2601" s="1051"/>
      <c r="D2601" s="1051"/>
      <c r="E2601" s="968" t="s">
        <v>2061</v>
      </c>
      <c r="F2601" s="968"/>
      <c r="G2601" s="968"/>
      <c r="H2601" s="968"/>
      <c r="I2601" s="968"/>
      <c r="J2601" s="968"/>
      <c r="K2601" s="968"/>
      <c r="L2601" s="968"/>
      <c r="M2601" s="968"/>
      <c r="N2601" s="968"/>
      <c r="O2601" s="968"/>
      <c r="P2601" s="968"/>
      <c r="Q2601" s="968"/>
      <c r="R2601" s="968"/>
      <c r="S2601" s="968"/>
      <c r="T2601" s="968"/>
      <c r="U2601" s="968"/>
      <c r="V2601" s="968"/>
      <c r="W2601" s="968"/>
      <c r="X2601" s="968"/>
      <c r="Y2601" s="1073"/>
      <c r="Z2601" s="1073"/>
      <c r="AA2601" s="1073"/>
      <c r="AB2601" s="1073"/>
      <c r="AC2601" s="1073"/>
      <c r="AD2601" s="1073"/>
      <c r="AE2601" s="1073"/>
      <c r="AF2601" s="1073"/>
      <c r="AG2601" s="1073"/>
      <c r="AH2601" s="1073"/>
      <c r="AI2601" s="1073"/>
      <c r="AJ2601" s="1073"/>
      <c r="AK2601" s="1073"/>
      <c r="AL2601" s="1073"/>
      <c r="AM2601" s="1073"/>
      <c r="AN2601" s="1182">
        <v>0.21598281689241247</v>
      </c>
      <c r="AO2601" s="1182">
        <v>0.20491960845862453</v>
      </c>
      <c r="AR2601" s="218"/>
    </row>
    <row r="2602" spans="1:44" s="66" customFormat="1" hidden="1" outlineLevel="1">
      <c r="B2602" s="575"/>
      <c r="C2602" s="1051"/>
      <c r="D2602" s="1051"/>
      <c r="E2602" s="968" t="s">
        <v>2058</v>
      </c>
      <c r="F2602" s="968"/>
      <c r="G2602" s="968"/>
      <c r="H2602" s="968"/>
      <c r="I2602" s="968"/>
      <c r="J2602" s="968"/>
      <c r="K2602" s="968"/>
      <c r="L2602" s="968"/>
      <c r="M2602" s="968"/>
      <c r="N2602" s="968"/>
      <c r="O2602" s="968"/>
      <c r="P2602" s="968"/>
      <c r="Q2602" s="968"/>
      <c r="R2602" s="968"/>
      <c r="S2602" s="968"/>
      <c r="T2602" s="968"/>
      <c r="U2602" s="968"/>
      <c r="V2602" s="968"/>
      <c r="W2602" s="968"/>
      <c r="X2602" s="968"/>
      <c r="Y2602" s="1073"/>
      <c r="Z2602" s="1073"/>
      <c r="AA2602" s="1073"/>
      <c r="AB2602" s="1073"/>
      <c r="AC2602" s="1073"/>
      <c r="AD2602" s="1073"/>
      <c r="AE2602" s="1073"/>
      <c r="AF2602" s="1073"/>
      <c r="AG2602" s="1073"/>
      <c r="AH2602" s="1073"/>
      <c r="AI2602" s="1073"/>
      <c r="AJ2602" s="1073"/>
      <c r="AK2602" s="1073"/>
      <c r="AL2602" s="1073"/>
      <c r="AM2602" s="1073"/>
      <c r="AN2602" s="1073">
        <f>ROUND(AN2600*AN2599,0)</f>
        <v>233260385</v>
      </c>
      <c r="AO2602" s="1073">
        <f>ROUND(AO2600*AO2599,0)</f>
        <v>259829703</v>
      </c>
    </row>
    <row r="2603" spans="1:44" s="66" customFormat="1" hidden="1" outlineLevel="1">
      <c r="B2603" s="575"/>
      <c r="C2603" s="1051"/>
      <c r="D2603" s="1051"/>
      <c r="E2603" s="968" t="s">
        <v>2059</v>
      </c>
      <c r="F2603" s="968"/>
      <c r="G2603" s="968"/>
      <c r="H2603" s="968"/>
      <c r="I2603" s="968"/>
      <c r="J2603" s="968"/>
      <c r="K2603" s="968"/>
      <c r="L2603" s="968"/>
      <c r="M2603" s="968"/>
      <c r="N2603" s="968"/>
      <c r="O2603" s="968"/>
      <c r="P2603" s="968"/>
      <c r="Q2603" s="968"/>
      <c r="R2603" s="968"/>
      <c r="S2603" s="968"/>
      <c r="T2603" s="968"/>
      <c r="U2603" s="968"/>
      <c r="V2603" s="968"/>
      <c r="W2603" s="968"/>
      <c r="X2603" s="968"/>
      <c r="Y2603" s="1073"/>
      <c r="Z2603" s="1073"/>
      <c r="AA2603" s="1073"/>
      <c r="AB2603" s="1073"/>
      <c r="AC2603" s="1073"/>
      <c r="AD2603" s="1073"/>
      <c r="AE2603" s="1073"/>
      <c r="AF2603" s="1073"/>
      <c r="AG2603" s="1073"/>
      <c r="AH2603" s="1073"/>
      <c r="AI2603" s="1073"/>
      <c r="AJ2603" s="1073"/>
      <c r="AK2603" s="1073"/>
      <c r="AL2603" s="1073"/>
      <c r="AM2603" s="1073"/>
      <c r="AN2603" s="1073">
        <f>ROUND(AN2601*AN2599,0)</f>
        <v>64259095</v>
      </c>
      <c r="AO2603" s="1073">
        <f>ROUND(AO2601*AO2599,0)</f>
        <v>66967066</v>
      </c>
      <c r="AR2603"/>
    </row>
    <row r="2604" spans="1:44" collapsed="1">
      <c r="C2604" s="25" t="s">
        <v>1613</v>
      </c>
      <c r="D2604" s="25"/>
      <c r="E2604" s="6"/>
      <c r="F2604" s="6"/>
      <c r="G2604" s="6"/>
      <c r="H2604" s="6"/>
      <c r="I2604" s="6"/>
      <c r="J2604" s="6"/>
      <c r="K2604" s="6"/>
      <c r="L2604" s="6"/>
      <c r="M2604" s="6"/>
      <c r="N2604" s="6"/>
      <c r="O2604" s="6"/>
      <c r="P2604" s="6"/>
      <c r="Q2604" s="6"/>
      <c r="R2604" s="6"/>
      <c r="S2604" s="6"/>
      <c r="T2604" s="6"/>
      <c r="U2604" s="6"/>
      <c r="V2604" s="6"/>
      <c r="W2604" s="6"/>
      <c r="X2604" s="6"/>
      <c r="Y2604" s="6"/>
      <c r="Z2604" s="6"/>
      <c r="AA2604" s="6"/>
      <c r="AB2604" s="7"/>
      <c r="AC2604" s="7"/>
      <c r="AD2604" s="7"/>
      <c r="AE2604" s="7"/>
      <c r="AF2604" s="7"/>
      <c r="AG2604" s="7"/>
      <c r="AH2604" s="61"/>
      <c r="AI2604" s="61"/>
      <c r="AJ2604" s="26"/>
      <c r="AK2604" s="26"/>
      <c r="AL2604" s="26"/>
      <c r="AM2604" s="26"/>
      <c r="AN2604" s="26"/>
      <c r="AO2604" s="1069"/>
      <c r="AP2604" s="1044"/>
      <c r="AR2604" s="173"/>
    </row>
    <row r="2605" spans="1:44" s="173" customFormat="1" hidden="1" outlineLevel="1">
      <c r="A2605" s="578">
        <v>40</v>
      </c>
      <c r="B2605" s="568">
        <v>3656</v>
      </c>
      <c r="C2605" s="375" t="s">
        <v>1384</v>
      </c>
      <c r="D2605" s="226"/>
      <c r="E2605" s="23" t="s">
        <v>754</v>
      </c>
      <c r="F2605" s="570">
        <v>18844.810000000001</v>
      </c>
      <c r="G2605" s="570">
        <v>19146.259999999998</v>
      </c>
      <c r="H2605" s="570">
        <v>18629.39</v>
      </c>
      <c r="I2605" s="570">
        <v>18499.47</v>
      </c>
      <c r="J2605" s="570">
        <v>18301.98</v>
      </c>
      <c r="K2605" s="570">
        <v>18976.93</v>
      </c>
      <c r="L2605" s="570">
        <v>19331.919999999998</v>
      </c>
      <c r="M2605" s="570">
        <v>19823.099999999999</v>
      </c>
      <c r="N2605" s="570">
        <v>19907.71</v>
      </c>
      <c r="O2605" s="570">
        <v>18994.53</v>
      </c>
      <c r="P2605" s="570">
        <v>18332.43</v>
      </c>
      <c r="Q2605" s="570">
        <v>18063.759999999998</v>
      </c>
      <c r="R2605" s="570">
        <v>17143.3</v>
      </c>
      <c r="S2605" s="570">
        <v>16066.37</v>
      </c>
      <c r="T2605" s="570">
        <v>15392.86</v>
      </c>
      <c r="U2605" s="570">
        <v>15432.66</v>
      </c>
      <c r="V2605" s="570">
        <v>15749.76</v>
      </c>
      <c r="W2605" s="570">
        <v>16572.240000000002</v>
      </c>
      <c r="X2605" s="570">
        <v>17670.03</v>
      </c>
      <c r="Y2605" s="570">
        <v>19510.060000000001</v>
      </c>
      <c r="Z2605" s="570">
        <v>20843.93</v>
      </c>
      <c r="AA2605" s="570">
        <v>20609.490000000002</v>
      </c>
      <c r="AB2605" s="570">
        <v>20624.34</v>
      </c>
      <c r="AC2605" s="570">
        <v>19695.16</v>
      </c>
      <c r="AD2605" s="570">
        <v>19842.62</v>
      </c>
      <c r="AE2605" s="570">
        <v>19949.060000000001</v>
      </c>
      <c r="AF2605" s="570">
        <v>23492.93</v>
      </c>
      <c r="AG2605" s="570">
        <v>27031.439999999999</v>
      </c>
      <c r="AH2605" s="569">
        <v>26855.439999999999</v>
      </c>
      <c r="AI2605" s="569">
        <v>26581.200000000001</v>
      </c>
      <c r="AJ2605" s="569">
        <v>26759.73</v>
      </c>
      <c r="AK2605" s="569">
        <v>28216.45</v>
      </c>
      <c r="AL2605" s="569">
        <v>29600.16</v>
      </c>
      <c r="AM2605" s="569">
        <v>32029.43</v>
      </c>
      <c r="AN2605" s="569">
        <v>33211.300000000003</v>
      </c>
      <c r="AO2605" s="569">
        <v>34150.28</v>
      </c>
    </row>
    <row r="2606" spans="1:44" s="173" customFormat="1" hidden="1" outlineLevel="1">
      <c r="A2606" s="578">
        <v>50</v>
      </c>
      <c r="B2606" s="568">
        <v>3658</v>
      </c>
      <c r="C2606" s="375" t="s">
        <v>1384</v>
      </c>
      <c r="D2606" s="226"/>
      <c r="E2606" s="23" t="s">
        <v>749</v>
      </c>
      <c r="F2606" s="570">
        <v>45669.919999999998</v>
      </c>
      <c r="G2606" s="570">
        <v>46117.77</v>
      </c>
      <c r="H2606" s="570">
        <v>44974.2</v>
      </c>
      <c r="I2606" s="570">
        <v>44169.45</v>
      </c>
      <c r="J2606" s="570">
        <v>45152.33</v>
      </c>
      <c r="K2606" s="570">
        <v>46816.38</v>
      </c>
      <c r="L2606" s="570">
        <v>46310.22</v>
      </c>
      <c r="M2606" s="570">
        <v>45992.26</v>
      </c>
      <c r="N2606" s="570">
        <v>46097.55</v>
      </c>
      <c r="O2606" s="570">
        <v>44981.17</v>
      </c>
      <c r="P2606" s="570">
        <v>44036.47</v>
      </c>
      <c r="Q2606" s="570">
        <v>43354.080000000002</v>
      </c>
      <c r="R2606" s="570">
        <v>43481.11</v>
      </c>
      <c r="S2606" s="570">
        <v>43881.66</v>
      </c>
      <c r="T2606" s="570">
        <v>44913.51</v>
      </c>
      <c r="U2606" s="570">
        <v>44321.7</v>
      </c>
      <c r="V2606" s="570">
        <v>44539.85</v>
      </c>
      <c r="W2606" s="570">
        <v>45003.99</v>
      </c>
      <c r="X2606" s="570">
        <v>46365.83</v>
      </c>
      <c r="Y2606" s="570">
        <v>48315.55</v>
      </c>
      <c r="Z2606" s="570">
        <v>47675.59</v>
      </c>
      <c r="AA2606" s="570">
        <v>46616.51</v>
      </c>
      <c r="AB2606" s="570">
        <v>45680.84</v>
      </c>
      <c r="AC2606" s="570">
        <v>46032.27</v>
      </c>
      <c r="AD2606" s="570">
        <v>46299.8</v>
      </c>
      <c r="AE2606" s="570">
        <v>46120.53</v>
      </c>
      <c r="AF2606" s="570">
        <v>47010.1</v>
      </c>
      <c r="AG2606" s="570">
        <v>47192.79</v>
      </c>
      <c r="AH2606" s="569">
        <v>47312.66</v>
      </c>
      <c r="AI2606" s="569">
        <v>48386.71</v>
      </c>
      <c r="AJ2606" s="569">
        <v>47978.14</v>
      </c>
      <c r="AK2606" s="569">
        <v>46914.5</v>
      </c>
      <c r="AL2606" s="569">
        <v>46667.81</v>
      </c>
      <c r="AM2606" s="569">
        <v>46926.51</v>
      </c>
      <c r="AN2606" s="569">
        <v>47243.11</v>
      </c>
      <c r="AO2606" s="569">
        <v>47775.06</v>
      </c>
    </row>
    <row r="2607" spans="1:44" s="173" customFormat="1" hidden="1" outlineLevel="1">
      <c r="A2607" s="578">
        <v>60</v>
      </c>
      <c r="B2607" s="568">
        <v>9741</v>
      </c>
      <c r="C2607" s="375" t="s">
        <v>1384</v>
      </c>
      <c r="D2607" s="226"/>
      <c r="E2607" s="23" t="s">
        <v>755</v>
      </c>
      <c r="F2607" s="570">
        <v>5164.12</v>
      </c>
      <c r="G2607" s="570">
        <v>5102.38</v>
      </c>
      <c r="H2607" s="570">
        <v>4892.97</v>
      </c>
      <c r="I2607" s="570">
        <v>5027.47</v>
      </c>
      <c r="J2607" s="570">
        <v>5279.83</v>
      </c>
      <c r="K2607" s="570">
        <v>5338.64</v>
      </c>
      <c r="L2607" s="570">
        <v>5645.14</v>
      </c>
      <c r="M2607" s="570">
        <v>6047.75</v>
      </c>
      <c r="N2607" s="570">
        <v>6401.66</v>
      </c>
      <c r="O2607" s="570">
        <v>6121.89</v>
      </c>
      <c r="P2607" s="570">
        <v>6104.72</v>
      </c>
      <c r="Q2607" s="570">
        <v>6186.54</v>
      </c>
      <c r="R2607" s="570">
        <v>6574.04</v>
      </c>
      <c r="S2607" s="570">
        <v>7008.55</v>
      </c>
      <c r="T2607" s="570">
        <v>7105.46</v>
      </c>
      <c r="U2607" s="570">
        <v>7371.63</v>
      </c>
      <c r="V2607" s="570">
        <v>8121.64</v>
      </c>
      <c r="W2607" s="570">
        <v>8936.2999999999993</v>
      </c>
      <c r="X2607" s="570">
        <v>10103.450000000001</v>
      </c>
      <c r="Y2607" s="570">
        <v>10766.41</v>
      </c>
      <c r="Z2607" s="570">
        <v>11165.41</v>
      </c>
      <c r="AA2607" s="570">
        <v>11489.87</v>
      </c>
      <c r="AB2607" s="570">
        <v>11838.75</v>
      </c>
      <c r="AC2607" s="570">
        <v>11805.06</v>
      </c>
      <c r="AD2607" s="570">
        <v>12088.3</v>
      </c>
      <c r="AE2607" s="570">
        <v>12396.58</v>
      </c>
      <c r="AF2607" s="570">
        <v>13427.11</v>
      </c>
      <c r="AG2607" s="570">
        <v>14308.42</v>
      </c>
      <c r="AH2607" s="569">
        <v>15840.83</v>
      </c>
      <c r="AI2607" s="569">
        <v>16558.400000000001</v>
      </c>
      <c r="AJ2607" s="569">
        <v>17678.68</v>
      </c>
      <c r="AK2607" s="569">
        <v>19290.61</v>
      </c>
      <c r="AL2607" s="569">
        <v>20643.919999999998</v>
      </c>
      <c r="AM2607" s="569">
        <v>22416.38</v>
      </c>
      <c r="AN2607" s="569">
        <v>23103.119999999999</v>
      </c>
      <c r="AO2607" s="569">
        <v>24293.71</v>
      </c>
    </row>
    <row r="2608" spans="1:44" s="173" customFormat="1" hidden="1" outlineLevel="1">
      <c r="A2608" s="578">
        <v>70</v>
      </c>
      <c r="B2608" s="568">
        <v>3661</v>
      </c>
      <c r="C2608" s="375" t="s">
        <v>1384</v>
      </c>
      <c r="D2608" s="226"/>
      <c r="E2608" s="23" t="s">
        <v>756</v>
      </c>
      <c r="F2608" s="570">
        <v>12793.9</v>
      </c>
      <c r="G2608" s="570">
        <v>12772.88</v>
      </c>
      <c r="H2608" s="570">
        <v>11464.29</v>
      </c>
      <c r="I2608" s="570">
        <v>10976.33</v>
      </c>
      <c r="J2608" s="570">
        <v>11376.7</v>
      </c>
      <c r="K2608" s="570">
        <v>12155.18</v>
      </c>
      <c r="L2608" s="570">
        <v>12801.29</v>
      </c>
      <c r="M2608" s="570">
        <v>13345.68</v>
      </c>
      <c r="N2608" s="570">
        <v>13633.38</v>
      </c>
      <c r="O2608" s="570">
        <v>13575.63</v>
      </c>
      <c r="P2608" s="570">
        <v>13546.73</v>
      </c>
      <c r="Q2608" s="570">
        <v>13461.29</v>
      </c>
      <c r="R2608" s="570">
        <v>12660.53</v>
      </c>
      <c r="S2608" s="570">
        <v>12033.12</v>
      </c>
      <c r="T2608" s="570">
        <v>11912.98</v>
      </c>
      <c r="U2608" s="570">
        <v>11747.07</v>
      </c>
      <c r="V2608" s="570">
        <v>11923.56</v>
      </c>
      <c r="W2608" s="570">
        <v>12291.87</v>
      </c>
      <c r="X2608" s="570">
        <v>13397.43</v>
      </c>
      <c r="Y2608" s="570">
        <v>13941.78</v>
      </c>
      <c r="Z2608" s="570">
        <v>14631.66</v>
      </c>
      <c r="AA2608" s="570">
        <v>14382.06</v>
      </c>
      <c r="AB2608" s="570">
        <v>14890.14</v>
      </c>
      <c r="AC2608" s="570">
        <v>15287.92</v>
      </c>
      <c r="AD2608" s="570">
        <v>15711.38</v>
      </c>
      <c r="AE2608" s="570">
        <v>16006.35</v>
      </c>
      <c r="AF2608" s="570">
        <v>16749.79</v>
      </c>
      <c r="AG2608" s="570">
        <v>17658.64</v>
      </c>
      <c r="AH2608" s="569">
        <v>17861.990000000002</v>
      </c>
      <c r="AI2608" s="569">
        <v>17773.34</v>
      </c>
      <c r="AJ2608" s="569">
        <v>18037.46</v>
      </c>
      <c r="AK2608" s="569">
        <v>18363.63</v>
      </c>
      <c r="AL2608" s="569">
        <v>18582.62</v>
      </c>
      <c r="AM2608" s="569">
        <v>19103.150000000001</v>
      </c>
      <c r="AN2608" s="569">
        <v>19980.330000000002</v>
      </c>
      <c r="AO2608" s="569">
        <v>19874.07</v>
      </c>
    </row>
    <row r="2609" spans="1:41" s="173" customFormat="1" hidden="1" outlineLevel="1">
      <c r="A2609" s="578">
        <v>91</v>
      </c>
      <c r="B2609" s="568">
        <v>3599</v>
      </c>
      <c r="C2609" s="375" t="s">
        <v>1384</v>
      </c>
      <c r="D2609" s="226"/>
      <c r="E2609" s="224" t="s">
        <v>1667</v>
      </c>
      <c r="F2609" s="570"/>
      <c r="G2609" s="570"/>
      <c r="H2609" s="570"/>
      <c r="I2609" s="570"/>
      <c r="J2609" s="570"/>
      <c r="K2609" s="570"/>
      <c r="L2609" s="570"/>
      <c r="M2609" s="570"/>
      <c r="N2609" s="570"/>
      <c r="O2609" s="570"/>
      <c r="P2609" s="570"/>
      <c r="Q2609" s="570"/>
      <c r="R2609" s="570"/>
      <c r="S2609" s="570"/>
      <c r="T2609" s="570"/>
      <c r="U2609" s="570"/>
      <c r="V2609" s="570"/>
      <c r="W2609" s="570"/>
      <c r="X2609" s="570"/>
      <c r="Y2609" s="570"/>
      <c r="Z2609" s="570"/>
      <c r="AA2609" s="570"/>
      <c r="AB2609" s="570"/>
      <c r="AC2609" s="570"/>
      <c r="AD2609" s="570"/>
      <c r="AE2609" s="570"/>
      <c r="AF2609" s="570"/>
      <c r="AG2609" s="570"/>
      <c r="AH2609" s="569"/>
      <c r="AI2609" s="569"/>
      <c r="AJ2609" s="569"/>
      <c r="AK2609" s="569"/>
      <c r="AL2609" s="569">
        <v>23265.8</v>
      </c>
      <c r="AM2609" s="569">
        <v>23359.62</v>
      </c>
      <c r="AN2609" s="569">
        <v>24192.44</v>
      </c>
      <c r="AO2609" s="569">
        <v>24918.01</v>
      </c>
    </row>
    <row r="2610" spans="1:41" s="173" customFormat="1" hidden="1" outlineLevel="1">
      <c r="A2610" s="578">
        <v>80</v>
      </c>
      <c r="B2610" s="568">
        <v>3599</v>
      </c>
      <c r="C2610" s="375" t="s">
        <v>1384</v>
      </c>
      <c r="D2610" s="226"/>
      <c r="E2610" s="23" t="s">
        <v>1356</v>
      </c>
      <c r="F2610" s="570">
        <v>7927.36</v>
      </c>
      <c r="G2610" s="570">
        <v>7967.26</v>
      </c>
      <c r="H2610" s="570">
        <v>6888.18</v>
      </c>
      <c r="I2610" s="570">
        <v>7899.53</v>
      </c>
      <c r="J2610" s="570">
        <v>8626.8799999999992</v>
      </c>
      <c r="K2610" s="570">
        <v>9959.85</v>
      </c>
      <c r="L2610" s="570">
        <v>10445.26</v>
      </c>
      <c r="M2610" s="570">
        <v>10728.02</v>
      </c>
      <c r="N2610" s="570">
        <v>10853.6</v>
      </c>
      <c r="O2610" s="570">
        <v>11079.9</v>
      </c>
      <c r="P2610" s="570">
        <v>11384.38</v>
      </c>
      <c r="Q2610" s="570">
        <v>11449.86</v>
      </c>
      <c r="R2610" s="570">
        <v>11167.58</v>
      </c>
      <c r="S2610" s="570">
        <v>10731.29</v>
      </c>
      <c r="T2610" s="570">
        <v>10552.3</v>
      </c>
      <c r="U2610" s="570">
        <v>10561.26</v>
      </c>
      <c r="V2610" s="570">
        <v>10796.05</v>
      </c>
      <c r="W2610" s="570">
        <v>10919.82</v>
      </c>
      <c r="X2610" s="570">
        <v>11955.9</v>
      </c>
      <c r="Y2610" s="570">
        <v>12853.06</v>
      </c>
      <c r="Z2610" s="570">
        <v>13923</v>
      </c>
      <c r="AA2610" s="570">
        <v>14930.84</v>
      </c>
      <c r="AB2610" s="570">
        <v>14667.83</v>
      </c>
      <c r="AC2610" s="570">
        <v>15058.29</v>
      </c>
      <c r="AD2610" s="570">
        <v>15155.86</v>
      </c>
      <c r="AE2610" s="570">
        <v>15195.86</v>
      </c>
      <c r="AF2610" s="570">
        <v>16245.74</v>
      </c>
      <c r="AG2610" s="570">
        <v>16211.17</v>
      </c>
      <c r="AH2610" s="569">
        <v>16017.74</v>
      </c>
      <c r="AI2610" s="569">
        <v>16173.17</v>
      </c>
      <c r="AJ2610" s="569">
        <v>17002.16</v>
      </c>
      <c r="AK2610" s="569">
        <v>18184.560000000001</v>
      </c>
      <c r="AL2610" s="569"/>
      <c r="AM2610" s="569"/>
      <c r="AN2610" s="569"/>
      <c r="AO2610" s="569"/>
    </row>
    <row r="2611" spans="1:41" s="173" customFormat="1" hidden="1" outlineLevel="1">
      <c r="A2611" s="578">
        <v>90</v>
      </c>
      <c r="B2611" s="568">
        <v>30646</v>
      </c>
      <c r="C2611" s="375" t="s">
        <v>1384</v>
      </c>
      <c r="D2611" s="226"/>
      <c r="E2611" s="23" t="s">
        <v>1357</v>
      </c>
      <c r="F2611" s="570">
        <v>754.46</v>
      </c>
      <c r="G2611" s="570">
        <v>883.37</v>
      </c>
      <c r="H2611" s="570">
        <v>843.22</v>
      </c>
      <c r="I2611" s="570">
        <v>760.53</v>
      </c>
      <c r="J2611" s="570">
        <v>888.44</v>
      </c>
      <c r="K2611" s="570">
        <v>1055.72</v>
      </c>
      <c r="L2611" s="570">
        <v>1025.54</v>
      </c>
      <c r="M2611" s="570">
        <v>1013.4</v>
      </c>
      <c r="N2611" s="570">
        <v>1062.73</v>
      </c>
      <c r="O2611" s="570">
        <v>1099.17</v>
      </c>
      <c r="P2611" s="570">
        <v>1328.92</v>
      </c>
      <c r="Q2611" s="570">
        <v>1430.43</v>
      </c>
      <c r="R2611" s="570">
        <v>1538.28</v>
      </c>
      <c r="S2611" s="570">
        <v>1602.28</v>
      </c>
      <c r="T2611" s="570">
        <v>1580.37</v>
      </c>
      <c r="U2611" s="570">
        <v>1546.75</v>
      </c>
      <c r="V2611" s="570">
        <v>1652.63</v>
      </c>
      <c r="W2611" s="570">
        <v>1912.71</v>
      </c>
      <c r="X2611" s="570">
        <v>2223.81</v>
      </c>
      <c r="Y2611" s="570">
        <v>2192.38</v>
      </c>
      <c r="Z2611" s="570">
        <v>2273.8200000000002</v>
      </c>
      <c r="AA2611" s="570">
        <v>2477.56</v>
      </c>
      <c r="AB2611" s="570">
        <v>2760.1</v>
      </c>
      <c r="AC2611" s="570">
        <v>2683.13</v>
      </c>
      <c r="AD2611" s="570">
        <v>3135.9</v>
      </c>
      <c r="AE2611" s="570">
        <v>3393.01</v>
      </c>
      <c r="AF2611" s="570">
        <v>3676.07</v>
      </c>
      <c r="AG2611" s="570">
        <v>3823.22</v>
      </c>
      <c r="AH2611" s="569">
        <v>4015.35</v>
      </c>
      <c r="AI2611" s="569">
        <v>6203.71</v>
      </c>
      <c r="AJ2611" s="569">
        <v>6273.63</v>
      </c>
      <c r="AK2611" s="569">
        <v>6127.06</v>
      </c>
      <c r="AL2611" s="569"/>
      <c r="AM2611" s="569"/>
      <c r="AN2611" s="569"/>
      <c r="AO2611" s="569"/>
    </row>
    <row r="2612" spans="1:41" s="173" customFormat="1" hidden="1" outlineLevel="1">
      <c r="A2612" s="578">
        <v>100</v>
      </c>
      <c r="B2612" s="568">
        <v>9930</v>
      </c>
      <c r="C2612" s="375" t="s">
        <v>1384</v>
      </c>
      <c r="D2612" s="226"/>
      <c r="E2612" s="23" t="s">
        <v>1358</v>
      </c>
      <c r="F2612" s="570">
        <v>1392.63</v>
      </c>
      <c r="G2612" s="570">
        <v>1310.81</v>
      </c>
      <c r="H2612" s="570">
        <v>1272.0999999999999</v>
      </c>
      <c r="I2612" s="570">
        <v>1197.69</v>
      </c>
      <c r="J2612" s="570">
        <v>1207.3399999999999</v>
      </c>
      <c r="K2612" s="570">
        <v>1362.9</v>
      </c>
      <c r="L2612" s="570">
        <v>1316.98</v>
      </c>
      <c r="M2612" s="570">
        <v>1281.81</v>
      </c>
      <c r="N2612" s="570">
        <v>1414.73</v>
      </c>
      <c r="O2612" s="570">
        <v>1581.67</v>
      </c>
      <c r="P2612" s="570">
        <v>1574.62</v>
      </c>
      <c r="Q2612" s="570">
        <v>1658.94</v>
      </c>
      <c r="R2612" s="570">
        <v>1648.41</v>
      </c>
      <c r="S2612" s="570">
        <v>1559.33</v>
      </c>
      <c r="T2612" s="570">
        <v>1628.71</v>
      </c>
      <c r="U2612" s="570">
        <v>1729.58</v>
      </c>
      <c r="V2612" s="570">
        <v>1758.88</v>
      </c>
      <c r="W2612" s="570">
        <v>1784.56</v>
      </c>
      <c r="X2612" s="570">
        <v>1915.48</v>
      </c>
      <c r="Y2612" s="570">
        <v>2108.38</v>
      </c>
      <c r="Z2612" s="570">
        <v>2390.23</v>
      </c>
      <c r="AA2612" s="570">
        <v>2548.34</v>
      </c>
      <c r="AB2612" s="570">
        <v>2675.85</v>
      </c>
      <c r="AC2612" s="570">
        <v>2622.7</v>
      </c>
      <c r="AD2612" s="570">
        <v>2737.28</v>
      </c>
      <c r="AE2612" s="570">
        <v>2649.59</v>
      </c>
      <c r="AF2612" s="570">
        <v>2745.7</v>
      </c>
      <c r="AG2612" s="570">
        <v>2977.92</v>
      </c>
      <c r="AH2612" s="569">
        <v>2822.1</v>
      </c>
      <c r="AI2612" s="569">
        <v>3056.27</v>
      </c>
      <c r="AJ2612" s="569">
        <v>3630.09</v>
      </c>
      <c r="AK2612" s="569">
        <v>4063.26</v>
      </c>
      <c r="AL2612" s="569">
        <v>4038.96</v>
      </c>
      <c r="AM2612" s="569">
        <v>4357.6400000000003</v>
      </c>
      <c r="AN2612" s="569">
        <v>4610.13</v>
      </c>
      <c r="AO2612" s="569">
        <v>4271.78</v>
      </c>
    </row>
    <row r="2613" spans="1:41" s="173" customFormat="1" hidden="1" outlineLevel="1">
      <c r="A2613" s="578">
        <v>110</v>
      </c>
      <c r="B2613" s="568">
        <v>10115</v>
      </c>
      <c r="C2613" s="375" t="s">
        <v>1384</v>
      </c>
      <c r="D2613" s="226"/>
      <c r="E2613" s="23" t="s">
        <v>757</v>
      </c>
      <c r="F2613" s="570">
        <v>9445.93</v>
      </c>
      <c r="G2613" s="570">
        <v>9782.01</v>
      </c>
      <c r="H2613" s="570">
        <v>9460.4</v>
      </c>
      <c r="I2613" s="570">
        <v>9576.4699999999993</v>
      </c>
      <c r="J2613" s="570">
        <v>10096.75</v>
      </c>
      <c r="K2613" s="570">
        <v>10479.959999999999</v>
      </c>
      <c r="L2613" s="570">
        <v>11204.95</v>
      </c>
      <c r="M2613" s="570">
        <v>12095.91</v>
      </c>
      <c r="N2613" s="570">
        <v>12635.82</v>
      </c>
      <c r="O2613" s="570">
        <v>13021.07</v>
      </c>
      <c r="P2613" s="570">
        <v>13495.6</v>
      </c>
      <c r="Q2613" s="570">
        <v>13672.28</v>
      </c>
      <c r="R2613" s="570">
        <v>13436.09</v>
      </c>
      <c r="S2613" s="570">
        <v>13377.46</v>
      </c>
      <c r="T2613" s="570">
        <v>13790.54</v>
      </c>
      <c r="U2613" s="570">
        <v>14455.28</v>
      </c>
      <c r="V2613" s="570">
        <v>14640.94</v>
      </c>
      <c r="W2613" s="570">
        <v>15071.28</v>
      </c>
      <c r="X2613" s="570">
        <v>16278.08</v>
      </c>
      <c r="Y2613" s="570">
        <v>18061.939999999999</v>
      </c>
      <c r="Z2613" s="570">
        <v>20165.93</v>
      </c>
      <c r="AA2613" s="570">
        <v>20910.27</v>
      </c>
      <c r="AB2613" s="570">
        <v>21623.31</v>
      </c>
      <c r="AC2613" s="570">
        <v>22332.39</v>
      </c>
      <c r="AD2613" s="570">
        <v>22423.439999999999</v>
      </c>
      <c r="AE2613" s="570">
        <v>22543.59</v>
      </c>
      <c r="AF2613" s="570">
        <v>23346.63</v>
      </c>
      <c r="AG2613" s="570">
        <v>24319.119999999999</v>
      </c>
      <c r="AH2613" s="569">
        <v>24962.1</v>
      </c>
      <c r="AI2613" s="569">
        <v>24187.360000000001</v>
      </c>
      <c r="AJ2613" s="569">
        <v>22844.19</v>
      </c>
      <c r="AK2613" s="569">
        <v>22974.720000000001</v>
      </c>
      <c r="AL2613" s="569">
        <v>23918.73</v>
      </c>
      <c r="AM2613" s="569">
        <v>24161.11</v>
      </c>
      <c r="AN2613" s="569">
        <v>25582.05</v>
      </c>
      <c r="AO2613" s="569">
        <v>26613.23</v>
      </c>
    </row>
    <row r="2614" spans="1:41" s="173" customFormat="1" hidden="1" outlineLevel="1">
      <c r="A2614" s="578">
        <v>120</v>
      </c>
      <c r="B2614" s="568">
        <v>11163</v>
      </c>
      <c r="C2614" s="375" t="s">
        <v>1384</v>
      </c>
      <c r="D2614" s="226"/>
      <c r="E2614" s="23" t="s">
        <v>1359</v>
      </c>
      <c r="F2614" s="570">
        <v>2317.64</v>
      </c>
      <c r="G2614" s="570">
        <v>2568.48</v>
      </c>
      <c r="H2614" s="570">
        <v>2505.83</v>
      </c>
      <c r="I2614" s="570">
        <v>2545.2800000000002</v>
      </c>
      <c r="J2614" s="570">
        <v>2657.92</v>
      </c>
      <c r="K2614" s="570">
        <v>2656.03</v>
      </c>
      <c r="L2614" s="570">
        <v>2876.86</v>
      </c>
      <c r="M2614" s="570">
        <v>2691.6</v>
      </c>
      <c r="N2614" s="570">
        <v>2694.09</v>
      </c>
      <c r="O2614" s="570">
        <v>2759.92</v>
      </c>
      <c r="P2614" s="570">
        <v>2696.73</v>
      </c>
      <c r="Q2614" s="570">
        <v>2726.62</v>
      </c>
      <c r="R2614" s="570">
        <v>2591.1799999999998</v>
      </c>
      <c r="S2614" s="570">
        <v>2403.7399999999998</v>
      </c>
      <c r="T2614" s="570">
        <v>2396</v>
      </c>
      <c r="U2614" s="570">
        <v>2518.5500000000002</v>
      </c>
      <c r="V2614" s="570">
        <v>2540.0700000000002</v>
      </c>
      <c r="W2614" s="570">
        <v>2675.05</v>
      </c>
      <c r="X2614" s="570">
        <v>2890.73</v>
      </c>
      <c r="Y2614" s="570">
        <v>3325.51</v>
      </c>
      <c r="Z2614" s="570">
        <v>3764.1</v>
      </c>
      <c r="AA2614" s="570">
        <v>4250.68</v>
      </c>
      <c r="AB2614" s="570">
        <v>4557.16</v>
      </c>
      <c r="AC2614" s="570">
        <v>4726.8</v>
      </c>
      <c r="AD2614" s="570">
        <v>4907.47</v>
      </c>
      <c r="AE2614" s="570">
        <v>4786.7299999999996</v>
      </c>
      <c r="AF2614" s="570">
        <v>4905.5600000000004</v>
      </c>
      <c r="AG2614" s="570">
        <v>5110.2</v>
      </c>
      <c r="AH2614" s="569">
        <v>5375.49</v>
      </c>
      <c r="AI2614" s="569">
        <v>5660.93</v>
      </c>
      <c r="AJ2614" s="569">
        <v>5897.29</v>
      </c>
      <c r="AK2614" s="569">
        <v>6407.63</v>
      </c>
      <c r="AL2614" s="569">
        <v>6861.11</v>
      </c>
      <c r="AM2614" s="569">
        <v>7299.63</v>
      </c>
      <c r="AN2614" s="569">
        <v>7532.73</v>
      </c>
      <c r="AO2614" s="569">
        <v>7343.3</v>
      </c>
    </row>
    <row r="2615" spans="1:41" s="173" customFormat="1" hidden="1" outlineLevel="1">
      <c r="A2615" s="578">
        <v>130</v>
      </c>
      <c r="B2615" s="568">
        <v>3632</v>
      </c>
      <c r="C2615" s="375" t="s">
        <v>1384</v>
      </c>
      <c r="D2615" s="226"/>
      <c r="E2615" s="23" t="s">
        <v>751</v>
      </c>
      <c r="F2615" s="570">
        <v>37048.230000000003</v>
      </c>
      <c r="G2615" s="570">
        <v>36853.279999999999</v>
      </c>
      <c r="H2615" s="570">
        <v>34727.35</v>
      </c>
      <c r="I2615" s="570">
        <v>35562.49</v>
      </c>
      <c r="J2615" s="570">
        <v>37417.440000000002</v>
      </c>
      <c r="K2615" s="570">
        <v>37449.46</v>
      </c>
      <c r="L2615" s="570">
        <v>38244.129999999997</v>
      </c>
      <c r="M2615" s="570">
        <v>38468.61</v>
      </c>
      <c r="N2615" s="570">
        <v>38627.18</v>
      </c>
      <c r="O2615" s="570">
        <v>38730.550000000003</v>
      </c>
      <c r="P2615" s="570">
        <v>38982.959999999999</v>
      </c>
      <c r="Q2615" s="570">
        <v>38257.339999999997</v>
      </c>
      <c r="R2615" s="570">
        <v>37681.26</v>
      </c>
      <c r="S2615" s="570">
        <v>37783.79</v>
      </c>
      <c r="T2615" s="570">
        <v>37485.49</v>
      </c>
      <c r="U2615" s="570">
        <v>38637.99</v>
      </c>
      <c r="V2615" s="570">
        <v>39636.14</v>
      </c>
      <c r="W2615" s="570">
        <v>40285.86</v>
      </c>
      <c r="X2615" s="570">
        <v>40857.53</v>
      </c>
      <c r="Y2615" s="570">
        <v>40699.53</v>
      </c>
      <c r="Z2615" s="570">
        <v>40298.589999999997</v>
      </c>
      <c r="AA2615" s="570">
        <v>39203.760000000002</v>
      </c>
      <c r="AB2615" s="570">
        <v>40923.629999999997</v>
      </c>
      <c r="AC2615" s="570">
        <v>41274.54</v>
      </c>
      <c r="AD2615" s="570">
        <v>42582.04</v>
      </c>
      <c r="AE2615" s="570">
        <v>43260.46</v>
      </c>
      <c r="AF2615" s="570">
        <v>43693.22</v>
      </c>
      <c r="AG2615" s="570">
        <v>43914.46</v>
      </c>
      <c r="AH2615" s="569">
        <v>44484.06</v>
      </c>
      <c r="AI2615" s="569">
        <v>44656.17</v>
      </c>
      <c r="AJ2615" s="569">
        <v>47494.79</v>
      </c>
      <c r="AK2615" s="569">
        <v>50386.38</v>
      </c>
      <c r="AL2615" s="569">
        <v>52314.18</v>
      </c>
      <c r="AM2615" s="569">
        <v>54427.11</v>
      </c>
      <c r="AN2615" s="569">
        <v>55774.95</v>
      </c>
      <c r="AO2615" s="569">
        <v>55669.85</v>
      </c>
    </row>
    <row r="2616" spans="1:41" s="173" customFormat="1" hidden="1" outlineLevel="1">
      <c r="A2616" s="578">
        <v>140</v>
      </c>
      <c r="B2616" s="568">
        <v>10298</v>
      </c>
      <c r="C2616" s="375" t="s">
        <v>1384</v>
      </c>
      <c r="D2616" s="226"/>
      <c r="E2616" s="23" t="s">
        <v>876</v>
      </c>
      <c r="F2616" s="570">
        <v>616.47</v>
      </c>
      <c r="G2616" s="570">
        <v>656.77</v>
      </c>
      <c r="H2616" s="570">
        <v>599.20000000000005</v>
      </c>
      <c r="I2616" s="570">
        <v>557.13</v>
      </c>
      <c r="J2616" s="570">
        <v>561.13</v>
      </c>
      <c r="K2616" s="570">
        <v>751.83</v>
      </c>
      <c r="L2616" s="570">
        <v>903.6</v>
      </c>
      <c r="M2616" s="570">
        <v>1074.97</v>
      </c>
      <c r="N2616" s="570">
        <v>1188.93</v>
      </c>
      <c r="O2616" s="570">
        <v>1209.2</v>
      </c>
      <c r="P2616" s="570">
        <v>1263.27</v>
      </c>
      <c r="Q2616" s="570">
        <v>1164.57</v>
      </c>
      <c r="R2616" s="570">
        <v>1186.3</v>
      </c>
      <c r="S2616" s="570">
        <v>1131.1300000000001</v>
      </c>
      <c r="T2616" s="570">
        <v>1040.0999999999999</v>
      </c>
      <c r="U2616" s="570">
        <v>1140.03</v>
      </c>
      <c r="V2616" s="570">
        <v>1248.5</v>
      </c>
      <c r="W2616" s="570">
        <v>1295.23</v>
      </c>
      <c r="X2616" s="570">
        <v>1306.56</v>
      </c>
      <c r="Y2616" s="570">
        <v>1440.72</v>
      </c>
      <c r="Z2616" s="570">
        <v>1528.53</v>
      </c>
      <c r="AA2616" s="570">
        <v>1529.05</v>
      </c>
      <c r="AB2616" s="570">
        <v>1574.88</v>
      </c>
      <c r="AC2616" s="570">
        <v>1488.77</v>
      </c>
      <c r="AD2616" s="570">
        <v>1530.38</v>
      </c>
      <c r="AE2616" s="570">
        <v>1582.41</v>
      </c>
      <c r="AF2616" s="570">
        <v>1655.25</v>
      </c>
      <c r="AG2616" s="570">
        <v>1805.71</v>
      </c>
      <c r="AH2616" s="569">
        <v>1882.85</v>
      </c>
      <c r="AI2616" s="569">
        <v>1868.93</v>
      </c>
      <c r="AJ2616" s="569">
        <v>2054.85</v>
      </c>
      <c r="AK2616" s="569">
        <v>2176.0300000000002</v>
      </c>
      <c r="AL2616" s="569">
        <v>2157.62</v>
      </c>
      <c r="AM2616" s="569">
        <v>2206</v>
      </c>
      <c r="AN2616" s="569">
        <v>2125.89</v>
      </c>
      <c r="AO2616" s="569">
        <v>2004.79</v>
      </c>
    </row>
    <row r="2617" spans="1:41" s="173" customFormat="1" hidden="1" outlineLevel="1">
      <c r="A2617" s="578">
        <v>150</v>
      </c>
      <c r="B2617" s="568">
        <v>3630</v>
      </c>
      <c r="C2617" s="375" t="s">
        <v>1384</v>
      </c>
      <c r="D2617" s="226"/>
      <c r="E2617" s="23" t="s">
        <v>1360</v>
      </c>
      <c r="F2617" s="570">
        <v>4583.8100000000004</v>
      </c>
      <c r="G2617" s="570">
        <v>4426.7700000000004</v>
      </c>
      <c r="H2617" s="570">
        <v>4400.87</v>
      </c>
      <c r="I2617" s="570">
        <v>4577.7700000000004</v>
      </c>
      <c r="J2617" s="570">
        <v>5114.6400000000003</v>
      </c>
      <c r="K2617" s="570">
        <v>5489.6</v>
      </c>
      <c r="L2617" s="570">
        <v>5382.53</v>
      </c>
      <c r="M2617" s="570">
        <v>4943.67</v>
      </c>
      <c r="N2617" s="570">
        <v>5292.43</v>
      </c>
      <c r="O2617" s="570">
        <v>5278.54</v>
      </c>
      <c r="P2617" s="570">
        <v>5437.25</v>
      </c>
      <c r="Q2617" s="570">
        <v>5506.57</v>
      </c>
      <c r="R2617" s="570">
        <v>5594.42</v>
      </c>
      <c r="S2617" s="570">
        <v>5709.75</v>
      </c>
      <c r="T2617" s="570">
        <v>5709.42</v>
      </c>
      <c r="U2617" s="570">
        <v>5866.48</v>
      </c>
      <c r="V2617" s="570">
        <v>5952.23</v>
      </c>
      <c r="W2617" s="570">
        <v>6242.32</v>
      </c>
      <c r="X2617" s="570">
        <v>6621.78</v>
      </c>
      <c r="Y2617" s="570">
        <v>6844.16</v>
      </c>
      <c r="Z2617" s="570">
        <v>7342.03</v>
      </c>
      <c r="AA2617" s="570">
        <v>7725.57</v>
      </c>
      <c r="AB2617" s="570">
        <v>7125.91</v>
      </c>
      <c r="AC2617" s="570">
        <v>7153.13</v>
      </c>
      <c r="AD2617" s="570">
        <v>7367.17</v>
      </c>
      <c r="AE2617" s="570">
        <v>7007.98</v>
      </c>
      <c r="AF2617" s="570">
        <v>7375.77</v>
      </c>
      <c r="AG2617" s="570">
        <v>7423.65</v>
      </c>
      <c r="AH2617" s="569">
        <v>7212.72</v>
      </c>
      <c r="AI2617" s="569">
        <v>7308.84</v>
      </c>
      <c r="AJ2617" s="569">
        <v>7304.45</v>
      </c>
      <c r="AK2617" s="569">
        <v>7355.83</v>
      </c>
      <c r="AL2617" s="569">
        <v>7400.41</v>
      </c>
      <c r="AM2617" s="569">
        <v>7799.6</v>
      </c>
      <c r="AN2617" s="569">
        <v>8273.99</v>
      </c>
      <c r="AO2617" s="569">
        <v>8504.3799999999992</v>
      </c>
    </row>
    <row r="2618" spans="1:41" s="173" customFormat="1" hidden="1" outlineLevel="1">
      <c r="A2618" s="578">
        <v>160</v>
      </c>
      <c r="B2618" s="568">
        <v>3631</v>
      </c>
      <c r="C2618" s="375" t="s">
        <v>1384</v>
      </c>
      <c r="D2618" s="226"/>
      <c r="E2618" s="23" t="s">
        <v>1209</v>
      </c>
      <c r="F2618" s="570">
        <v>4415.1000000000004</v>
      </c>
      <c r="G2618" s="570">
        <v>4496.8900000000003</v>
      </c>
      <c r="H2618" s="570">
        <v>4310.66</v>
      </c>
      <c r="I2618" s="570">
        <v>4458.78</v>
      </c>
      <c r="J2618" s="570">
        <v>5051.18</v>
      </c>
      <c r="K2618" s="570">
        <v>5434.68</v>
      </c>
      <c r="L2618" s="570">
        <v>5566.81</v>
      </c>
      <c r="M2618" s="570">
        <v>5940.68</v>
      </c>
      <c r="N2618" s="570">
        <v>6101.47</v>
      </c>
      <c r="O2618" s="570">
        <v>6006.23</v>
      </c>
      <c r="P2618" s="570">
        <v>6028.58</v>
      </c>
      <c r="Q2618" s="570">
        <v>5878.19</v>
      </c>
      <c r="R2618" s="570">
        <v>5933.06</v>
      </c>
      <c r="S2618" s="570">
        <v>5918.24</v>
      </c>
      <c r="T2618" s="570">
        <v>5873.51</v>
      </c>
      <c r="U2618" s="570">
        <v>5784.38</v>
      </c>
      <c r="V2618" s="570">
        <v>6523.33</v>
      </c>
      <c r="W2618" s="570">
        <v>6646.71</v>
      </c>
      <c r="X2618" s="570">
        <v>7113.28</v>
      </c>
      <c r="Y2618" s="570">
        <v>7382.56</v>
      </c>
      <c r="Z2618" s="570">
        <v>7773.51</v>
      </c>
      <c r="AA2618" s="570">
        <v>7786.29</v>
      </c>
      <c r="AB2618" s="570">
        <v>7913.46</v>
      </c>
      <c r="AC2618" s="570">
        <v>8020.28</v>
      </c>
      <c r="AD2618" s="570">
        <v>7987.18</v>
      </c>
      <c r="AE2618" s="570">
        <v>8191.03</v>
      </c>
      <c r="AF2618" s="570">
        <v>7193.15</v>
      </c>
      <c r="AG2618" s="570">
        <v>7729.43</v>
      </c>
      <c r="AH2618" s="569">
        <v>8307.6299999999992</v>
      </c>
      <c r="AI2618" s="569">
        <v>8755.66</v>
      </c>
      <c r="AJ2618" s="569">
        <v>9197.17</v>
      </c>
      <c r="AK2618" s="569">
        <v>9796.32</v>
      </c>
      <c r="AL2618" s="569">
        <v>10247.58</v>
      </c>
      <c r="AM2618" s="569">
        <v>10762.39</v>
      </c>
      <c r="AN2618" s="569">
        <v>10734.76</v>
      </c>
      <c r="AO2618" s="569">
        <v>10826.4</v>
      </c>
    </row>
    <row r="2619" spans="1:41" s="173" customFormat="1" hidden="1" outlineLevel="1">
      <c r="A2619" s="578">
        <v>170</v>
      </c>
      <c r="B2619" s="568">
        <v>11161</v>
      </c>
      <c r="C2619" s="375" t="s">
        <v>1384</v>
      </c>
      <c r="D2619" s="226"/>
      <c r="E2619" s="23" t="s">
        <v>1211</v>
      </c>
      <c r="F2619" s="570">
        <v>2495.1799999999998</v>
      </c>
      <c r="G2619" s="570">
        <v>2467.2399999999998</v>
      </c>
      <c r="H2619" s="570">
        <v>2547.8000000000002</v>
      </c>
      <c r="I2619" s="570">
        <v>2521.5700000000002</v>
      </c>
      <c r="J2619" s="570">
        <v>2596.5700000000002</v>
      </c>
      <c r="K2619" s="570">
        <v>2809.08</v>
      </c>
      <c r="L2619" s="570">
        <v>2763.43</v>
      </c>
      <c r="M2619" s="570">
        <v>2678.63</v>
      </c>
      <c r="N2619" s="570">
        <v>2897.72</v>
      </c>
      <c r="O2619" s="570">
        <v>3148.8</v>
      </c>
      <c r="P2619" s="570">
        <v>3247.74</v>
      </c>
      <c r="Q2619" s="570">
        <v>3934.56</v>
      </c>
      <c r="R2619" s="570">
        <v>4359.6499999999996</v>
      </c>
      <c r="S2619" s="570">
        <v>4736.33</v>
      </c>
      <c r="T2619" s="570">
        <v>5010.75</v>
      </c>
      <c r="U2619" s="570">
        <v>5249.48</v>
      </c>
      <c r="V2619" s="570">
        <v>5596.21</v>
      </c>
      <c r="W2619" s="570">
        <v>5882.86</v>
      </c>
      <c r="X2619" s="570">
        <v>6540.45</v>
      </c>
      <c r="Y2619" s="570">
        <v>6788.32</v>
      </c>
      <c r="Z2619" s="570">
        <v>6916.95</v>
      </c>
      <c r="AA2619" s="570">
        <v>7179.17</v>
      </c>
      <c r="AB2619" s="570">
        <v>7351.53</v>
      </c>
      <c r="AC2619" s="570">
        <v>7535.71</v>
      </c>
      <c r="AD2619" s="570">
        <v>7145.37</v>
      </c>
      <c r="AE2619" s="570">
        <v>7685.76</v>
      </c>
      <c r="AF2619" s="570">
        <v>8082.06</v>
      </c>
      <c r="AG2619" s="570">
        <v>8597.68</v>
      </c>
      <c r="AH2619" s="569">
        <v>8645.09</v>
      </c>
      <c r="AI2619" s="569">
        <v>8890.14</v>
      </c>
      <c r="AJ2619" s="569">
        <v>9070.82</v>
      </c>
      <c r="AK2619" s="569">
        <v>9124.02</v>
      </c>
      <c r="AL2619" s="569">
        <v>9412.86</v>
      </c>
      <c r="AM2619" s="569">
        <v>9258.76</v>
      </c>
      <c r="AN2619" s="569">
        <v>10078.209999999999</v>
      </c>
      <c r="AO2619" s="569">
        <v>9878.48</v>
      </c>
    </row>
    <row r="2620" spans="1:41" s="173" customFormat="1" hidden="1" outlineLevel="1">
      <c r="A2620" s="578">
        <v>180</v>
      </c>
      <c r="B2620" s="568">
        <v>3639</v>
      </c>
      <c r="C2620" s="375" t="s">
        <v>1384</v>
      </c>
      <c r="D2620" s="226"/>
      <c r="E2620" s="23" t="s">
        <v>1212</v>
      </c>
      <c r="F2620" s="570">
        <v>5188.03</v>
      </c>
      <c r="G2620" s="570">
        <v>5367.62</v>
      </c>
      <c r="H2620" s="570">
        <v>4794.96</v>
      </c>
      <c r="I2620" s="570">
        <v>4825.1000000000004</v>
      </c>
      <c r="J2620" s="570">
        <v>5200.1000000000004</v>
      </c>
      <c r="K2620" s="570">
        <v>5406.28</v>
      </c>
      <c r="L2620" s="570">
        <v>5486.58</v>
      </c>
      <c r="M2620" s="570">
        <v>5593.83</v>
      </c>
      <c r="N2620" s="570">
        <v>5599.42</v>
      </c>
      <c r="O2620" s="570">
        <v>5953.3</v>
      </c>
      <c r="P2620" s="570">
        <v>6029.85</v>
      </c>
      <c r="Q2620" s="570">
        <v>5853.73</v>
      </c>
      <c r="R2620" s="570">
        <v>5458.64</v>
      </c>
      <c r="S2620" s="570">
        <v>5565.01</v>
      </c>
      <c r="T2620" s="570">
        <v>5473.61</v>
      </c>
      <c r="U2620" s="570">
        <v>5481.6</v>
      </c>
      <c r="V2620" s="570">
        <v>5348.48</v>
      </c>
      <c r="W2620" s="570">
        <v>5400.17</v>
      </c>
      <c r="X2620" s="570">
        <v>5663.66</v>
      </c>
      <c r="Y2620" s="570">
        <v>5813.76</v>
      </c>
      <c r="Z2620" s="570">
        <v>6001.01</v>
      </c>
      <c r="AA2620" s="570">
        <v>5941.16</v>
      </c>
      <c r="AB2620" s="570">
        <v>5496.72</v>
      </c>
      <c r="AC2620" s="570">
        <v>5568.22</v>
      </c>
      <c r="AD2620" s="570">
        <v>5535.9</v>
      </c>
      <c r="AE2620" s="570">
        <v>5910.79</v>
      </c>
      <c r="AF2620" s="570">
        <v>5021.34</v>
      </c>
      <c r="AG2620" s="570">
        <v>5512.82</v>
      </c>
      <c r="AH2620" s="569">
        <v>5754.02</v>
      </c>
      <c r="AI2620" s="569">
        <v>5931.44</v>
      </c>
      <c r="AJ2620" s="569">
        <v>7032.09</v>
      </c>
      <c r="AK2620" s="569">
        <v>7399.5</v>
      </c>
      <c r="AL2620" s="569">
        <v>7740.86</v>
      </c>
      <c r="AM2620" s="569">
        <v>7389.86</v>
      </c>
      <c r="AN2620" s="569">
        <v>6831</v>
      </c>
      <c r="AO2620" s="569">
        <v>6704.04</v>
      </c>
    </row>
    <row r="2621" spans="1:41" s="173" customFormat="1" hidden="1" outlineLevel="1">
      <c r="A2621" s="578">
        <v>190</v>
      </c>
      <c r="B2621" s="568">
        <v>9651</v>
      </c>
      <c r="C2621" s="375" t="s">
        <v>1384</v>
      </c>
      <c r="D2621" s="226"/>
      <c r="E2621" s="23" t="s">
        <v>861</v>
      </c>
      <c r="F2621" s="570">
        <v>691.43</v>
      </c>
      <c r="G2621" s="570">
        <v>746.46</v>
      </c>
      <c r="H2621" s="570">
        <v>597.17999999999995</v>
      </c>
      <c r="I2621" s="570">
        <v>590.47</v>
      </c>
      <c r="J2621" s="570">
        <v>663.37</v>
      </c>
      <c r="K2621" s="570">
        <v>721.23</v>
      </c>
      <c r="L2621" s="570">
        <v>825.81</v>
      </c>
      <c r="M2621" s="570">
        <v>842.32</v>
      </c>
      <c r="N2621" s="570">
        <v>948.77</v>
      </c>
      <c r="O2621" s="570">
        <v>1093.7</v>
      </c>
      <c r="P2621" s="570">
        <v>1263.1300000000001</v>
      </c>
      <c r="Q2621" s="570">
        <v>1304.81</v>
      </c>
      <c r="R2621" s="570">
        <v>1912.93</v>
      </c>
      <c r="S2621" s="570">
        <v>2030.42</v>
      </c>
      <c r="T2621" s="570">
        <v>2197.9299999999998</v>
      </c>
      <c r="U2621" s="570">
        <v>2366.11</v>
      </c>
      <c r="V2621" s="570">
        <v>2481.17</v>
      </c>
      <c r="W2621" s="570">
        <v>2421.75</v>
      </c>
      <c r="X2621" s="570">
        <v>2786.14</v>
      </c>
      <c r="Y2621" s="570">
        <v>3074.65</v>
      </c>
      <c r="Z2621" s="570">
        <v>3246.28</v>
      </c>
      <c r="AA2621" s="570">
        <v>3376.48</v>
      </c>
      <c r="AB2621" s="570">
        <v>3602.71</v>
      </c>
      <c r="AC2621" s="570">
        <v>3863.13</v>
      </c>
      <c r="AD2621" s="570">
        <v>4119.67</v>
      </c>
      <c r="AE2621" s="570">
        <v>4445.5600000000004</v>
      </c>
      <c r="AF2621" s="570">
        <v>4885.67</v>
      </c>
      <c r="AG2621" s="570">
        <v>5161.99</v>
      </c>
      <c r="AH2621" s="569">
        <v>5093.07</v>
      </c>
      <c r="AI2621" s="569">
        <v>5101.05</v>
      </c>
      <c r="AJ2621" s="569">
        <v>5331.01</v>
      </c>
      <c r="AK2621" s="569">
        <v>5591.6</v>
      </c>
      <c r="AL2621" s="569">
        <v>5794.85</v>
      </c>
      <c r="AM2621" s="569">
        <v>5989.21</v>
      </c>
      <c r="AN2621" s="569">
        <v>6289.6</v>
      </c>
      <c r="AO2621" s="569">
        <v>6712.11</v>
      </c>
    </row>
    <row r="2622" spans="1:41" s="173" customFormat="1" hidden="1" outlineLevel="1">
      <c r="A2622" s="578">
        <v>200</v>
      </c>
      <c r="B2622" s="568">
        <v>3665</v>
      </c>
      <c r="C2622" s="375" t="s">
        <v>1384</v>
      </c>
      <c r="D2622" s="226"/>
      <c r="E2622" s="23" t="s">
        <v>871</v>
      </c>
      <c r="F2622" s="570">
        <v>5817.18</v>
      </c>
      <c r="G2622" s="570">
        <v>5673.85</v>
      </c>
      <c r="H2622" s="570">
        <v>5367.74</v>
      </c>
      <c r="I2622" s="570">
        <v>4996.01</v>
      </c>
      <c r="J2622" s="570">
        <v>4824.54</v>
      </c>
      <c r="K2622" s="570">
        <v>4906.88</v>
      </c>
      <c r="L2622" s="570">
        <v>4867.88</v>
      </c>
      <c r="M2622" s="570">
        <v>5226.4799999999996</v>
      </c>
      <c r="N2622" s="570">
        <v>5163.2299999999996</v>
      </c>
      <c r="O2622" s="570">
        <v>5366.77</v>
      </c>
      <c r="P2622" s="570">
        <v>5497.78</v>
      </c>
      <c r="Q2622" s="570">
        <v>5538.98</v>
      </c>
      <c r="R2622" s="570">
        <v>5488.78</v>
      </c>
      <c r="S2622" s="570">
        <v>5439.18</v>
      </c>
      <c r="T2622" s="570">
        <v>5451.57</v>
      </c>
      <c r="U2622" s="570">
        <v>5442.38</v>
      </c>
      <c r="V2622" s="570">
        <v>5654.56</v>
      </c>
      <c r="W2622" s="570">
        <v>5687.27</v>
      </c>
      <c r="X2622" s="570">
        <v>5667.45</v>
      </c>
      <c r="Y2622" s="570">
        <v>5846.57</v>
      </c>
      <c r="Z2622" s="570">
        <v>5964.35</v>
      </c>
      <c r="AA2622" s="570">
        <v>6053.99</v>
      </c>
      <c r="AB2622" s="570">
        <v>6073.91</v>
      </c>
      <c r="AC2622" s="570">
        <v>6097.51</v>
      </c>
      <c r="AD2622" s="570">
        <v>6041.78</v>
      </c>
      <c r="AE2622" s="570">
        <v>6131.09</v>
      </c>
      <c r="AF2622" s="570">
        <v>6353.78</v>
      </c>
      <c r="AG2622" s="570">
        <v>6541.25</v>
      </c>
      <c r="AH2622" s="569">
        <v>6613.03</v>
      </c>
      <c r="AI2622" s="569">
        <v>6742.63</v>
      </c>
      <c r="AJ2622" s="569">
        <v>7124.7</v>
      </c>
      <c r="AK2622" s="569">
        <v>7453.64</v>
      </c>
      <c r="AL2622" s="569">
        <v>7814.51</v>
      </c>
      <c r="AM2622" s="569">
        <v>7890.59</v>
      </c>
      <c r="AN2622" s="569">
        <v>7924.56</v>
      </c>
      <c r="AO2622" s="569">
        <v>7897.1</v>
      </c>
    </row>
    <row r="2623" spans="1:41" s="173" customFormat="1" hidden="1" outlineLevel="1">
      <c r="A2623" s="578">
        <v>210</v>
      </c>
      <c r="B2623" s="568">
        <v>3565</v>
      </c>
      <c r="C2623" s="375" t="s">
        <v>1384</v>
      </c>
      <c r="D2623" s="226"/>
      <c r="E2623" s="23" t="s">
        <v>1361</v>
      </c>
      <c r="F2623" s="570">
        <v>6731.55</v>
      </c>
      <c r="G2623" s="570">
        <v>6435.98</v>
      </c>
      <c r="H2623" s="570">
        <v>5835.14</v>
      </c>
      <c r="I2623" s="570">
        <v>5837.14</v>
      </c>
      <c r="J2623" s="570">
        <v>5856.65</v>
      </c>
      <c r="K2623" s="570">
        <v>6189.21</v>
      </c>
      <c r="L2623" s="570">
        <v>6715.81</v>
      </c>
      <c r="M2623" s="570">
        <v>6762.36</v>
      </c>
      <c r="N2623" s="570">
        <v>6845.74</v>
      </c>
      <c r="O2623" s="570">
        <v>7053.43</v>
      </c>
      <c r="P2623" s="570">
        <v>6889.86</v>
      </c>
      <c r="Q2623" s="570">
        <v>6801.34</v>
      </c>
      <c r="R2623" s="570">
        <v>6419.73</v>
      </c>
      <c r="S2623" s="570">
        <v>6427.27</v>
      </c>
      <c r="T2623" s="570">
        <v>6443.12</v>
      </c>
      <c r="U2623" s="570">
        <v>6460.84</v>
      </c>
      <c r="V2623" s="570">
        <v>6250.88</v>
      </c>
      <c r="W2623" s="570">
        <v>6164.94</v>
      </c>
      <c r="X2623" s="570">
        <v>6608.49</v>
      </c>
      <c r="Y2623" s="570">
        <v>6967.38</v>
      </c>
      <c r="Z2623" s="570">
        <v>7059.8</v>
      </c>
      <c r="AA2623" s="570">
        <v>7242.16</v>
      </c>
      <c r="AB2623" s="570">
        <v>7214.12</v>
      </c>
      <c r="AC2623" s="570">
        <v>7107.33</v>
      </c>
      <c r="AD2623" s="570">
        <v>7015.53</v>
      </c>
      <c r="AE2623" s="570">
        <v>6978.85</v>
      </c>
      <c r="AF2623" s="570">
        <v>7320.53</v>
      </c>
      <c r="AG2623" s="570">
        <v>8218.86</v>
      </c>
      <c r="AH2623" s="569">
        <v>8664.31</v>
      </c>
      <c r="AI2623" s="569">
        <v>9022.23</v>
      </c>
      <c r="AJ2623" s="569">
        <v>8651.8700000000008</v>
      </c>
      <c r="AK2623" s="569">
        <v>9256.69</v>
      </c>
      <c r="AL2623" s="569">
        <v>9816.24</v>
      </c>
      <c r="AM2623" s="569">
        <v>9820.84</v>
      </c>
      <c r="AN2623" s="569">
        <v>9471.51</v>
      </c>
      <c r="AO2623" s="569">
        <v>8954.15</v>
      </c>
    </row>
    <row r="2624" spans="1:41" s="173" customFormat="1" hidden="1" outlineLevel="1">
      <c r="A2624" s="578">
        <v>220</v>
      </c>
      <c r="B2624" s="568">
        <v>29269</v>
      </c>
      <c r="C2624" s="375" t="s">
        <v>1384</v>
      </c>
      <c r="D2624" s="226"/>
      <c r="E2624" s="23" t="s">
        <v>1362</v>
      </c>
      <c r="F2624" s="570">
        <v>797.2</v>
      </c>
      <c r="G2624" s="570">
        <v>824.25</v>
      </c>
      <c r="H2624" s="570">
        <v>780.2</v>
      </c>
      <c r="I2624" s="570">
        <v>753.05</v>
      </c>
      <c r="J2624" s="570">
        <v>790.01</v>
      </c>
      <c r="K2624" s="570">
        <v>875.7</v>
      </c>
      <c r="L2624" s="570">
        <v>892.38</v>
      </c>
      <c r="M2624" s="570">
        <v>830.73</v>
      </c>
      <c r="N2624" s="570">
        <v>895.24</v>
      </c>
      <c r="O2624" s="570">
        <v>862.44</v>
      </c>
      <c r="P2624" s="570">
        <v>786.87</v>
      </c>
      <c r="Q2624" s="570">
        <v>751.45</v>
      </c>
      <c r="R2624" s="570">
        <v>752.98</v>
      </c>
      <c r="S2624" s="570">
        <v>715.51</v>
      </c>
      <c r="T2624" s="570">
        <v>699.16</v>
      </c>
      <c r="U2624" s="570">
        <v>770.23</v>
      </c>
      <c r="V2624" s="570">
        <v>788.58</v>
      </c>
      <c r="W2624" s="570">
        <v>826.45</v>
      </c>
      <c r="X2624" s="570">
        <v>878.51</v>
      </c>
      <c r="Y2624" s="570">
        <v>963.67</v>
      </c>
      <c r="Z2624" s="570">
        <v>1059.4000000000001</v>
      </c>
      <c r="AA2624" s="570">
        <v>1075.93</v>
      </c>
      <c r="AB2624" s="570">
        <v>1072.48</v>
      </c>
      <c r="AC2624" s="570">
        <v>1117.33</v>
      </c>
      <c r="AD2624" s="570">
        <v>1156.5999999999999</v>
      </c>
      <c r="AE2624" s="570">
        <v>1162.03</v>
      </c>
      <c r="AF2624" s="570">
        <v>1208.73</v>
      </c>
      <c r="AG2624" s="570">
        <v>1320.02</v>
      </c>
      <c r="AH2624" s="569">
        <v>1472.63</v>
      </c>
      <c r="AI2624" s="569">
        <v>1395.19</v>
      </c>
      <c r="AJ2624" s="569">
        <v>1347.14</v>
      </c>
      <c r="AK2624" s="569">
        <v>1368.73</v>
      </c>
      <c r="AL2624" s="569">
        <v>1447.07</v>
      </c>
      <c r="AM2624" s="569">
        <v>1549.19</v>
      </c>
      <c r="AN2624" s="569">
        <v>1632.53</v>
      </c>
      <c r="AO2624" s="569">
        <v>1615.38</v>
      </c>
    </row>
    <row r="2625" spans="1:41" s="173" customFormat="1" hidden="1" outlineLevel="1">
      <c r="A2625" s="578">
        <v>223</v>
      </c>
      <c r="B2625" s="568">
        <v>42295</v>
      </c>
      <c r="C2625" s="375" t="s">
        <v>1384</v>
      </c>
      <c r="D2625" s="226"/>
      <c r="E2625" s="23" t="s">
        <v>1210</v>
      </c>
      <c r="F2625" s="570"/>
      <c r="G2625" s="570"/>
      <c r="H2625" s="570"/>
      <c r="I2625" s="570"/>
      <c r="J2625" s="570"/>
      <c r="K2625" s="570"/>
      <c r="L2625" s="570"/>
      <c r="M2625" s="570"/>
      <c r="N2625" s="570"/>
      <c r="O2625" s="570"/>
      <c r="P2625" s="570"/>
      <c r="Q2625" s="570"/>
      <c r="R2625" s="570"/>
      <c r="S2625" s="570"/>
      <c r="T2625" s="570"/>
      <c r="U2625" s="570"/>
      <c r="V2625" s="570"/>
      <c r="W2625" s="570"/>
      <c r="X2625" s="570"/>
      <c r="Y2625" s="570"/>
      <c r="Z2625" s="570"/>
      <c r="AA2625" s="570"/>
      <c r="AB2625" s="570"/>
      <c r="AC2625" s="570"/>
      <c r="AD2625" s="570"/>
      <c r="AE2625" s="570"/>
      <c r="AF2625" s="570">
        <v>1515.28</v>
      </c>
      <c r="AG2625" s="570">
        <v>1522.23</v>
      </c>
      <c r="AH2625" s="569">
        <v>1570.2</v>
      </c>
      <c r="AI2625" s="569">
        <v>1677.91</v>
      </c>
      <c r="AJ2625" s="569">
        <v>1637.51</v>
      </c>
      <c r="AK2625" s="569">
        <v>1680.23</v>
      </c>
      <c r="AL2625" s="569">
        <v>1782.72</v>
      </c>
      <c r="AM2625" s="569">
        <v>1798.68</v>
      </c>
      <c r="AN2625" s="569">
        <v>1684.09</v>
      </c>
      <c r="AO2625" s="569">
        <v>1663.82</v>
      </c>
    </row>
    <row r="2626" spans="1:41" s="173" customFormat="1" hidden="1" outlineLevel="1">
      <c r="A2626" s="578">
        <v>226</v>
      </c>
      <c r="B2626" s="568">
        <v>42485</v>
      </c>
      <c r="C2626" s="375" t="s">
        <v>1384</v>
      </c>
      <c r="D2626" s="226"/>
      <c r="E2626" s="23" t="s">
        <v>1213</v>
      </c>
      <c r="F2626" s="570"/>
      <c r="G2626" s="570"/>
      <c r="H2626" s="570"/>
      <c r="I2626" s="570"/>
      <c r="J2626" s="570"/>
      <c r="K2626" s="570"/>
      <c r="L2626" s="570"/>
      <c r="M2626" s="570"/>
      <c r="N2626" s="570"/>
      <c r="O2626" s="570"/>
      <c r="P2626" s="570"/>
      <c r="Q2626" s="570"/>
      <c r="R2626" s="570"/>
      <c r="S2626" s="570"/>
      <c r="T2626" s="570"/>
      <c r="U2626" s="570"/>
      <c r="V2626" s="570"/>
      <c r="W2626" s="570"/>
      <c r="X2626" s="570"/>
      <c r="Y2626" s="570"/>
      <c r="Z2626" s="570"/>
      <c r="AA2626" s="570"/>
      <c r="AB2626" s="570"/>
      <c r="AC2626" s="570"/>
      <c r="AD2626" s="570"/>
      <c r="AE2626" s="570"/>
      <c r="AF2626" s="570">
        <v>1823.13</v>
      </c>
      <c r="AG2626" s="570">
        <v>2294.39</v>
      </c>
      <c r="AH2626" s="569">
        <v>2569.7800000000002</v>
      </c>
      <c r="AI2626" s="569">
        <v>2890.58</v>
      </c>
      <c r="AJ2626" s="569">
        <v>3087.91</v>
      </c>
      <c r="AK2626" s="569">
        <v>3007.94</v>
      </c>
      <c r="AL2626" s="569">
        <v>3098.08</v>
      </c>
      <c r="AM2626" s="569">
        <v>4101.7299999999996</v>
      </c>
      <c r="AN2626" s="569">
        <v>4829.76</v>
      </c>
      <c r="AO2626" s="569">
        <v>4836.09</v>
      </c>
    </row>
    <row r="2627" spans="1:41" s="173" customFormat="1" hidden="1" outlineLevel="1">
      <c r="A2627" s="578">
        <v>230</v>
      </c>
      <c r="B2627" s="568">
        <v>3652</v>
      </c>
      <c r="C2627" s="375" t="s">
        <v>1384</v>
      </c>
      <c r="D2627" s="226"/>
      <c r="E2627" s="23" t="s">
        <v>726</v>
      </c>
      <c r="F2627" s="570">
        <v>25958.69</v>
      </c>
      <c r="G2627" s="570">
        <v>26378.63</v>
      </c>
      <c r="H2627" s="570">
        <v>25480.29</v>
      </c>
      <c r="I2627" s="570">
        <v>24543.57</v>
      </c>
      <c r="J2627" s="570">
        <v>24662.65</v>
      </c>
      <c r="K2627" s="570">
        <v>26423.64</v>
      </c>
      <c r="L2627" s="570">
        <v>27939.16</v>
      </c>
      <c r="M2627" s="570">
        <v>28545.89</v>
      </c>
      <c r="N2627" s="570">
        <v>28670.62</v>
      </c>
      <c r="O2627" s="570">
        <v>27837.38</v>
      </c>
      <c r="P2627" s="570">
        <v>26909.360000000001</v>
      </c>
      <c r="Q2627" s="570">
        <v>26404.35</v>
      </c>
      <c r="R2627" s="570">
        <v>25793.42</v>
      </c>
      <c r="S2627" s="570">
        <v>25538.7</v>
      </c>
      <c r="T2627" s="570">
        <v>26311.79</v>
      </c>
      <c r="U2627" s="570">
        <v>26709.54</v>
      </c>
      <c r="V2627" s="570">
        <v>27132.76</v>
      </c>
      <c r="W2627" s="570">
        <v>27087.21</v>
      </c>
      <c r="X2627" s="570">
        <v>28245.95</v>
      </c>
      <c r="Y2627" s="570">
        <v>29426.31</v>
      </c>
      <c r="Z2627" s="570">
        <v>29546.2</v>
      </c>
      <c r="AA2627" s="570">
        <v>29051.65</v>
      </c>
      <c r="AB2627" s="570">
        <v>29012.53</v>
      </c>
      <c r="AC2627" s="570">
        <v>28713.88</v>
      </c>
      <c r="AD2627" s="570">
        <v>29207.78</v>
      </c>
      <c r="AE2627" s="570">
        <v>30250.31</v>
      </c>
      <c r="AF2627" s="570">
        <v>31630.98</v>
      </c>
      <c r="AG2627" s="570">
        <v>32993.919999999998</v>
      </c>
      <c r="AH2627" s="569">
        <v>33679.06</v>
      </c>
      <c r="AI2627" s="569">
        <v>33842.6</v>
      </c>
      <c r="AJ2627" s="569">
        <v>33384.660000000003</v>
      </c>
      <c r="AK2627" s="569">
        <v>34696.559999999998</v>
      </c>
      <c r="AL2627" s="569">
        <v>36523.24</v>
      </c>
      <c r="AM2627" s="569">
        <v>37464.07</v>
      </c>
      <c r="AN2627" s="569">
        <v>38787.96</v>
      </c>
      <c r="AO2627" s="569">
        <v>39553.879999999997</v>
      </c>
    </row>
    <row r="2628" spans="1:41" s="173" customFormat="1" hidden="1" outlineLevel="1">
      <c r="A2628" s="578">
        <v>240</v>
      </c>
      <c r="B2628" s="568">
        <v>11711</v>
      </c>
      <c r="C2628" s="375" t="s">
        <v>1384</v>
      </c>
      <c r="D2628" s="226"/>
      <c r="E2628" s="23" t="s">
        <v>1363</v>
      </c>
      <c r="F2628" s="570">
        <v>3842.42</v>
      </c>
      <c r="G2628" s="570">
        <v>3881.63</v>
      </c>
      <c r="H2628" s="570">
        <v>3903.94</v>
      </c>
      <c r="I2628" s="570">
        <v>4207.4399999999996</v>
      </c>
      <c r="J2628" s="570">
        <v>4375.43</v>
      </c>
      <c r="K2628" s="570">
        <v>4621.79</v>
      </c>
      <c r="L2628" s="570">
        <v>4687.63</v>
      </c>
      <c r="M2628" s="570">
        <v>4718.76</v>
      </c>
      <c r="N2628" s="570">
        <v>4614.29</v>
      </c>
      <c r="O2628" s="570">
        <v>4659.05</v>
      </c>
      <c r="P2628" s="570">
        <v>4704.8900000000003</v>
      </c>
      <c r="Q2628" s="570">
        <v>4752.96</v>
      </c>
      <c r="R2628" s="570">
        <v>4711.38</v>
      </c>
      <c r="S2628" s="570">
        <v>4695.0200000000004</v>
      </c>
      <c r="T2628" s="570">
        <v>4686.88</v>
      </c>
      <c r="U2628" s="570">
        <v>4707.7700000000004</v>
      </c>
      <c r="V2628" s="570">
        <v>5082.2700000000004</v>
      </c>
      <c r="W2628" s="570">
        <v>5401.18</v>
      </c>
      <c r="X2628" s="570">
        <v>5438.85</v>
      </c>
      <c r="Y2628" s="570">
        <v>5316.14</v>
      </c>
      <c r="Z2628" s="570">
        <v>5472.15</v>
      </c>
      <c r="AA2628" s="570">
        <v>5424.08</v>
      </c>
      <c r="AB2628" s="570">
        <v>5486.08</v>
      </c>
      <c r="AC2628" s="570">
        <v>5441.65</v>
      </c>
      <c r="AD2628" s="570">
        <v>5313.56</v>
      </c>
      <c r="AE2628" s="570">
        <v>5275.97</v>
      </c>
      <c r="AF2628" s="570">
        <v>5564.91</v>
      </c>
      <c r="AG2628" s="570">
        <v>5772.6</v>
      </c>
      <c r="AH2628" s="569">
        <v>5779.84</v>
      </c>
      <c r="AI2628" s="569">
        <v>5661.7</v>
      </c>
      <c r="AJ2628" s="569">
        <v>5775.88</v>
      </c>
      <c r="AK2628" s="569">
        <v>6180.69</v>
      </c>
      <c r="AL2628" s="569">
        <v>6391.88</v>
      </c>
      <c r="AM2628" s="569">
        <v>6166.42</v>
      </c>
      <c r="AN2628" s="569">
        <v>6140.96</v>
      </c>
      <c r="AO2628" s="569">
        <v>6523.88</v>
      </c>
    </row>
    <row r="2629" spans="1:41" s="173" customFormat="1" hidden="1" outlineLevel="1">
      <c r="A2629" s="578">
        <v>250</v>
      </c>
      <c r="B2629" s="568">
        <v>12826</v>
      </c>
      <c r="C2629" s="375" t="s">
        <v>1384</v>
      </c>
      <c r="D2629" s="226"/>
      <c r="E2629" s="23" t="s">
        <v>1364</v>
      </c>
      <c r="F2629" s="570">
        <v>4818.3</v>
      </c>
      <c r="G2629" s="570">
        <v>4986.2700000000004</v>
      </c>
      <c r="H2629" s="570">
        <v>4687.7</v>
      </c>
      <c r="I2629" s="570">
        <v>4742.7</v>
      </c>
      <c r="J2629" s="570">
        <v>4754.97</v>
      </c>
      <c r="K2629" s="570">
        <v>4906.2700000000004</v>
      </c>
      <c r="L2629" s="570">
        <v>5283.23</v>
      </c>
      <c r="M2629" s="570">
        <v>5575.5</v>
      </c>
      <c r="N2629" s="570">
        <v>5322.47</v>
      </c>
      <c r="O2629" s="570">
        <v>5360.3</v>
      </c>
      <c r="P2629" s="570">
        <v>5349.27</v>
      </c>
      <c r="Q2629" s="570">
        <v>5525.3</v>
      </c>
      <c r="R2629" s="570">
        <v>5552.43</v>
      </c>
      <c r="S2629" s="570">
        <v>5616.5</v>
      </c>
      <c r="T2629" s="570">
        <v>5912.73</v>
      </c>
      <c r="U2629" s="570">
        <v>6250.7</v>
      </c>
      <c r="V2629" s="570">
        <v>6432.93</v>
      </c>
      <c r="W2629" s="570">
        <v>6726.74</v>
      </c>
      <c r="X2629" s="570">
        <v>7259.81</v>
      </c>
      <c r="Y2629" s="570">
        <v>7659.74</v>
      </c>
      <c r="Z2629" s="570">
        <v>8090.61</v>
      </c>
      <c r="AA2629" s="570">
        <v>8269.9599999999991</v>
      </c>
      <c r="AB2629" s="570">
        <v>8314.0300000000007</v>
      </c>
      <c r="AC2629" s="570">
        <v>8216.9500000000007</v>
      </c>
      <c r="AD2629" s="570">
        <v>8539.7999999999993</v>
      </c>
      <c r="AE2629" s="570">
        <v>8622.86</v>
      </c>
      <c r="AF2629" s="570">
        <v>8901.2099999999991</v>
      </c>
      <c r="AG2629" s="570">
        <v>8969.5499999999993</v>
      </c>
      <c r="AH2629" s="569">
        <v>9058.8799999999992</v>
      </c>
      <c r="AI2629" s="569">
        <v>9318.98</v>
      </c>
      <c r="AJ2629" s="569">
        <v>9440.06</v>
      </c>
      <c r="AK2629" s="569">
        <v>9792.35</v>
      </c>
      <c r="AL2629" s="569">
        <v>9641.2800000000007</v>
      </c>
      <c r="AM2629" s="569">
        <v>9644.1200000000008</v>
      </c>
      <c r="AN2629" s="569">
        <v>9693.66</v>
      </c>
      <c r="AO2629" s="569">
        <v>9617.91</v>
      </c>
    </row>
    <row r="2630" spans="1:41" s="173" customFormat="1" hidden="1" outlineLevel="1">
      <c r="A2630" s="578">
        <v>260</v>
      </c>
      <c r="B2630" s="568">
        <v>13231</v>
      </c>
      <c r="C2630" s="375" t="s">
        <v>1384</v>
      </c>
      <c r="D2630" s="226"/>
      <c r="E2630" s="23" t="s">
        <v>1365</v>
      </c>
      <c r="F2630" s="570">
        <v>579.83000000000004</v>
      </c>
      <c r="G2630" s="570">
        <v>576.44000000000005</v>
      </c>
      <c r="H2630" s="570">
        <v>554.96</v>
      </c>
      <c r="I2630" s="570">
        <v>596.15</v>
      </c>
      <c r="J2630" s="570">
        <v>696.03</v>
      </c>
      <c r="K2630" s="570">
        <v>742.71</v>
      </c>
      <c r="L2630" s="570">
        <v>814.66</v>
      </c>
      <c r="M2630" s="570">
        <v>709.85</v>
      </c>
      <c r="N2630" s="570">
        <v>749.36</v>
      </c>
      <c r="O2630" s="570">
        <v>727.53</v>
      </c>
      <c r="P2630" s="570">
        <v>768.84</v>
      </c>
      <c r="Q2630" s="570">
        <v>1001.22</v>
      </c>
      <c r="R2630" s="570">
        <v>998.6</v>
      </c>
      <c r="S2630" s="570">
        <v>998.43</v>
      </c>
      <c r="T2630" s="570">
        <v>944.75</v>
      </c>
      <c r="U2630" s="570">
        <v>993.38</v>
      </c>
      <c r="V2630" s="570">
        <v>1030.45</v>
      </c>
      <c r="W2630" s="570">
        <v>1183.83</v>
      </c>
      <c r="X2630" s="570">
        <v>1383.79</v>
      </c>
      <c r="Y2630" s="570">
        <v>1576.74</v>
      </c>
      <c r="Z2630" s="570">
        <v>1655.58</v>
      </c>
      <c r="AA2630" s="570">
        <v>1680.92</v>
      </c>
      <c r="AB2630" s="570">
        <v>1710.42</v>
      </c>
      <c r="AC2630" s="570">
        <v>1835.38</v>
      </c>
      <c r="AD2630" s="570">
        <v>1987.63</v>
      </c>
      <c r="AE2630" s="570">
        <v>2255.1799999999998</v>
      </c>
      <c r="AF2630" s="570">
        <v>2602.5300000000002</v>
      </c>
      <c r="AG2630" s="570">
        <v>2985.83</v>
      </c>
      <c r="AH2630" s="569">
        <v>3053.08</v>
      </c>
      <c r="AI2630" s="569">
        <v>3014.32</v>
      </c>
      <c r="AJ2630" s="569">
        <v>3118.47</v>
      </c>
      <c r="AK2630" s="569">
        <v>3129.65</v>
      </c>
      <c r="AL2630" s="569">
        <v>2924.42</v>
      </c>
      <c r="AM2630" s="569">
        <v>2962.54</v>
      </c>
      <c r="AN2630" s="569">
        <v>3076.52</v>
      </c>
      <c r="AO2630" s="569">
        <v>3135.97</v>
      </c>
    </row>
    <row r="2631" spans="1:41" s="173" customFormat="1" hidden="1" outlineLevel="1">
      <c r="A2631" s="578">
        <v>270</v>
      </c>
      <c r="B2631" s="568">
        <v>3581</v>
      </c>
      <c r="C2631" s="375" t="s">
        <v>1384</v>
      </c>
      <c r="D2631" s="226"/>
      <c r="E2631" s="23" t="s">
        <v>1366</v>
      </c>
      <c r="F2631" s="570">
        <v>11364.23</v>
      </c>
      <c r="G2631" s="570">
        <v>11258.73</v>
      </c>
      <c r="H2631" s="570">
        <v>9823.77</v>
      </c>
      <c r="I2631" s="570">
        <v>9872.74</v>
      </c>
      <c r="J2631" s="570">
        <v>9564.75</v>
      </c>
      <c r="K2631" s="570">
        <v>10120.870000000001</v>
      </c>
      <c r="L2631" s="570">
        <v>9771.77</v>
      </c>
      <c r="M2631" s="570">
        <v>8084.86</v>
      </c>
      <c r="N2631" s="570">
        <v>7822.3</v>
      </c>
      <c r="O2631" s="570">
        <v>7514.42</v>
      </c>
      <c r="P2631" s="570">
        <v>7211.77</v>
      </c>
      <c r="Q2631" s="570">
        <v>6865.86</v>
      </c>
      <c r="R2631" s="570">
        <v>6787.85</v>
      </c>
      <c r="S2631" s="570">
        <v>6826.76</v>
      </c>
      <c r="T2631" s="570">
        <v>6891.9</v>
      </c>
      <c r="U2631" s="570">
        <v>6977.44</v>
      </c>
      <c r="V2631" s="570">
        <v>6957.94</v>
      </c>
      <c r="W2631" s="570">
        <v>7242.21</v>
      </c>
      <c r="X2631" s="570">
        <v>7648.51</v>
      </c>
      <c r="Y2631" s="570">
        <v>8322.17</v>
      </c>
      <c r="Z2631" s="570">
        <v>8663.35</v>
      </c>
      <c r="AA2631" s="570">
        <v>8964.4</v>
      </c>
      <c r="AB2631" s="570">
        <v>8675.7199999999993</v>
      </c>
      <c r="AC2631" s="570">
        <v>8311.08</v>
      </c>
      <c r="AD2631" s="570">
        <v>9784.39</v>
      </c>
      <c r="AE2631" s="570">
        <v>11955.48</v>
      </c>
      <c r="AF2631" s="570">
        <v>11523.28</v>
      </c>
      <c r="AG2631" s="570">
        <v>11671.74</v>
      </c>
      <c r="AH2631" s="569">
        <v>11396.4</v>
      </c>
      <c r="AI2631" s="569">
        <v>12061.71</v>
      </c>
      <c r="AJ2631" s="569">
        <v>12082.39</v>
      </c>
      <c r="AK2631" s="569">
        <v>12806.15</v>
      </c>
      <c r="AL2631" s="569">
        <v>12458.52</v>
      </c>
      <c r="AM2631" s="569">
        <v>11924.27</v>
      </c>
      <c r="AN2631" s="569">
        <v>11839.2</v>
      </c>
      <c r="AO2631" s="569">
        <v>12498.99</v>
      </c>
    </row>
    <row r="2632" spans="1:41" s="173" customFormat="1" hidden="1" outlineLevel="1">
      <c r="A2632" s="578">
        <v>280</v>
      </c>
      <c r="B2632" s="568">
        <v>3606</v>
      </c>
      <c r="C2632" s="375" t="s">
        <v>1384</v>
      </c>
      <c r="D2632" s="226"/>
      <c r="E2632" s="23" t="s">
        <v>1367</v>
      </c>
      <c r="F2632" s="570">
        <v>10261.99</v>
      </c>
      <c r="G2632" s="570">
        <v>10101.43</v>
      </c>
      <c r="H2632" s="570">
        <v>9766.02</v>
      </c>
      <c r="I2632" s="570">
        <v>9775.92</v>
      </c>
      <c r="J2632" s="570">
        <v>9984.73</v>
      </c>
      <c r="K2632" s="570">
        <v>10906.63</v>
      </c>
      <c r="L2632" s="570">
        <v>11416.56</v>
      </c>
      <c r="M2632" s="570">
        <v>11814.41</v>
      </c>
      <c r="N2632" s="570">
        <v>11664.54</v>
      </c>
      <c r="O2632" s="570">
        <v>11282.08</v>
      </c>
      <c r="P2632" s="570">
        <v>11524.81</v>
      </c>
      <c r="Q2632" s="570">
        <v>11447.36</v>
      </c>
      <c r="R2632" s="570">
        <v>11160.74</v>
      </c>
      <c r="S2632" s="570">
        <v>11217.12</v>
      </c>
      <c r="T2632" s="570">
        <v>11146.96</v>
      </c>
      <c r="U2632" s="570">
        <v>10831.29</v>
      </c>
      <c r="V2632" s="570">
        <v>10854.39</v>
      </c>
      <c r="W2632" s="570">
        <v>11222.48</v>
      </c>
      <c r="X2632" s="570">
        <v>11677.61</v>
      </c>
      <c r="Y2632" s="570">
        <v>11896.05</v>
      </c>
      <c r="Z2632" s="570">
        <v>12242.33</v>
      </c>
      <c r="AA2632" s="570">
        <v>13038.76</v>
      </c>
      <c r="AB2632" s="570">
        <v>14034.84</v>
      </c>
      <c r="AC2632" s="570">
        <v>14563.43</v>
      </c>
      <c r="AD2632" s="570">
        <v>14827.91</v>
      </c>
      <c r="AE2632" s="570">
        <v>14812.76</v>
      </c>
      <c r="AF2632" s="570">
        <v>14997.05</v>
      </c>
      <c r="AG2632" s="570">
        <v>15380.54</v>
      </c>
      <c r="AH2632" s="569">
        <v>15206.13</v>
      </c>
      <c r="AI2632" s="569">
        <v>15819.1</v>
      </c>
      <c r="AJ2632" s="569">
        <v>16273.03</v>
      </c>
      <c r="AK2632" s="569">
        <v>16672.060000000001</v>
      </c>
      <c r="AL2632" s="569">
        <v>17164.22</v>
      </c>
      <c r="AM2632" s="569">
        <v>17573.71</v>
      </c>
      <c r="AN2632" s="569">
        <v>18144.580000000002</v>
      </c>
      <c r="AO2632" s="569">
        <v>18153.95</v>
      </c>
    </row>
    <row r="2633" spans="1:41" s="173" customFormat="1" hidden="1" outlineLevel="1">
      <c r="A2633" s="578">
        <v>290</v>
      </c>
      <c r="B2633" s="568">
        <v>3615</v>
      </c>
      <c r="C2633" s="375" t="s">
        <v>1384</v>
      </c>
      <c r="D2633" s="226"/>
      <c r="E2633" s="375" t="s">
        <v>1094</v>
      </c>
      <c r="F2633" s="570">
        <v>17490.14</v>
      </c>
      <c r="G2633" s="570">
        <v>17075.509999999998</v>
      </c>
      <c r="H2633" s="570">
        <v>17986.53</v>
      </c>
      <c r="I2633" s="570">
        <v>18299.71</v>
      </c>
      <c r="J2633" s="570">
        <v>18431.11</v>
      </c>
      <c r="K2633" s="570">
        <v>18481.669999999998</v>
      </c>
      <c r="L2633" s="570">
        <v>18691.66</v>
      </c>
      <c r="M2633" s="570">
        <v>18557.939999999999</v>
      </c>
      <c r="N2633" s="570">
        <v>19289.939999999999</v>
      </c>
      <c r="O2633" s="570">
        <v>18475.59</v>
      </c>
      <c r="P2633" s="570">
        <v>17957.189999999999</v>
      </c>
      <c r="Q2633" s="570">
        <v>18022.18</v>
      </c>
      <c r="R2633" s="570">
        <v>18013.75</v>
      </c>
      <c r="S2633" s="570">
        <v>17947.509999999998</v>
      </c>
      <c r="T2633" s="570">
        <v>18139.21</v>
      </c>
      <c r="U2633" s="570">
        <v>18892.28</v>
      </c>
      <c r="V2633" s="570">
        <v>19167.03</v>
      </c>
      <c r="W2633" s="570">
        <v>19857.919999999998</v>
      </c>
      <c r="X2633" s="570">
        <v>20998.51</v>
      </c>
      <c r="Y2633" s="570">
        <v>22270.94</v>
      </c>
      <c r="Z2633" s="570">
        <v>23057.9</v>
      </c>
      <c r="AA2633" s="570">
        <v>23196.39</v>
      </c>
      <c r="AB2633" s="570">
        <v>23488.49</v>
      </c>
      <c r="AC2633" s="570">
        <v>23992.29</v>
      </c>
      <c r="AD2633" s="570">
        <v>24522.61</v>
      </c>
      <c r="AE2633" s="570">
        <v>25059.53</v>
      </c>
      <c r="AF2633" s="570">
        <v>26399.16</v>
      </c>
      <c r="AG2633" s="570">
        <v>27713.96</v>
      </c>
      <c r="AH2633" s="569">
        <v>28695.66</v>
      </c>
      <c r="AI2633" s="569">
        <v>28965.71</v>
      </c>
      <c r="AJ2633" s="569">
        <v>30000.37</v>
      </c>
      <c r="AK2633" s="569">
        <v>30667.279999999999</v>
      </c>
      <c r="AL2633" s="569">
        <v>31753.58</v>
      </c>
      <c r="AM2633" s="569">
        <v>32324.87</v>
      </c>
      <c r="AN2633" s="569">
        <v>32323.56</v>
      </c>
      <c r="AO2633" s="569">
        <v>32202.799999999999</v>
      </c>
    </row>
    <row r="2634" spans="1:41" s="173" customFormat="1" hidden="1" outlineLevel="1">
      <c r="A2634" s="578">
        <v>300</v>
      </c>
      <c r="B2634" s="568">
        <v>20</v>
      </c>
      <c r="C2634" s="375" t="s">
        <v>1384</v>
      </c>
      <c r="D2634" s="226"/>
      <c r="E2634" s="375" t="s">
        <v>1690</v>
      </c>
      <c r="F2634" s="570">
        <v>331.98</v>
      </c>
      <c r="G2634" s="570">
        <v>283.14999999999998</v>
      </c>
      <c r="H2634" s="570">
        <v>244.05</v>
      </c>
      <c r="I2634" s="570">
        <v>228.18</v>
      </c>
      <c r="J2634" s="570">
        <v>236.3</v>
      </c>
      <c r="K2634" s="570">
        <v>235.2</v>
      </c>
      <c r="L2634" s="570">
        <v>283.68</v>
      </c>
      <c r="M2634" s="570">
        <v>320.39999999999998</v>
      </c>
      <c r="N2634" s="570">
        <v>361.25</v>
      </c>
      <c r="O2634" s="570">
        <v>410.75</v>
      </c>
      <c r="P2634" s="570">
        <v>453.13</v>
      </c>
      <c r="Q2634" s="570">
        <v>481.53</v>
      </c>
      <c r="R2634" s="570">
        <v>519.67999999999995</v>
      </c>
      <c r="S2634" s="570">
        <v>582.33000000000004</v>
      </c>
      <c r="T2634" s="570">
        <v>589.73</v>
      </c>
      <c r="U2634" s="570">
        <v>611.45000000000005</v>
      </c>
      <c r="V2634" s="570">
        <v>600.17999999999995</v>
      </c>
      <c r="W2634" s="570">
        <v>631.73</v>
      </c>
      <c r="X2634" s="570">
        <v>614.73</v>
      </c>
      <c r="Y2634" s="570">
        <v>678.05</v>
      </c>
      <c r="Z2634" s="570">
        <v>630.08000000000004</v>
      </c>
      <c r="AA2634" s="570">
        <v>684.47</v>
      </c>
      <c r="AB2634" s="570">
        <v>703.8</v>
      </c>
      <c r="AC2634" s="570">
        <v>682.71</v>
      </c>
      <c r="AD2634" s="570">
        <v>642.9</v>
      </c>
      <c r="AE2634" s="570">
        <v>653.19000000000005</v>
      </c>
      <c r="AF2634" s="570">
        <v>711.73</v>
      </c>
      <c r="AG2634" s="570">
        <v>723.88</v>
      </c>
      <c r="AH2634" s="569">
        <v>642.78</v>
      </c>
      <c r="AI2634" s="569">
        <v>590.69000000000005</v>
      </c>
      <c r="AJ2634" s="569">
        <v>500.87</v>
      </c>
      <c r="AK2634" s="569">
        <v>597.98</v>
      </c>
      <c r="AL2634" s="569">
        <v>612.98</v>
      </c>
      <c r="AM2634" s="569">
        <v>623.69000000000005</v>
      </c>
      <c r="AN2634" s="569">
        <v>560.15</v>
      </c>
      <c r="AO2634" s="569">
        <v>539.14</v>
      </c>
    </row>
    <row r="2635" spans="1:41" s="173" customFormat="1" hidden="1" outlineLevel="1">
      <c r="A2635" s="578">
        <v>301</v>
      </c>
      <c r="B2635" s="568">
        <v>3625</v>
      </c>
      <c r="C2635" s="375" t="s">
        <v>1384</v>
      </c>
      <c r="D2635" s="226"/>
      <c r="E2635" s="23" t="s">
        <v>1369</v>
      </c>
      <c r="F2635" s="570">
        <v>2080.1999999999998</v>
      </c>
      <c r="G2635" s="570">
        <v>1901.72</v>
      </c>
      <c r="H2635" s="570">
        <v>1760.41</v>
      </c>
      <c r="I2635" s="570">
        <v>1732.98</v>
      </c>
      <c r="J2635" s="570">
        <v>1750.82</v>
      </c>
      <c r="K2635" s="570">
        <v>1857.04</v>
      </c>
      <c r="L2635" s="570">
        <v>1886.68</v>
      </c>
      <c r="M2635" s="570">
        <v>1870.85</v>
      </c>
      <c r="N2635" s="570">
        <v>2026.04</v>
      </c>
      <c r="O2635" s="570">
        <v>2054.83</v>
      </c>
      <c r="P2635" s="570">
        <v>2168.81</v>
      </c>
      <c r="Q2635" s="570">
        <v>2259.58</v>
      </c>
      <c r="R2635" s="570">
        <v>2280.75</v>
      </c>
      <c r="S2635" s="570">
        <v>2262.9899999999998</v>
      </c>
      <c r="T2635" s="570">
        <v>2157.62</v>
      </c>
      <c r="U2635" s="570">
        <v>1996.9</v>
      </c>
      <c r="V2635" s="570">
        <v>1834.8</v>
      </c>
      <c r="W2635" s="570">
        <v>1913.23</v>
      </c>
      <c r="X2635" s="570">
        <v>1768.22</v>
      </c>
      <c r="Y2635" s="570">
        <v>1794.35</v>
      </c>
      <c r="Z2635" s="570">
        <v>1856.01</v>
      </c>
      <c r="AA2635" s="570">
        <v>1744.17</v>
      </c>
      <c r="AB2635" s="570">
        <v>1660.43</v>
      </c>
      <c r="AC2635" s="570">
        <v>1576.56</v>
      </c>
      <c r="AD2635" s="570">
        <v>1454.25</v>
      </c>
      <c r="AE2635" s="570">
        <v>1513.94</v>
      </c>
      <c r="AF2635" s="570">
        <v>1622.85</v>
      </c>
      <c r="AG2635" s="570">
        <v>1623.3</v>
      </c>
      <c r="AH2635" s="569">
        <v>1607.3</v>
      </c>
      <c r="AI2635" s="569">
        <v>1457.34</v>
      </c>
      <c r="AJ2635" s="569">
        <v>1448.84</v>
      </c>
      <c r="AK2635" s="569">
        <v>1526.9</v>
      </c>
      <c r="AL2635" s="569">
        <v>1556.43</v>
      </c>
      <c r="AM2635" s="569">
        <v>1604.73</v>
      </c>
      <c r="AN2635" s="569">
        <v>1552.73</v>
      </c>
      <c r="AO2635" s="569">
        <v>1446.27</v>
      </c>
    </row>
    <row r="2636" spans="1:41" s="173" customFormat="1" hidden="1" outlineLevel="1">
      <c r="A2636" s="578">
        <v>310</v>
      </c>
      <c r="B2636" s="568">
        <v>3644</v>
      </c>
      <c r="C2636" s="375" t="s">
        <v>1384</v>
      </c>
      <c r="D2636" s="226"/>
      <c r="E2636" s="23" t="s">
        <v>735</v>
      </c>
      <c r="F2636" s="570">
        <v>23329.279999999999</v>
      </c>
      <c r="G2636" s="570">
        <v>23003.49</v>
      </c>
      <c r="H2636" s="570">
        <v>22329.08</v>
      </c>
      <c r="I2636" s="570">
        <v>22174.94</v>
      </c>
      <c r="J2636" s="570">
        <v>22158.69</v>
      </c>
      <c r="K2636" s="570">
        <v>22978.240000000002</v>
      </c>
      <c r="L2636" s="570">
        <v>23203.06</v>
      </c>
      <c r="M2636" s="570">
        <v>23507.33</v>
      </c>
      <c r="N2636" s="570">
        <v>23295.88</v>
      </c>
      <c r="O2636" s="570">
        <v>22651.4</v>
      </c>
      <c r="P2636" s="570">
        <v>22549.200000000001</v>
      </c>
      <c r="Q2636" s="570">
        <v>22428.38</v>
      </c>
      <c r="R2636" s="570">
        <v>22913.360000000001</v>
      </c>
      <c r="S2636" s="570">
        <v>23282.75</v>
      </c>
      <c r="T2636" s="570">
        <v>23523.279999999999</v>
      </c>
      <c r="U2636" s="570">
        <v>22836.41</v>
      </c>
      <c r="V2636" s="570">
        <v>22587.91</v>
      </c>
      <c r="W2636" s="570">
        <v>22904.06</v>
      </c>
      <c r="X2636" s="570">
        <v>24275.73</v>
      </c>
      <c r="Y2636" s="570">
        <v>25903.85</v>
      </c>
      <c r="Z2636" s="570">
        <v>26871.35</v>
      </c>
      <c r="AA2636" s="570">
        <v>26629.3</v>
      </c>
      <c r="AB2636" s="570">
        <v>26476.65</v>
      </c>
      <c r="AC2636" s="570">
        <v>26320.2</v>
      </c>
      <c r="AD2636" s="570">
        <v>26399.61</v>
      </c>
      <c r="AE2636" s="570">
        <v>26200.46</v>
      </c>
      <c r="AF2636" s="570">
        <v>27761.79</v>
      </c>
      <c r="AG2636" s="570">
        <v>28796.13</v>
      </c>
      <c r="AH2636" s="569">
        <v>29299.599999999999</v>
      </c>
      <c r="AI2636" s="569">
        <v>29248.75</v>
      </c>
      <c r="AJ2636" s="569">
        <v>29700.959999999999</v>
      </c>
      <c r="AK2636" s="569">
        <v>31111.91</v>
      </c>
      <c r="AL2636" s="569">
        <v>32009.93</v>
      </c>
      <c r="AM2636" s="569">
        <v>32254.44</v>
      </c>
      <c r="AN2636" s="569">
        <v>32737.5</v>
      </c>
      <c r="AO2636" s="569">
        <v>33815.21</v>
      </c>
    </row>
    <row r="2637" spans="1:41" s="173" customFormat="1" hidden="1" outlineLevel="1">
      <c r="A2637" s="578">
        <v>320</v>
      </c>
      <c r="B2637" s="568">
        <v>3541</v>
      </c>
      <c r="C2637" s="375" t="s">
        <v>1384</v>
      </c>
      <c r="D2637" s="226"/>
      <c r="E2637" s="23" t="s">
        <v>855</v>
      </c>
      <c r="F2637" s="570">
        <v>5709.59</v>
      </c>
      <c r="G2637" s="570">
        <v>5540.89</v>
      </c>
      <c r="H2637" s="570">
        <v>5248.93</v>
      </c>
      <c r="I2637" s="570">
        <v>5151.42</v>
      </c>
      <c r="J2637" s="570">
        <v>5157.88</v>
      </c>
      <c r="K2637" s="570">
        <v>5720.24</v>
      </c>
      <c r="L2637" s="570">
        <v>5763.13</v>
      </c>
      <c r="M2637" s="570">
        <v>5656.53</v>
      </c>
      <c r="N2637" s="570">
        <v>5464.09</v>
      </c>
      <c r="O2637" s="570">
        <v>5404.94</v>
      </c>
      <c r="P2637" s="570">
        <v>5390.91</v>
      </c>
      <c r="Q2637" s="570">
        <v>5522.65</v>
      </c>
      <c r="R2637" s="570">
        <v>5382.2</v>
      </c>
      <c r="S2637" s="570">
        <v>5554.69</v>
      </c>
      <c r="T2637" s="570">
        <v>5580.91</v>
      </c>
      <c r="U2637" s="570">
        <v>5599.87</v>
      </c>
      <c r="V2637" s="570">
        <v>5615.93</v>
      </c>
      <c r="W2637" s="570">
        <v>5677.48</v>
      </c>
      <c r="X2637" s="570">
        <v>5678.54</v>
      </c>
      <c r="Y2637" s="570">
        <v>5599.78</v>
      </c>
      <c r="Z2637" s="570">
        <v>5372.5</v>
      </c>
      <c r="AA2637" s="570">
        <v>5446.57</v>
      </c>
      <c r="AB2637" s="570">
        <v>5476.13</v>
      </c>
      <c r="AC2637" s="570">
        <v>5366.48</v>
      </c>
      <c r="AD2637" s="570">
        <v>5337.44</v>
      </c>
      <c r="AE2637" s="570">
        <v>5208.93</v>
      </c>
      <c r="AF2637" s="570">
        <v>5432.28</v>
      </c>
      <c r="AG2637" s="570">
        <v>5630.72</v>
      </c>
      <c r="AH2637" s="569">
        <v>5638.49</v>
      </c>
      <c r="AI2637" s="569">
        <v>5861.7</v>
      </c>
      <c r="AJ2637" s="569">
        <v>5493.52</v>
      </c>
      <c r="AK2637" s="569">
        <v>5481.94</v>
      </c>
      <c r="AL2637" s="569">
        <v>6381.67</v>
      </c>
      <c r="AM2637" s="569">
        <v>7180.72</v>
      </c>
      <c r="AN2637" s="569">
        <v>7633.17</v>
      </c>
      <c r="AO2637" s="569">
        <v>7557.93</v>
      </c>
    </row>
    <row r="2638" spans="1:41" s="173" customFormat="1" hidden="1" outlineLevel="1">
      <c r="A2638" s="578">
        <v>330</v>
      </c>
      <c r="B2638" s="568">
        <v>3594</v>
      </c>
      <c r="C2638" s="375" t="s">
        <v>1384</v>
      </c>
      <c r="D2638" s="226"/>
      <c r="E2638" s="23" t="s">
        <v>731</v>
      </c>
      <c r="F2638" s="570">
        <v>18005.91</v>
      </c>
      <c r="G2638" s="570">
        <v>18939.59</v>
      </c>
      <c r="H2638" s="570">
        <v>18474.55</v>
      </c>
      <c r="I2638" s="570">
        <v>18750.05</v>
      </c>
      <c r="J2638" s="570">
        <v>19866.09</v>
      </c>
      <c r="K2638" s="570">
        <v>21794.66</v>
      </c>
      <c r="L2638" s="570">
        <v>23683.59</v>
      </c>
      <c r="M2638" s="570">
        <v>24040.720000000001</v>
      </c>
      <c r="N2638" s="570">
        <v>23649.85</v>
      </c>
      <c r="O2638" s="570">
        <v>22711.21</v>
      </c>
      <c r="P2638" s="570">
        <v>22062.93</v>
      </c>
      <c r="Q2638" s="570">
        <v>21940.97</v>
      </c>
      <c r="R2638" s="570">
        <v>21481.34</v>
      </c>
      <c r="S2638" s="570">
        <v>21287.439999999999</v>
      </c>
      <c r="T2638" s="570">
        <v>21458.91</v>
      </c>
      <c r="U2638" s="570">
        <v>21970.09</v>
      </c>
      <c r="V2638" s="570">
        <v>22586.36</v>
      </c>
      <c r="W2638" s="570">
        <v>23354.63</v>
      </c>
      <c r="X2638" s="570">
        <v>24613.93</v>
      </c>
      <c r="Y2638" s="570">
        <v>25813.18</v>
      </c>
      <c r="Z2638" s="570">
        <v>26378.84</v>
      </c>
      <c r="AA2638" s="570">
        <v>26376.47</v>
      </c>
      <c r="AB2638" s="570">
        <v>27427.35</v>
      </c>
      <c r="AC2638" s="570">
        <v>27949.49</v>
      </c>
      <c r="AD2638" s="570">
        <v>29051.06</v>
      </c>
      <c r="AE2638" s="570">
        <v>29308.61</v>
      </c>
      <c r="AF2638" s="570">
        <v>29319.39</v>
      </c>
      <c r="AG2638" s="570">
        <v>29906.959999999999</v>
      </c>
      <c r="AH2638" s="569">
        <v>29444.09</v>
      </c>
      <c r="AI2638" s="569">
        <v>29452.38</v>
      </c>
      <c r="AJ2638" s="569">
        <v>29743.45</v>
      </c>
      <c r="AK2638" s="569">
        <v>30299.91</v>
      </c>
      <c r="AL2638" s="569">
        <v>31391.17</v>
      </c>
      <c r="AM2638" s="569">
        <v>31715.4</v>
      </c>
      <c r="AN2638" s="569">
        <v>31957.040000000001</v>
      </c>
      <c r="AO2638" s="569">
        <v>32174.02</v>
      </c>
    </row>
    <row r="2639" spans="1:41" s="173" customFormat="1" hidden="1" outlineLevel="1">
      <c r="A2639" s="578">
        <v>333</v>
      </c>
      <c r="B2639" s="568">
        <v>42421</v>
      </c>
      <c r="C2639" s="375" t="s">
        <v>1384</v>
      </c>
      <c r="D2639" s="226"/>
      <c r="E2639" s="23" t="s">
        <v>1370</v>
      </c>
      <c r="F2639" s="570"/>
      <c r="G2639" s="570"/>
      <c r="H2639" s="570"/>
      <c r="I2639" s="570"/>
      <c r="J2639" s="570"/>
      <c r="K2639" s="570"/>
      <c r="L2639" s="570"/>
      <c r="M2639" s="570"/>
      <c r="N2639" s="570"/>
      <c r="O2639" s="570"/>
      <c r="P2639" s="570"/>
      <c r="Q2639" s="570"/>
      <c r="R2639" s="570"/>
      <c r="S2639" s="570"/>
      <c r="T2639" s="570"/>
      <c r="U2639" s="570"/>
      <c r="V2639" s="570"/>
      <c r="W2639" s="570"/>
      <c r="X2639" s="570"/>
      <c r="Y2639" s="570"/>
      <c r="Z2639" s="570"/>
      <c r="AA2639" s="570"/>
      <c r="AB2639" s="570"/>
      <c r="AC2639" s="570"/>
      <c r="AD2639" s="570"/>
      <c r="AE2639" s="570"/>
      <c r="AF2639" s="570">
        <v>1089.8800000000001</v>
      </c>
      <c r="AG2639" s="570">
        <v>1181.26</v>
      </c>
      <c r="AH2639" s="569">
        <v>1227.8900000000001</v>
      </c>
      <c r="AI2639" s="569">
        <v>1308.1300000000001</v>
      </c>
      <c r="AJ2639" s="569">
        <v>1332.78</v>
      </c>
      <c r="AK2639" s="569">
        <v>1601.13</v>
      </c>
      <c r="AL2639" s="569">
        <v>2058.1</v>
      </c>
      <c r="AM2639" s="569">
        <v>2559.7399999999998</v>
      </c>
      <c r="AN2639" s="569">
        <v>2900.52</v>
      </c>
      <c r="AO2639" s="569">
        <v>3089.34</v>
      </c>
    </row>
    <row r="2640" spans="1:41" s="173" customFormat="1" hidden="1" outlineLevel="1">
      <c r="A2640" s="578">
        <v>340</v>
      </c>
      <c r="B2640" s="568">
        <v>3592</v>
      </c>
      <c r="C2640" s="375" t="s">
        <v>1384</v>
      </c>
      <c r="D2640" s="226"/>
      <c r="E2640" s="23" t="s">
        <v>730</v>
      </c>
      <c r="F2640" s="570">
        <v>3869.55</v>
      </c>
      <c r="G2640" s="570">
        <v>3883.33</v>
      </c>
      <c r="H2640" s="570">
        <v>3594.15</v>
      </c>
      <c r="I2640" s="570">
        <v>3546.81</v>
      </c>
      <c r="J2640" s="570">
        <v>3888.99</v>
      </c>
      <c r="K2640" s="570">
        <v>4351.71</v>
      </c>
      <c r="L2640" s="570">
        <v>4392.79</v>
      </c>
      <c r="M2640" s="570">
        <v>4383.6499999999996</v>
      </c>
      <c r="N2640" s="570">
        <v>4429.8500000000004</v>
      </c>
      <c r="O2640" s="570">
        <v>4563.53</v>
      </c>
      <c r="P2640" s="570">
        <v>4676.96</v>
      </c>
      <c r="Q2640" s="570">
        <v>4661.13</v>
      </c>
      <c r="R2640" s="570">
        <v>4737.28</v>
      </c>
      <c r="S2640" s="570">
        <v>4617.09</v>
      </c>
      <c r="T2640" s="570">
        <v>4767.79</v>
      </c>
      <c r="U2640" s="570">
        <v>4747.8999999999996</v>
      </c>
      <c r="V2640" s="570">
        <v>4874.78</v>
      </c>
      <c r="W2640" s="570">
        <v>4912.3</v>
      </c>
      <c r="X2640" s="570">
        <v>5096.2</v>
      </c>
      <c r="Y2640" s="570">
        <v>5265.8</v>
      </c>
      <c r="Z2640" s="570">
        <v>5414.01</v>
      </c>
      <c r="AA2640" s="570">
        <v>5226.08</v>
      </c>
      <c r="AB2640" s="570">
        <v>5199.24</v>
      </c>
      <c r="AC2640" s="570">
        <v>4945.37</v>
      </c>
      <c r="AD2640" s="570">
        <v>4876.88</v>
      </c>
      <c r="AE2640" s="570">
        <v>4898.68</v>
      </c>
      <c r="AF2640" s="570">
        <v>5028.01</v>
      </c>
      <c r="AG2640" s="570">
        <v>5105.6899999999996</v>
      </c>
      <c r="AH2640" s="569">
        <v>4766.47</v>
      </c>
      <c r="AI2640" s="569">
        <v>4496.84</v>
      </c>
      <c r="AJ2640" s="569">
        <v>4578.2299999999996</v>
      </c>
      <c r="AK2640" s="569">
        <v>4607.49</v>
      </c>
      <c r="AL2640" s="569">
        <v>4751.12</v>
      </c>
      <c r="AM2640" s="569">
        <v>4671.05</v>
      </c>
      <c r="AN2640" s="569">
        <v>4723.66</v>
      </c>
      <c r="AO2640" s="569">
        <v>4714.99</v>
      </c>
    </row>
    <row r="2641" spans="1:44" s="173" customFormat="1" hidden="1" outlineLevel="1">
      <c r="A2641" s="578">
        <v>350</v>
      </c>
      <c r="B2641" s="568">
        <v>3624</v>
      </c>
      <c r="C2641" s="375" t="s">
        <v>1384</v>
      </c>
      <c r="D2641" s="226"/>
      <c r="E2641" s="23" t="s">
        <v>858</v>
      </c>
      <c r="F2641" s="570">
        <v>12390.75</v>
      </c>
      <c r="G2641" s="570">
        <v>12286.16</v>
      </c>
      <c r="H2641" s="570">
        <v>11859.14</v>
      </c>
      <c r="I2641" s="570">
        <v>11827.05</v>
      </c>
      <c r="J2641" s="570">
        <v>11816.98</v>
      </c>
      <c r="K2641" s="570">
        <v>12301.5</v>
      </c>
      <c r="L2641" s="570">
        <v>12437.92</v>
      </c>
      <c r="M2641" s="570">
        <v>12495.09</v>
      </c>
      <c r="N2641" s="570">
        <v>12475.91</v>
      </c>
      <c r="O2641" s="570">
        <v>12172.61</v>
      </c>
      <c r="P2641" s="570">
        <v>12022.98</v>
      </c>
      <c r="Q2641" s="570">
        <v>11570.58</v>
      </c>
      <c r="R2641" s="570">
        <v>11197.33</v>
      </c>
      <c r="S2641" s="570">
        <v>11111.24</v>
      </c>
      <c r="T2641" s="570">
        <v>11412.43</v>
      </c>
      <c r="U2641" s="570">
        <v>11405.29</v>
      </c>
      <c r="V2641" s="570">
        <v>11141</v>
      </c>
      <c r="W2641" s="570">
        <v>10833.23</v>
      </c>
      <c r="X2641" s="570">
        <v>11004.56</v>
      </c>
      <c r="Y2641" s="570">
        <v>10767.16</v>
      </c>
      <c r="Z2641" s="570">
        <v>10543.42</v>
      </c>
      <c r="AA2641" s="570">
        <v>10348.040000000001</v>
      </c>
      <c r="AB2641" s="570">
        <v>10411.14</v>
      </c>
      <c r="AC2641" s="570">
        <v>10605.05</v>
      </c>
      <c r="AD2641" s="570">
        <v>10488.74</v>
      </c>
      <c r="AE2641" s="570">
        <v>10797.31</v>
      </c>
      <c r="AF2641" s="570">
        <v>11361.04</v>
      </c>
      <c r="AG2641" s="570">
        <v>11110.42</v>
      </c>
      <c r="AH2641" s="569">
        <v>11232.19</v>
      </c>
      <c r="AI2641" s="569">
        <v>11124.26</v>
      </c>
      <c r="AJ2641" s="569">
        <v>10859.97</v>
      </c>
      <c r="AK2641" s="569">
        <v>10719.7</v>
      </c>
      <c r="AL2641" s="569">
        <v>10732.76</v>
      </c>
      <c r="AM2641" s="569">
        <v>10855.51</v>
      </c>
      <c r="AN2641" s="569">
        <v>10865.71</v>
      </c>
      <c r="AO2641" s="569">
        <v>10822.1</v>
      </c>
    </row>
    <row r="2642" spans="1:44" s="173" customFormat="1" hidden="1" outlineLevel="1">
      <c r="A2642" s="578">
        <v>360</v>
      </c>
      <c r="B2642" s="568">
        <v>3642</v>
      </c>
      <c r="C2642" s="375" t="s">
        <v>1384</v>
      </c>
      <c r="D2642" s="226"/>
      <c r="E2642" s="23" t="s">
        <v>733</v>
      </c>
      <c r="F2642" s="570">
        <v>8228.3799999999992</v>
      </c>
      <c r="G2642" s="570">
        <v>7941.84</v>
      </c>
      <c r="H2642" s="570">
        <v>6728.2</v>
      </c>
      <c r="I2642" s="570">
        <v>6026.44</v>
      </c>
      <c r="J2642" s="570">
        <v>6574.74</v>
      </c>
      <c r="K2642" s="570">
        <v>7850.29</v>
      </c>
      <c r="L2642" s="570">
        <v>8267.5</v>
      </c>
      <c r="M2642" s="570">
        <v>8358.3799999999992</v>
      </c>
      <c r="N2642" s="570">
        <v>8913.56</v>
      </c>
      <c r="O2642" s="570">
        <v>9341.18</v>
      </c>
      <c r="P2642" s="570">
        <v>9250.85</v>
      </c>
      <c r="Q2642" s="570">
        <v>8733.6299999999992</v>
      </c>
      <c r="R2642" s="570">
        <v>8060.84</v>
      </c>
      <c r="S2642" s="570">
        <v>6974.57</v>
      </c>
      <c r="T2642" s="570">
        <v>6294.68</v>
      </c>
      <c r="U2642" s="570">
        <v>5675.8</v>
      </c>
      <c r="V2642" s="570">
        <v>5920.61</v>
      </c>
      <c r="W2642" s="570">
        <v>6237.99</v>
      </c>
      <c r="X2642" s="570">
        <v>7580.32</v>
      </c>
      <c r="Y2642" s="570">
        <v>9026.23</v>
      </c>
      <c r="Z2642" s="570">
        <v>9993.76</v>
      </c>
      <c r="AA2642" s="570">
        <v>10346.66</v>
      </c>
      <c r="AB2642" s="570">
        <v>10168.299999999999</v>
      </c>
      <c r="AC2642" s="570">
        <v>9394.59</v>
      </c>
      <c r="AD2642" s="570">
        <v>8054.19</v>
      </c>
      <c r="AE2642" s="570">
        <v>7710.94</v>
      </c>
      <c r="AF2642" s="570">
        <v>8406.4699999999993</v>
      </c>
      <c r="AG2642" s="570">
        <v>8557.74</v>
      </c>
      <c r="AH2642" s="569">
        <v>8430.19</v>
      </c>
      <c r="AI2642" s="569">
        <v>8186.01</v>
      </c>
      <c r="AJ2642" s="569">
        <v>7794.07</v>
      </c>
      <c r="AK2642" s="569">
        <v>8080.94</v>
      </c>
      <c r="AL2642" s="569">
        <v>8175.33</v>
      </c>
      <c r="AM2642" s="569">
        <v>8380.91</v>
      </c>
      <c r="AN2642" s="569">
        <v>9157.81</v>
      </c>
      <c r="AO2642" s="569">
        <v>8765.9599999999991</v>
      </c>
    </row>
    <row r="2643" spans="1:44" s="173" customFormat="1" hidden="1" outlineLevel="1">
      <c r="A2643" s="578">
        <v>370</v>
      </c>
      <c r="B2643" s="568">
        <v>3646</v>
      </c>
      <c r="C2643" s="375" t="s">
        <v>1384</v>
      </c>
      <c r="D2643" s="226"/>
      <c r="E2643" s="23" t="s">
        <v>737</v>
      </c>
      <c r="F2643" s="570">
        <v>7053.46</v>
      </c>
      <c r="G2643" s="570">
        <v>7071.17</v>
      </c>
      <c r="H2643" s="570">
        <v>6605.19</v>
      </c>
      <c r="I2643" s="570">
        <v>6397.2</v>
      </c>
      <c r="J2643" s="570">
        <v>6781.95</v>
      </c>
      <c r="K2643" s="570">
        <v>7365.76</v>
      </c>
      <c r="L2643" s="570">
        <v>7897.96</v>
      </c>
      <c r="M2643" s="570">
        <v>8060.46</v>
      </c>
      <c r="N2643" s="570">
        <v>7826.91</v>
      </c>
      <c r="O2643" s="570">
        <v>7994.58</v>
      </c>
      <c r="P2643" s="570">
        <v>8150.42</v>
      </c>
      <c r="Q2643" s="570">
        <v>8250.9599999999991</v>
      </c>
      <c r="R2643" s="570">
        <v>8015.18</v>
      </c>
      <c r="S2643" s="570">
        <v>7928.83</v>
      </c>
      <c r="T2643" s="570">
        <v>7790.83</v>
      </c>
      <c r="U2643" s="570">
        <v>7563.79</v>
      </c>
      <c r="V2643" s="570">
        <v>6990.75</v>
      </c>
      <c r="W2643" s="570">
        <v>6620.1</v>
      </c>
      <c r="X2643" s="570">
        <v>6630.97</v>
      </c>
      <c r="Y2643" s="570">
        <v>7238.26</v>
      </c>
      <c r="Z2643" s="570">
        <v>8326.06</v>
      </c>
      <c r="AA2643" s="570">
        <v>9103.9599999999991</v>
      </c>
      <c r="AB2643" s="570">
        <v>9350</v>
      </c>
      <c r="AC2643" s="570">
        <v>9716.49</v>
      </c>
      <c r="AD2643" s="570">
        <v>10004.69</v>
      </c>
      <c r="AE2643" s="570">
        <v>10225.44</v>
      </c>
      <c r="AF2643" s="570">
        <v>10851.21</v>
      </c>
      <c r="AG2643" s="570">
        <v>11506.54</v>
      </c>
      <c r="AH2643" s="569">
        <v>11868.86</v>
      </c>
      <c r="AI2643" s="569">
        <v>12236.31</v>
      </c>
      <c r="AJ2643" s="569">
        <v>12176.37</v>
      </c>
      <c r="AK2643" s="569">
        <v>11854.92</v>
      </c>
      <c r="AL2643" s="569">
        <v>12054.83</v>
      </c>
      <c r="AM2643" s="569">
        <v>12134.73</v>
      </c>
      <c r="AN2643" s="569">
        <v>12138.89</v>
      </c>
      <c r="AO2643" s="569">
        <v>12337.23</v>
      </c>
      <c r="AR2643" s="330"/>
    </row>
    <row r="2644" spans="1:44" s="330" customFormat="1" hidden="1" outlineLevel="1">
      <c r="A2644" s="66"/>
      <c r="B2644" s="571">
        <v>445566</v>
      </c>
      <c r="C2644" s="226" t="s">
        <v>1384</v>
      </c>
      <c r="D2644" s="226"/>
      <c r="E2644" s="226" t="s">
        <v>1386</v>
      </c>
      <c r="F2644" s="572">
        <f t="shared" ref="F2644:AN2644" si="484">SUM(F2605:F2643)</f>
        <v>328009.65000000002</v>
      </c>
      <c r="G2644" s="572">
        <f t="shared" si="484"/>
        <v>328710.31000000006</v>
      </c>
      <c r="H2644" s="572">
        <f t="shared" si="484"/>
        <v>313938.59000000003</v>
      </c>
      <c r="I2644" s="572">
        <f t="shared" si="484"/>
        <v>313205.03000000003</v>
      </c>
      <c r="J2644" s="572">
        <f t="shared" si="484"/>
        <v>322365.91000000003</v>
      </c>
      <c r="K2644" s="572">
        <f t="shared" si="484"/>
        <v>339493.76</v>
      </c>
      <c r="L2644" s="572">
        <f t="shared" si="484"/>
        <v>349028.1</v>
      </c>
      <c r="M2644" s="572">
        <f t="shared" si="484"/>
        <v>352082.43000000017</v>
      </c>
      <c r="N2644" s="572">
        <f t="shared" si="484"/>
        <v>354838.25999999989</v>
      </c>
      <c r="O2644" s="572">
        <f t="shared" si="484"/>
        <v>351079.2900000001</v>
      </c>
      <c r="P2644" s="572">
        <f t="shared" si="484"/>
        <v>349080.20999999985</v>
      </c>
      <c r="Q2644" s="572">
        <f t="shared" si="484"/>
        <v>346863.98</v>
      </c>
      <c r="R2644" s="572">
        <f t="shared" si="484"/>
        <v>342634.40000000008</v>
      </c>
      <c r="S2644" s="572">
        <f t="shared" si="484"/>
        <v>340562.4</v>
      </c>
      <c r="T2644" s="572">
        <f t="shared" si="484"/>
        <v>342267.78999999992</v>
      </c>
      <c r="U2644" s="572">
        <f t="shared" si="484"/>
        <v>344653.9</v>
      </c>
      <c r="V2644" s="572">
        <f t="shared" si="484"/>
        <v>350013.54999999993</v>
      </c>
      <c r="W2644" s="572">
        <f t="shared" si="484"/>
        <v>357827.69999999984</v>
      </c>
      <c r="X2644" s="572">
        <f t="shared" si="484"/>
        <v>376760.81999999995</v>
      </c>
      <c r="Y2644" s="572">
        <f t="shared" si="484"/>
        <v>395451.13999999996</v>
      </c>
      <c r="Z2644" s="572">
        <f t="shared" si="484"/>
        <v>408138.27000000008</v>
      </c>
      <c r="AA2644" s="572">
        <f t="shared" si="484"/>
        <v>410861.05999999994</v>
      </c>
      <c r="AB2644" s="572">
        <f t="shared" si="484"/>
        <v>415262.82</v>
      </c>
      <c r="AC2644" s="572">
        <f t="shared" si="484"/>
        <v>417101.26999999996</v>
      </c>
      <c r="AD2644" s="572">
        <f t="shared" si="484"/>
        <v>423277.11</v>
      </c>
      <c r="AE2644" s="572">
        <f t="shared" si="484"/>
        <v>430146.85</v>
      </c>
      <c r="AF2644" s="572">
        <f t="shared" si="484"/>
        <v>450931.31</v>
      </c>
      <c r="AG2644" s="572">
        <f t="shared" si="484"/>
        <v>468306.18999999989</v>
      </c>
      <c r="AH2644" s="573">
        <f t="shared" si="484"/>
        <v>474360.00000000006</v>
      </c>
      <c r="AI2644" s="574">
        <f t="shared" si="484"/>
        <v>481468.39</v>
      </c>
      <c r="AJ2644" s="574">
        <f t="shared" si="484"/>
        <v>489139.60000000015</v>
      </c>
      <c r="AK2644" s="574">
        <f t="shared" si="484"/>
        <v>504966.8899999999</v>
      </c>
      <c r="AL2644" s="574">
        <f t="shared" si="484"/>
        <v>519187.54999999987</v>
      </c>
      <c r="AM2644" s="574">
        <f t="shared" si="484"/>
        <v>532688.35</v>
      </c>
      <c r="AN2644" s="576">
        <f t="shared" si="484"/>
        <v>545339.68000000017</v>
      </c>
      <c r="AO2644" s="576">
        <f>SUM(AO2605:AO2643)</f>
        <v>551455.6</v>
      </c>
      <c r="AR2644"/>
    </row>
    <row r="2645" spans="1:44" collapsed="1">
      <c r="C2645" s="25" t="s">
        <v>1617</v>
      </c>
      <c r="D2645" s="25"/>
      <c r="E2645" s="6"/>
      <c r="F2645" s="6"/>
      <c r="G2645" s="6"/>
      <c r="H2645" s="6"/>
      <c r="I2645" s="6"/>
      <c r="J2645" s="6"/>
      <c r="K2645" s="6"/>
      <c r="L2645" s="6"/>
      <c r="M2645" s="6"/>
      <c r="N2645" s="6"/>
      <c r="O2645" s="6"/>
      <c r="P2645" s="6"/>
      <c r="Q2645" s="6"/>
      <c r="R2645" s="6"/>
      <c r="S2645" s="6"/>
      <c r="T2645" s="6"/>
      <c r="U2645" s="6"/>
      <c r="V2645" s="6"/>
      <c r="W2645" s="6"/>
      <c r="X2645" s="6"/>
      <c r="Y2645" s="6"/>
      <c r="Z2645" s="6"/>
      <c r="AA2645" s="6"/>
      <c r="AB2645" s="7"/>
      <c r="AC2645" s="7"/>
      <c r="AD2645" s="7"/>
      <c r="AE2645" s="7"/>
      <c r="AF2645" s="7"/>
      <c r="AG2645" s="7"/>
      <c r="AH2645" s="61"/>
      <c r="AI2645" s="61"/>
      <c r="AJ2645" s="26"/>
      <c r="AK2645" s="26"/>
      <c r="AL2645" s="26"/>
      <c r="AM2645" s="26"/>
      <c r="AN2645" s="26"/>
      <c r="AO2645" s="1069"/>
      <c r="AP2645" s="1044"/>
      <c r="AR2645" s="173"/>
    </row>
    <row r="2646" spans="1:44" s="173" customFormat="1" hidden="1" outlineLevel="2">
      <c r="A2646" s="579">
        <v>390</v>
      </c>
      <c r="B2646" s="568">
        <v>30</v>
      </c>
      <c r="C2646" s="375" t="s">
        <v>1384</v>
      </c>
      <c r="D2646" s="226"/>
      <c r="E2646" s="1049" t="s">
        <v>1925</v>
      </c>
      <c r="F2646" s="23"/>
      <c r="G2646" s="23"/>
      <c r="H2646" s="23"/>
      <c r="I2646" s="23"/>
      <c r="J2646" s="23"/>
      <c r="K2646" s="23"/>
      <c r="L2646" s="23"/>
      <c r="M2646" s="23"/>
      <c r="N2646" s="23"/>
      <c r="O2646" s="23"/>
      <c r="P2646" s="23"/>
      <c r="Q2646" s="23"/>
      <c r="R2646" s="23"/>
      <c r="S2646" s="23"/>
      <c r="T2646" s="23"/>
      <c r="U2646" s="23"/>
      <c r="V2646" s="569"/>
      <c r="W2646" s="569">
        <v>1737.98</v>
      </c>
      <c r="X2646" s="569">
        <v>1798.77</v>
      </c>
      <c r="Y2646" s="569">
        <v>1911.36</v>
      </c>
      <c r="Z2646" s="569">
        <v>2061.62</v>
      </c>
      <c r="AA2646" s="569">
        <v>2304.5500000000002</v>
      </c>
      <c r="AB2646" s="569">
        <v>2350.3200000000002</v>
      </c>
      <c r="AC2646" s="569">
        <v>2377.13</v>
      </c>
      <c r="AD2646" s="569">
        <v>2360.08</v>
      </c>
      <c r="AE2646" s="569">
        <v>2358.41</v>
      </c>
      <c r="AF2646" s="569">
        <v>2332.4899999999998</v>
      </c>
      <c r="AG2646" s="569">
        <v>2394.9300000000003</v>
      </c>
      <c r="AH2646" s="569">
        <v>2360.29</v>
      </c>
      <c r="AI2646" s="569">
        <v>2310.85</v>
      </c>
      <c r="AJ2646" s="569">
        <v>2260.31</v>
      </c>
      <c r="AK2646" s="569">
        <v>2216.29</v>
      </c>
      <c r="AL2646" s="569">
        <v>2191.0299999999997</v>
      </c>
      <c r="AM2646" s="569">
        <v>2157.64</v>
      </c>
      <c r="AN2646" s="569">
        <v>2166.6799999999998</v>
      </c>
      <c r="AO2646" s="569">
        <v>2263.33</v>
      </c>
    </row>
    <row r="2647" spans="1:44" s="173" customFormat="1" hidden="1" outlineLevel="2">
      <c r="A2647" s="579">
        <v>400</v>
      </c>
      <c r="B2647" s="568">
        <v>104952</v>
      </c>
      <c r="C2647" s="375" t="s">
        <v>1384</v>
      </c>
      <c r="D2647" s="226"/>
      <c r="E2647" s="23" t="s">
        <v>1372</v>
      </c>
      <c r="F2647" s="23"/>
      <c r="G2647" s="23"/>
      <c r="H2647" s="23"/>
      <c r="I2647" s="23"/>
      <c r="J2647" s="23"/>
      <c r="K2647" s="23"/>
      <c r="L2647" s="23"/>
      <c r="M2647" s="23"/>
      <c r="N2647" s="23"/>
      <c r="O2647" s="23"/>
      <c r="P2647" s="23"/>
      <c r="Q2647" s="23"/>
      <c r="R2647" s="23"/>
      <c r="S2647" s="23"/>
      <c r="T2647" s="23"/>
      <c r="U2647" s="23"/>
      <c r="V2647" s="569"/>
      <c r="W2647" s="569">
        <v>2032.06</v>
      </c>
      <c r="X2647" s="569">
        <v>2052.9700000000003</v>
      </c>
      <c r="Y2647" s="569">
        <v>2129.71</v>
      </c>
      <c r="Z2647" s="569">
        <v>2180.67</v>
      </c>
      <c r="AA2647" s="569">
        <v>2239.29</v>
      </c>
      <c r="AB2647" s="569">
        <v>2330.5500000000002</v>
      </c>
      <c r="AC2647" s="569">
        <v>2415.8599999999997</v>
      </c>
      <c r="AD2647" s="569">
        <v>2479.7200000000003</v>
      </c>
      <c r="AE2647" s="569">
        <v>2497.7600000000002</v>
      </c>
      <c r="AF2647" s="569">
        <v>2711.2200000000003</v>
      </c>
      <c r="AG2647" s="569">
        <v>2953.5199999999995</v>
      </c>
      <c r="AH2647" s="569">
        <v>3090.2200000000003</v>
      </c>
      <c r="AI2647" s="569">
        <v>3274.7</v>
      </c>
      <c r="AJ2647" s="569">
        <v>3373.67</v>
      </c>
      <c r="AK2647" s="569">
        <v>3489.95</v>
      </c>
      <c r="AL2647" s="569">
        <v>3366.12</v>
      </c>
      <c r="AM2647" s="569">
        <v>3646.6499999999996</v>
      </c>
      <c r="AN2647" s="569">
        <v>3693.92</v>
      </c>
      <c r="AO2647" s="569">
        <v>3698.82</v>
      </c>
    </row>
    <row r="2648" spans="1:44" s="173" customFormat="1" hidden="1" outlineLevel="2">
      <c r="A2648" s="579">
        <v>410</v>
      </c>
      <c r="B2648" s="568">
        <v>11618</v>
      </c>
      <c r="C2648" s="375" t="s">
        <v>1384</v>
      </c>
      <c r="D2648" s="226"/>
      <c r="E2648" s="23" t="s">
        <v>1373</v>
      </c>
      <c r="F2648" s="23"/>
      <c r="G2648" s="23"/>
      <c r="H2648" s="23"/>
      <c r="I2648" s="23"/>
      <c r="J2648" s="23"/>
      <c r="K2648" s="23"/>
      <c r="L2648" s="23"/>
      <c r="M2648" s="23"/>
      <c r="N2648" s="23"/>
      <c r="O2648" s="23"/>
      <c r="P2648" s="23"/>
      <c r="Q2648" s="23"/>
      <c r="R2648" s="23"/>
      <c r="S2648" s="23"/>
      <c r="T2648" s="23"/>
      <c r="U2648" s="23"/>
      <c r="V2648" s="569"/>
      <c r="W2648" s="569">
        <v>2949.2</v>
      </c>
      <c r="X2648" s="569">
        <v>3101.35</v>
      </c>
      <c r="Y2648" s="569">
        <v>3134.1000000000004</v>
      </c>
      <c r="Z2648" s="569">
        <v>3193.8100000000004</v>
      </c>
      <c r="AA2648" s="569">
        <v>3275.4799999999996</v>
      </c>
      <c r="AB2648" s="569">
        <v>3424.7000000000003</v>
      </c>
      <c r="AC2648" s="569">
        <v>3504.4900000000002</v>
      </c>
      <c r="AD2648" s="569">
        <v>3601.0200000000004</v>
      </c>
      <c r="AE2648" s="569">
        <v>3679.94</v>
      </c>
      <c r="AF2648" s="569">
        <v>3892.76</v>
      </c>
      <c r="AG2648" s="569">
        <v>4401.88</v>
      </c>
      <c r="AH2648" s="569">
        <v>4499.7700000000004</v>
      </c>
      <c r="AI2648" s="569">
        <v>4389.2699999999995</v>
      </c>
      <c r="AJ2648" s="569">
        <v>4381.29</v>
      </c>
      <c r="AK2648" s="569">
        <v>4333.33</v>
      </c>
      <c r="AL2648" s="569">
        <v>4507.7</v>
      </c>
      <c r="AM2648" s="569">
        <v>3084.35</v>
      </c>
      <c r="AN2648" s="569">
        <v>4887.8900000000003</v>
      </c>
      <c r="AO2648" s="569">
        <v>3187.53</v>
      </c>
    </row>
    <row r="2649" spans="1:44" s="173" customFormat="1" hidden="1" outlineLevel="2">
      <c r="A2649" s="579">
        <v>420</v>
      </c>
      <c r="B2649" s="568">
        <v>40</v>
      </c>
      <c r="C2649" s="375" t="s">
        <v>1384</v>
      </c>
      <c r="D2649" s="226"/>
      <c r="E2649" s="23" t="s">
        <v>1374</v>
      </c>
      <c r="F2649" s="23"/>
      <c r="G2649" s="23"/>
      <c r="H2649" s="23"/>
      <c r="I2649" s="23"/>
      <c r="J2649" s="23"/>
      <c r="K2649" s="23"/>
      <c r="L2649" s="23"/>
      <c r="M2649" s="23"/>
      <c r="N2649" s="23"/>
      <c r="O2649" s="23"/>
      <c r="P2649" s="23"/>
      <c r="Q2649" s="23"/>
      <c r="R2649" s="23"/>
      <c r="S2649" s="23"/>
      <c r="T2649" s="23"/>
      <c r="U2649" s="23"/>
      <c r="V2649" s="569"/>
      <c r="W2649" s="569">
        <v>2499.62</v>
      </c>
      <c r="X2649" s="569">
        <v>2635.68</v>
      </c>
      <c r="Y2649" s="569">
        <v>2728.4</v>
      </c>
      <c r="Z2649" s="569">
        <v>2764.92</v>
      </c>
      <c r="AA2649" s="569">
        <v>2819.83</v>
      </c>
      <c r="AB2649" s="569">
        <v>2838.6600000000003</v>
      </c>
      <c r="AC2649" s="569">
        <v>2857.2</v>
      </c>
      <c r="AD2649" s="569">
        <v>2950.89</v>
      </c>
      <c r="AE2649" s="569">
        <v>3195.73</v>
      </c>
      <c r="AF2649" s="569">
        <v>3371.68</v>
      </c>
      <c r="AG2649" s="569">
        <v>3373.9700000000003</v>
      </c>
      <c r="AH2649" s="569">
        <v>3426.4900000000002</v>
      </c>
      <c r="AI2649" s="569">
        <v>3410.59</v>
      </c>
      <c r="AJ2649" s="569">
        <v>3360.8399999999997</v>
      </c>
      <c r="AK2649" s="569">
        <v>3339.62</v>
      </c>
      <c r="AL2649" s="569">
        <v>3435.76</v>
      </c>
      <c r="AM2649" s="569">
        <v>2888.65</v>
      </c>
      <c r="AN2649" s="569">
        <v>3827.9</v>
      </c>
      <c r="AO2649" s="569">
        <v>2817.98</v>
      </c>
    </row>
    <row r="2650" spans="1:44" s="173" customFormat="1" hidden="1" outlineLevel="2">
      <c r="A2650" s="579">
        <v>430</v>
      </c>
      <c r="B2650" s="568">
        <v>25554</v>
      </c>
      <c r="C2650" s="375" t="s">
        <v>1384</v>
      </c>
      <c r="D2650" s="226"/>
      <c r="E2650" s="23" t="s">
        <v>1375</v>
      </c>
      <c r="F2650" s="23"/>
      <c r="G2650" s="23"/>
      <c r="H2650" s="23"/>
      <c r="I2650" s="23"/>
      <c r="J2650" s="23"/>
      <c r="K2650" s="23"/>
      <c r="L2650" s="23"/>
      <c r="M2650" s="23"/>
      <c r="N2650" s="23"/>
      <c r="O2650" s="23"/>
      <c r="P2650" s="23"/>
      <c r="Q2650" s="23"/>
      <c r="R2650" s="23"/>
      <c r="S2650" s="23"/>
      <c r="T2650" s="23"/>
      <c r="U2650" s="23"/>
      <c r="V2650" s="569"/>
      <c r="W2650" s="569">
        <v>77.319999999999993</v>
      </c>
      <c r="X2650" s="569">
        <v>73.67</v>
      </c>
      <c r="Y2650" s="569">
        <v>93.9</v>
      </c>
      <c r="Z2650" s="569">
        <v>121.83</v>
      </c>
      <c r="AA2650" s="569">
        <v>113.5</v>
      </c>
      <c r="AB2650" s="569">
        <v>123.97</v>
      </c>
      <c r="AC2650" s="569">
        <v>158.4</v>
      </c>
      <c r="AD2650" s="569">
        <v>195.3</v>
      </c>
      <c r="AE2650" s="569">
        <v>283.5</v>
      </c>
      <c r="AF2650" s="569">
        <v>276.17</v>
      </c>
      <c r="AG2650" s="569">
        <v>325.60000000000002</v>
      </c>
      <c r="AH2650" s="569">
        <v>395.9</v>
      </c>
      <c r="AI2650" s="569">
        <v>360.57</v>
      </c>
      <c r="AJ2650" s="569">
        <v>377.47</v>
      </c>
      <c r="AK2650" s="569">
        <v>339.84</v>
      </c>
      <c r="AL2650" s="569">
        <v>351.95</v>
      </c>
      <c r="AM2650" s="569">
        <v>5438.54</v>
      </c>
      <c r="AN2650" s="569">
        <v>378.18</v>
      </c>
      <c r="AO2650" s="569">
        <v>5952.71</v>
      </c>
    </row>
    <row r="2651" spans="1:44" s="173" customFormat="1" hidden="1" outlineLevel="2">
      <c r="A2651" s="579">
        <v>440</v>
      </c>
      <c r="B2651" s="781">
        <v>42439</v>
      </c>
      <c r="C2651" s="375" t="s">
        <v>1384</v>
      </c>
      <c r="D2651" s="226"/>
      <c r="E2651" s="23" t="s">
        <v>1376</v>
      </c>
      <c r="F2651" s="23"/>
      <c r="G2651" s="23"/>
      <c r="H2651" s="23"/>
      <c r="I2651" s="23"/>
      <c r="J2651" s="23"/>
      <c r="K2651" s="23"/>
      <c r="L2651" s="23"/>
      <c r="M2651" s="23"/>
      <c r="N2651" s="23"/>
      <c r="O2651" s="23"/>
      <c r="P2651" s="23"/>
      <c r="Q2651" s="23"/>
      <c r="R2651" s="23"/>
      <c r="S2651" s="23"/>
      <c r="T2651" s="23"/>
      <c r="U2651" s="23"/>
      <c r="V2651" s="569"/>
      <c r="W2651" s="569">
        <v>0</v>
      </c>
      <c r="X2651" s="569">
        <v>0</v>
      </c>
      <c r="Y2651" s="569">
        <v>0</v>
      </c>
      <c r="Z2651" s="569">
        <v>0</v>
      </c>
      <c r="AA2651" s="569">
        <v>0</v>
      </c>
      <c r="AB2651" s="569">
        <v>0</v>
      </c>
      <c r="AC2651" s="569">
        <v>0</v>
      </c>
      <c r="AD2651" s="569">
        <v>0</v>
      </c>
      <c r="AE2651" s="569">
        <v>0</v>
      </c>
      <c r="AF2651" s="569">
        <v>0</v>
      </c>
      <c r="AG2651" s="569">
        <v>0</v>
      </c>
      <c r="AH2651" s="569">
        <v>0</v>
      </c>
      <c r="AI2651" s="569">
        <v>5</v>
      </c>
      <c r="AJ2651" s="569">
        <v>15.79</v>
      </c>
      <c r="AK2651" s="569">
        <v>16.88</v>
      </c>
      <c r="AL2651" s="569">
        <v>16.419999999999998</v>
      </c>
      <c r="AM2651" s="569">
        <v>657.23</v>
      </c>
      <c r="AN2651" s="569">
        <v>30.13</v>
      </c>
      <c r="AO2651" s="569">
        <v>789.35</v>
      </c>
    </row>
    <row r="2652" spans="1:44" s="173" customFormat="1" hidden="1" outlineLevel="2">
      <c r="A2652" s="579">
        <v>450</v>
      </c>
      <c r="B2652" s="568">
        <v>89</v>
      </c>
      <c r="C2652" s="375" t="s">
        <v>1384</v>
      </c>
      <c r="D2652" s="226"/>
      <c r="E2652" s="23" t="s">
        <v>1377</v>
      </c>
      <c r="F2652" s="23"/>
      <c r="G2652" s="23"/>
      <c r="H2652" s="23"/>
      <c r="I2652" s="23"/>
      <c r="J2652" s="23"/>
      <c r="K2652" s="23"/>
      <c r="L2652" s="23"/>
      <c r="M2652" s="23"/>
      <c r="N2652" s="23"/>
      <c r="O2652" s="23"/>
      <c r="P2652" s="23"/>
      <c r="Q2652" s="23"/>
      <c r="R2652" s="23"/>
      <c r="S2652" s="23"/>
      <c r="T2652" s="23"/>
      <c r="U2652" s="23"/>
      <c r="V2652" s="569"/>
      <c r="W2652" s="569">
        <v>978.94999999999993</v>
      </c>
      <c r="X2652" s="569">
        <v>992.3</v>
      </c>
      <c r="Y2652" s="569">
        <v>1070.9299999999998</v>
      </c>
      <c r="Z2652" s="569">
        <v>1065.69</v>
      </c>
      <c r="AA2652" s="569">
        <v>1098.1699999999998</v>
      </c>
      <c r="AB2652" s="569">
        <v>1140.75</v>
      </c>
      <c r="AC2652" s="569">
        <v>1302.53</v>
      </c>
      <c r="AD2652" s="569">
        <v>1462.75</v>
      </c>
      <c r="AE2652" s="569">
        <v>1831.8899999999999</v>
      </c>
      <c r="AF2652" s="569">
        <v>1992.0400000000002</v>
      </c>
      <c r="AG2652" s="569">
        <v>2136.2399999999998</v>
      </c>
      <c r="AH2652" s="569">
        <v>2303.44</v>
      </c>
      <c r="AI2652" s="569">
        <v>2465.4699999999998</v>
      </c>
      <c r="AJ2652" s="569">
        <v>2595.98</v>
      </c>
      <c r="AK2652" s="569">
        <v>2646.5</v>
      </c>
      <c r="AL2652" s="569">
        <v>2809.7999999999997</v>
      </c>
      <c r="AM2652" s="569">
        <v>4769.8999999999996</v>
      </c>
      <c r="AN2652" s="569">
        <v>3113.57</v>
      </c>
      <c r="AO2652" s="569">
        <v>4927.42</v>
      </c>
    </row>
    <row r="2653" spans="1:44" s="173" customFormat="1" hidden="1" outlineLevel="2">
      <c r="A2653" s="579">
        <v>460</v>
      </c>
      <c r="B2653" s="568">
        <v>130</v>
      </c>
      <c r="C2653" s="375" t="s">
        <v>1384</v>
      </c>
      <c r="D2653" s="226"/>
      <c r="E2653" s="23" t="s">
        <v>1378</v>
      </c>
      <c r="F2653" s="23"/>
      <c r="G2653" s="23"/>
      <c r="H2653" s="23"/>
      <c r="I2653" s="23"/>
      <c r="J2653" s="23"/>
      <c r="K2653" s="23"/>
      <c r="L2653" s="23"/>
      <c r="M2653" s="23"/>
      <c r="N2653" s="23"/>
      <c r="O2653" s="23"/>
      <c r="P2653" s="23"/>
      <c r="Q2653" s="23"/>
      <c r="R2653" s="23"/>
      <c r="S2653" s="23"/>
      <c r="T2653" s="23"/>
      <c r="U2653" s="23"/>
      <c r="V2653" s="569"/>
      <c r="W2653" s="569">
        <v>753.18</v>
      </c>
      <c r="X2653" s="569">
        <v>890.84</v>
      </c>
      <c r="Y2653" s="569">
        <v>1034.29</v>
      </c>
      <c r="Z2653" s="569">
        <v>1030.8899999999999</v>
      </c>
      <c r="AA2653" s="569">
        <v>1060.0999999999999</v>
      </c>
      <c r="AB2653" s="569">
        <v>1121.98</v>
      </c>
      <c r="AC2653" s="569">
        <v>1186.19</v>
      </c>
      <c r="AD2653" s="569">
        <v>1248.45</v>
      </c>
      <c r="AE2653" s="569">
        <v>1385.75</v>
      </c>
      <c r="AF2653" s="569">
        <v>1597.45</v>
      </c>
      <c r="AG2653" s="569">
        <v>1857.28</v>
      </c>
      <c r="AH2653" s="569">
        <v>2118.4299999999998</v>
      </c>
      <c r="AI2653" s="569">
        <v>2287.21</v>
      </c>
      <c r="AJ2653" s="569">
        <v>2508.56</v>
      </c>
      <c r="AK2653" s="569">
        <v>2659.8900000000003</v>
      </c>
      <c r="AL2653" s="569">
        <v>2828</v>
      </c>
      <c r="AM2653" s="569">
        <v>375.77</v>
      </c>
      <c r="AN2653" s="569">
        <v>2836.22</v>
      </c>
      <c r="AO2653" s="569">
        <v>404.86</v>
      </c>
    </row>
    <row r="2654" spans="1:44" s="173" customFormat="1" hidden="1" outlineLevel="2">
      <c r="A2654" s="579">
        <v>470</v>
      </c>
      <c r="B2654" s="568">
        <v>412</v>
      </c>
      <c r="C2654" s="375" t="s">
        <v>1384</v>
      </c>
      <c r="D2654" s="226"/>
      <c r="E2654" s="23" t="s">
        <v>942</v>
      </c>
      <c r="F2654" s="23"/>
      <c r="G2654" s="23"/>
      <c r="H2654" s="23"/>
      <c r="I2654" s="23"/>
      <c r="J2654" s="23"/>
      <c r="K2654" s="23"/>
      <c r="L2654" s="23"/>
      <c r="M2654" s="23"/>
      <c r="N2654" s="23"/>
      <c r="O2654" s="23"/>
      <c r="P2654" s="23"/>
      <c r="Q2654" s="23"/>
      <c r="R2654" s="23"/>
      <c r="S2654" s="23"/>
      <c r="T2654" s="23"/>
      <c r="U2654" s="23"/>
      <c r="V2654" s="569"/>
      <c r="W2654" s="569">
        <v>1898.49</v>
      </c>
      <c r="X2654" s="569">
        <v>2089.2199999999998</v>
      </c>
      <c r="Y2654" s="569">
        <v>2333.13</v>
      </c>
      <c r="Z2654" s="569">
        <v>2478.3000000000002</v>
      </c>
      <c r="AA2654" s="569">
        <v>2707.8599999999997</v>
      </c>
      <c r="AB2654" s="569">
        <v>2929.7200000000003</v>
      </c>
      <c r="AC2654" s="569">
        <v>3008.2599999999998</v>
      </c>
      <c r="AD2654" s="569">
        <v>3240.11</v>
      </c>
      <c r="AE2654" s="569">
        <v>3601.4300000000003</v>
      </c>
      <c r="AF2654" s="569">
        <v>4088.1800000000003</v>
      </c>
      <c r="AG2654" s="569">
        <v>4378.76</v>
      </c>
      <c r="AH2654" s="569">
        <v>4801.3700000000008</v>
      </c>
      <c r="AI2654" s="569">
        <v>5032.0200000000004</v>
      </c>
      <c r="AJ2654" s="569">
        <v>5355.59</v>
      </c>
      <c r="AK2654" s="569">
        <v>5608.6900000000005</v>
      </c>
      <c r="AL2654" s="569">
        <v>5331.21</v>
      </c>
      <c r="AM2654" s="569">
        <v>22.21</v>
      </c>
      <c r="AN2654" s="569">
        <v>5735.93</v>
      </c>
      <c r="AO2654" s="569">
        <v>32</v>
      </c>
    </row>
    <row r="2655" spans="1:44" s="173" customFormat="1" hidden="1" outlineLevel="2">
      <c r="A2655" s="579">
        <v>480</v>
      </c>
      <c r="B2655" s="781">
        <v>862</v>
      </c>
      <c r="C2655" s="375" t="s">
        <v>1384</v>
      </c>
      <c r="D2655" s="226"/>
      <c r="E2655" s="375" t="s">
        <v>1403</v>
      </c>
      <c r="F2655" s="23"/>
      <c r="G2655" s="23"/>
      <c r="H2655" s="23"/>
      <c r="I2655" s="23"/>
      <c r="J2655" s="23"/>
      <c r="K2655" s="23"/>
      <c r="L2655" s="23"/>
      <c r="M2655" s="23"/>
      <c r="N2655" s="23"/>
      <c r="O2655" s="23"/>
      <c r="P2655" s="23"/>
      <c r="Q2655" s="23"/>
      <c r="R2655" s="23"/>
      <c r="S2655" s="23"/>
      <c r="T2655" s="23"/>
      <c r="U2655" s="23"/>
      <c r="V2655" s="569"/>
      <c r="W2655" s="569"/>
      <c r="X2655" s="569"/>
      <c r="Y2655" s="569"/>
      <c r="Z2655" s="569"/>
      <c r="AA2655" s="569"/>
      <c r="AB2655" s="569"/>
      <c r="AC2655" s="569"/>
      <c r="AD2655" s="569"/>
      <c r="AE2655" s="569"/>
      <c r="AF2655" s="569"/>
      <c r="AG2655" s="569"/>
      <c r="AH2655" s="569"/>
      <c r="AI2655" s="569"/>
      <c r="AJ2655" s="569"/>
      <c r="AK2655" s="569"/>
      <c r="AL2655" s="569">
        <v>582.03</v>
      </c>
      <c r="AM2655" s="569">
        <v>3492.6299999999997</v>
      </c>
      <c r="AN2655" s="569">
        <v>737.31</v>
      </c>
      <c r="AO2655" s="569">
        <v>3729.75</v>
      </c>
    </row>
    <row r="2656" spans="1:44" s="173" customFormat="1" hidden="1" outlineLevel="2">
      <c r="A2656" s="578">
        <v>500</v>
      </c>
      <c r="B2656" s="781">
        <v>203658</v>
      </c>
      <c r="C2656" s="375" t="s">
        <v>1384</v>
      </c>
      <c r="D2656" s="226"/>
      <c r="E2656" s="375" t="s">
        <v>1843</v>
      </c>
      <c r="F2656" s="23"/>
      <c r="G2656" s="23"/>
      <c r="H2656" s="23"/>
      <c r="I2656" s="23"/>
      <c r="J2656" s="23"/>
      <c r="K2656" s="23"/>
      <c r="L2656" s="23"/>
      <c r="M2656" s="23"/>
      <c r="N2656" s="23"/>
      <c r="O2656" s="23"/>
      <c r="P2656" s="23"/>
      <c r="Q2656" s="23"/>
      <c r="R2656" s="23"/>
      <c r="S2656" s="23"/>
      <c r="T2656" s="23"/>
      <c r="U2656" s="23"/>
      <c r="V2656" s="569"/>
      <c r="W2656" s="569"/>
      <c r="X2656" s="569"/>
      <c r="Y2656" s="569"/>
      <c r="Z2656" s="569"/>
      <c r="AA2656" s="569"/>
      <c r="AB2656" s="569"/>
      <c r="AC2656" s="569"/>
      <c r="AD2656" s="569"/>
      <c r="AE2656" s="569"/>
      <c r="AF2656" s="569"/>
      <c r="AG2656" s="569"/>
      <c r="AH2656" s="569"/>
      <c r="AI2656" s="569"/>
      <c r="AJ2656" s="569"/>
      <c r="AK2656" s="569"/>
      <c r="AL2656" s="569">
        <v>0</v>
      </c>
      <c r="AM2656" s="569">
        <v>55</v>
      </c>
      <c r="AN2656" s="569">
        <v>101</v>
      </c>
      <c r="AO2656" s="569">
        <v>155</v>
      </c>
    </row>
    <row r="2657" spans="1:44" s="173" customFormat="1" hidden="1" outlineLevel="2">
      <c r="A2657" s="578">
        <v>510</v>
      </c>
      <c r="B2657" s="781">
        <v>203599</v>
      </c>
      <c r="C2657" s="375" t="s">
        <v>1384</v>
      </c>
      <c r="D2657" s="226"/>
      <c r="E2657" s="375" t="s">
        <v>1687</v>
      </c>
      <c r="F2657" s="23"/>
      <c r="G2657" s="23"/>
      <c r="H2657" s="23"/>
      <c r="I2657" s="23"/>
      <c r="J2657" s="23"/>
      <c r="K2657" s="23"/>
      <c r="L2657" s="23"/>
      <c r="M2657" s="23"/>
      <c r="N2657" s="23"/>
      <c r="O2657" s="23"/>
      <c r="P2657" s="23"/>
      <c r="Q2657" s="23"/>
      <c r="R2657" s="23"/>
      <c r="S2657" s="23"/>
      <c r="T2657" s="23"/>
      <c r="U2657" s="23"/>
      <c r="V2657" s="569"/>
      <c r="W2657" s="569"/>
      <c r="X2657" s="569"/>
      <c r="Y2657" s="569"/>
      <c r="Z2657" s="569"/>
      <c r="AA2657" s="569"/>
      <c r="AB2657" s="569"/>
      <c r="AC2657" s="569"/>
      <c r="AD2657" s="569"/>
      <c r="AE2657" s="569"/>
      <c r="AF2657" s="569"/>
      <c r="AG2657" s="569"/>
      <c r="AH2657" s="569"/>
      <c r="AI2657" s="569"/>
      <c r="AJ2657" s="569"/>
      <c r="AK2657" s="569"/>
      <c r="AL2657" s="569">
        <v>0</v>
      </c>
      <c r="AM2657" s="569">
        <v>50</v>
      </c>
      <c r="AN2657" s="569">
        <v>100</v>
      </c>
      <c r="AO2657" s="569">
        <v>196</v>
      </c>
    </row>
    <row r="2658" spans="1:44" s="173" customFormat="1" hidden="1" outlineLevel="2">
      <c r="A2658" s="578"/>
      <c r="B2658" s="1218">
        <v>203652</v>
      </c>
      <c r="C2658" s="1049" t="s">
        <v>1384</v>
      </c>
      <c r="D2658" s="226"/>
      <c r="E2658" s="1219" t="s">
        <v>2158</v>
      </c>
      <c r="F2658" s="1060"/>
      <c r="G2658" s="1060"/>
      <c r="H2658" s="1060"/>
      <c r="I2658" s="1060"/>
      <c r="J2658" s="1060"/>
      <c r="K2658" s="1060"/>
      <c r="L2658" s="1060"/>
      <c r="M2658" s="1060"/>
      <c r="N2658" s="1060"/>
      <c r="O2658" s="1060"/>
      <c r="P2658" s="1060"/>
      <c r="Q2658" s="1060"/>
      <c r="R2658" s="1060"/>
      <c r="S2658" s="1060"/>
      <c r="T2658" s="1060"/>
      <c r="U2658" s="1060"/>
      <c r="V2658" s="569"/>
      <c r="W2658" s="569"/>
      <c r="X2658" s="569"/>
      <c r="Y2658" s="569"/>
      <c r="Z2658" s="569"/>
      <c r="AA2658" s="569"/>
      <c r="AB2658" s="569"/>
      <c r="AC2658" s="569"/>
      <c r="AD2658" s="569"/>
      <c r="AE2658" s="569"/>
      <c r="AF2658" s="569"/>
      <c r="AG2658" s="569"/>
      <c r="AH2658" s="569"/>
      <c r="AI2658" s="569"/>
      <c r="AJ2658" s="569"/>
      <c r="AK2658" s="569"/>
      <c r="AL2658" s="569"/>
      <c r="AM2658" s="569"/>
      <c r="AN2658" s="569"/>
      <c r="AO2658" s="569">
        <v>0</v>
      </c>
      <c r="AR2658" s="330"/>
    </row>
    <row r="2659" spans="1:44" s="330" customFormat="1" hidden="1" outlineLevel="2">
      <c r="A2659" s="66"/>
      <c r="B2659" s="575">
        <v>445566</v>
      </c>
      <c r="C2659" s="226" t="s">
        <v>1384</v>
      </c>
      <c r="D2659" s="226"/>
      <c r="E2659" s="226" t="s">
        <v>1385</v>
      </c>
      <c r="F2659" s="226"/>
      <c r="G2659" s="226"/>
      <c r="H2659" s="226"/>
      <c r="I2659" s="226"/>
      <c r="J2659" s="226"/>
      <c r="K2659" s="226"/>
      <c r="L2659" s="226"/>
      <c r="M2659" s="226"/>
      <c r="N2659" s="226"/>
      <c r="O2659" s="226"/>
      <c r="P2659" s="226"/>
      <c r="Q2659" s="226"/>
      <c r="R2659" s="226"/>
      <c r="S2659" s="226"/>
      <c r="T2659" s="226"/>
      <c r="U2659" s="226"/>
      <c r="V2659" s="574"/>
      <c r="W2659" s="574">
        <v>12926.800000000001</v>
      </c>
      <c r="X2659" s="574">
        <v>13634.8</v>
      </c>
      <c r="Y2659" s="574">
        <v>14435.82</v>
      </c>
      <c r="Z2659" s="574">
        <v>14897.73</v>
      </c>
      <c r="AA2659" s="574">
        <v>15618.779999999999</v>
      </c>
      <c r="AB2659" s="574">
        <v>16260.650000000001</v>
      </c>
      <c r="AC2659" s="574">
        <v>16810.060000000001</v>
      </c>
      <c r="AD2659" s="574">
        <v>17538.32</v>
      </c>
      <c r="AE2659" s="574">
        <v>18834.41</v>
      </c>
      <c r="AF2659" s="574">
        <v>20261.990000000005</v>
      </c>
      <c r="AG2659" s="574">
        <v>21822.18</v>
      </c>
      <c r="AH2659" s="574">
        <v>22995.910000000003</v>
      </c>
      <c r="AI2659" s="574">
        <v>23535.68</v>
      </c>
      <c r="AJ2659" s="574">
        <v>24229.5</v>
      </c>
      <c r="AK2659" s="574">
        <f>SUM(AK2646:AK2658)</f>
        <v>24650.989999999998</v>
      </c>
      <c r="AL2659" s="574">
        <f>SUM(AL2646:AL2658)</f>
        <v>25420.019999999997</v>
      </c>
      <c r="AM2659" s="574">
        <f>SUM(AM2646:AM2658)</f>
        <v>26638.57</v>
      </c>
      <c r="AN2659" s="574">
        <f>SUM(AN2646:AN2658)</f>
        <v>27608.730000000003</v>
      </c>
      <c r="AO2659" s="574">
        <f>SUM(AO2646:AO2658)</f>
        <v>28154.75</v>
      </c>
      <c r="AR2659" s="66"/>
    </row>
    <row r="2660" spans="1:44" s="66" customFormat="1" hidden="1" outlineLevel="1">
      <c r="B2660" s="295"/>
      <c r="C2660" s="223" t="s">
        <v>1111</v>
      </c>
      <c r="D2660" s="223"/>
      <c r="E2660" s="224" t="s">
        <v>1922</v>
      </c>
      <c r="F2660" s="27"/>
      <c r="G2660" s="27"/>
      <c r="H2660" s="27"/>
      <c r="I2660" s="27"/>
      <c r="J2660" s="27"/>
      <c r="K2660" s="27"/>
      <c r="L2660" s="27"/>
      <c r="M2660" s="27"/>
      <c r="N2660" s="27"/>
      <c r="O2660" s="27"/>
      <c r="P2660" s="27"/>
      <c r="Q2660" s="27"/>
      <c r="R2660" s="27"/>
      <c r="S2660" s="27"/>
      <c r="T2660" s="27"/>
      <c r="U2660" s="27"/>
      <c r="V2660" s="27"/>
      <c r="W2660" s="12">
        <v>4484</v>
      </c>
      <c r="X2660" s="12">
        <v>4522</v>
      </c>
      <c r="Y2660" s="12">
        <v>4541</v>
      </c>
      <c r="Z2660" s="12">
        <v>4599</v>
      </c>
      <c r="AA2660" s="12">
        <v>4680</v>
      </c>
      <c r="AB2660" s="12">
        <v>4765</v>
      </c>
      <c r="AC2660" s="12">
        <v>4935</v>
      </c>
      <c r="AD2660" s="12">
        <v>5059</v>
      </c>
      <c r="AE2660" s="12">
        <v>5230</v>
      </c>
      <c r="AF2660" s="12">
        <v>4760</v>
      </c>
      <c r="AG2660" s="12">
        <v>5645</v>
      </c>
      <c r="AH2660" s="12">
        <v>5848</v>
      </c>
      <c r="AI2660" s="14">
        <v>6113</v>
      </c>
      <c r="AJ2660" s="14">
        <v>6244</v>
      </c>
      <c r="AK2660" s="14">
        <v>6416</v>
      </c>
      <c r="AL2660" s="14">
        <v>7981</v>
      </c>
      <c r="AM2660" s="14">
        <v>8135</v>
      </c>
      <c r="AN2660" s="1071">
        <v>8255</v>
      </c>
      <c r="AO2660" s="1071">
        <v>7909</v>
      </c>
      <c r="AR2660" s="173"/>
    </row>
    <row r="2661" spans="1:44" collapsed="1">
      <c r="C2661" s="25" t="s">
        <v>1621</v>
      </c>
      <c r="D2661" s="25"/>
      <c r="E2661" s="6"/>
      <c r="F2661" s="6"/>
      <c r="G2661" s="6"/>
      <c r="H2661" s="6"/>
      <c r="I2661" s="6"/>
      <c r="J2661" s="6"/>
      <c r="K2661" s="6"/>
      <c r="L2661" s="6"/>
      <c r="M2661" s="6"/>
      <c r="N2661" s="6"/>
      <c r="O2661" s="6"/>
      <c r="P2661" s="6"/>
      <c r="Q2661" s="6"/>
      <c r="R2661" s="6"/>
      <c r="S2661" s="6"/>
      <c r="T2661" s="6"/>
      <c r="U2661" s="6"/>
      <c r="V2661" s="6"/>
      <c r="W2661" s="6"/>
      <c r="X2661" s="6"/>
      <c r="Y2661" s="6"/>
      <c r="Z2661" s="6"/>
      <c r="AA2661" s="6"/>
      <c r="AB2661" s="7"/>
      <c r="AC2661" s="7"/>
      <c r="AD2661" s="7"/>
      <c r="AE2661" s="7"/>
      <c r="AF2661" s="7"/>
      <c r="AG2661" s="7"/>
      <c r="AH2661" s="61"/>
      <c r="AI2661" s="61"/>
      <c r="AJ2661" s="26"/>
      <c r="AK2661" s="26"/>
      <c r="AL2661" s="26"/>
      <c r="AM2661" s="26"/>
      <c r="AN2661" s="26"/>
      <c r="AO2661" s="1069"/>
      <c r="AP2661" s="1044"/>
    </row>
    <row r="2662" spans="1:44" s="173" customFormat="1" hidden="1" outlineLevel="1">
      <c r="A2662" s="579">
        <v>550</v>
      </c>
      <c r="B2662" s="568">
        <v>3634</v>
      </c>
      <c r="C2662" s="375" t="s">
        <v>1384</v>
      </c>
      <c r="D2662" s="226"/>
      <c r="E2662" s="23" t="s">
        <v>1381</v>
      </c>
      <c r="F2662" s="23"/>
      <c r="G2662" s="23"/>
      <c r="H2662" s="23"/>
      <c r="I2662" s="23"/>
      <c r="J2662" s="23"/>
      <c r="K2662" s="570"/>
      <c r="L2662" s="570"/>
      <c r="M2662" s="570"/>
      <c r="N2662" s="570"/>
      <c r="O2662" s="570"/>
      <c r="P2662" s="570">
        <v>4206.9799999999996</v>
      </c>
      <c r="Q2662" s="570">
        <v>4097.88</v>
      </c>
      <c r="R2662" s="570">
        <v>4378.21</v>
      </c>
      <c r="S2662" s="570">
        <v>4758.87</v>
      </c>
      <c r="T2662" s="570">
        <v>5083.3900000000003</v>
      </c>
      <c r="U2662" s="570">
        <v>5031.1499999999996</v>
      </c>
      <c r="V2662" s="570">
        <v>4071.7</v>
      </c>
      <c r="W2662" s="570">
        <v>4050.52</v>
      </c>
      <c r="X2662" s="570">
        <v>4074.18</v>
      </c>
      <c r="Y2662" s="570">
        <v>4358.6400000000003</v>
      </c>
      <c r="Z2662" s="570">
        <v>4363.0600000000004</v>
      </c>
      <c r="AA2662" s="570">
        <v>4523.26</v>
      </c>
      <c r="AB2662" s="570">
        <v>4417.1499999999996</v>
      </c>
      <c r="AC2662" s="570">
        <v>4227.21</v>
      </c>
      <c r="AD2662" s="570">
        <v>4185.54</v>
      </c>
      <c r="AE2662" s="570">
        <v>4475.91</v>
      </c>
      <c r="AF2662" s="570">
        <v>5742.55</v>
      </c>
      <c r="AG2662" s="570">
        <v>5310.54</v>
      </c>
      <c r="AH2662" s="569">
        <v>4691.5</v>
      </c>
      <c r="AI2662" s="569">
        <v>4162.55</v>
      </c>
      <c r="AJ2662" s="58">
        <v>3933.95</v>
      </c>
      <c r="AK2662" s="692">
        <v>3835.6</v>
      </c>
      <c r="AL2662" s="58">
        <v>3618.17</v>
      </c>
      <c r="AM2662" s="922">
        <v>1010.83</v>
      </c>
      <c r="AN2662" s="922">
        <v>3538.7</v>
      </c>
      <c r="AO2662" s="922">
        <v>3439.86</v>
      </c>
    </row>
    <row r="2663" spans="1:44" s="173" customFormat="1" hidden="1" outlineLevel="1">
      <c r="A2663" s="579">
        <v>520</v>
      </c>
      <c r="B2663" s="568">
        <v>9225</v>
      </c>
      <c r="C2663" s="375" t="s">
        <v>1384</v>
      </c>
      <c r="D2663" s="226"/>
      <c r="E2663" s="23" t="s">
        <v>1379</v>
      </c>
      <c r="F2663" s="23"/>
      <c r="G2663" s="23"/>
      <c r="H2663" s="23"/>
      <c r="I2663" s="23"/>
      <c r="J2663" s="23"/>
      <c r="K2663" s="570"/>
      <c r="L2663" s="570"/>
      <c r="M2663" s="570"/>
      <c r="N2663" s="570"/>
      <c r="O2663" s="570"/>
      <c r="P2663" s="570">
        <v>2853.47</v>
      </c>
      <c r="Q2663" s="570">
        <v>3261.59</v>
      </c>
      <c r="R2663" s="570">
        <v>3273.28</v>
      </c>
      <c r="S2663" s="570">
        <v>3424.07</v>
      </c>
      <c r="T2663" s="570">
        <v>3456.74</v>
      </c>
      <c r="U2663" s="570">
        <v>3549.84</v>
      </c>
      <c r="V2663" s="570">
        <v>3217.7</v>
      </c>
      <c r="W2663" s="570">
        <v>2919.12</v>
      </c>
      <c r="X2663" s="570">
        <v>3378.53</v>
      </c>
      <c r="Y2663" s="570">
        <v>3773.7</v>
      </c>
      <c r="Z2663" s="570">
        <v>3725.53</v>
      </c>
      <c r="AA2663" s="570">
        <v>4108.5600000000004</v>
      </c>
      <c r="AB2663" s="570">
        <v>3686.4</v>
      </c>
      <c r="AC2663" s="570">
        <v>3611.02</v>
      </c>
      <c r="AD2663" s="570">
        <v>3868.14</v>
      </c>
      <c r="AE2663" s="570">
        <v>4127.08</v>
      </c>
      <c r="AF2663" s="570">
        <v>4578.62</v>
      </c>
      <c r="AG2663" s="570">
        <v>4545.75</v>
      </c>
      <c r="AH2663" s="569">
        <v>4217.9799999999996</v>
      </c>
      <c r="AI2663" s="569">
        <v>4148.41</v>
      </c>
      <c r="AJ2663" s="58">
        <v>4248.29</v>
      </c>
      <c r="AK2663" s="692">
        <v>4081.58</v>
      </c>
      <c r="AL2663" s="58">
        <v>3792.14</v>
      </c>
      <c r="AM2663" s="922">
        <v>3682.89</v>
      </c>
      <c r="AN2663" s="922">
        <v>3482.61</v>
      </c>
      <c r="AO2663" s="922">
        <v>3012.98</v>
      </c>
    </row>
    <row r="2664" spans="1:44" s="173" customFormat="1" hidden="1" outlineLevel="1">
      <c r="A2664" s="579">
        <v>530</v>
      </c>
      <c r="B2664" s="568">
        <v>9932</v>
      </c>
      <c r="C2664" s="375" t="s">
        <v>1384</v>
      </c>
      <c r="D2664" s="226"/>
      <c r="E2664" s="375" t="s">
        <v>1470</v>
      </c>
      <c r="F2664" s="23"/>
      <c r="G2664" s="23"/>
      <c r="H2664" s="23"/>
      <c r="I2664" s="23"/>
      <c r="J2664" s="23"/>
      <c r="K2664" s="570"/>
      <c r="L2664" s="570"/>
      <c r="M2664" s="570"/>
      <c r="N2664" s="570"/>
      <c r="O2664" s="570"/>
      <c r="P2664" s="570">
        <v>1517.41</v>
      </c>
      <c r="Q2664" s="570">
        <v>1621</v>
      </c>
      <c r="R2664" s="570">
        <v>1393.55</v>
      </c>
      <c r="S2664" s="570">
        <v>1366.65</v>
      </c>
      <c r="T2664" s="570">
        <v>1343.5</v>
      </c>
      <c r="U2664" s="570">
        <v>1471.89</v>
      </c>
      <c r="V2664" s="570">
        <v>1553.01</v>
      </c>
      <c r="W2664" s="570">
        <v>1698.45</v>
      </c>
      <c r="X2664" s="570">
        <v>1815.64</v>
      </c>
      <c r="Y2664" s="570">
        <v>2031.22</v>
      </c>
      <c r="Z2664" s="570">
        <v>2029.21</v>
      </c>
      <c r="AA2664" s="570">
        <v>2041.25</v>
      </c>
      <c r="AB2664" s="570">
        <v>1829.44</v>
      </c>
      <c r="AC2664" s="570">
        <v>1846.17</v>
      </c>
      <c r="AD2664" s="570">
        <v>1682.94</v>
      </c>
      <c r="AE2664" s="570">
        <v>1520.92</v>
      </c>
      <c r="AF2664" s="570">
        <v>1423.25</v>
      </c>
      <c r="AG2664" s="570">
        <v>969.93</v>
      </c>
      <c r="AH2664" s="569">
        <v>831.28</v>
      </c>
      <c r="AI2664" s="569">
        <v>800.02</v>
      </c>
      <c r="AJ2664" s="58">
        <v>966.66</v>
      </c>
      <c r="AK2664" s="692">
        <v>952.39</v>
      </c>
      <c r="AL2664" s="58">
        <v>885.43</v>
      </c>
      <c r="AM2664" s="922">
        <v>654.86</v>
      </c>
      <c r="AN2664" s="922">
        <v>989.96</v>
      </c>
      <c r="AO2664" s="922">
        <v>1112.19</v>
      </c>
    </row>
    <row r="2665" spans="1:44" s="173" customFormat="1" hidden="1" outlineLevel="1">
      <c r="A2665" s="579">
        <v>540</v>
      </c>
      <c r="B2665" s="568">
        <v>33965</v>
      </c>
      <c r="C2665" s="375" t="s">
        <v>1384</v>
      </c>
      <c r="D2665" s="226"/>
      <c r="E2665" s="23" t="s">
        <v>1380</v>
      </c>
      <c r="F2665" s="23"/>
      <c r="G2665" s="23"/>
      <c r="H2665" s="23"/>
      <c r="I2665" s="23"/>
      <c r="J2665" s="23"/>
      <c r="K2665" s="570"/>
      <c r="L2665" s="570"/>
      <c r="M2665" s="570"/>
      <c r="N2665" s="570"/>
      <c r="O2665" s="570"/>
      <c r="P2665" s="570">
        <v>0</v>
      </c>
      <c r="Q2665" s="570">
        <v>0</v>
      </c>
      <c r="R2665" s="570">
        <v>0</v>
      </c>
      <c r="S2665" s="570">
        <v>0</v>
      </c>
      <c r="T2665" s="570">
        <v>0</v>
      </c>
      <c r="U2665" s="570">
        <v>0</v>
      </c>
      <c r="V2665" s="570">
        <v>520</v>
      </c>
      <c r="W2665" s="570">
        <v>522.34</v>
      </c>
      <c r="X2665" s="570">
        <v>589.84</v>
      </c>
      <c r="Y2665" s="570">
        <v>640.33000000000004</v>
      </c>
      <c r="Z2665" s="570">
        <v>624.96</v>
      </c>
      <c r="AA2665" s="570">
        <v>576.77</v>
      </c>
      <c r="AB2665" s="570">
        <v>504.13</v>
      </c>
      <c r="AC2665" s="570">
        <v>492.53</v>
      </c>
      <c r="AD2665" s="570">
        <v>584.64</v>
      </c>
      <c r="AE2665" s="570">
        <v>690.03</v>
      </c>
      <c r="AF2665" s="570">
        <v>820.24</v>
      </c>
      <c r="AG2665" s="570">
        <v>787.84</v>
      </c>
      <c r="AH2665" s="569">
        <v>665.41</v>
      </c>
      <c r="AI2665" s="569">
        <v>640.79999999999995</v>
      </c>
      <c r="AJ2665" s="58">
        <v>629.07000000000005</v>
      </c>
      <c r="AK2665" s="692">
        <v>649.42999999999995</v>
      </c>
      <c r="AL2665" s="58">
        <v>718.57</v>
      </c>
      <c r="AM2665" s="922">
        <v>3972.61</v>
      </c>
      <c r="AN2665" s="922">
        <v>481.43</v>
      </c>
      <c r="AO2665" s="922">
        <v>413.11</v>
      </c>
    </row>
    <row r="2666" spans="1:44" s="173" customFormat="1" hidden="1" outlineLevel="1">
      <c r="A2666" s="1080">
        <v>552</v>
      </c>
      <c r="B2666" s="1081">
        <v>133965</v>
      </c>
      <c r="C2666" s="1049" t="s">
        <v>1384</v>
      </c>
      <c r="D2666" s="226"/>
      <c r="E2666" s="1079" t="s">
        <v>1923</v>
      </c>
      <c r="F2666" s="1060"/>
      <c r="G2666" s="1060"/>
      <c r="H2666" s="1060"/>
      <c r="I2666" s="1060"/>
      <c r="J2666" s="1060"/>
      <c r="K2666" s="570"/>
      <c r="L2666" s="570"/>
      <c r="M2666" s="570"/>
      <c r="N2666" s="570"/>
      <c r="O2666" s="570"/>
      <c r="P2666" s="570"/>
      <c r="Q2666" s="570"/>
      <c r="R2666" s="570"/>
      <c r="S2666" s="570"/>
      <c r="T2666" s="570"/>
      <c r="U2666" s="570"/>
      <c r="V2666" s="570"/>
      <c r="W2666" s="570"/>
      <c r="X2666" s="570"/>
      <c r="Y2666" s="570"/>
      <c r="Z2666" s="570"/>
      <c r="AA2666" s="570"/>
      <c r="AB2666" s="570"/>
      <c r="AC2666" s="570"/>
      <c r="AD2666" s="570"/>
      <c r="AE2666" s="570"/>
      <c r="AF2666" s="570"/>
      <c r="AG2666" s="570"/>
      <c r="AH2666" s="569"/>
      <c r="AI2666" s="569"/>
      <c r="AJ2666" s="922"/>
      <c r="AK2666" s="692"/>
      <c r="AL2666" s="922"/>
      <c r="AM2666" s="922">
        <v>190.53</v>
      </c>
      <c r="AN2666" s="922">
        <v>226.1</v>
      </c>
      <c r="AO2666" s="922">
        <v>195.07</v>
      </c>
    </row>
    <row r="2667" spans="1:44" s="173" customFormat="1" hidden="1" outlineLevel="1">
      <c r="A2667" s="1080">
        <v>553</v>
      </c>
      <c r="B2667" s="1081">
        <v>203634</v>
      </c>
      <c r="C2667" s="1049" t="s">
        <v>1384</v>
      </c>
      <c r="D2667" s="226"/>
      <c r="E2667" s="1078" t="s">
        <v>1924</v>
      </c>
      <c r="F2667" s="1060"/>
      <c r="G2667" s="1060"/>
      <c r="H2667" s="1060"/>
      <c r="I2667" s="1060"/>
      <c r="J2667" s="1060"/>
      <c r="K2667" s="570"/>
      <c r="L2667" s="570"/>
      <c r="M2667" s="570"/>
      <c r="N2667" s="570"/>
      <c r="O2667" s="570"/>
      <c r="P2667" s="570"/>
      <c r="Q2667" s="570"/>
      <c r="R2667" s="570"/>
      <c r="S2667" s="570"/>
      <c r="T2667" s="570"/>
      <c r="U2667" s="570"/>
      <c r="V2667" s="570"/>
      <c r="W2667" s="570"/>
      <c r="X2667" s="570"/>
      <c r="Y2667" s="570"/>
      <c r="Z2667" s="570"/>
      <c r="AA2667" s="570"/>
      <c r="AB2667" s="570"/>
      <c r="AC2667" s="570"/>
      <c r="AD2667" s="570"/>
      <c r="AE2667" s="570"/>
      <c r="AF2667" s="570"/>
      <c r="AG2667" s="570"/>
      <c r="AH2667" s="569"/>
      <c r="AI2667" s="569"/>
      <c r="AJ2667" s="922"/>
      <c r="AK2667" s="692"/>
      <c r="AL2667" s="922"/>
      <c r="AM2667" s="692">
        <v>273.5</v>
      </c>
      <c r="AN2667" s="692">
        <v>328.63</v>
      </c>
      <c r="AO2667" s="692">
        <v>371.8</v>
      </c>
      <c r="AR2667" s="330"/>
    </row>
    <row r="2668" spans="1:44" s="330" customFormat="1" hidden="1" outlineLevel="1">
      <c r="A2668" s="66"/>
      <c r="B2668" s="575">
        <v>445566</v>
      </c>
      <c r="C2668" s="226" t="s">
        <v>1384</v>
      </c>
      <c r="D2668" s="226"/>
      <c r="E2668" s="226" t="s">
        <v>1387</v>
      </c>
      <c r="F2668" s="226"/>
      <c r="G2668" s="226"/>
      <c r="H2668" s="226"/>
      <c r="I2668" s="226"/>
      <c r="J2668" s="226"/>
      <c r="K2668" s="574"/>
      <c r="L2668" s="574"/>
      <c r="M2668" s="574"/>
      <c r="N2668" s="574"/>
      <c r="O2668" s="574"/>
      <c r="P2668" s="693">
        <f t="shared" ref="P2668:AJ2668" si="485">SUM(P2662:P2667)</f>
        <v>8577.8599999999988</v>
      </c>
      <c r="Q2668" s="693">
        <f t="shared" si="485"/>
        <v>8980.4700000000012</v>
      </c>
      <c r="R2668" s="693">
        <f t="shared" si="485"/>
        <v>9045.0399999999991</v>
      </c>
      <c r="S2668" s="693">
        <f t="shared" si="485"/>
        <v>9549.59</v>
      </c>
      <c r="T2668" s="693">
        <f t="shared" si="485"/>
        <v>9883.630000000001</v>
      </c>
      <c r="U2668" s="693">
        <f t="shared" si="485"/>
        <v>10052.879999999999</v>
      </c>
      <c r="V2668" s="693">
        <f t="shared" si="485"/>
        <v>9362.41</v>
      </c>
      <c r="W2668" s="693">
        <f t="shared" si="485"/>
        <v>9190.43</v>
      </c>
      <c r="X2668" s="693">
        <f t="shared" si="485"/>
        <v>9858.19</v>
      </c>
      <c r="Y2668" s="693">
        <f t="shared" si="485"/>
        <v>10803.89</v>
      </c>
      <c r="Z2668" s="693">
        <f t="shared" si="485"/>
        <v>10742.759999999998</v>
      </c>
      <c r="AA2668" s="693">
        <f t="shared" si="485"/>
        <v>11249.84</v>
      </c>
      <c r="AB2668" s="693">
        <f t="shared" si="485"/>
        <v>10437.119999999999</v>
      </c>
      <c r="AC2668" s="693">
        <f t="shared" si="485"/>
        <v>10176.93</v>
      </c>
      <c r="AD2668" s="693">
        <f t="shared" si="485"/>
        <v>10321.26</v>
      </c>
      <c r="AE2668" s="693">
        <f t="shared" si="485"/>
        <v>10813.94</v>
      </c>
      <c r="AF2668" s="693">
        <f t="shared" si="485"/>
        <v>12564.66</v>
      </c>
      <c r="AG2668" s="693">
        <f t="shared" si="485"/>
        <v>11614.060000000001</v>
      </c>
      <c r="AH2668" s="693">
        <f t="shared" si="485"/>
        <v>10406.17</v>
      </c>
      <c r="AI2668" s="693">
        <f t="shared" si="485"/>
        <v>9751.7799999999988</v>
      </c>
      <c r="AJ2668" s="693">
        <f t="shared" si="485"/>
        <v>9777.9699999999993</v>
      </c>
      <c r="AK2668" s="693">
        <f>SUM(AK2662:AK2667)</f>
        <v>9519</v>
      </c>
      <c r="AL2668" s="693">
        <f>SUM(AL2662:AL2667)</f>
        <v>9014.31</v>
      </c>
      <c r="AM2668" s="693">
        <f>SUM(AM2662:AM2667)</f>
        <v>9785.2200000000012</v>
      </c>
      <c r="AN2668" s="693">
        <f>SUM(AN2662:AN2667)</f>
        <v>9047.4299999999985</v>
      </c>
      <c r="AO2668" s="693">
        <f>SUM(AO2662:AO2667)</f>
        <v>8545.01</v>
      </c>
      <c r="AR2668"/>
    </row>
    <row r="2669" spans="1:44" collapsed="1">
      <c r="B2669" s="568"/>
      <c r="C2669" s="25" t="s">
        <v>1622</v>
      </c>
      <c r="D2669" s="25"/>
      <c r="E2669" s="6"/>
      <c r="F2669" s="6"/>
      <c r="G2669" s="6"/>
      <c r="H2669" s="6"/>
      <c r="I2669" s="6"/>
      <c r="J2669" s="6"/>
      <c r="K2669" s="7"/>
      <c r="L2669" s="7"/>
      <c r="M2669" s="7"/>
      <c r="N2669" s="7"/>
      <c r="O2669" s="7"/>
      <c r="P2669" s="7"/>
      <c r="Q2669" s="7"/>
      <c r="R2669" s="7"/>
      <c r="S2669" s="7"/>
      <c r="T2669" s="7"/>
      <c r="U2669" s="7"/>
      <c r="V2669" s="7"/>
      <c r="W2669" s="7"/>
      <c r="X2669" s="7"/>
      <c r="Y2669" s="7"/>
      <c r="Z2669" s="7"/>
      <c r="AA2669" s="7"/>
      <c r="AB2669" s="7"/>
      <c r="AC2669" s="7"/>
      <c r="AD2669" s="7"/>
      <c r="AE2669" s="7"/>
      <c r="AF2669" s="7"/>
      <c r="AG2669" s="7"/>
      <c r="AH2669" s="61"/>
      <c r="AI2669" s="61"/>
      <c r="AJ2669" s="26"/>
      <c r="AK2669" s="26"/>
      <c r="AL2669" s="26"/>
      <c r="AM2669" s="26"/>
      <c r="AN2669" s="26"/>
      <c r="AO2669" s="1069"/>
      <c r="AP2669" s="1044"/>
      <c r="AR2669" s="173"/>
    </row>
    <row r="2670" spans="1:44" s="173" customFormat="1" hidden="1" outlineLevel="1">
      <c r="A2670" s="579">
        <v>490</v>
      </c>
      <c r="B2670" s="568">
        <v>36273</v>
      </c>
      <c r="C2670" s="375" t="s">
        <v>1384</v>
      </c>
      <c r="D2670" s="226"/>
      <c r="E2670" s="23" t="s">
        <v>739</v>
      </c>
      <c r="F2670" s="23"/>
      <c r="G2670" s="23"/>
      <c r="H2670" s="23"/>
      <c r="I2670" s="23"/>
      <c r="J2670" s="23"/>
      <c r="K2670" s="570"/>
      <c r="L2670" s="570"/>
      <c r="M2670" s="570"/>
      <c r="N2670" s="570"/>
      <c r="O2670" s="570"/>
      <c r="P2670" s="570">
        <v>1053.25</v>
      </c>
      <c r="Q2670" s="570">
        <v>982.23</v>
      </c>
      <c r="R2670" s="570">
        <v>1023.19</v>
      </c>
      <c r="S2670" s="570">
        <v>1241.3399999999999</v>
      </c>
      <c r="T2670" s="570">
        <v>1406.14</v>
      </c>
      <c r="U2670" s="570">
        <v>1777.89</v>
      </c>
      <c r="V2670" s="570">
        <v>1875.78</v>
      </c>
      <c r="W2670" s="570">
        <v>1912.91</v>
      </c>
      <c r="X2670" s="570">
        <v>1881.72</v>
      </c>
      <c r="Y2670" s="570">
        <v>1957.37</v>
      </c>
      <c r="Z2670" s="570">
        <v>2036.71</v>
      </c>
      <c r="AA2670" s="570">
        <v>2057.88</v>
      </c>
      <c r="AB2670" s="570">
        <v>2059.0300000000002</v>
      </c>
      <c r="AC2670" s="570">
        <v>1995.36</v>
      </c>
      <c r="AD2670" s="570">
        <v>2169.0300000000002</v>
      </c>
      <c r="AE2670" s="570">
        <v>2394.8200000000002</v>
      </c>
      <c r="AF2670" s="570">
        <v>2445.1</v>
      </c>
      <c r="AG2670" s="570">
        <v>2367.86</v>
      </c>
      <c r="AH2670" s="569">
        <v>2186.09</v>
      </c>
      <c r="AI2670" s="569">
        <v>2109.0700000000002</v>
      </c>
      <c r="AJ2670" s="58">
        <v>2108.48</v>
      </c>
      <c r="AK2670" s="58">
        <v>2087.34</v>
      </c>
      <c r="AL2670" s="58">
        <v>2191.52</v>
      </c>
      <c r="AM2670" s="58">
        <v>2114.0700000000002</v>
      </c>
      <c r="AN2670" s="922">
        <v>2212.84</v>
      </c>
      <c r="AO2670" s="922">
        <v>1982.88</v>
      </c>
    </row>
    <row r="2671" spans="1:44" s="173" customFormat="1" hidden="1" outlineLevel="1">
      <c r="A2671" s="579">
        <v>510</v>
      </c>
      <c r="B2671" s="568">
        <v>23485</v>
      </c>
      <c r="C2671" s="375" t="s">
        <v>1384</v>
      </c>
      <c r="D2671" s="226"/>
      <c r="E2671" s="23" t="s">
        <v>1383</v>
      </c>
      <c r="F2671" s="23"/>
      <c r="G2671" s="23"/>
      <c r="H2671" s="23"/>
      <c r="I2671" s="23"/>
      <c r="J2671" s="23"/>
      <c r="K2671" s="570"/>
      <c r="L2671" s="570"/>
      <c r="M2671" s="570"/>
      <c r="N2671" s="570"/>
      <c r="O2671" s="570"/>
      <c r="P2671" s="570">
        <v>1787.11</v>
      </c>
      <c r="Q2671" s="570">
        <v>1792.98</v>
      </c>
      <c r="R2671" s="570">
        <v>1750.21</v>
      </c>
      <c r="S2671" s="570">
        <v>1948.99</v>
      </c>
      <c r="T2671" s="570">
        <v>1952.15</v>
      </c>
      <c r="U2671" s="570">
        <v>1979.47</v>
      </c>
      <c r="V2671" s="570">
        <v>1933.39</v>
      </c>
      <c r="W2671" s="570">
        <v>2076.61</v>
      </c>
      <c r="X2671" s="570">
        <v>2127.5500000000002</v>
      </c>
      <c r="Y2671" s="570">
        <v>2036.62</v>
      </c>
      <c r="Z2671" s="570">
        <v>2051.2600000000002</v>
      </c>
      <c r="AA2671" s="570">
        <v>2044.19</v>
      </c>
      <c r="AB2671" s="570">
        <v>1880.26</v>
      </c>
      <c r="AC2671" s="570">
        <v>1921.81</v>
      </c>
      <c r="AD2671" s="570">
        <v>1845.84</v>
      </c>
      <c r="AE2671" s="570">
        <v>1690.19</v>
      </c>
      <c r="AF2671" s="570">
        <v>1905.5</v>
      </c>
      <c r="AG2671" s="570">
        <v>2315.11</v>
      </c>
      <c r="AH2671" s="569">
        <v>2399.27</v>
      </c>
      <c r="AI2671" s="569">
        <v>2593.9</v>
      </c>
      <c r="AJ2671" s="58">
        <v>1969.11</v>
      </c>
      <c r="AK2671" s="58">
        <v>1721.34</v>
      </c>
      <c r="AL2671" s="58">
        <v>1681.14</v>
      </c>
      <c r="AM2671" s="58">
        <v>1765.83</v>
      </c>
      <c r="AN2671" s="922">
        <v>1768.59</v>
      </c>
      <c r="AO2671" s="922">
        <v>2410.65</v>
      </c>
    </row>
    <row r="2672" spans="1:44" s="173" customFormat="1" hidden="1" outlineLevel="1">
      <c r="A2672" s="579">
        <v>500</v>
      </c>
      <c r="B2672" s="568">
        <v>23582</v>
      </c>
      <c r="C2672" s="375" t="s">
        <v>1384</v>
      </c>
      <c r="D2672" s="226"/>
      <c r="E2672" s="23" t="s">
        <v>1382</v>
      </c>
      <c r="F2672" s="23"/>
      <c r="G2672" s="23"/>
      <c r="H2672" s="23"/>
      <c r="I2672" s="23"/>
      <c r="J2672" s="23"/>
      <c r="K2672" s="570"/>
      <c r="L2672" s="570"/>
      <c r="M2672" s="570"/>
      <c r="N2672" s="570"/>
      <c r="O2672" s="570"/>
      <c r="P2672" s="570">
        <v>1025.9000000000001</v>
      </c>
      <c r="Q2672" s="570">
        <v>935.17</v>
      </c>
      <c r="R2672" s="570">
        <v>1002.97</v>
      </c>
      <c r="S2672" s="570">
        <v>1002.61</v>
      </c>
      <c r="T2672" s="570">
        <v>1015.65</v>
      </c>
      <c r="U2672" s="570">
        <v>976.31</v>
      </c>
      <c r="V2672" s="570">
        <v>1139.98</v>
      </c>
      <c r="W2672" s="570">
        <v>1232.8499999999999</v>
      </c>
      <c r="X2672" s="570">
        <v>1292.6600000000001</v>
      </c>
      <c r="Y2672" s="570">
        <v>1250.69</v>
      </c>
      <c r="Z2672" s="570">
        <v>1343.04</v>
      </c>
      <c r="AA2672" s="570">
        <v>1446.39</v>
      </c>
      <c r="AB2672" s="570">
        <v>1350.76</v>
      </c>
      <c r="AC2672" s="570">
        <v>1412.92</v>
      </c>
      <c r="AD2672" s="570">
        <v>1465.41</v>
      </c>
      <c r="AE2672" s="570">
        <v>1458.09</v>
      </c>
      <c r="AF2672" s="570">
        <v>1723.29</v>
      </c>
      <c r="AG2672" s="570">
        <v>1894.41</v>
      </c>
      <c r="AH2672" s="569">
        <v>1781.2</v>
      </c>
      <c r="AI2672" s="569">
        <v>1729.35</v>
      </c>
      <c r="AJ2672" s="58">
        <v>1596.02</v>
      </c>
      <c r="AK2672" s="58">
        <v>1560.05</v>
      </c>
      <c r="AL2672" s="58">
        <v>1541.28</v>
      </c>
      <c r="AM2672" s="58">
        <v>1523.58</v>
      </c>
      <c r="AN2672" s="922">
        <v>1480.42</v>
      </c>
      <c r="AO2672" s="922">
        <v>1449.38</v>
      </c>
      <c r="AR2672" s="330"/>
    </row>
    <row r="2673" spans="2:44" s="330" customFormat="1" hidden="1" outlineLevel="1">
      <c r="B2673" s="575">
        <v>445566</v>
      </c>
      <c r="C2673" s="226" t="s">
        <v>1384</v>
      </c>
      <c r="D2673" s="226"/>
      <c r="E2673" s="226" t="s">
        <v>1388</v>
      </c>
      <c r="F2673" s="226"/>
      <c r="G2673" s="226"/>
      <c r="H2673" s="226"/>
      <c r="I2673" s="226"/>
      <c r="J2673" s="226"/>
      <c r="K2673" s="574"/>
      <c r="L2673" s="574"/>
      <c r="M2673" s="574"/>
      <c r="N2673" s="574"/>
      <c r="O2673" s="574"/>
      <c r="P2673" s="574">
        <v>3866.26</v>
      </c>
      <c r="Q2673" s="574">
        <v>3710.38</v>
      </c>
      <c r="R2673" s="574">
        <v>3776.37</v>
      </c>
      <c r="S2673" s="574">
        <v>4192.9399999999996</v>
      </c>
      <c r="T2673" s="574">
        <v>4373.9400000000005</v>
      </c>
      <c r="U2673" s="574">
        <v>4733.67</v>
      </c>
      <c r="V2673" s="574">
        <v>4949.1500000000005</v>
      </c>
      <c r="W2673" s="574">
        <v>5222.3700000000008</v>
      </c>
      <c r="X2673" s="574">
        <v>5301.93</v>
      </c>
      <c r="Y2673" s="574">
        <v>5244.68</v>
      </c>
      <c r="Z2673" s="574">
        <v>5431.01</v>
      </c>
      <c r="AA2673" s="574">
        <v>5548.4600000000009</v>
      </c>
      <c r="AB2673" s="574">
        <v>5290.05</v>
      </c>
      <c r="AC2673" s="574">
        <v>5330.09</v>
      </c>
      <c r="AD2673" s="574">
        <v>5480.2800000000007</v>
      </c>
      <c r="AE2673" s="574">
        <v>5543.1</v>
      </c>
      <c r="AF2673" s="574">
        <v>6073.8899999999994</v>
      </c>
      <c r="AG2673" s="574">
        <v>6577.380000000001</v>
      </c>
      <c r="AH2673" s="574">
        <v>6366.5599999999995</v>
      </c>
      <c r="AI2673" s="574">
        <v>6432.32</v>
      </c>
      <c r="AJ2673" s="371">
        <v>5673.61</v>
      </c>
      <c r="AK2673" s="371">
        <f>SUM(AK2670:AK2672)</f>
        <v>5368.7300000000005</v>
      </c>
      <c r="AL2673" s="371">
        <f>SUM(AL2670:AL2672)</f>
        <v>5413.94</v>
      </c>
      <c r="AM2673" s="921">
        <f>SUM(AM2670:AM2672)</f>
        <v>5403.48</v>
      </c>
      <c r="AN2673" s="921">
        <f>SUM(AN2670:AN2672)</f>
        <v>5461.85</v>
      </c>
      <c r="AO2673" s="921">
        <f>SUM(AO2670:AO2672)</f>
        <v>5842.9100000000008</v>
      </c>
      <c r="AR2673"/>
    </row>
    <row r="2674" spans="2:44" collapsed="1">
      <c r="B2674" s="568"/>
      <c r="C2674" s="25" t="s">
        <v>1629</v>
      </c>
      <c r="D2674" s="25"/>
      <c r="E2674" s="6"/>
      <c r="F2674" s="6"/>
      <c r="G2674" s="6"/>
      <c r="H2674" s="6"/>
      <c r="I2674" s="6"/>
      <c r="J2674" s="6"/>
      <c r="K2674" s="7"/>
      <c r="L2674" s="7"/>
      <c r="M2674" s="7"/>
      <c r="N2674" s="7"/>
      <c r="O2674" s="7"/>
      <c r="P2674" s="7"/>
      <c r="Q2674" s="7"/>
      <c r="R2674" s="7"/>
      <c r="S2674" s="7"/>
      <c r="T2674" s="7"/>
      <c r="U2674" s="7"/>
      <c r="V2674" s="7"/>
      <c r="W2674" s="7"/>
      <c r="X2674" s="7"/>
      <c r="Y2674" s="7"/>
      <c r="Z2674" s="7"/>
      <c r="AA2674" s="7"/>
      <c r="AB2674" s="7"/>
      <c r="AC2674" s="7"/>
      <c r="AD2674" s="7"/>
      <c r="AE2674" s="7"/>
      <c r="AF2674" s="7"/>
      <c r="AG2674" s="7"/>
      <c r="AH2674" s="61"/>
      <c r="AI2674" s="61"/>
      <c r="AJ2674" s="26"/>
      <c r="AK2674" s="26"/>
      <c r="AL2674" s="26"/>
      <c r="AM2674" s="26"/>
      <c r="AN2674" s="26"/>
      <c r="AO2674" s="1069"/>
      <c r="AP2674" s="1044"/>
      <c r="AR2674" s="330"/>
    </row>
    <row r="2675" spans="2:44" s="330" customFormat="1" hidden="1" outlineLevel="1">
      <c r="B2675" s="581">
        <v>3539</v>
      </c>
      <c r="C2675" s="375" t="s">
        <v>1384</v>
      </c>
      <c r="D2675" s="226"/>
      <c r="E2675" s="375" t="s">
        <v>102</v>
      </c>
      <c r="F2675" s="226"/>
      <c r="G2675" s="226"/>
      <c r="H2675" s="226"/>
      <c r="I2675" s="226"/>
      <c r="J2675" s="226"/>
      <c r="K2675" s="574"/>
      <c r="L2675" s="574"/>
      <c r="M2675" s="574"/>
      <c r="N2675" s="574"/>
      <c r="O2675" s="574"/>
      <c r="P2675" s="569">
        <v>3255.95</v>
      </c>
      <c r="Q2675" s="569">
        <v>3093.37</v>
      </c>
      <c r="R2675" s="569">
        <v>2971.17</v>
      </c>
      <c r="S2675" s="569">
        <v>3057.77</v>
      </c>
      <c r="T2675" s="569">
        <v>3043.3</v>
      </c>
      <c r="U2675" s="569">
        <v>2901.12</v>
      </c>
      <c r="V2675" s="569">
        <v>3038.22</v>
      </c>
      <c r="W2675" s="569">
        <v>3021.23</v>
      </c>
      <c r="X2675" s="569">
        <v>3238.71</v>
      </c>
      <c r="Y2675" s="569">
        <v>3487.42</v>
      </c>
      <c r="Z2675" s="569">
        <v>3321.11</v>
      </c>
      <c r="AA2675" s="569">
        <v>3235.18</v>
      </c>
      <c r="AB2675" s="569">
        <v>3081.72</v>
      </c>
      <c r="AC2675" s="569">
        <v>3398.89</v>
      </c>
      <c r="AD2675" s="569">
        <v>3287.06</v>
      </c>
      <c r="AE2675" s="569">
        <v>3329.7</v>
      </c>
      <c r="AF2675" s="569">
        <v>3741.32</v>
      </c>
      <c r="AG2675" s="569">
        <v>3768.48</v>
      </c>
      <c r="AH2675" s="569">
        <v>3527.74</v>
      </c>
      <c r="AI2675" s="569">
        <v>3416.68</v>
      </c>
      <c r="AJ2675" s="569">
        <v>3472.28</v>
      </c>
      <c r="AK2675" s="569">
        <v>3387.86</v>
      </c>
      <c r="AL2675" s="569">
        <v>3498.81</v>
      </c>
      <c r="AM2675" s="569">
        <v>3698.57</v>
      </c>
      <c r="AN2675" s="569">
        <v>3553.48</v>
      </c>
      <c r="AO2675" s="569">
        <v>3570.45</v>
      </c>
    </row>
    <row r="2676" spans="2:44" s="330" customFormat="1" hidden="1" outlineLevel="1">
      <c r="B2676" s="581">
        <v>3540</v>
      </c>
      <c r="C2676" s="375" t="s">
        <v>1384</v>
      </c>
      <c r="D2676" s="226"/>
      <c r="E2676" s="375" t="s">
        <v>103</v>
      </c>
      <c r="F2676" s="226"/>
      <c r="G2676" s="226"/>
      <c r="H2676" s="226"/>
      <c r="I2676" s="226"/>
      <c r="J2676" s="226"/>
      <c r="K2676" s="574"/>
      <c r="L2676" s="574"/>
      <c r="M2676" s="574"/>
      <c r="N2676" s="574"/>
      <c r="O2676" s="574"/>
      <c r="P2676" s="569">
        <v>5128.6899999999996</v>
      </c>
      <c r="Q2676" s="569">
        <v>5042.9799999999996</v>
      </c>
      <c r="R2676" s="569">
        <v>4947.63</v>
      </c>
      <c r="S2676" s="569">
        <v>5007.95</v>
      </c>
      <c r="T2676" s="569">
        <v>5107.47</v>
      </c>
      <c r="U2676" s="569">
        <v>5603.36</v>
      </c>
      <c r="V2676" s="569">
        <v>6042.68</v>
      </c>
      <c r="W2676" s="569">
        <v>5974.56</v>
      </c>
      <c r="X2676" s="569">
        <v>6231.16</v>
      </c>
      <c r="Y2676" s="569">
        <v>6508.15</v>
      </c>
      <c r="Z2676" s="569">
        <v>6967.47</v>
      </c>
      <c r="AA2676" s="569">
        <v>7132.29</v>
      </c>
      <c r="AB2676" s="569">
        <v>6781.57</v>
      </c>
      <c r="AC2676" s="569">
        <v>6617.49</v>
      </c>
      <c r="AD2676" s="569">
        <v>6641.01</v>
      </c>
      <c r="AE2676" s="569">
        <v>6699.43</v>
      </c>
      <c r="AF2676" s="569">
        <v>7444.22</v>
      </c>
      <c r="AG2676" s="569">
        <v>7708.45</v>
      </c>
      <c r="AH2676" s="569">
        <v>7390.15</v>
      </c>
      <c r="AI2676" s="569">
        <v>7004.93</v>
      </c>
      <c r="AJ2676" s="569">
        <v>6662.36</v>
      </c>
      <c r="AK2676" s="569">
        <v>6350.6</v>
      </c>
      <c r="AL2676" s="569">
        <v>6302.9</v>
      </c>
      <c r="AM2676" s="569">
        <v>6181.09</v>
      </c>
      <c r="AN2676" s="569">
        <v>6239.71</v>
      </c>
      <c r="AO2676" s="569">
        <v>6045.02</v>
      </c>
    </row>
    <row r="2677" spans="2:44" s="330" customFormat="1" hidden="1" outlineLevel="1">
      <c r="B2677" s="581">
        <v>3546</v>
      </c>
      <c r="C2677" s="375" t="s">
        <v>1384</v>
      </c>
      <c r="D2677" s="226"/>
      <c r="E2677" s="375" t="s">
        <v>167</v>
      </c>
      <c r="F2677" s="226"/>
      <c r="G2677" s="226"/>
      <c r="H2677" s="226"/>
      <c r="I2677" s="226"/>
      <c r="J2677" s="226"/>
      <c r="K2677" s="574"/>
      <c r="L2677" s="574"/>
      <c r="M2677" s="574"/>
      <c r="N2677" s="574"/>
      <c r="O2677" s="574"/>
      <c r="P2677" s="569">
        <v>2513.7199999999998</v>
      </c>
      <c r="Q2677" s="569">
        <v>2299.08</v>
      </c>
      <c r="R2677" s="569">
        <v>2364.37</v>
      </c>
      <c r="S2677" s="569">
        <v>2459.0700000000002</v>
      </c>
      <c r="T2677" s="569">
        <v>2476.2199999999998</v>
      </c>
      <c r="U2677" s="569">
        <v>2382.85</v>
      </c>
      <c r="V2677" s="569">
        <v>2371.23</v>
      </c>
      <c r="W2677" s="569">
        <v>2651.01</v>
      </c>
      <c r="X2677" s="569">
        <v>2558.15</v>
      </c>
      <c r="Y2677" s="569">
        <v>2787.37</v>
      </c>
      <c r="Z2677" s="569">
        <v>2717.05</v>
      </c>
      <c r="AA2677" s="569">
        <v>2655.79</v>
      </c>
      <c r="AB2677" s="569">
        <v>2249.9499999999998</v>
      </c>
      <c r="AC2677" s="569">
        <v>2171.7199999999998</v>
      </c>
      <c r="AD2677" s="569">
        <v>2275.34</v>
      </c>
      <c r="AE2677" s="569">
        <v>2567.59</v>
      </c>
      <c r="AF2677" s="569">
        <v>2988.18</v>
      </c>
      <c r="AG2677" s="569">
        <v>3072.78</v>
      </c>
      <c r="AH2677" s="569">
        <v>2768.13</v>
      </c>
      <c r="AI2677" s="569">
        <v>2581.4899999999998</v>
      </c>
      <c r="AJ2677" s="569">
        <v>2538.5</v>
      </c>
      <c r="AK2677" s="569">
        <v>2601.19</v>
      </c>
      <c r="AL2677" s="569">
        <v>2937.19</v>
      </c>
      <c r="AM2677" s="569">
        <v>2880.08</v>
      </c>
      <c r="AN2677" s="569">
        <v>2754.88</v>
      </c>
      <c r="AO2677" s="569">
        <v>2549.9699999999998</v>
      </c>
    </row>
    <row r="2678" spans="2:44" s="330" customFormat="1" hidden="1" outlineLevel="1">
      <c r="B2678" s="581">
        <v>3549</v>
      </c>
      <c r="C2678" s="375" t="s">
        <v>1384</v>
      </c>
      <c r="D2678" s="226"/>
      <c r="E2678" s="375" t="s">
        <v>106</v>
      </c>
      <c r="F2678" s="226"/>
      <c r="G2678" s="226"/>
      <c r="H2678" s="226"/>
      <c r="I2678" s="226"/>
      <c r="J2678" s="226"/>
      <c r="K2678" s="574"/>
      <c r="L2678" s="574"/>
      <c r="M2678" s="574"/>
      <c r="N2678" s="574"/>
      <c r="O2678" s="574"/>
      <c r="P2678" s="569">
        <v>7037.7</v>
      </c>
      <c r="Q2678" s="569">
        <v>7209.2</v>
      </c>
      <c r="R2678" s="569">
        <v>7499.39</v>
      </c>
      <c r="S2678" s="569">
        <v>7809.38</v>
      </c>
      <c r="T2678" s="569">
        <v>8173.64</v>
      </c>
      <c r="U2678" s="569">
        <v>8656.41</v>
      </c>
      <c r="V2678" s="569">
        <v>9235.2099999999991</v>
      </c>
      <c r="W2678" s="569">
        <v>9498.52</v>
      </c>
      <c r="X2678" s="569">
        <v>9958.77</v>
      </c>
      <c r="Y2678" s="569">
        <v>10572.94</v>
      </c>
      <c r="Z2678" s="569">
        <v>10590.93</v>
      </c>
      <c r="AA2678" s="569">
        <v>10519.7</v>
      </c>
      <c r="AB2678" s="569">
        <v>10692.45</v>
      </c>
      <c r="AC2678" s="569">
        <v>10577.13</v>
      </c>
      <c r="AD2678" s="569">
        <v>11111.28</v>
      </c>
      <c r="AE2678" s="569">
        <v>12010.57</v>
      </c>
      <c r="AF2678" s="569">
        <v>13021.7</v>
      </c>
      <c r="AG2678" s="569">
        <v>13224.32</v>
      </c>
      <c r="AH2678" s="569">
        <v>13570.23</v>
      </c>
      <c r="AI2678" s="569">
        <v>13380.17</v>
      </c>
      <c r="AJ2678" s="569">
        <v>13829.82</v>
      </c>
      <c r="AK2678" s="569">
        <v>14285.85</v>
      </c>
      <c r="AL2678" s="569">
        <v>14091.71</v>
      </c>
      <c r="AM2678" s="569">
        <v>13773.51</v>
      </c>
      <c r="AN2678" s="569">
        <v>13446.23</v>
      </c>
      <c r="AO2678" s="569">
        <v>13794.1</v>
      </c>
    </row>
    <row r="2679" spans="2:44" s="330" customFormat="1" hidden="1" outlineLevel="1">
      <c r="B2679" s="581">
        <v>3553</v>
      </c>
      <c r="C2679" s="375" t="s">
        <v>1384</v>
      </c>
      <c r="D2679" s="226"/>
      <c r="E2679" s="375" t="s">
        <v>1404</v>
      </c>
      <c r="F2679" s="226"/>
      <c r="G2679" s="226"/>
      <c r="H2679" s="226"/>
      <c r="I2679" s="226"/>
      <c r="J2679" s="226"/>
      <c r="K2679" s="574"/>
      <c r="L2679" s="574"/>
      <c r="M2679" s="574"/>
      <c r="N2679" s="574"/>
      <c r="O2679" s="574"/>
      <c r="P2679" s="569">
        <v>1980.52</v>
      </c>
      <c r="Q2679" s="569">
        <v>1941.49</v>
      </c>
      <c r="R2679" s="569">
        <v>1891.77</v>
      </c>
      <c r="S2679" s="569">
        <v>1893.89</v>
      </c>
      <c r="T2679" s="569">
        <v>1891.25</v>
      </c>
      <c r="U2679" s="569">
        <v>1956.83</v>
      </c>
      <c r="V2679" s="569">
        <v>1959.58</v>
      </c>
      <c r="W2679" s="569">
        <v>1939.65</v>
      </c>
      <c r="X2679" s="569">
        <v>2071.77</v>
      </c>
      <c r="Y2679" s="569">
        <v>2202.0700000000002</v>
      </c>
      <c r="Z2679" s="569">
        <v>2398.37</v>
      </c>
      <c r="AA2679" s="569">
        <v>2621.79</v>
      </c>
      <c r="AB2679" s="569">
        <v>2495.02</v>
      </c>
      <c r="AC2679" s="569">
        <v>2571.12</v>
      </c>
      <c r="AD2679" s="569">
        <v>2407.8200000000002</v>
      </c>
      <c r="AE2679" s="569">
        <v>2589.2399999999998</v>
      </c>
      <c r="AF2679" s="569">
        <v>3067.87</v>
      </c>
      <c r="AG2679" s="569">
        <v>3256.09</v>
      </c>
      <c r="AH2679" s="569">
        <v>2993.47</v>
      </c>
      <c r="AI2679" s="569">
        <v>2658.42</v>
      </c>
      <c r="AJ2679" s="569">
        <v>2517.14</v>
      </c>
      <c r="AK2679" s="569">
        <v>2468.09</v>
      </c>
      <c r="AL2679" s="569">
        <v>2307.37</v>
      </c>
      <c r="AM2679" s="569">
        <v>2193.3000000000002</v>
      </c>
      <c r="AN2679" s="569">
        <v>2290.1999999999998</v>
      </c>
      <c r="AO2679" s="569">
        <v>2342.48</v>
      </c>
    </row>
    <row r="2680" spans="2:44" s="330" customFormat="1" hidden="1" outlineLevel="1">
      <c r="B2680" s="581">
        <v>3554</v>
      </c>
      <c r="C2680" s="375" t="s">
        <v>1384</v>
      </c>
      <c r="D2680" s="226"/>
      <c r="E2680" s="375" t="s">
        <v>110</v>
      </c>
      <c r="F2680" s="226"/>
      <c r="G2680" s="226"/>
      <c r="H2680" s="226"/>
      <c r="I2680" s="226"/>
      <c r="J2680" s="226"/>
      <c r="K2680" s="574"/>
      <c r="L2680" s="574"/>
      <c r="M2680" s="574"/>
      <c r="N2680" s="574"/>
      <c r="O2680" s="574"/>
      <c r="P2680" s="569">
        <v>748.66</v>
      </c>
      <c r="Q2680" s="569">
        <v>738.53</v>
      </c>
      <c r="R2680" s="569">
        <v>706.39</v>
      </c>
      <c r="S2680" s="569">
        <v>704.69</v>
      </c>
      <c r="T2680" s="569">
        <v>787.34</v>
      </c>
      <c r="U2680" s="569">
        <v>626.29</v>
      </c>
      <c r="V2680" s="569">
        <v>654.29999999999995</v>
      </c>
      <c r="W2680" s="569">
        <v>696.29</v>
      </c>
      <c r="X2680" s="569">
        <v>648.34</v>
      </c>
      <c r="Y2680" s="569">
        <v>699.2</v>
      </c>
      <c r="Z2680" s="569">
        <v>728.25</v>
      </c>
      <c r="AA2680" s="569">
        <v>779.61</v>
      </c>
      <c r="AB2680" s="569">
        <v>845.58</v>
      </c>
      <c r="AC2680" s="569">
        <v>837.87</v>
      </c>
      <c r="AD2680" s="569">
        <v>852.41</v>
      </c>
      <c r="AE2680" s="569">
        <v>998.8</v>
      </c>
      <c r="AF2680" s="569">
        <v>1154.6400000000001</v>
      </c>
      <c r="AG2680" s="569">
        <v>1220.3699999999999</v>
      </c>
      <c r="AH2680" s="569">
        <v>1092.03</v>
      </c>
      <c r="AI2680" s="569">
        <v>970.42</v>
      </c>
      <c r="AJ2680" s="569">
        <v>969.93</v>
      </c>
      <c r="AK2680" s="569">
        <v>913.81</v>
      </c>
      <c r="AL2680" s="569">
        <v>956.81</v>
      </c>
      <c r="AM2680" s="569">
        <v>1039.5</v>
      </c>
      <c r="AN2680" s="569">
        <v>1082.28</v>
      </c>
      <c r="AO2680" s="569">
        <v>1045.42</v>
      </c>
    </row>
    <row r="2681" spans="2:44" s="330" customFormat="1" hidden="1" outlineLevel="1">
      <c r="B2681" s="581">
        <v>3558</v>
      </c>
      <c r="C2681" s="375" t="s">
        <v>1384</v>
      </c>
      <c r="D2681" s="226"/>
      <c r="E2681" s="375" t="s">
        <v>1405</v>
      </c>
      <c r="F2681" s="226"/>
      <c r="G2681" s="226"/>
      <c r="H2681" s="226"/>
      <c r="I2681" s="226"/>
      <c r="J2681" s="226"/>
      <c r="K2681" s="574"/>
      <c r="L2681" s="574"/>
      <c r="M2681" s="574"/>
      <c r="N2681" s="574"/>
      <c r="O2681" s="574"/>
      <c r="P2681" s="569">
        <v>2501.27</v>
      </c>
      <c r="Q2681" s="569">
        <v>2547.8200000000002</v>
      </c>
      <c r="R2681" s="569">
        <v>2480.7800000000002</v>
      </c>
      <c r="S2681" s="569">
        <v>2615.02</v>
      </c>
      <c r="T2681" s="569">
        <v>2715.47</v>
      </c>
      <c r="U2681" s="569">
        <v>2737.6</v>
      </c>
      <c r="V2681" s="569">
        <v>3031.67</v>
      </c>
      <c r="W2681" s="569">
        <v>3371.68</v>
      </c>
      <c r="X2681" s="569">
        <v>3614.41</v>
      </c>
      <c r="Y2681" s="569">
        <v>4110.9799999999996</v>
      </c>
      <c r="Z2681" s="569">
        <v>4257.66</v>
      </c>
      <c r="AA2681" s="569">
        <v>4272.3500000000004</v>
      </c>
      <c r="AB2681" s="569">
        <v>4495.2</v>
      </c>
      <c r="AC2681" s="569">
        <v>4739.3999999999996</v>
      </c>
      <c r="AD2681" s="569">
        <v>4882.1099999999997</v>
      </c>
      <c r="AE2681" s="569">
        <v>5383.52</v>
      </c>
      <c r="AF2681" s="569">
        <v>5909.33</v>
      </c>
      <c r="AG2681" s="569">
        <v>6143.67</v>
      </c>
      <c r="AH2681" s="569">
        <v>6413.28</v>
      </c>
      <c r="AI2681" s="569">
        <v>6579.25</v>
      </c>
      <c r="AJ2681" s="569">
        <v>6503.93</v>
      </c>
      <c r="AK2681" s="569">
        <v>6290.92</v>
      </c>
      <c r="AL2681" s="569">
        <v>5879.13</v>
      </c>
      <c r="AM2681" s="569">
        <v>5750.78</v>
      </c>
      <c r="AN2681" s="569">
        <v>6043.98</v>
      </c>
      <c r="AO2681" s="569">
        <v>6229.71</v>
      </c>
    </row>
    <row r="2682" spans="2:44" s="330" customFormat="1" hidden="1" outlineLevel="1">
      <c r="B2682" s="582">
        <v>3563</v>
      </c>
      <c r="C2682" s="375" t="s">
        <v>1384</v>
      </c>
      <c r="D2682" s="226"/>
      <c r="E2682" s="375" t="s">
        <v>114</v>
      </c>
      <c r="F2682" s="226"/>
      <c r="G2682" s="226"/>
      <c r="H2682" s="226"/>
      <c r="I2682" s="226"/>
      <c r="J2682" s="226"/>
      <c r="K2682" s="574"/>
      <c r="L2682" s="574"/>
      <c r="M2682" s="574"/>
      <c r="N2682" s="574"/>
      <c r="O2682" s="574"/>
      <c r="P2682" s="569">
        <v>8205.86</v>
      </c>
      <c r="Q2682" s="569">
        <v>7481.94</v>
      </c>
      <c r="R2682" s="569">
        <v>7447.79</v>
      </c>
      <c r="S2682" s="569">
        <v>7517.9</v>
      </c>
      <c r="T2682" s="569">
        <v>7241.13</v>
      </c>
      <c r="U2682" s="569">
        <v>7063.6</v>
      </c>
      <c r="V2682" s="569">
        <v>6986.5</v>
      </c>
      <c r="W2682" s="569">
        <v>6936.15</v>
      </c>
      <c r="X2682" s="569">
        <v>7442.82</v>
      </c>
      <c r="Y2682" s="569">
        <v>7888.85</v>
      </c>
      <c r="Z2682" s="569">
        <v>7738.78</v>
      </c>
      <c r="AA2682" s="569">
        <v>7802.95</v>
      </c>
      <c r="AB2682" s="569">
        <v>7614.83</v>
      </c>
      <c r="AC2682" s="569">
        <v>7340.23</v>
      </c>
      <c r="AD2682" s="569">
        <v>7127.99</v>
      </c>
      <c r="AE2682" s="569">
        <v>7251.2</v>
      </c>
      <c r="AF2682" s="569">
        <v>8095.88</v>
      </c>
      <c r="AG2682" s="569">
        <v>8111.16</v>
      </c>
      <c r="AH2682" s="569">
        <v>7707.71</v>
      </c>
      <c r="AI2682" s="569">
        <v>7065.4</v>
      </c>
      <c r="AJ2682" s="569">
        <v>6951.22</v>
      </c>
      <c r="AK2682" s="569">
        <v>6874.01</v>
      </c>
      <c r="AL2682" s="569">
        <v>7452.4</v>
      </c>
      <c r="AM2682" s="569">
        <v>7465.24</v>
      </c>
      <c r="AN2682" s="569">
        <v>7273.92</v>
      </c>
      <c r="AO2682" s="569">
        <v>7410.22</v>
      </c>
    </row>
    <row r="2683" spans="2:44" s="330" customFormat="1" hidden="1" outlineLevel="1">
      <c r="B2683" s="582">
        <v>3568</v>
      </c>
      <c r="C2683" s="375" t="s">
        <v>1384</v>
      </c>
      <c r="D2683" s="226"/>
      <c r="E2683" s="375" t="s">
        <v>116</v>
      </c>
      <c r="F2683" s="226"/>
      <c r="G2683" s="226"/>
      <c r="H2683" s="226"/>
      <c r="I2683" s="226"/>
      <c r="J2683" s="226"/>
      <c r="K2683" s="574"/>
      <c r="L2683" s="574"/>
      <c r="M2683" s="574"/>
      <c r="N2683" s="574"/>
      <c r="O2683" s="574"/>
      <c r="P2683" s="569">
        <v>896.47</v>
      </c>
      <c r="Q2683" s="569">
        <v>898.97</v>
      </c>
      <c r="R2683" s="569">
        <v>847.85</v>
      </c>
      <c r="S2683" s="569">
        <v>804.15</v>
      </c>
      <c r="T2683" s="569">
        <v>824.3</v>
      </c>
      <c r="U2683" s="569">
        <v>888.33</v>
      </c>
      <c r="V2683" s="569">
        <v>896.09</v>
      </c>
      <c r="W2683" s="569">
        <v>908.89</v>
      </c>
      <c r="X2683" s="569">
        <v>1010.17</v>
      </c>
      <c r="Y2683" s="569">
        <v>998.57</v>
      </c>
      <c r="Z2683" s="569">
        <v>1015.23</v>
      </c>
      <c r="AA2683" s="569">
        <v>1059.44</v>
      </c>
      <c r="AB2683" s="569">
        <v>1006.09</v>
      </c>
      <c r="AC2683" s="569">
        <v>1037.8599999999999</v>
      </c>
      <c r="AD2683" s="569">
        <v>996.32</v>
      </c>
      <c r="AE2683" s="569">
        <v>910.82</v>
      </c>
      <c r="AF2683" s="569">
        <v>916.8</v>
      </c>
      <c r="AG2683" s="569">
        <v>923.54</v>
      </c>
      <c r="AH2683" s="569">
        <v>796.35</v>
      </c>
      <c r="AI2683" s="569">
        <v>849.71</v>
      </c>
      <c r="AJ2683" s="569">
        <v>833.1</v>
      </c>
      <c r="AK2683" s="569">
        <v>1003.2</v>
      </c>
      <c r="AL2683" s="569">
        <v>978.75</v>
      </c>
      <c r="AM2683" s="569">
        <v>992.27</v>
      </c>
      <c r="AN2683" s="569">
        <v>968.38</v>
      </c>
      <c r="AO2683" s="569">
        <v>930.74</v>
      </c>
    </row>
    <row r="2684" spans="2:44" s="330" customFormat="1" hidden="1" outlineLevel="1">
      <c r="B2684" s="582">
        <v>3570</v>
      </c>
      <c r="C2684" s="375" t="s">
        <v>1384</v>
      </c>
      <c r="D2684" s="226"/>
      <c r="E2684" s="375" t="s">
        <v>1406</v>
      </c>
      <c r="F2684" s="226"/>
      <c r="G2684" s="226"/>
      <c r="H2684" s="226"/>
      <c r="I2684" s="226"/>
      <c r="J2684" s="226"/>
      <c r="K2684" s="574"/>
      <c r="L2684" s="574"/>
      <c r="M2684" s="574"/>
      <c r="N2684" s="574"/>
      <c r="O2684" s="574"/>
      <c r="P2684" s="569">
        <v>2530.0300000000002</v>
      </c>
      <c r="Q2684" s="569">
        <v>2339.0500000000002</v>
      </c>
      <c r="R2684" s="569">
        <v>2319.2199999999998</v>
      </c>
      <c r="S2684" s="569">
        <v>2401.5</v>
      </c>
      <c r="T2684" s="569">
        <v>2344.19</v>
      </c>
      <c r="U2684" s="569">
        <v>2400.4</v>
      </c>
      <c r="V2684" s="569">
        <v>2463.6</v>
      </c>
      <c r="W2684" s="569">
        <v>2433.3200000000002</v>
      </c>
      <c r="X2684" s="569">
        <v>2720.53</v>
      </c>
      <c r="Y2684" s="569">
        <v>2771.6</v>
      </c>
      <c r="Z2684" s="569">
        <v>2945.4</v>
      </c>
      <c r="AA2684" s="569">
        <v>2906.94</v>
      </c>
      <c r="AB2684" s="569">
        <v>2786.79</v>
      </c>
      <c r="AC2684" s="569">
        <v>2916.79</v>
      </c>
      <c r="AD2684" s="569">
        <v>2899.48</v>
      </c>
      <c r="AE2684" s="569">
        <v>3186.06</v>
      </c>
      <c r="AF2684" s="569">
        <v>3664.4</v>
      </c>
      <c r="AG2684" s="569">
        <v>3991.28</v>
      </c>
      <c r="AH2684" s="569">
        <v>3812.69</v>
      </c>
      <c r="AI2684" s="569">
        <v>3487.98</v>
      </c>
      <c r="AJ2684" s="569">
        <v>3447.77</v>
      </c>
      <c r="AK2684" s="569">
        <v>3200.5</v>
      </c>
      <c r="AL2684" s="569">
        <v>3004.85</v>
      </c>
      <c r="AM2684" s="569">
        <v>2910.39</v>
      </c>
      <c r="AN2684" s="569">
        <v>2776.87</v>
      </c>
      <c r="AO2684" s="569">
        <v>2824.58</v>
      </c>
    </row>
    <row r="2685" spans="2:44" s="330" customFormat="1" hidden="1" outlineLevel="1">
      <c r="B2685" s="582">
        <v>3572</v>
      </c>
      <c r="C2685" s="375" t="s">
        <v>1384</v>
      </c>
      <c r="D2685" s="226"/>
      <c r="E2685" s="375" t="s">
        <v>143</v>
      </c>
      <c r="F2685" s="226"/>
      <c r="G2685" s="226"/>
      <c r="H2685" s="226"/>
      <c r="I2685" s="226"/>
      <c r="J2685" s="226"/>
      <c r="K2685" s="574"/>
      <c r="L2685" s="574"/>
      <c r="M2685" s="574"/>
      <c r="N2685" s="574"/>
      <c r="O2685" s="574"/>
      <c r="P2685" s="569">
        <v>3963.24</v>
      </c>
      <c r="Q2685" s="569">
        <v>3846.61</v>
      </c>
      <c r="R2685" s="569">
        <v>3728.47</v>
      </c>
      <c r="S2685" s="569">
        <v>3704.73</v>
      </c>
      <c r="T2685" s="569">
        <v>3667.33</v>
      </c>
      <c r="U2685" s="569">
        <v>3491.69</v>
      </c>
      <c r="V2685" s="569">
        <v>3553.33</v>
      </c>
      <c r="W2685" s="569">
        <v>3875.09</v>
      </c>
      <c r="X2685" s="569">
        <v>3973.26</v>
      </c>
      <c r="Y2685" s="569">
        <v>4525.55</v>
      </c>
      <c r="Z2685" s="569">
        <v>4677.49</v>
      </c>
      <c r="AA2685" s="569">
        <v>4812.3100000000004</v>
      </c>
      <c r="AB2685" s="569">
        <v>4671.6899999999996</v>
      </c>
      <c r="AC2685" s="569">
        <v>4609.84</v>
      </c>
      <c r="AD2685" s="569">
        <v>4638.7</v>
      </c>
      <c r="AE2685" s="569">
        <v>4743.12</v>
      </c>
      <c r="AF2685" s="569">
        <v>5546.95</v>
      </c>
      <c r="AG2685" s="569">
        <v>5845.2</v>
      </c>
      <c r="AH2685" s="569">
        <v>5597.83</v>
      </c>
      <c r="AI2685" s="569">
        <v>5501.52</v>
      </c>
      <c r="AJ2685" s="569">
        <v>5334.62</v>
      </c>
      <c r="AK2685" s="569">
        <v>5115.88</v>
      </c>
      <c r="AL2685" s="569">
        <v>5047.82</v>
      </c>
      <c r="AM2685" s="569">
        <v>5247.64</v>
      </c>
      <c r="AN2685" s="569">
        <v>4944.3500000000004</v>
      </c>
      <c r="AO2685" s="569">
        <v>5224.5</v>
      </c>
    </row>
    <row r="2686" spans="2:44" s="330" customFormat="1" hidden="1" outlineLevel="1">
      <c r="B2686" s="582">
        <v>3573</v>
      </c>
      <c r="C2686" s="375" t="s">
        <v>1384</v>
      </c>
      <c r="D2686" s="226"/>
      <c r="E2686" s="375" t="s">
        <v>119</v>
      </c>
      <c r="F2686" s="226"/>
      <c r="G2686" s="226"/>
      <c r="H2686" s="226"/>
      <c r="I2686" s="226"/>
      <c r="J2686" s="226"/>
      <c r="K2686" s="574"/>
      <c r="L2686" s="574"/>
      <c r="M2686" s="574"/>
      <c r="N2686" s="574"/>
      <c r="O2686" s="574"/>
      <c r="P2686" s="569">
        <v>1568.7</v>
      </c>
      <c r="Q2686" s="569">
        <v>1542.21</v>
      </c>
      <c r="R2686" s="569">
        <v>1568.47</v>
      </c>
      <c r="S2686" s="569">
        <v>1640.76</v>
      </c>
      <c r="T2686" s="569">
        <v>1657.45</v>
      </c>
      <c r="U2686" s="569">
        <v>1602.35</v>
      </c>
      <c r="V2686" s="569">
        <v>1624.22</v>
      </c>
      <c r="W2686" s="569">
        <v>1729.71</v>
      </c>
      <c r="X2686" s="569">
        <v>1932.19</v>
      </c>
      <c r="Y2686" s="569">
        <v>2241.52</v>
      </c>
      <c r="Z2686" s="569">
        <v>2461.1799999999998</v>
      </c>
      <c r="AA2686" s="569">
        <v>2277.69</v>
      </c>
      <c r="AB2686" s="569">
        <v>2299.6999999999998</v>
      </c>
      <c r="AC2686" s="569">
        <v>2537.5100000000002</v>
      </c>
      <c r="AD2686" s="569">
        <v>2438.14</v>
      </c>
      <c r="AE2686" s="569">
        <v>2789.37</v>
      </c>
      <c r="AF2686" s="569">
        <v>3252.5</v>
      </c>
      <c r="AG2686" s="569">
        <v>3320.98</v>
      </c>
      <c r="AH2686" s="569">
        <v>3192.17</v>
      </c>
      <c r="AI2686" s="569">
        <v>3220.9</v>
      </c>
      <c r="AJ2686" s="569">
        <v>3094.94</v>
      </c>
      <c r="AK2686" s="569">
        <v>2830.54</v>
      </c>
      <c r="AL2686" s="569">
        <v>2756.31</v>
      </c>
      <c r="AM2686" s="569">
        <v>2870.45</v>
      </c>
      <c r="AN2686" s="569">
        <v>2897.8</v>
      </c>
      <c r="AO2686" s="569">
        <v>2978.1</v>
      </c>
    </row>
    <row r="2687" spans="2:44" s="330" customFormat="1" hidden="1" outlineLevel="1">
      <c r="B2687" s="582">
        <v>3580</v>
      </c>
      <c r="C2687" s="375" t="s">
        <v>1384</v>
      </c>
      <c r="D2687" s="226"/>
      <c r="E2687" s="375" t="s">
        <v>122</v>
      </c>
      <c r="F2687" s="226"/>
      <c r="G2687" s="226"/>
      <c r="H2687" s="226"/>
      <c r="I2687" s="226"/>
      <c r="J2687" s="226"/>
      <c r="K2687" s="574"/>
      <c r="L2687" s="574"/>
      <c r="M2687" s="574"/>
      <c r="N2687" s="574"/>
      <c r="O2687" s="574"/>
      <c r="P2687" s="569">
        <v>4012.18</v>
      </c>
      <c r="Q2687" s="569">
        <v>4002.36</v>
      </c>
      <c r="R2687" s="569">
        <v>3720.34</v>
      </c>
      <c r="S2687" s="569">
        <v>3636.45</v>
      </c>
      <c r="T2687" s="569">
        <v>3587.31</v>
      </c>
      <c r="U2687" s="569">
        <v>3573.66</v>
      </c>
      <c r="V2687" s="569">
        <v>3828.64</v>
      </c>
      <c r="W2687" s="569">
        <v>3863.57</v>
      </c>
      <c r="X2687" s="569">
        <v>4050.23</v>
      </c>
      <c r="Y2687" s="569">
        <v>4365.7</v>
      </c>
      <c r="Z2687" s="569">
        <v>4198.63</v>
      </c>
      <c r="AA2687" s="569">
        <v>4228.05</v>
      </c>
      <c r="AB2687" s="569">
        <v>4118.3</v>
      </c>
      <c r="AC2687" s="569">
        <v>4094.61</v>
      </c>
      <c r="AD2687" s="569">
        <v>4849.22</v>
      </c>
      <c r="AE2687" s="569">
        <v>4877.21</v>
      </c>
      <c r="AF2687" s="569">
        <v>5578.57</v>
      </c>
      <c r="AG2687" s="569">
        <v>5629.35</v>
      </c>
      <c r="AH2687" s="569">
        <v>5118.41</v>
      </c>
      <c r="AI2687" s="569">
        <v>4925.21</v>
      </c>
      <c r="AJ2687" s="569">
        <v>4731.66</v>
      </c>
      <c r="AK2687" s="569">
        <v>4446.9399999999996</v>
      </c>
      <c r="AL2687" s="569">
        <v>3993.8</v>
      </c>
      <c r="AM2687" s="569">
        <v>4202.53</v>
      </c>
      <c r="AN2687" s="569">
        <v>3992.37</v>
      </c>
      <c r="AO2687" s="569">
        <v>3989.17</v>
      </c>
    </row>
    <row r="2688" spans="2:44" s="330" customFormat="1" hidden="1" outlineLevel="1">
      <c r="B2688" s="582">
        <v>3582</v>
      </c>
      <c r="C2688" s="375" t="s">
        <v>1384</v>
      </c>
      <c r="D2688" s="226"/>
      <c r="E2688" s="375" t="s">
        <v>123</v>
      </c>
      <c r="F2688" s="226"/>
      <c r="G2688" s="226"/>
      <c r="H2688" s="226"/>
      <c r="I2688" s="226"/>
      <c r="J2688" s="226"/>
      <c r="K2688" s="574"/>
      <c r="L2688" s="574"/>
      <c r="M2688" s="574"/>
      <c r="N2688" s="574"/>
      <c r="O2688" s="574"/>
      <c r="P2688" s="569">
        <v>5111.8100000000004</v>
      </c>
      <c r="Q2688" s="569">
        <v>5100.8900000000003</v>
      </c>
      <c r="R2688" s="569">
        <v>5190.17</v>
      </c>
      <c r="S2688" s="569">
        <v>5468.86</v>
      </c>
      <c r="T2688" s="569">
        <v>5545.78</v>
      </c>
      <c r="U2688" s="569">
        <v>5528.62</v>
      </c>
      <c r="V2688" s="569">
        <v>5358</v>
      </c>
      <c r="W2688" s="569">
        <v>5237.8999999999996</v>
      </c>
      <c r="X2688" s="569">
        <v>5558.03</v>
      </c>
      <c r="Y2688" s="569">
        <v>5585.07</v>
      </c>
      <c r="Z2688" s="569">
        <v>5649.92</v>
      </c>
      <c r="AA2688" s="569">
        <v>5922.15</v>
      </c>
      <c r="AB2688" s="569">
        <v>5725.39</v>
      </c>
      <c r="AC2688" s="569">
        <v>5419.66</v>
      </c>
      <c r="AD2688" s="569">
        <v>5300.3</v>
      </c>
      <c r="AE2688" s="569">
        <v>5642.63</v>
      </c>
      <c r="AF2688" s="569">
        <v>6241.92</v>
      </c>
      <c r="AG2688" s="569">
        <v>6418.21</v>
      </c>
      <c r="AH2688" s="569">
        <v>6224.1</v>
      </c>
      <c r="AI2688" s="569">
        <v>2109.0700000000002</v>
      </c>
      <c r="AJ2688" s="569">
        <v>5384.67</v>
      </c>
      <c r="AK2688" s="569">
        <v>5211.32</v>
      </c>
      <c r="AL2688" s="569">
        <v>5128.49</v>
      </c>
      <c r="AM2688" s="569">
        <v>5273.6</v>
      </c>
      <c r="AN2688" s="569">
        <v>5804.08</v>
      </c>
      <c r="AO2688" s="569">
        <v>5594.2</v>
      </c>
    </row>
    <row r="2689" spans="2:41" s="330" customFormat="1" hidden="1" outlineLevel="1">
      <c r="B2689" s="582">
        <v>3583</v>
      </c>
      <c r="C2689" s="375" t="s">
        <v>1384</v>
      </c>
      <c r="D2689" s="226"/>
      <c r="E2689" s="375" t="s">
        <v>174</v>
      </c>
      <c r="F2689" s="226"/>
      <c r="G2689" s="226"/>
      <c r="H2689" s="226"/>
      <c r="I2689" s="226"/>
      <c r="J2689" s="226"/>
      <c r="K2689" s="574"/>
      <c r="L2689" s="574"/>
      <c r="M2689" s="574"/>
      <c r="N2689" s="574"/>
      <c r="O2689" s="574"/>
      <c r="P2689" s="569">
        <v>4102.84</v>
      </c>
      <c r="Q2689" s="569">
        <v>4252.8500000000004</v>
      </c>
      <c r="R2689" s="569">
        <v>4391.84</v>
      </c>
      <c r="S2689" s="569">
        <v>4528.5600000000004</v>
      </c>
      <c r="T2689" s="569">
        <v>4280.47</v>
      </c>
      <c r="U2689" s="569">
        <v>4202.3</v>
      </c>
      <c r="V2689" s="569">
        <v>4193.16</v>
      </c>
      <c r="W2689" s="569">
        <v>4126.28</v>
      </c>
      <c r="X2689" s="569">
        <v>4362.17</v>
      </c>
      <c r="Y2689" s="569">
        <v>4449.33</v>
      </c>
      <c r="Z2689" s="569">
        <v>4641.9399999999996</v>
      </c>
      <c r="AA2689" s="569">
        <v>4330.8500000000004</v>
      </c>
      <c r="AB2689" s="569">
        <v>3948.6</v>
      </c>
      <c r="AC2689" s="569">
        <v>4211.67</v>
      </c>
      <c r="AD2689" s="569">
        <v>4371.96</v>
      </c>
      <c r="AE2689" s="569">
        <v>4370.87</v>
      </c>
      <c r="AF2689" s="569">
        <v>4917.3100000000004</v>
      </c>
      <c r="AG2689" s="569">
        <v>4915.97</v>
      </c>
      <c r="AH2689" s="569">
        <v>4427.3100000000004</v>
      </c>
      <c r="AI2689" s="569">
        <v>4223.3900000000003</v>
      </c>
      <c r="AJ2689" s="569">
        <v>4417.33</v>
      </c>
      <c r="AK2689" s="569">
        <v>4477.16</v>
      </c>
      <c r="AL2689" s="569">
        <v>4804.95</v>
      </c>
      <c r="AM2689" s="569">
        <v>5032.78</v>
      </c>
      <c r="AN2689" s="569">
        <v>4989.4799999999996</v>
      </c>
      <c r="AO2689" s="569">
        <v>5074.18</v>
      </c>
    </row>
    <row r="2690" spans="2:41" s="330" customFormat="1" hidden="1" outlineLevel="1">
      <c r="B2690" s="582">
        <v>3590</v>
      </c>
      <c r="C2690" s="375" t="s">
        <v>1384</v>
      </c>
      <c r="D2690" s="226"/>
      <c r="E2690" s="375" t="s">
        <v>126</v>
      </c>
      <c r="F2690" s="226"/>
      <c r="G2690" s="226"/>
      <c r="H2690" s="226"/>
      <c r="I2690" s="226"/>
      <c r="J2690" s="226"/>
      <c r="K2690" s="574"/>
      <c r="L2690" s="574"/>
      <c r="M2690" s="574"/>
      <c r="N2690" s="574"/>
      <c r="O2690" s="574"/>
      <c r="P2690" s="569">
        <v>4355.76</v>
      </c>
      <c r="Q2690" s="569">
        <v>4219.6099999999997</v>
      </c>
      <c r="R2690" s="569">
        <v>4306.47</v>
      </c>
      <c r="S2690" s="569">
        <v>4292.2700000000004</v>
      </c>
      <c r="T2690" s="569">
        <v>4374.21</v>
      </c>
      <c r="U2690" s="569">
        <v>4481.7299999999996</v>
      </c>
      <c r="V2690" s="569">
        <v>4361.1000000000004</v>
      </c>
      <c r="W2690" s="569">
        <v>4433.88</v>
      </c>
      <c r="X2690" s="569">
        <v>5081.8</v>
      </c>
      <c r="Y2690" s="569">
        <v>5460.17</v>
      </c>
      <c r="Z2690" s="569">
        <v>5694.9</v>
      </c>
      <c r="AA2690" s="569">
        <v>6037.43</v>
      </c>
      <c r="AB2690" s="569">
        <v>5871.93</v>
      </c>
      <c r="AC2690" s="569">
        <v>5909.06</v>
      </c>
      <c r="AD2690" s="569">
        <v>6047.06</v>
      </c>
      <c r="AE2690" s="569">
        <v>6159.4</v>
      </c>
      <c r="AF2690" s="569">
        <v>7200.8</v>
      </c>
      <c r="AG2690" s="569">
        <v>7690.33</v>
      </c>
      <c r="AH2690" s="569">
        <v>7424.38</v>
      </c>
      <c r="AI2690" s="569">
        <v>6846.66</v>
      </c>
      <c r="AJ2690" s="569">
        <v>6325.76</v>
      </c>
      <c r="AK2690" s="569">
        <v>6130.2</v>
      </c>
      <c r="AL2690" s="569">
        <v>6115.34</v>
      </c>
      <c r="AM2690" s="569">
        <v>6180.35</v>
      </c>
      <c r="AN2690" s="569">
        <v>6250.73</v>
      </c>
      <c r="AO2690" s="569">
        <v>6215.85</v>
      </c>
    </row>
    <row r="2691" spans="2:41" s="330" customFormat="1" hidden="1" outlineLevel="1">
      <c r="B2691" s="582">
        <v>3593</v>
      </c>
      <c r="C2691" s="375" t="s">
        <v>1384</v>
      </c>
      <c r="D2691" s="226"/>
      <c r="E2691" s="375" t="s">
        <v>128</v>
      </c>
      <c r="F2691" s="226"/>
      <c r="G2691" s="226"/>
      <c r="H2691" s="226"/>
      <c r="I2691" s="226"/>
      <c r="J2691" s="226"/>
      <c r="K2691" s="574"/>
      <c r="L2691" s="574"/>
      <c r="M2691" s="574"/>
      <c r="N2691" s="574"/>
      <c r="O2691" s="574"/>
      <c r="P2691" s="569">
        <v>2680.86</v>
      </c>
      <c r="Q2691" s="569">
        <v>2633.46</v>
      </c>
      <c r="R2691" s="569">
        <v>2583.94</v>
      </c>
      <c r="S2691" s="569">
        <v>2839</v>
      </c>
      <c r="T2691" s="569">
        <v>2852.19</v>
      </c>
      <c r="U2691" s="569">
        <v>2907.03</v>
      </c>
      <c r="V2691" s="569">
        <v>3069.49</v>
      </c>
      <c r="W2691" s="569">
        <v>3385.3</v>
      </c>
      <c r="X2691" s="569">
        <v>3809.47</v>
      </c>
      <c r="Y2691" s="569">
        <v>4223.3100000000004</v>
      </c>
      <c r="Z2691" s="569">
        <v>4641.05</v>
      </c>
      <c r="AA2691" s="569">
        <v>4939.37</v>
      </c>
      <c r="AB2691" s="569">
        <v>5108.46</v>
      </c>
      <c r="AC2691" s="569">
        <v>5285.95</v>
      </c>
      <c r="AD2691" s="569">
        <v>5788.12</v>
      </c>
      <c r="AE2691" s="569">
        <v>6326.59</v>
      </c>
      <c r="AF2691" s="569">
        <v>7629.62</v>
      </c>
      <c r="AG2691" s="569">
        <v>8298.7800000000007</v>
      </c>
      <c r="AH2691" s="569">
        <v>8148.33</v>
      </c>
      <c r="AI2691" s="569">
        <v>7840.76</v>
      </c>
      <c r="AJ2691" s="569">
        <v>7547.72</v>
      </c>
      <c r="AK2691" s="569">
        <v>7137.47</v>
      </c>
      <c r="AL2691" s="569">
        <v>6601.69</v>
      </c>
      <c r="AM2691" s="569">
        <v>6285.41</v>
      </c>
      <c r="AN2691" s="569">
        <v>6198.38</v>
      </c>
      <c r="AO2691" s="569">
        <v>5958.21</v>
      </c>
    </row>
    <row r="2692" spans="2:41" s="330" customFormat="1" hidden="1" outlineLevel="1">
      <c r="B2692" s="582">
        <v>3596</v>
      </c>
      <c r="C2692" s="375" t="s">
        <v>1384</v>
      </c>
      <c r="D2692" s="226"/>
      <c r="E2692" s="375" t="s">
        <v>131</v>
      </c>
      <c r="F2692" s="226"/>
      <c r="G2692" s="226"/>
      <c r="H2692" s="226"/>
      <c r="I2692" s="226"/>
      <c r="J2692" s="226"/>
      <c r="K2692" s="574"/>
      <c r="L2692" s="574"/>
      <c r="M2692" s="574"/>
      <c r="N2692" s="574"/>
      <c r="O2692" s="574"/>
      <c r="P2692" s="569">
        <v>3463.39</v>
      </c>
      <c r="Q2692" s="569">
        <v>3189.42</v>
      </c>
      <c r="R2692" s="569">
        <v>3201.99</v>
      </c>
      <c r="S2692" s="569">
        <v>3327.58</v>
      </c>
      <c r="T2692" s="569">
        <v>3344.2</v>
      </c>
      <c r="U2692" s="569">
        <v>3342.52</v>
      </c>
      <c r="V2692" s="569">
        <v>3307.06</v>
      </c>
      <c r="W2692" s="569">
        <v>3289.82</v>
      </c>
      <c r="X2692" s="569">
        <v>3436.61</v>
      </c>
      <c r="Y2692" s="569">
        <v>3809.33</v>
      </c>
      <c r="Z2692" s="569">
        <v>3587</v>
      </c>
      <c r="AA2692" s="569">
        <v>4026.78</v>
      </c>
      <c r="AB2692" s="569">
        <v>3558.58</v>
      </c>
      <c r="AC2692" s="569">
        <v>3124.89</v>
      </c>
      <c r="AD2692" s="569">
        <v>3177.15</v>
      </c>
      <c r="AE2692" s="569">
        <v>3200.8</v>
      </c>
      <c r="AF2692" s="569">
        <v>3649.75</v>
      </c>
      <c r="AG2692" s="569">
        <v>3697.49</v>
      </c>
      <c r="AH2692" s="569">
        <v>3534.29</v>
      </c>
      <c r="AI2692" s="569">
        <v>3403.81</v>
      </c>
      <c r="AJ2692" s="569">
        <v>3425.94</v>
      </c>
      <c r="AK2692" s="569">
        <v>3482.65</v>
      </c>
      <c r="AL2692" s="569">
        <v>3622.08</v>
      </c>
      <c r="AM2692" s="569">
        <v>4145.09</v>
      </c>
      <c r="AN2692" s="569">
        <v>4100.49</v>
      </c>
      <c r="AO2692" s="569">
        <v>4313.05</v>
      </c>
    </row>
    <row r="2693" spans="2:41" s="330" customFormat="1" hidden="1" outlineLevel="1">
      <c r="B2693" s="582">
        <v>3600</v>
      </c>
      <c r="C2693" s="375" t="s">
        <v>1384</v>
      </c>
      <c r="D2693" s="226"/>
      <c r="E2693" s="375" t="s">
        <v>132</v>
      </c>
      <c r="F2693" s="226"/>
      <c r="G2693" s="226"/>
      <c r="H2693" s="226"/>
      <c r="I2693" s="226"/>
      <c r="J2693" s="226"/>
      <c r="K2693" s="574"/>
      <c r="L2693" s="574"/>
      <c r="M2693" s="574"/>
      <c r="N2693" s="574"/>
      <c r="O2693" s="574"/>
      <c r="P2693" s="569">
        <v>1375.74</v>
      </c>
      <c r="Q2693" s="569">
        <v>1261.8599999999999</v>
      </c>
      <c r="R2693" s="569">
        <v>1357.07</v>
      </c>
      <c r="S2693" s="569">
        <v>1376.89</v>
      </c>
      <c r="T2693" s="569">
        <v>1334.38</v>
      </c>
      <c r="U2693" s="569">
        <v>1312.32</v>
      </c>
      <c r="V2693" s="569">
        <v>1350.77</v>
      </c>
      <c r="W2693" s="569">
        <v>1274.01</v>
      </c>
      <c r="X2693" s="569">
        <v>1304.3399999999999</v>
      </c>
      <c r="Y2693" s="569">
        <v>1405.15</v>
      </c>
      <c r="Z2693" s="569">
        <v>1342.92</v>
      </c>
      <c r="AA2693" s="569">
        <v>1427.76</v>
      </c>
      <c r="AB2693" s="569">
        <v>1428.25</v>
      </c>
      <c r="AC2693" s="569">
        <v>1395.15</v>
      </c>
      <c r="AD2693" s="569">
        <v>1402.08</v>
      </c>
      <c r="AE2693" s="569">
        <v>1474.52</v>
      </c>
      <c r="AF2693" s="569">
        <v>1576.89</v>
      </c>
      <c r="AG2693" s="569">
        <v>1670.07</v>
      </c>
      <c r="AH2693" s="569">
        <v>1797.84</v>
      </c>
      <c r="AI2693" s="569">
        <v>1859.65</v>
      </c>
      <c r="AJ2693" s="569">
        <v>1932.32</v>
      </c>
      <c r="AK2693" s="569">
        <v>1910.67</v>
      </c>
      <c r="AL2693" s="569">
        <v>1949.26</v>
      </c>
      <c r="AM2693" s="569">
        <v>1944.39</v>
      </c>
      <c r="AN2693" s="569">
        <v>1983.5</v>
      </c>
      <c r="AO2693" s="569">
        <v>1854.59</v>
      </c>
    </row>
    <row r="2694" spans="2:41" s="330" customFormat="1" hidden="1" outlineLevel="1">
      <c r="B2694" s="582">
        <v>3601</v>
      </c>
      <c r="C2694" s="375" t="s">
        <v>1384</v>
      </c>
      <c r="D2694" s="226"/>
      <c r="E2694" s="375" t="s">
        <v>133</v>
      </c>
      <c r="F2694" s="226"/>
      <c r="G2694" s="226"/>
      <c r="H2694" s="226"/>
      <c r="I2694" s="226"/>
      <c r="J2694" s="226"/>
      <c r="K2694" s="574"/>
      <c r="L2694" s="574"/>
      <c r="M2694" s="574"/>
      <c r="N2694" s="574"/>
      <c r="O2694" s="574"/>
      <c r="P2694" s="569">
        <v>1953.09</v>
      </c>
      <c r="Q2694" s="569">
        <v>1924.23</v>
      </c>
      <c r="R2694" s="569">
        <v>2041.78</v>
      </c>
      <c r="S2694" s="569">
        <v>2126.0700000000002</v>
      </c>
      <c r="T2694" s="569">
        <v>2105.61</v>
      </c>
      <c r="U2694" s="569">
        <v>2270.0700000000002</v>
      </c>
      <c r="V2694" s="569">
        <v>2111.58</v>
      </c>
      <c r="W2694" s="569">
        <v>2202.4299999999998</v>
      </c>
      <c r="X2694" s="569">
        <v>2473.71</v>
      </c>
      <c r="Y2694" s="569">
        <v>2804.14</v>
      </c>
      <c r="Z2694" s="569">
        <v>3024.5</v>
      </c>
      <c r="AA2694" s="569">
        <v>2997.35</v>
      </c>
      <c r="AB2694" s="569">
        <v>3025.14</v>
      </c>
      <c r="AC2694" s="569">
        <v>3005.12</v>
      </c>
      <c r="AD2694" s="569">
        <v>3090.19</v>
      </c>
      <c r="AE2694" s="569">
        <v>3426.53</v>
      </c>
      <c r="AF2694" s="569">
        <v>4301.26</v>
      </c>
      <c r="AG2694" s="569">
        <v>4525.04</v>
      </c>
      <c r="AH2694" s="569">
        <v>4306.96</v>
      </c>
      <c r="AI2694" s="569">
        <v>3909.91</v>
      </c>
      <c r="AJ2694" s="569">
        <v>3956.29</v>
      </c>
      <c r="AK2694" s="569">
        <v>3718.09</v>
      </c>
      <c r="AL2694" s="569">
        <v>3540.14</v>
      </c>
      <c r="AM2694" s="569">
        <v>3267.64</v>
      </c>
      <c r="AN2694" s="569">
        <v>3145.44</v>
      </c>
      <c r="AO2694" s="569">
        <v>3404.31</v>
      </c>
    </row>
    <row r="2695" spans="2:41" s="330" customFormat="1" hidden="1" outlineLevel="1">
      <c r="B2695" s="582">
        <v>3603</v>
      </c>
      <c r="C2695" s="375" t="s">
        <v>1384</v>
      </c>
      <c r="D2695" s="226"/>
      <c r="E2695" s="375" t="s">
        <v>134</v>
      </c>
      <c r="F2695" s="226"/>
      <c r="G2695" s="226"/>
      <c r="H2695" s="226"/>
      <c r="I2695" s="226"/>
      <c r="J2695" s="226"/>
      <c r="K2695" s="574"/>
      <c r="L2695" s="574"/>
      <c r="M2695" s="574"/>
      <c r="N2695" s="574"/>
      <c r="O2695" s="574"/>
      <c r="P2695" s="569">
        <v>704.2</v>
      </c>
      <c r="Q2695" s="569">
        <v>714.66</v>
      </c>
      <c r="R2695" s="569">
        <v>699.41</v>
      </c>
      <c r="S2695" s="569">
        <v>710.37</v>
      </c>
      <c r="T2695" s="569">
        <v>694.58</v>
      </c>
      <c r="U2695" s="569">
        <v>678.34</v>
      </c>
      <c r="V2695" s="569">
        <v>666.24</v>
      </c>
      <c r="W2695" s="569">
        <v>715.32</v>
      </c>
      <c r="X2695" s="569">
        <v>671.25</v>
      </c>
      <c r="Y2695" s="569">
        <v>689.17</v>
      </c>
      <c r="Z2695" s="569">
        <v>612.17999999999995</v>
      </c>
      <c r="AA2695" s="569">
        <v>644.57000000000005</v>
      </c>
      <c r="AB2695" s="569">
        <v>638.33000000000004</v>
      </c>
      <c r="AC2695" s="569">
        <v>651.04</v>
      </c>
      <c r="AD2695" s="569">
        <v>616.02</v>
      </c>
      <c r="AE2695" s="569">
        <v>619.91</v>
      </c>
      <c r="AF2695" s="569">
        <v>744.38</v>
      </c>
      <c r="AG2695" s="569">
        <v>1083.06</v>
      </c>
      <c r="AH2695" s="569">
        <v>1306.8800000000001</v>
      </c>
      <c r="AI2695" s="569">
        <v>1451.59</v>
      </c>
      <c r="AJ2695" s="569">
        <v>1417.97</v>
      </c>
      <c r="AK2695" s="569">
        <v>1558.8</v>
      </c>
      <c r="AL2695" s="569">
        <v>1569.47</v>
      </c>
      <c r="AM2695" s="569">
        <v>1601.26</v>
      </c>
      <c r="AN2695" s="569">
        <v>1629.33</v>
      </c>
      <c r="AO2695" s="569">
        <v>1610.99</v>
      </c>
    </row>
    <row r="2696" spans="2:41" s="330" customFormat="1" hidden="1" outlineLevel="1">
      <c r="B2696" s="582">
        <v>3607</v>
      </c>
      <c r="C2696" s="375" t="s">
        <v>1384</v>
      </c>
      <c r="D2696" s="226"/>
      <c r="E2696" s="375" t="s">
        <v>1407</v>
      </c>
      <c r="F2696" s="226"/>
      <c r="G2696" s="226"/>
      <c r="H2696" s="226"/>
      <c r="I2696" s="226"/>
      <c r="J2696" s="226"/>
      <c r="K2696" s="574"/>
      <c r="L2696" s="574"/>
      <c r="M2696" s="574"/>
      <c r="N2696" s="574"/>
      <c r="O2696" s="574"/>
      <c r="P2696" s="569">
        <v>17930.099999999999</v>
      </c>
      <c r="Q2696" s="569">
        <v>18482.78</v>
      </c>
      <c r="R2696" s="569">
        <v>24264.2</v>
      </c>
      <c r="S2696" s="569">
        <v>25140.52</v>
      </c>
      <c r="T2696" s="569">
        <v>25513.719999999998</v>
      </c>
      <c r="U2696" s="569">
        <v>25121.43</v>
      </c>
      <c r="V2696" s="569">
        <v>25872.58</v>
      </c>
      <c r="W2696" s="569">
        <v>26646.809999999998</v>
      </c>
      <c r="X2696" s="569">
        <v>29334.11</v>
      </c>
      <c r="Y2696" s="569">
        <v>32027.599999999999</v>
      </c>
      <c r="Z2696" s="569">
        <v>33642.18</v>
      </c>
      <c r="AA2696" s="569">
        <v>33950.68</v>
      </c>
      <c r="AB2696" s="569">
        <v>33249.43</v>
      </c>
      <c r="AC2696" s="569">
        <v>33530.86</v>
      </c>
      <c r="AD2696" s="569">
        <v>34172.97</v>
      </c>
      <c r="AE2696" s="569">
        <v>36254.43</v>
      </c>
      <c r="AF2696" s="569">
        <v>41076.54</v>
      </c>
      <c r="AG2696" s="569">
        <v>39161.96</v>
      </c>
      <c r="AH2696" s="569">
        <v>39135.919999999998</v>
      </c>
      <c r="AI2696" s="569">
        <v>36307.22</v>
      </c>
      <c r="AJ2696" s="569">
        <v>35551.089999999997</v>
      </c>
      <c r="AK2696" s="569">
        <v>34921.67</v>
      </c>
      <c r="AL2696" s="569">
        <v>35061.69</v>
      </c>
      <c r="AM2696" s="569">
        <v>34972.25</v>
      </c>
      <c r="AN2696" s="569">
        <v>35678.480000000003</v>
      </c>
      <c r="AO2696" s="569">
        <v>35017.479999999996</v>
      </c>
    </row>
    <row r="2697" spans="2:41" s="330" customFormat="1" hidden="1" outlineLevel="1">
      <c r="B2697" s="582">
        <v>3611</v>
      </c>
      <c r="C2697" s="375" t="s">
        <v>1384</v>
      </c>
      <c r="D2697" s="226"/>
      <c r="E2697" s="375" t="s">
        <v>136</v>
      </c>
      <c r="F2697" s="226"/>
      <c r="G2697" s="226"/>
      <c r="H2697" s="226"/>
      <c r="I2697" s="226"/>
      <c r="J2697" s="226"/>
      <c r="K2697" s="574"/>
      <c r="L2697" s="574"/>
      <c r="M2697" s="574"/>
      <c r="N2697" s="574"/>
      <c r="O2697" s="574"/>
      <c r="P2697" s="569">
        <v>4610.46</v>
      </c>
      <c r="Q2697" s="569">
        <v>4606.54</v>
      </c>
      <c r="R2697" s="569">
        <v>4433.49</v>
      </c>
      <c r="S2697" s="569">
        <v>4547.24</v>
      </c>
      <c r="T2697" s="569">
        <v>4941.34</v>
      </c>
      <c r="U2697" s="569">
        <v>5054.8</v>
      </c>
      <c r="V2697" s="569">
        <v>5170.92</v>
      </c>
      <c r="W2697" s="569">
        <v>5442.1</v>
      </c>
      <c r="X2697" s="569">
        <v>6071.81</v>
      </c>
      <c r="Y2697" s="569">
        <v>6512.96</v>
      </c>
      <c r="Z2697" s="569">
        <v>6912.83</v>
      </c>
      <c r="AA2697" s="569">
        <v>6970.69</v>
      </c>
      <c r="AB2697" s="569">
        <v>6666.18</v>
      </c>
      <c r="AC2697" s="569">
        <v>6645.45</v>
      </c>
      <c r="AD2697" s="569">
        <v>6645.23</v>
      </c>
      <c r="AE2697" s="569">
        <v>6815.91</v>
      </c>
      <c r="AF2697" s="569">
        <v>7509.75</v>
      </c>
      <c r="AG2697" s="569">
        <v>7568.11</v>
      </c>
      <c r="AH2697" s="569">
        <v>7313.78</v>
      </c>
      <c r="AI2697" s="569">
        <v>7104.67</v>
      </c>
      <c r="AJ2697" s="569">
        <v>6860.85</v>
      </c>
      <c r="AK2697" s="569">
        <v>6939.38</v>
      </c>
      <c r="AL2697" s="569">
        <v>6669.45</v>
      </c>
      <c r="AM2697" s="569">
        <v>6549.36</v>
      </c>
      <c r="AN2697" s="569">
        <v>6490.1</v>
      </c>
      <c r="AO2697" s="569">
        <v>6198.38</v>
      </c>
    </row>
    <row r="2698" spans="2:41" s="330" customFormat="1" hidden="1" outlineLevel="1">
      <c r="B2698" s="582">
        <v>3614</v>
      </c>
      <c r="C2698" s="375" t="s">
        <v>1384</v>
      </c>
      <c r="D2698" s="226"/>
      <c r="E2698" s="375" t="s">
        <v>138</v>
      </c>
      <c r="F2698" s="226"/>
      <c r="G2698" s="226"/>
      <c r="H2698" s="226"/>
      <c r="I2698" s="226"/>
      <c r="J2698" s="226"/>
      <c r="K2698" s="574"/>
      <c r="L2698" s="574"/>
      <c r="M2698" s="574"/>
      <c r="N2698" s="574"/>
      <c r="O2698" s="574"/>
      <c r="P2698" s="569">
        <v>7359.91</v>
      </c>
      <c r="Q2698" s="569">
        <v>7352.91</v>
      </c>
      <c r="R2698" s="569">
        <v>2434.27</v>
      </c>
      <c r="S2698" s="569">
        <v>2414.6799999999998</v>
      </c>
      <c r="T2698" s="569">
        <v>2659.09</v>
      </c>
      <c r="U2698" s="569">
        <v>2630.52</v>
      </c>
      <c r="V2698" s="569">
        <v>2595.5500000000002</v>
      </c>
      <c r="W2698" s="569">
        <v>2646.22</v>
      </c>
      <c r="X2698" s="569">
        <v>2784.56</v>
      </c>
      <c r="Y2698" s="569">
        <v>3078.31</v>
      </c>
      <c r="Z2698" s="569">
        <v>3382.26</v>
      </c>
      <c r="AA2698" s="569">
        <v>3569.39</v>
      </c>
      <c r="AB2698" s="569">
        <v>3417.11</v>
      </c>
      <c r="AC2698" s="569">
        <v>3304.77</v>
      </c>
      <c r="AD2698" s="569">
        <v>3213.04</v>
      </c>
      <c r="AE2698" s="569">
        <v>3423.06</v>
      </c>
      <c r="AF2698" s="569">
        <v>3964.82</v>
      </c>
      <c r="AG2698" s="569">
        <v>4069.67</v>
      </c>
      <c r="AH2698" s="569">
        <v>3583.33</v>
      </c>
      <c r="AI2698" s="569">
        <v>3704.44</v>
      </c>
      <c r="AJ2698" s="569">
        <v>3375.52</v>
      </c>
      <c r="AK2698" s="569">
        <v>3446.28</v>
      </c>
      <c r="AL2698" s="569">
        <v>3435.04</v>
      </c>
      <c r="AM2698" s="569">
        <v>3671.55</v>
      </c>
      <c r="AN2698" s="569">
        <v>4006.73</v>
      </c>
      <c r="AO2698" s="569">
        <v>4118.47</v>
      </c>
    </row>
    <row r="2699" spans="2:41" s="330" customFormat="1" hidden="1" outlineLevel="1">
      <c r="B2699" s="582">
        <v>3626</v>
      </c>
      <c r="C2699" s="375" t="s">
        <v>1384</v>
      </c>
      <c r="D2699" s="226"/>
      <c r="E2699" s="375" t="s">
        <v>1408</v>
      </c>
      <c r="F2699" s="226"/>
      <c r="G2699" s="226"/>
      <c r="H2699" s="226"/>
      <c r="I2699" s="226"/>
      <c r="J2699" s="226"/>
      <c r="K2699" s="574"/>
      <c r="L2699" s="574"/>
      <c r="M2699" s="574"/>
      <c r="N2699" s="574"/>
      <c r="O2699" s="574"/>
      <c r="P2699" s="569">
        <v>17183.550000000003</v>
      </c>
      <c r="Q2699" s="569">
        <v>16483.060000000001</v>
      </c>
      <c r="R2699" s="569">
        <v>16054.779999999999</v>
      </c>
      <c r="S2699" s="569">
        <v>16327.259999999998</v>
      </c>
      <c r="T2699" s="569">
        <v>17079.330000000002</v>
      </c>
      <c r="U2699" s="569">
        <v>17673</v>
      </c>
      <c r="V2699" s="569">
        <v>17768.100000000002</v>
      </c>
      <c r="W2699" s="569">
        <v>18693.379999999997</v>
      </c>
      <c r="X2699" s="569">
        <v>20548.03</v>
      </c>
      <c r="Y2699" s="569">
        <v>22132.79</v>
      </c>
      <c r="Z2699" s="569">
        <v>22273.339999999997</v>
      </c>
      <c r="AA2699" s="569">
        <v>23431.26</v>
      </c>
      <c r="AB2699" s="569">
        <v>23330.94</v>
      </c>
      <c r="AC2699" s="569">
        <v>23104.22</v>
      </c>
      <c r="AD2699" s="569">
        <v>24953.249999999996</v>
      </c>
      <c r="AE2699" s="569">
        <v>27168.06</v>
      </c>
      <c r="AF2699" s="569">
        <v>31552.65</v>
      </c>
      <c r="AG2699" s="569">
        <v>34015.229999999996</v>
      </c>
      <c r="AH2699" s="569">
        <v>33446.909999999996</v>
      </c>
      <c r="AI2699" s="569">
        <v>33853.200000000004</v>
      </c>
      <c r="AJ2699" s="569">
        <v>33629.68</v>
      </c>
      <c r="AK2699" s="569">
        <v>32579.97</v>
      </c>
      <c r="AL2699" s="569">
        <v>32263.45</v>
      </c>
      <c r="AM2699" s="569">
        <v>31814.859999999997</v>
      </c>
      <c r="AN2699" s="569">
        <v>32459.35</v>
      </c>
      <c r="AO2699" s="569">
        <v>31265.780000000002</v>
      </c>
    </row>
    <row r="2700" spans="2:41" s="330" customFormat="1" hidden="1" outlineLevel="1">
      <c r="B2700" s="582">
        <v>3627</v>
      </c>
      <c r="C2700" s="375" t="s">
        <v>1384</v>
      </c>
      <c r="D2700" s="226"/>
      <c r="E2700" s="375" t="s">
        <v>1409</v>
      </c>
      <c r="F2700" s="226"/>
      <c r="G2700" s="226"/>
      <c r="H2700" s="226"/>
      <c r="I2700" s="226"/>
      <c r="J2700" s="226"/>
      <c r="K2700" s="574"/>
      <c r="L2700" s="574"/>
      <c r="M2700" s="574"/>
      <c r="N2700" s="574"/>
      <c r="O2700" s="574"/>
      <c r="P2700" s="569">
        <v>1825.64</v>
      </c>
      <c r="Q2700" s="569">
        <v>1746.18</v>
      </c>
      <c r="R2700" s="569">
        <v>1723.81</v>
      </c>
      <c r="S2700" s="569">
        <v>1854.8</v>
      </c>
      <c r="T2700" s="569">
        <v>1948.14</v>
      </c>
      <c r="U2700" s="569">
        <v>2107.8200000000002</v>
      </c>
      <c r="V2700" s="569">
        <v>2238.19</v>
      </c>
      <c r="W2700" s="569">
        <v>2347.15</v>
      </c>
      <c r="X2700" s="569">
        <v>2468.85</v>
      </c>
      <c r="Y2700" s="569">
        <v>2578.02</v>
      </c>
      <c r="Z2700" s="569">
        <v>2653.17</v>
      </c>
      <c r="AA2700" s="569">
        <v>2730.81</v>
      </c>
      <c r="AB2700" s="569">
        <v>2643.42</v>
      </c>
      <c r="AC2700" s="569">
        <v>3001.38</v>
      </c>
      <c r="AD2700" s="569">
        <v>3318.34</v>
      </c>
      <c r="AE2700" s="569">
        <v>3623.02</v>
      </c>
      <c r="AF2700" s="569">
        <v>4055.02</v>
      </c>
      <c r="AG2700" s="569">
        <v>4232.66</v>
      </c>
      <c r="AH2700" s="569">
        <v>4087.16</v>
      </c>
      <c r="AI2700" s="569">
        <v>3880.03</v>
      </c>
      <c r="AJ2700" s="569">
        <v>3853.11</v>
      </c>
      <c r="AK2700" s="569">
        <v>3634.1</v>
      </c>
      <c r="AL2700" s="569">
        <v>3505.05</v>
      </c>
      <c r="AM2700" s="569">
        <v>3317.91</v>
      </c>
      <c r="AN2700" s="569">
        <v>3321.1</v>
      </c>
      <c r="AO2700" s="569">
        <v>3243.48</v>
      </c>
    </row>
    <row r="2701" spans="2:41" s="330" customFormat="1" hidden="1" outlineLevel="1">
      <c r="B2701" s="582">
        <v>3628</v>
      </c>
      <c r="C2701" s="375" t="s">
        <v>1384</v>
      </c>
      <c r="D2701" s="226"/>
      <c r="E2701" s="375" t="s">
        <v>141</v>
      </c>
      <c r="F2701" s="226"/>
      <c r="G2701" s="226"/>
      <c r="H2701" s="226"/>
      <c r="I2701" s="226"/>
      <c r="J2701" s="226"/>
      <c r="K2701" s="574"/>
      <c r="L2701" s="574"/>
      <c r="M2701" s="574"/>
      <c r="N2701" s="574"/>
      <c r="O2701" s="574"/>
      <c r="P2701" s="569">
        <v>3217.36</v>
      </c>
      <c r="Q2701" s="569">
        <v>3320.33</v>
      </c>
      <c r="R2701" s="569">
        <v>3071.66</v>
      </c>
      <c r="S2701" s="569">
        <v>3131.88</v>
      </c>
      <c r="T2701" s="569">
        <v>3020.84</v>
      </c>
      <c r="U2701" s="569">
        <v>3024.19</v>
      </c>
      <c r="V2701" s="569">
        <v>2984.39</v>
      </c>
      <c r="W2701" s="569">
        <v>3002.02</v>
      </c>
      <c r="X2701" s="569">
        <v>3167.78</v>
      </c>
      <c r="Y2701" s="569">
        <v>3201.01</v>
      </c>
      <c r="Z2701" s="569">
        <v>3485.23</v>
      </c>
      <c r="AA2701" s="569">
        <v>3410.55</v>
      </c>
      <c r="AB2701" s="569">
        <v>3230.47</v>
      </c>
      <c r="AC2701" s="569">
        <v>3203.97</v>
      </c>
      <c r="AD2701" s="569">
        <v>3390.49</v>
      </c>
      <c r="AE2701" s="569">
        <v>3508.2</v>
      </c>
      <c r="AF2701" s="569">
        <v>3733.37</v>
      </c>
      <c r="AG2701" s="569">
        <v>3370.69</v>
      </c>
      <c r="AH2701" s="569">
        <v>3164.92</v>
      </c>
      <c r="AI2701" s="569">
        <v>2788.87</v>
      </c>
      <c r="AJ2701" s="569">
        <v>2948.03</v>
      </c>
      <c r="AK2701" s="569">
        <v>2885.48</v>
      </c>
      <c r="AL2701" s="569">
        <v>2823.58</v>
      </c>
      <c r="AM2701" s="569">
        <v>2983.08</v>
      </c>
      <c r="AN2701" s="569">
        <v>2876.87</v>
      </c>
      <c r="AO2701" s="569">
        <v>2942.43</v>
      </c>
    </row>
    <row r="2702" spans="2:41" s="330" customFormat="1" hidden="1" outlineLevel="1">
      <c r="B2702" s="582">
        <v>3643</v>
      </c>
      <c r="C2702" s="375" t="s">
        <v>1384</v>
      </c>
      <c r="D2702" s="226"/>
      <c r="E2702" s="375" t="s">
        <v>142</v>
      </c>
      <c r="F2702" s="226"/>
      <c r="G2702" s="226"/>
      <c r="H2702" s="226"/>
      <c r="I2702" s="226"/>
      <c r="J2702" s="226"/>
      <c r="K2702" s="574"/>
      <c r="L2702" s="574"/>
      <c r="M2702" s="574"/>
      <c r="N2702" s="574"/>
      <c r="O2702" s="574"/>
      <c r="P2702" s="569">
        <v>4642.37</v>
      </c>
      <c r="Q2702" s="569">
        <v>4917.16</v>
      </c>
      <c r="R2702" s="569">
        <v>4900.25</v>
      </c>
      <c r="S2702" s="569">
        <v>5230.53</v>
      </c>
      <c r="T2702" s="569">
        <v>5317.75</v>
      </c>
      <c r="U2702" s="569">
        <v>5124.26</v>
      </c>
      <c r="V2702" s="569">
        <v>5353.71</v>
      </c>
      <c r="W2702" s="569">
        <v>5188.08</v>
      </c>
      <c r="X2702" s="569">
        <v>5135.2299999999996</v>
      </c>
      <c r="Y2702" s="569">
        <v>5630.86</v>
      </c>
      <c r="Z2702" s="569">
        <v>6026.03</v>
      </c>
      <c r="AA2702" s="569">
        <v>6140.83</v>
      </c>
      <c r="AB2702" s="569">
        <v>6250.39</v>
      </c>
      <c r="AC2702" s="569">
        <v>6746.53</v>
      </c>
      <c r="AD2702" s="569">
        <v>6396.14</v>
      </c>
      <c r="AE2702" s="569">
        <v>6013.85</v>
      </c>
      <c r="AF2702" s="569">
        <v>6548.38</v>
      </c>
      <c r="AG2702" s="569">
        <v>6684.28</v>
      </c>
      <c r="AH2702" s="569">
        <v>5860.63</v>
      </c>
      <c r="AI2702" s="569">
        <v>2916.55</v>
      </c>
      <c r="AJ2702" s="569">
        <v>2339</v>
      </c>
      <c r="AK2702" s="569">
        <v>2418.3200000000002</v>
      </c>
      <c r="AL2702" s="569">
        <v>2367.84</v>
      </c>
      <c r="AM2702" s="569">
        <v>2813</v>
      </c>
      <c r="AN2702" s="569">
        <v>3460</v>
      </c>
      <c r="AO2702" s="569">
        <v>3873.6</v>
      </c>
    </row>
    <row r="2703" spans="2:41" s="330" customFormat="1" hidden="1" outlineLevel="1">
      <c r="B2703" s="582">
        <v>3648</v>
      </c>
      <c r="C2703" s="375" t="s">
        <v>1384</v>
      </c>
      <c r="D2703" s="226"/>
      <c r="E2703" s="375" t="s">
        <v>144</v>
      </c>
      <c r="F2703" s="226"/>
      <c r="G2703" s="226"/>
      <c r="H2703" s="226"/>
      <c r="I2703" s="226"/>
      <c r="J2703" s="226"/>
      <c r="K2703" s="574"/>
      <c r="L2703" s="574"/>
      <c r="M2703" s="574"/>
      <c r="N2703" s="574"/>
      <c r="O2703" s="574"/>
      <c r="P2703" s="569">
        <v>5813.57</v>
      </c>
      <c r="Q2703" s="569">
        <v>5590.29</v>
      </c>
      <c r="R2703" s="569">
        <v>5691.81</v>
      </c>
      <c r="S2703" s="569">
        <v>5870.82</v>
      </c>
      <c r="T2703" s="569">
        <v>6216.16</v>
      </c>
      <c r="U2703" s="569">
        <v>6223.76</v>
      </c>
      <c r="V2703" s="569">
        <v>6460.31</v>
      </c>
      <c r="W2703" s="569">
        <v>6462.16</v>
      </c>
      <c r="X2703" s="569">
        <v>6814.7</v>
      </c>
      <c r="Y2703" s="569">
        <v>7360.51</v>
      </c>
      <c r="Z2703" s="569">
        <v>7426.32</v>
      </c>
      <c r="AA2703" s="569">
        <v>7375.85</v>
      </c>
      <c r="AB2703" s="569">
        <v>7152.56</v>
      </c>
      <c r="AC2703" s="569">
        <v>7111.9</v>
      </c>
      <c r="AD2703" s="569">
        <v>7191.49</v>
      </c>
      <c r="AE2703" s="569">
        <v>7778.72</v>
      </c>
      <c r="AF2703" s="569">
        <v>8845.15</v>
      </c>
      <c r="AG2703" s="569">
        <v>9096.35</v>
      </c>
      <c r="AH2703" s="569">
        <v>8708.24</v>
      </c>
      <c r="AI2703" s="569">
        <v>8330.92</v>
      </c>
      <c r="AJ2703" s="569">
        <v>8321.81</v>
      </c>
      <c r="AK2703" s="569">
        <v>8075.67</v>
      </c>
      <c r="AL2703" s="569">
        <v>7900.55</v>
      </c>
      <c r="AM2703" s="569">
        <v>8141.06</v>
      </c>
      <c r="AN2703" s="569">
        <v>8199.57</v>
      </c>
      <c r="AO2703" s="569">
        <v>8494.8700000000008</v>
      </c>
    </row>
    <row r="2704" spans="2:41" s="330" customFormat="1" hidden="1" outlineLevel="1">
      <c r="B2704" s="582">
        <v>3662</v>
      </c>
      <c r="C2704" s="375" t="s">
        <v>1384</v>
      </c>
      <c r="D2704" s="226"/>
      <c r="E2704" s="375" t="s">
        <v>146</v>
      </c>
      <c r="F2704" s="226"/>
      <c r="G2704" s="226"/>
      <c r="H2704" s="226"/>
      <c r="I2704" s="226"/>
      <c r="J2704" s="226"/>
      <c r="K2704" s="574"/>
      <c r="L2704" s="574"/>
      <c r="M2704" s="574"/>
      <c r="N2704" s="574"/>
      <c r="O2704" s="574"/>
      <c r="P2704" s="569">
        <v>2457.31</v>
      </c>
      <c r="Q2704" s="569">
        <v>2533.14</v>
      </c>
      <c r="R2704" s="569">
        <v>2658.23</v>
      </c>
      <c r="S2704" s="569">
        <v>2623.32</v>
      </c>
      <c r="T2704" s="569">
        <v>2718.02</v>
      </c>
      <c r="U2704" s="569">
        <v>2803.31</v>
      </c>
      <c r="V2704" s="569">
        <v>2807.06</v>
      </c>
      <c r="W2704" s="569">
        <v>2850.33</v>
      </c>
      <c r="X2704" s="569">
        <v>2798.72</v>
      </c>
      <c r="Y2704" s="569">
        <v>2784.28</v>
      </c>
      <c r="Z2704" s="569">
        <v>2900.87</v>
      </c>
      <c r="AA2704" s="569">
        <v>2896.01</v>
      </c>
      <c r="AB2704" s="569">
        <v>2718.05</v>
      </c>
      <c r="AC2704" s="569">
        <v>2689.27</v>
      </c>
      <c r="AD2704" s="569">
        <v>2648.54</v>
      </c>
      <c r="AE2704" s="569">
        <v>2687.16</v>
      </c>
      <c r="AF2704" s="569">
        <v>2836.93</v>
      </c>
      <c r="AG2704" s="569">
        <v>3054.03</v>
      </c>
      <c r="AH2704" s="569">
        <v>2959.07</v>
      </c>
      <c r="AI2704" s="569">
        <v>2884.94</v>
      </c>
      <c r="AJ2704" s="569">
        <v>2722.45</v>
      </c>
      <c r="AK2704" s="569">
        <v>2550.73</v>
      </c>
      <c r="AL2704" s="569">
        <v>2466.5</v>
      </c>
      <c r="AM2704" s="569">
        <v>2462.73</v>
      </c>
      <c r="AN2704" s="569">
        <v>2425.4699999999998</v>
      </c>
      <c r="AO2704" s="569">
        <v>2230.2600000000002</v>
      </c>
    </row>
    <row r="2705" spans="2:41" s="330" customFormat="1" hidden="1" outlineLevel="1">
      <c r="B2705" s="582">
        <v>3664</v>
      </c>
      <c r="C2705" s="375" t="s">
        <v>1384</v>
      </c>
      <c r="D2705" s="226"/>
      <c r="E2705" s="375" t="s">
        <v>147</v>
      </c>
      <c r="F2705" s="226"/>
      <c r="G2705" s="226"/>
      <c r="H2705" s="226"/>
      <c r="I2705" s="226"/>
      <c r="J2705" s="226"/>
      <c r="K2705" s="574"/>
      <c r="L2705" s="574"/>
      <c r="M2705" s="574"/>
      <c r="N2705" s="574"/>
      <c r="O2705" s="574"/>
      <c r="P2705" s="569">
        <v>1894.79</v>
      </c>
      <c r="Q2705" s="569">
        <v>1923.79</v>
      </c>
      <c r="R2705" s="569">
        <v>1826.16</v>
      </c>
      <c r="S2705" s="569">
        <v>1949.42</v>
      </c>
      <c r="T2705" s="569">
        <v>2057.56</v>
      </c>
      <c r="U2705" s="569">
        <v>2095.6</v>
      </c>
      <c r="V2705" s="569">
        <v>2211.91</v>
      </c>
      <c r="W2705" s="569">
        <v>2252.12</v>
      </c>
      <c r="X2705" s="569">
        <v>2973.23</v>
      </c>
      <c r="Y2705" s="569">
        <v>3188.19</v>
      </c>
      <c r="Z2705" s="569">
        <v>3303.11</v>
      </c>
      <c r="AA2705" s="569">
        <v>3510.58</v>
      </c>
      <c r="AB2705" s="569">
        <v>3463.74</v>
      </c>
      <c r="AC2705" s="569">
        <v>3384.9</v>
      </c>
      <c r="AD2705" s="569">
        <v>3230.18</v>
      </c>
      <c r="AE2705" s="569">
        <v>3448.04</v>
      </c>
      <c r="AF2705" s="569">
        <v>3959.21</v>
      </c>
      <c r="AG2705" s="569">
        <v>4086.76</v>
      </c>
      <c r="AH2705" s="569">
        <v>3955.68</v>
      </c>
      <c r="AI2705" s="569">
        <v>3973.1</v>
      </c>
      <c r="AJ2705" s="569">
        <v>4098.87</v>
      </c>
      <c r="AK2705" s="569">
        <v>4101.3900000000003</v>
      </c>
      <c r="AL2705" s="569">
        <v>3748.83</v>
      </c>
      <c r="AM2705" s="569">
        <v>3743.3</v>
      </c>
      <c r="AN2705" s="569">
        <v>4009.03</v>
      </c>
      <c r="AO2705" s="569">
        <v>3915.75</v>
      </c>
    </row>
    <row r="2706" spans="2:41" s="330" customFormat="1" hidden="1" outlineLevel="1">
      <c r="B2706" s="582">
        <v>3668</v>
      </c>
      <c r="C2706" s="375" t="s">
        <v>1384</v>
      </c>
      <c r="D2706" s="226"/>
      <c r="E2706" s="375" t="s">
        <v>149</v>
      </c>
      <c r="F2706" s="226"/>
      <c r="G2706" s="226"/>
      <c r="H2706" s="226"/>
      <c r="I2706" s="226"/>
      <c r="J2706" s="226"/>
      <c r="K2706" s="574"/>
      <c r="L2706" s="574"/>
      <c r="M2706" s="574"/>
      <c r="N2706" s="574"/>
      <c r="O2706" s="574"/>
      <c r="P2706" s="569">
        <v>2820.04</v>
      </c>
      <c r="Q2706" s="569">
        <v>2892.84</v>
      </c>
      <c r="R2706" s="569">
        <v>3103.63</v>
      </c>
      <c r="S2706" s="569">
        <v>3208.52</v>
      </c>
      <c r="T2706" s="569">
        <v>3235.73</v>
      </c>
      <c r="U2706" s="569">
        <v>3355.97</v>
      </c>
      <c r="V2706" s="569">
        <v>3350.31</v>
      </c>
      <c r="W2706" s="569">
        <v>3549.09</v>
      </c>
      <c r="X2706" s="569">
        <v>3907.13</v>
      </c>
      <c r="Y2706" s="569">
        <v>4225.84</v>
      </c>
      <c r="Z2706" s="569">
        <v>4174.82</v>
      </c>
      <c r="AA2706" s="569">
        <v>4245.87</v>
      </c>
      <c r="AB2706" s="569">
        <v>4167.8900000000003</v>
      </c>
      <c r="AC2706" s="569">
        <v>4142.97</v>
      </c>
      <c r="AD2706" s="569">
        <v>4050.53</v>
      </c>
      <c r="AE2706" s="569">
        <v>4212.55</v>
      </c>
      <c r="AF2706" s="569">
        <v>4797.9799999999996</v>
      </c>
      <c r="AG2706" s="569">
        <v>4984.83</v>
      </c>
      <c r="AH2706" s="569">
        <v>4910.93</v>
      </c>
      <c r="AI2706" s="569">
        <v>4974.7700000000004</v>
      </c>
      <c r="AJ2706" s="569">
        <v>4907.8999999999996</v>
      </c>
      <c r="AK2706" s="569">
        <v>4812.97</v>
      </c>
      <c r="AL2706" s="569">
        <v>4834.45</v>
      </c>
      <c r="AM2706" s="569">
        <v>4773.53</v>
      </c>
      <c r="AN2706" s="569">
        <v>4711.3999999999996</v>
      </c>
      <c r="AO2706" s="569">
        <v>4746.96</v>
      </c>
    </row>
    <row r="2707" spans="2:41" s="330" customFormat="1" hidden="1" outlineLevel="1">
      <c r="B2707" s="582">
        <v>4003</v>
      </c>
      <c r="C2707" s="375" t="s">
        <v>1384</v>
      </c>
      <c r="D2707" s="226"/>
      <c r="E2707" s="375" t="s">
        <v>108</v>
      </c>
      <c r="F2707" s="226"/>
      <c r="G2707" s="226"/>
      <c r="H2707" s="226"/>
      <c r="I2707" s="226"/>
      <c r="J2707" s="226"/>
      <c r="K2707" s="574"/>
      <c r="L2707" s="574"/>
      <c r="M2707" s="574"/>
      <c r="N2707" s="574"/>
      <c r="O2707" s="574"/>
      <c r="P2707" s="569">
        <v>6214.39</v>
      </c>
      <c r="Q2707" s="569">
        <v>6310.37</v>
      </c>
      <c r="R2707" s="569">
        <v>6527.41</v>
      </c>
      <c r="S2707" s="569">
        <v>6754.9</v>
      </c>
      <c r="T2707" s="569">
        <v>6970.07</v>
      </c>
      <c r="U2707" s="569">
        <v>6377.77</v>
      </c>
      <c r="V2707" s="569">
        <v>6598.57</v>
      </c>
      <c r="W2707" s="569">
        <v>6586.85</v>
      </c>
      <c r="X2707" s="569">
        <v>7392.26</v>
      </c>
      <c r="Y2707" s="569">
        <v>8147.75</v>
      </c>
      <c r="Z2707" s="569">
        <v>8016.47</v>
      </c>
      <c r="AA2707" s="569">
        <v>8710.01</v>
      </c>
      <c r="AB2707" s="569">
        <v>8308.73</v>
      </c>
      <c r="AC2707" s="569">
        <v>8573.2099999999991</v>
      </c>
      <c r="AD2707" s="569">
        <v>9083.73</v>
      </c>
      <c r="AE2707" s="569">
        <v>9022.0300000000007</v>
      </c>
      <c r="AF2707" s="569">
        <v>10533.82</v>
      </c>
      <c r="AG2707" s="569">
        <v>11212.44</v>
      </c>
      <c r="AH2707" s="569">
        <v>11017.02</v>
      </c>
      <c r="AI2707" s="569">
        <v>10809.12</v>
      </c>
      <c r="AJ2707" s="569">
        <v>9213.99</v>
      </c>
      <c r="AK2707" s="569">
        <v>9385.91</v>
      </c>
      <c r="AL2707" s="569">
        <v>8697.3799999999992</v>
      </c>
      <c r="AM2707" s="569">
        <v>8215.89</v>
      </c>
      <c r="AN2707" s="569">
        <v>7714.3</v>
      </c>
      <c r="AO2707" s="569">
        <v>8236.92</v>
      </c>
    </row>
    <row r="2708" spans="2:41" s="330" customFormat="1" hidden="1" outlineLevel="1">
      <c r="B2708" s="582">
        <v>6661</v>
      </c>
      <c r="C2708" s="375" t="s">
        <v>1384</v>
      </c>
      <c r="D2708" s="226"/>
      <c r="E2708" s="375" t="s">
        <v>104</v>
      </c>
      <c r="F2708" s="226"/>
      <c r="G2708" s="226"/>
      <c r="H2708" s="226"/>
      <c r="I2708" s="226"/>
      <c r="J2708" s="226"/>
      <c r="K2708" s="574"/>
      <c r="L2708" s="574"/>
      <c r="M2708" s="574"/>
      <c r="N2708" s="574"/>
      <c r="O2708" s="574"/>
      <c r="P2708" s="569">
        <v>2797.1</v>
      </c>
      <c r="Q2708" s="569">
        <v>2896.08</v>
      </c>
      <c r="R2708" s="569">
        <v>2790.06</v>
      </c>
      <c r="S2708" s="569">
        <v>2953.82</v>
      </c>
      <c r="T2708" s="569">
        <v>2899.02</v>
      </c>
      <c r="U2708" s="569">
        <v>3080.3</v>
      </c>
      <c r="V2708" s="569">
        <v>3165.55</v>
      </c>
      <c r="W2708" s="569">
        <v>3338.32</v>
      </c>
      <c r="X2708" s="569">
        <v>3557.89</v>
      </c>
      <c r="Y2708" s="569">
        <v>3844.91</v>
      </c>
      <c r="Z2708" s="569">
        <v>3860.44</v>
      </c>
      <c r="AA2708" s="569">
        <v>3807.7</v>
      </c>
      <c r="AB2708" s="569">
        <v>3438.04</v>
      </c>
      <c r="AC2708" s="569">
        <v>3384</v>
      </c>
      <c r="AD2708" s="569">
        <v>3354.6</v>
      </c>
      <c r="AE2708" s="569">
        <v>3427.93</v>
      </c>
      <c r="AF2708" s="569">
        <v>3978.61</v>
      </c>
      <c r="AG2708" s="569">
        <v>4093.51</v>
      </c>
      <c r="AH2708" s="569">
        <v>3918.4</v>
      </c>
      <c r="AI2708" s="569">
        <v>3664.35</v>
      </c>
      <c r="AJ2708" s="569">
        <v>3654.63</v>
      </c>
      <c r="AK2708" s="569">
        <v>3446.18</v>
      </c>
      <c r="AL2708" s="569">
        <v>3367.93</v>
      </c>
      <c r="AM2708" s="569">
        <v>3327.53</v>
      </c>
      <c r="AN2708" s="569">
        <v>3262.33</v>
      </c>
      <c r="AO2708" s="569">
        <v>2904.72</v>
      </c>
    </row>
    <row r="2709" spans="2:41" s="330" customFormat="1" hidden="1" outlineLevel="1">
      <c r="B2709" s="582">
        <v>6662</v>
      </c>
      <c r="C2709" s="375" t="s">
        <v>1384</v>
      </c>
      <c r="D2709" s="226"/>
      <c r="E2709" s="375" t="s">
        <v>117</v>
      </c>
      <c r="F2709" s="226"/>
      <c r="G2709" s="226"/>
      <c r="H2709" s="226"/>
      <c r="I2709" s="226"/>
      <c r="J2709" s="226"/>
      <c r="K2709" s="574"/>
      <c r="L2709" s="574"/>
      <c r="M2709" s="574"/>
      <c r="N2709" s="574"/>
      <c r="O2709" s="574"/>
      <c r="P2709" s="569">
        <v>1574.5</v>
      </c>
      <c r="Q2709" s="569">
        <v>1596.97</v>
      </c>
      <c r="R2709" s="569">
        <v>1491.28</v>
      </c>
      <c r="S2709" s="569">
        <v>1646.13</v>
      </c>
      <c r="T2709" s="569">
        <v>1594.74</v>
      </c>
      <c r="U2709" s="569">
        <v>1604.97</v>
      </c>
      <c r="V2709" s="569">
        <v>1685.79</v>
      </c>
      <c r="W2709" s="569">
        <v>1708.11</v>
      </c>
      <c r="X2709" s="569">
        <v>1515.14</v>
      </c>
      <c r="Y2709" s="569">
        <v>1589.26</v>
      </c>
      <c r="Z2709" s="569">
        <v>1542.32</v>
      </c>
      <c r="AA2709" s="569">
        <v>1630.55</v>
      </c>
      <c r="AB2709" s="569">
        <v>1435.18</v>
      </c>
      <c r="AC2709" s="569">
        <v>1459.46</v>
      </c>
      <c r="AD2709" s="569">
        <v>1378.39</v>
      </c>
      <c r="AE2709" s="569">
        <v>1324.48</v>
      </c>
      <c r="AF2709" s="569">
        <v>1521.61</v>
      </c>
      <c r="AG2709" s="569">
        <v>1651</v>
      </c>
      <c r="AH2709" s="569">
        <v>1575.25</v>
      </c>
      <c r="AI2709" s="569">
        <v>1559.93</v>
      </c>
      <c r="AJ2709" s="569">
        <v>1483.03</v>
      </c>
      <c r="AK2709" s="569">
        <v>1411.93</v>
      </c>
      <c r="AL2709" s="569">
        <v>1401.41</v>
      </c>
      <c r="AM2709" s="569">
        <v>1431.36</v>
      </c>
      <c r="AN2709" s="569">
        <v>1471.84</v>
      </c>
      <c r="AO2709" s="569">
        <v>1607.35</v>
      </c>
    </row>
    <row r="2710" spans="2:41" s="330" customFormat="1" hidden="1" outlineLevel="1">
      <c r="B2710" s="582">
        <v>7096</v>
      </c>
      <c r="C2710" s="375" t="s">
        <v>1384</v>
      </c>
      <c r="D2710" s="226"/>
      <c r="E2710" s="375" t="s">
        <v>1410</v>
      </c>
      <c r="F2710" s="226"/>
      <c r="G2710" s="226"/>
      <c r="H2710" s="226"/>
      <c r="I2710" s="226"/>
      <c r="J2710" s="226"/>
      <c r="K2710" s="574"/>
      <c r="L2710" s="574"/>
      <c r="M2710" s="574"/>
      <c r="N2710" s="574"/>
      <c r="O2710" s="574"/>
      <c r="P2710" s="569">
        <v>2806.42</v>
      </c>
      <c r="Q2710" s="569">
        <v>2743.28</v>
      </c>
      <c r="R2710" s="569">
        <v>2619.89</v>
      </c>
      <c r="S2710" s="569">
        <v>2682.46</v>
      </c>
      <c r="T2710" s="569">
        <v>2602.8200000000002</v>
      </c>
      <c r="U2710" s="569">
        <v>2478.0700000000002</v>
      </c>
      <c r="V2710" s="569">
        <v>2547.71</v>
      </c>
      <c r="W2710" s="569">
        <v>2515.96</v>
      </c>
      <c r="X2710" s="569">
        <v>2762.7</v>
      </c>
      <c r="Y2710" s="569">
        <v>2870.7</v>
      </c>
      <c r="Z2710" s="569">
        <v>2983.44</v>
      </c>
      <c r="AA2710" s="569">
        <v>3013.24</v>
      </c>
      <c r="AB2710" s="569">
        <v>2820.61</v>
      </c>
      <c r="AC2710" s="569">
        <v>2656.49</v>
      </c>
      <c r="AD2710" s="569">
        <v>2604.64</v>
      </c>
      <c r="AE2710" s="569">
        <v>2717.61</v>
      </c>
      <c r="AF2710" s="569">
        <v>3101.25</v>
      </c>
      <c r="AG2710" s="569">
        <v>3198.19</v>
      </c>
      <c r="AH2710" s="569">
        <v>2989.44</v>
      </c>
      <c r="AI2710" s="569">
        <v>2912.74</v>
      </c>
      <c r="AJ2710" s="569">
        <v>2882.55</v>
      </c>
      <c r="AK2710" s="569">
        <v>2682.2</v>
      </c>
      <c r="AL2710" s="569">
        <v>2664.35</v>
      </c>
      <c r="AM2710" s="569">
        <v>2730.06</v>
      </c>
      <c r="AN2710" s="569">
        <v>2733</v>
      </c>
      <c r="AO2710" s="569">
        <v>2969.33</v>
      </c>
    </row>
    <row r="2711" spans="2:41" s="330" customFormat="1" hidden="1" outlineLevel="1">
      <c r="B2711" s="582">
        <v>7857</v>
      </c>
      <c r="C2711" s="375" t="s">
        <v>1384</v>
      </c>
      <c r="D2711" s="226"/>
      <c r="E2711" s="375" t="s">
        <v>107</v>
      </c>
      <c r="F2711" s="226"/>
      <c r="G2711" s="226"/>
      <c r="H2711" s="226"/>
      <c r="I2711" s="226"/>
      <c r="J2711" s="226"/>
      <c r="K2711" s="574"/>
      <c r="L2711" s="574"/>
      <c r="M2711" s="574"/>
      <c r="N2711" s="574"/>
      <c r="O2711" s="574"/>
      <c r="P2711" s="569">
        <v>1862.74</v>
      </c>
      <c r="Q2711" s="569">
        <v>1833.22</v>
      </c>
      <c r="R2711" s="569">
        <v>1906.18</v>
      </c>
      <c r="S2711" s="569">
        <v>2015.84</v>
      </c>
      <c r="T2711" s="569">
        <v>2148.7199999999998</v>
      </c>
      <c r="U2711" s="569">
        <v>2137.15</v>
      </c>
      <c r="V2711" s="569">
        <v>2219.41</v>
      </c>
      <c r="W2711" s="569">
        <v>2263.94</v>
      </c>
      <c r="X2711" s="569">
        <v>2400.2199999999998</v>
      </c>
      <c r="Y2711" s="569">
        <v>2382.06</v>
      </c>
      <c r="Z2711" s="569">
        <v>2362.2199999999998</v>
      </c>
      <c r="AA2711" s="569">
        <v>2295.81</v>
      </c>
      <c r="AB2711" s="569">
        <v>2301.5500000000002</v>
      </c>
      <c r="AC2711" s="569">
        <v>2336.65</v>
      </c>
      <c r="AD2711" s="569">
        <v>2276.92</v>
      </c>
      <c r="AE2711" s="569">
        <v>2344.08</v>
      </c>
      <c r="AF2711" s="569">
        <v>2582.1</v>
      </c>
      <c r="AG2711" s="569">
        <v>2805.22</v>
      </c>
      <c r="AH2711" s="569">
        <v>2693.45</v>
      </c>
      <c r="AI2711" s="569">
        <v>2579.62</v>
      </c>
      <c r="AJ2711" s="569">
        <v>2564.79</v>
      </c>
      <c r="AK2711" s="569">
        <v>2531.1999999999998</v>
      </c>
      <c r="AL2711" s="569">
        <v>2553.4499999999998</v>
      </c>
      <c r="AM2711" s="569">
        <v>2544.54</v>
      </c>
      <c r="AN2711" s="569">
        <v>2550.9</v>
      </c>
      <c r="AO2711" s="569">
        <v>2509.08</v>
      </c>
    </row>
    <row r="2712" spans="2:41" s="330" customFormat="1" hidden="1" outlineLevel="1">
      <c r="B2712" s="582">
        <v>9331</v>
      </c>
      <c r="C2712" s="375" t="s">
        <v>1384</v>
      </c>
      <c r="D2712" s="226"/>
      <c r="E2712" s="375" t="s">
        <v>1411</v>
      </c>
      <c r="F2712" s="226"/>
      <c r="G2712" s="226"/>
      <c r="H2712" s="226"/>
      <c r="I2712" s="226"/>
      <c r="J2712" s="226"/>
      <c r="K2712" s="574"/>
      <c r="L2712" s="574"/>
      <c r="M2712" s="574"/>
      <c r="N2712" s="574"/>
      <c r="O2712" s="574"/>
      <c r="P2712" s="569">
        <v>33614.71</v>
      </c>
      <c r="Q2712" s="569">
        <v>32466.670000000002</v>
      </c>
      <c r="R2712" s="569">
        <v>32132.859999999997</v>
      </c>
      <c r="S2712" s="569">
        <v>32324.559999999998</v>
      </c>
      <c r="T2712" s="569">
        <v>31983.059999999998</v>
      </c>
      <c r="U2712" s="569">
        <v>33780.65</v>
      </c>
      <c r="V2712" s="569">
        <v>34184.089999999997</v>
      </c>
      <c r="W2712" s="569">
        <v>36103.670000000006</v>
      </c>
      <c r="X2712" s="569">
        <v>39253.11</v>
      </c>
      <c r="Y2712" s="569">
        <v>41701.650000000009</v>
      </c>
      <c r="Z2712" s="569">
        <v>41308.71</v>
      </c>
      <c r="AA2712" s="569">
        <v>41103.840000000004</v>
      </c>
      <c r="AB2712" s="569">
        <v>40240.959999999999</v>
      </c>
      <c r="AC2712" s="569">
        <v>41274.589999999997</v>
      </c>
      <c r="AD2712" s="569">
        <v>41983.45</v>
      </c>
      <c r="AE2712" s="569">
        <v>45498.990000000005</v>
      </c>
      <c r="AF2712" s="569">
        <v>51298.459999999992</v>
      </c>
      <c r="AG2712" s="569">
        <v>51359.79</v>
      </c>
      <c r="AH2712" s="569">
        <v>50249.19</v>
      </c>
      <c r="AI2712" s="569">
        <v>49291.89</v>
      </c>
      <c r="AJ2712" s="569">
        <v>47937.03</v>
      </c>
      <c r="AK2712" s="569">
        <v>47765.65</v>
      </c>
      <c r="AL2712" s="569">
        <v>47674</v>
      </c>
      <c r="AM2712" s="569">
        <v>48773.9</v>
      </c>
      <c r="AN2712" s="569">
        <v>49320.4</v>
      </c>
      <c r="AO2712" s="569">
        <v>50759.48</v>
      </c>
    </row>
    <row r="2713" spans="2:41" s="330" customFormat="1" hidden="1" outlineLevel="1">
      <c r="B2713" s="582">
        <v>9549</v>
      </c>
      <c r="C2713" s="375" t="s">
        <v>1384</v>
      </c>
      <c r="D2713" s="226"/>
      <c r="E2713" s="375" t="s">
        <v>148</v>
      </c>
      <c r="F2713" s="226"/>
      <c r="G2713" s="226"/>
      <c r="H2713" s="226"/>
      <c r="I2713" s="226"/>
      <c r="J2713" s="226"/>
      <c r="K2713" s="574"/>
      <c r="L2713" s="574"/>
      <c r="M2713" s="574"/>
      <c r="N2713" s="574"/>
      <c r="O2713" s="574"/>
      <c r="P2713" s="569">
        <v>985.81</v>
      </c>
      <c r="Q2713" s="569">
        <v>1003.58</v>
      </c>
      <c r="R2713" s="569">
        <v>845.62</v>
      </c>
      <c r="S2713" s="569">
        <v>869.56</v>
      </c>
      <c r="T2713" s="569">
        <v>937.33</v>
      </c>
      <c r="U2713" s="569">
        <v>968.12</v>
      </c>
      <c r="V2713" s="569">
        <v>958.77</v>
      </c>
      <c r="W2713" s="569">
        <v>941.17</v>
      </c>
      <c r="X2713" s="569">
        <v>1018.45</v>
      </c>
      <c r="Y2713" s="569">
        <v>1138.6500000000001</v>
      </c>
      <c r="Z2713" s="569">
        <v>1133.95</v>
      </c>
      <c r="AA2713" s="569">
        <v>1291.56</v>
      </c>
      <c r="AB2713" s="569">
        <v>1194.98</v>
      </c>
      <c r="AC2713" s="569">
        <v>1356.01</v>
      </c>
      <c r="AD2713" s="569">
        <v>1442.47</v>
      </c>
      <c r="AE2713" s="569">
        <v>1735.66</v>
      </c>
      <c r="AF2713" s="569">
        <v>1821.69</v>
      </c>
      <c r="AG2713" s="569">
        <v>1731.11</v>
      </c>
      <c r="AH2713" s="569">
        <v>1776.36</v>
      </c>
      <c r="AI2713" s="569">
        <v>1740.4</v>
      </c>
      <c r="AJ2713" s="569">
        <v>1536.27</v>
      </c>
      <c r="AK2713" s="569">
        <v>1556.11</v>
      </c>
      <c r="AL2713" s="569">
        <v>1625.36</v>
      </c>
      <c r="AM2713" s="569">
        <v>1631.91</v>
      </c>
      <c r="AN2713" s="569">
        <v>1656.13</v>
      </c>
      <c r="AO2713" s="569">
        <v>1583.37</v>
      </c>
    </row>
    <row r="2714" spans="2:41" s="330" customFormat="1" hidden="1" outlineLevel="1">
      <c r="B2714" s="582">
        <v>9797</v>
      </c>
      <c r="C2714" s="375" t="s">
        <v>1384</v>
      </c>
      <c r="D2714" s="226"/>
      <c r="E2714" s="375" t="s">
        <v>127</v>
      </c>
      <c r="F2714" s="226"/>
      <c r="G2714" s="226"/>
      <c r="H2714" s="226"/>
      <c r="I2714" s="226"/>
      <c r="J2714" s="226"/>
      <c r="K2714" s="574"/>
      <c r="L2714" s="574"/>
      <c r="M2714" s="574"/>
      <c r="N2714" s="574"/>
      <c r="O2714" s="574"/>
      <c r="P2714" s="569">
        <v>2452.52</v>
      </c>
      <c r="Q2714" s="569">
        <v>2439.34</v>
      </c>
      <c r="R2714" s="569">
        <v>2455.29</v>
      </c>
      <c r="S2714" s="569">
        <v>2626.91</v>
      </c>
      <c r="T2714" s="569">
        <v>2728.78</v>
      </c>
      <c r="U2714" s="569">
        <v>3157.03</v>
      </c>
      <c r="V2714" s="569">
        <v>3254.48</v>
      </c>
      <c r="W2714" s="569">
        <v>3389.21</v>
      </c>
      <c r="X2714" s="569">
        <v>3590.09</v>
      </c>
      <c r="Y2714" s="569">
        <v>3682.1</v>
      </c>
      <c r="Z2714" s="569">
        <v>3941.68</v>
      </c>
      <c r="AA2714" s="569">
        <v>3991.91</v>
      </c>
      <c r="AB2714" s="569">
        <v>3958.7</v>
      </c>
      <c r="AC2714" s="569">
        <v>3982.12</v>
      </c>
      <c r="AD2714" s="569">
        <v>3932.95</v>
      </c>
      <c r="AE2714" s="569">
        <v>3938.35</v>
      </c>
      <c r="AF2714" s="569">
        <v>4295.58</v>
      </c>
      <c r="AG2714" s="569">
        <v>4454.26</v>
      </c>
      <c r="AH2714" s="569">
        <v>4219.5</v>
      </c>
      <c r="AI2714" s="569">
        <v>4049.33</v>
      </c>
      <c r="AJ2714" s="569">
        <v>3807.46</v>
      </c>
      <c r="AK2714" s="569">
        <v>3686.93</v>
      </c>
      <c r="AL2714" s="569">
        <v>3942.62</v>
      </c>
      <c r="AM2714" s="569">
        <v>3857.91</v>
      </c>
      <c r="AN2714" s="569">
        <v>3481.19</v>
      </c>
      <c r="AO2714" s="569">
        <v>3304.74</v>
      </c>
    </row>
    <row r="2715" spans="2:41" s="330" customFormat="1" hidden="1" outlineLevel="1">
      <c r="B2715" s="582">
        <v>10060</v>
      </c>
      <c r="C2715" s="375" t="s">
        <v>1384</v>
      </c>
      <c r="D2715" s="226"/>
      <c r="E2715" s="375" t="s">
        <v>180</v>
      </c>
      <c r="F2715" s="226"/>
      <c r="G2715" s="226"/>
      <c r="H2715" s="226"/>
      <c r="I2715" s="226"/>
      <c r="J2715" s="226"/>
      <c r="K2715" s="574"/>
      <c r="L2715" s="574"/>
      <c r="M2715" s="574"/>
      <c r="N2715" s="574"/>
      <c r="O2715" s="574"/>
      <c r="P2715" s="569">
        <v>1439.5</v>
      </c>
      <c r="Q2715" s="569">
        <v>1397.55</v>
      </c>
      <c r="R2715" s="569">
        <v>1410.73</v>
      </c>
      <c r="S2715" s="569">
        <v>1474.69</v>
      </c>
      <c r="T2715" s="569">
        <v>1638.28</v>
      </c>
      <c r="U2715" s="569">
        <v>1663.98</v>
      </c>
      <c r="V2715" s="569">
        <v>1880.52</v>
      </c>
      <c r="W2715" s="569">
        <v>1866.47</v>
      </c>
      <c r="X2715" s="569">
        <v>1930.05</v>
      </c>
      <c r="Y2715" s="569">
        <v>2219.0100000000002</v>
      </c>
      <c r="Z2715" s="569">
        <v>2145.73</v>
      </c>
      <c r="AA2715" s="569">
        <v>2092.73</v>
      </c>
      <c r="AB2715" s="569">
        <v>2085.2600000000002</v>
      </c>
      <c r="AC2715" s="569">
        <v>2084.23</v>
      </c>
      <c r="AD2715" s="569">
        <v>2091.2199999999998</v>
      </c>
      <c r="AE2715" s="569">
        <v>2258.54</v>
      </c>
      <c r="AF2715" s="569">
        <v>2486.75</v>
      </c>
      <c r="AG2715" s="569">
        <v>2765.38</v>
      </c>
      <c r="AH2715" s="569">
        <v>2410.79</v>
      </c>
      <c r="AI2715" s="569">
        <v>2371.59</v>
      </c>
      <c r="AJ2715" s="569">
        <v>2364.1799999999998</v>
      </c>
      <c r="AK2715" s="569">
        <v>2242.25</v>
      </c>
      <c r="AL2715" s="569">
        <v>2173.58</v>
      </c>
      <c r="AM2715" s="569">
        <v>2184.17</v>
      </c>
      <c r="AN2715" s="569">
        <v>2227.19</v>
      </c>
      <c r="AO2715" s="569">
        <v>2088.89</v>
      </c>
    </row>
    <row r="2716" spans="2:41" s="330" customFormat="1" hidden="1" outlineLevel="1">
      <c r="B2716" s="582">
        <v>10387</v>
      </c>
      <c r="C2716" s="375" t="s">
        <v>1384</v>
      </c>
      <c r="D2716" s="226"/>
      <c r="E2716" s="375" t="s">
        <v>1412</v>
      </c>
      <c r="F2716" s="226"/>
      <c r="G2716" s="226"/>
      <c r="H2716" s="226"/>
      <c r="I2716" s="226"/>
      <c r="J2716" s="226"/>
      <c r="K2716" s="574"/>
      <c r="L2716" s="574"/>
      <c r="M2716" s="574"/>
      <c r="N2716" s="574"/>
      <c r="O2716" s="574"/>
      <c r="P2716" s="569">
        <v>13679.02</v>
      </c>
      <c r="Q2716" s="569">
        <v>14897.25</v>
      </c>
      <c r="R2716" s="569">
        <v>14589.47</v>
      </c>
      <c r="S2716" s="569">
        <v>14678.96</v>
      </c>
      <c r="T2716" s="569">
        <v>15002.51</v>
      </c>
      <c r="U2716" s="569">
        <v>14924.32</v>
      </c>
      <c r="V2716" s="569">
        <v>14427.71</v>
      </c>
      <c r="W2716" s="569">
        <v>14074.76</v>
      </c>
      <c r="X2716" s="569">
        <v>14200.38</v>
      </c>
      <c r="Y2716" s="569">
        <v>15118.61</v>
      </c>
      <c r="Z2716" s="569">
        <v>16701.46</v>
      </c>
      <c r="AA2716" s="569">
        <v>17424.02</v>
      </c>
      <c r="AB2716" s="569">
        <v>17538.53</v>
      </c>
      <c r="AC2716" s="569">
        <v>16788.09</v>
      </c>
      <c r="AD2716" s="569">
        <v>16292.48</v>
      </c>
      <c r="AE2716" s="569">
        <v>16975.21</v>
      </c>
      <c r="AF2716" s="569">
        <v>19128.740000000002</v>
      </c>
      <c r="AG2716" s="569">
        <v>19891.509999999998</v>
      </c>
      <c r="AH2716" s="569">
        <v>19690.25</v>
      </c>
      <c r="AI2716" s="569">
        <v>19310.64</v>
      </c>
      <c r="AJ2716" s="569">
        <v>18502.689999999999</v>
      </c>
      <c r="AK2716" s="569">
        <v>17863.5</v>
      </c>
      <c r="AL2716" s="569">
        <v>17678.48</v>
      </c>
      <c r="AM2716" s="569">
        <v>17765.060000000001</v>
      </c>
      <c r="AN2716" s="569">
        <v>17346.37</v>
      </c>
      <c r="AO2716" s="569">
        <v>17293.38</v>
      </c>
    </row>
    <row r="2717" spans="2:41" s="330" customFormat="1" hidden="1" outlineLevel="1">
      <c r="B2717" s="582">
        <v>10633</v>
      </c>
      <c r="C2717" s="375" t="s">
        <v>1384</v>
      </c>
      <c r="D2717" s="226"/>
      <c r="E2717" s="375" t="s">
        <v>120</v>
      </c>
      <c r="F2717" s="226"/>
      <c r="G2717" s="226"/>
      <c r="H2717" s="226"/>
      <c r="I2717" s="226"/>
      <c r="J2717" s="226"/>
      <c r="K2717" s="574"/>
      <c r="L2717" s="574"/>
      <c r="M2717" s="574"/>
      <c r="N2717" s="574"/>
      <c r="O2717" s="574"/>
      <c r="P2717" s="569">
        <v>25085.56</v>
      </c>
      <c r="Q2717" s="569">
        <v>26029.7</v>
      </c>
      <c r="R2717" s="569">
        <v>25432.82</v>
      </c>
      <c r="S2717" s="569">
        <v>24846.03</v>
      </c>
      <c r="T2717" s="569">
        <v>24513.53</v>
      </c>
      <c r="U2717" s="569">
        <v>24917.96</v>
      </c>
      <c r="V2717" s="569">
        <v>24752.31</v>
      </c>
      <c r="W2717" s="569">
        <v>26329.15</v>
      </c>
      <c r="X2717" s="569">
        <v>28318.75</v>
      </c>
      <c r="Y2717" s="569">
        <v>28304.16</v>
      </c>
      <c r="Z2717" s="569">
        <v>28174.11</v>
      </c>
      <c r="AA2717" s="569">
        <v>28223.32</v>
      </c>
      <c r="AB2717" s="569">
        <v>27869.55</v>
      </c>
      <c r="AC2717" s="569">
        <v>29277.27</v>
      </c>
      <c r="AD2717" s="569">
        <v>30263.67</v>
      </c>
      <c r="AE2717" s="569">
        <v>33712.519999999997</v>
      </c>
      <c r="AF2717" s="569">
        <v>38955.24</v>
      </c>
      <c r="AG2717" s="569">
        <v>41274.03</v>
      </c>
      <c r="AH2717" s="569">
        <v>40485.69</v>
      </c>
      <c r="AI2717" s="569">
        <v>38958.01</v>
      </c>
      <c r="AJ2717" s="569">
        <v>38765.760000000002</v>
      </c>
      <c r="AK2717" s="569">
        <v>39719</v>
      </c>
      <c r="AL2717" s="569">
        <v>38528.44</v>
      </c>
      <c r="AM2717" s="569">
        <v>38064.699999999997</v>
      </c>
      <c r="AN2717" s="569">
        <v>37550.83</v>
      </c>
      <c r="AO2717" s="569">
        <v>36242.47</v>
      </c>
    </row>
    <row r="2718" spans="2:41" s="330" customFormat="1" hidden="1" outlineLevel="1">
      <c r="B2718" s="582">
        <v>11145</v>
      </c>
      <c r="C2718" s="375" t="s">
        <v>1384</v>
      </c>
      <c r="D2718" s="226"/>
      <c r="E2718" s="375" t="s">
        <v>892</v>
      </c>
      <c r="F2718" s="226"/>
      <c r="G2718" s="226"/>
      <c r="H2718" s="226"/>
      <c r="I2718" s="226"/>
      <c r="J2718" s="226"/>
      <c r="K2718" s="574"/>
      <c r="L2718" s="574"/>
      <c r="M2718" s="574"/>
      <c r="N2718" s="574"/>
      <c r="O2718" s="574"/>
      <c r="P2718" s="569">
        <v>12454.55</v>
      </c>
      <c r="Q2718" s="569">
        <v>12197.27</v>
      </c>
      <c r="R2718" s="569">
        <v>12862.67</v>
      </c>
      <c r="S2718" s="569">
        <v>13527.13</v>
      </c>
      <c r="T2718" s="569">
        <v>13956.08</v>
      </c>
      <c r="U2718" s="569">
        <v>14450.73</v>
      </c>
      <c r="V2718" s="569">
        <v>15510.49</v>
      </c>
      <c r="W2718" s="569">
        <v>17073.21</v>
      </c>
      <c r="X2718" s="569">
        <v>19518.27</v>
      </c>
      <c r="Y2718" s="569">
        <v>21626.01</v>
      </c>
      <c r="Z2718" s="569">
        <v>23494.98</v>
      </c>
      <c r="AA2718" s="569">
        <v>24910.84</v>
      </c>
      <c r="AB2718" s="569">
        <v>25765.329999999998</v>
      </c>
      <c r="AC2718" s="569">
        <v>26786.28</v>
      </c>
      <c r="AD2718" s="569">
        <v>28305.33</v>
      </c>
      <c r="AE2718" s="569">
        <v>29680.68</v>
      </c>
      <c r="AF2718" s="569">
        <v>35734.17</v>
      </c>
      <c r="AG2718" s="569">
        <v>38629.279999999999</v>
      </c>
      <c r="AH2718" s="569">
        <v>40559.599999999999</v>
      </c>
      <c r="AI2718" s="569">
        <v>41755.810000000005</v>
      </c>
      <c r="AJ2718" s="569">
        <v>42351.24</v>
      </c>
      <c r="AK2718" s="569">
        <v>42925.71</v>
      </c>
      <c r="AL2718" s="569">
        <v>43612.979999999996</v>
      </c>
      <c r="AM2718" s="569">
        <v>45018.710000000006</v>
      </c>
      <c r="AN2718" s="569">
        <v>45153.86</v>
      </c>
      <c r="AO2718" s="569">
        <v>43711.98</v>
      </c>
    </row>
    <row r="2719" spans="2:41" s="330" customFormat="1" hidden="1" outlineLevel="1">
      <c r="B2719" s="582">
        <v>12015</v>
      </c>
      <c r="C2719" s="375" t="s">
        <v>1384</v>
      </c>
      <c r="D2719" s="226"/>
      <c r="E2719" s="375" t="s">
        <v>105</v>
      </c>
      <c r="F2719" s="226"/>
      <c r="G2719" s="226"/>
      <c r="H2719" s="226"/>
      <c r="I2719" s="226"/>
      <c r="J2719" s="226"/>
      <c r="K2719" s="574"/>
      <c r="L2719" s="574"/>
      <c r="M2719" s="574"/>
      <c r="N2719" s="574"/>
      <c r="O2719" s="574"/>
      <c r="P2719" s="569">
        <v>16009.87</v>
      </c>
      <c r="Q2719" s="569">
        <v>16625.7</v>
      </c>
      <c r="R2719" s="569">
        <v>16977.12</v>
      </c>
      <c r="S2719" s="569">
        <v>17045.189999999999</v>
      </c>
      <c r="T2719" s="569">
        <v>17119.349999999999</v>
      </c>
      <c r="U2719" s="569">
        <v>17252.18</v>
      </c>
      <c r="V2719" s="569">
        <v>17200.57</v>
      </c>
      <c r="W2719" s="569">
        <v>17784.09</v>
      </c>
      <c r="X2719" s="569">
        <v>18940.38</v>
      </c>
      <c r="Y2719" s="569">
        <v>19639.43</v>
      </c>
      <c r="Z2719" s="569">
        <v>19650.259999999998</v>
      </c>
      <c r="AA2719" s="569">
        <v>19704.490000000002</v>
      </c>
      <c r="AB2719" s="569">
        <v>20294.72</v>
      </c>
      <c r="AC2719" s="569">
        <v>21093.27</v>
      </c>
      <c r="AD2719" s="569">
        <v>21750.25</v>
      </c>
      <c r="AE2719" s="569">
        <v>23690.639999999999</v>
      </c>
      <c r="AF2719" s="569">
        <v>26734.04</v>
      </c>
      <c r="AG2719" s="569">
        <v>28500.240000000002</v>
      </c>
      <c r="AH2719" s="569">
        <v>27421.24</v>
      </c>
      <c r="AI2719" s="569">
        <v>25821.99</v>
      </c>
      <c r="AJ2719" s="569">
        <v>24981.02</v>
      </c>
      <c r="AK2719" s="569">
        <v>24904.560000000001</v>
      </c>
      <c r="AL2719" s="569">
        <v>24598.93</v>
      </c>
      <c r="AM2719" s="569">
        <v>24569.919999999998</v>
      </c>
      <c r="AN2719" s="569">
        <v>24343.919999999998</v>
      </c>
      <c r="AO2719" s="569">
        <v>24234.44</v>
      </c>
    </row>
    <row r="2720" spans="2:41" s="330" customFormat="1" hidden="1" outlineLevel="1">
      <c r="B2720" s="582">
        <v>23154</v>
      </c>
      <c r="C2720" s="375" t="s">
        <v>1384</v>
      </c>
      <c r="D2720" s="226"/>
      <c r="E2720" s="375" t="s">
        <v>1413</v>
      </c>
      <c r="F2720" s="226"/>
      <c r="G2720" s="226"/>
      <c r="H2720" s="226"/>
      <c r="I2720" s="226"/>
      <c r="J2720" s="226"/>
      <c r="K2720" s="574"/>
      <c r="L2720" s="574"/>
      <c r="M2720" s="574"/>
      <c r="N2720" s="574"/>
      <c r="O2720" s="574"/>
      <c r="P2720" s="569">
        <v>1586.17</v>
      </c>
      <c r="Q2720" s="569">
        <v>1678.42</v>
      </c>
      <c r="R2720" s="569">
        <v>1608.65</v>
      </c>
      <c r="S2720" s="569">
        <v>1556.34</v>
      </c>
      <c r="T2720" s="569">
        <v>1566.81</v>
      </c>
      <c r="U2720" s="569">
        <v>1642.62</v>
      </c>
      <c r="V2720" s="569">
        <v>1521.98</v>
      </c>
      <c r="W2720" s="569">
        <v>1474.51</v>
      </c>
      <c r="X2720" s="569">
        <v>1692.63</v>
      </c>
      <c r="Y2720" s="569">
        <v>1874.41</v>
      </c>
      <c r="Z2720" s="569">
        <v>1949.15</v>
      </c>
      <c r="AA2720" s="569">
        <v>1893.59</v>
      </c>
      <c r="AB2720" s="569">
        <v>1794.06</v>
      </c>
      <c r="AC2720" s="569">
        <v>1791.91</v>
      </c>
      <c r="AD2720" s="569">
        <v>1795.6</v>
      </c>
      <c r="AE2720" s="569">
        <v>1862.68</v>
      </c>
      <c r="AF2720" s="569">
        <v>2265.38</v>
      </c>
      <c r="AG2720" s="569">
        <v>2319.06</v>
      </c>
      <c r="AH2720" s="569">
        <v>2468.6799999999998</v>
      </c>
      <c r="AI2720" s="569">
        <v>2307.3200000000002</v>
      </c>
      <c r="AJ2720" s="569">
        <v>2293.7199999999998</v>
      </c>
      <c r="AK2720" s="569">
        <v>2137.33</v>
      </c>
      <c r="AL2720" s="569">
        <v>1986.78</v>
      </c>
      <c r="AM2720" s="569">
        <v>2175.34</v>
      </c>
      <c r="AN2720" s="569">
        <v>2110.83</v>
      </c>
      <c r="AO2720" s="569">
        <v>2134.08</v>
      </c>
    </row>
    <row r="2721" spans="1:44" s="330" customFormat="1" hidden="1" outlineLevel="1">
      <c r="B2721" s="582">
        <v>23614</v>
      </c>
      <c r="C2721" s="375" t="s">
        <v>1384</v>
      </c>
      <c r="D2721" s="226"/>
      <c r="E2721" s="375" t="s">
        <v>885</v>
      </c>
      <c r="F2721" s="226"/>
      <c r="G2721" s="226"/>
      <c r="H2721" s="226"/>
      <c r="I2721" s="226"/>
      <c r="J2721" s="226"/>
      <c r="K2721" s="574"/>
      <c r="L2721" s="574"/>
      <c r="M2721" s="574"/>
      <c r="N2721" s="574"/>
      <c r="O2721" s="574"/>
      <c r="P2721" s="569">
        <v>6165.32</v>
      </c>
      <c r="Q2721" s="569">
        <v>6318.67</v>
      </c>
      <c r="R2721" s="569">
        <v>6662.41</v>
      </c>
      <c r="S2721" s="569">
        <v>6881.39</v>
      </c>
      <c r="T2721" s="569">
        <v>7355.97</v>
      </c>
      <c r="U2721" s="569">
        <v>7446.24</v>
      </c>
      <c r="V2721" s="569">
        <v>8177</v>
      </c>
      <c r="W2721" s="569">
        <v>9039.33</v>
      </c>
      <c r="X2721" s="569">
        <v>10139.81</v>
      </c>
      <c r="Y2721" s="569">
        <v>11232.51</v>
      </c>
      <c r="Z2721" s="569">
        <v>11992.33</v>
      </c>
      <c r="AA2721" s="569">
        <v>12428.78</v>
      </c>
      <c r="AB2721" s="569">
        <v>12837.11</v>
      </c>
      <c r="AC2721" s="569">
        <v>13386.98</v>
      </c>
      <c r="AD2721" s="569">
        <v>14343.24</v>
      </c>
      <c r="AE2721" s="569">
        <v>15388.85</v>
      </c>
      <c r="AF2721" s="569">
        <v>17771.43</v>
      </c>
      <c r="AG2721" s="569">
        <v>18403.82</v>
      </c>
      <c r="AH2721" s="569">
        <v>18440.47</v>
      </c>
      <c r="AI2721" s="569">
        <v>18725.66</v>
      </c>
      <c r="AJ2721" s="569">
        <v>18603.38</v>
      </c>
      <c r="AK2721" s="569">
        <v>17838.22</v>
      </c>
      <c r="AL2721" s="569">
        <v>18845.11</v>
      </c>
      <c r="AM2721" s="569">
        <v>19418.34</v>
      </c>
      <c r="AN2721" s="569">
        <v>20207.86</v>
      </c>
      <c r="AO2721" s="569">
        <v>21286.14</v>
      </c>
    </row>
    <row r="2722" spans="1:44" s="330" customFormat="1" hidden="1" outlineLevel="1">
      <c r="B2722" s="582">
        <v>29137</v>
      </c>
      <c r="C2722" s="375" t="s">
        <v>1384</v>
      </c>
      <c r="D2722" s="226"/>
      <c r="E2722" s="375" t="s">
        <v>1414</v>
      </c>
      <c r="F2722" s="226"/>
      <c r="G2722" s="226"/>
      <c r="H2722" s="226"/>
      <c r="I2722" s="226"/>
      <c r="J2722" s="226"/>
      <c r="K2722" s="574"/>
      <c r="L2722" s="574"/>
      <c r="M2722" s="574"/>
      <c r="N2722" s="574"/>
      <c r="O2722" s="574"/>
      <c r="P2722" s="569">
        <v>12223.84</v>
      </c>
      <c r="Q2722" s="569">
        <v>12120.119999999999</v>
      </c>
      <c r="R2722" s="569">
        <v>12109.320000000002</v>
      </c>
      <c r="S2722" s="569">
        <v>12512.09</v>
      </c>
      <c r="T2722" s="569">
        <v>12279.07</v>
      </c>
      <c r="U2722" s="569">
        <v>13098.900000000001</v>
      </c>
      <c r="V2722" s="569">
        <v>13738.619999999999</v>
      </c>
      <c r="W2722" s="569">
        <v>14591.89</v>
      </c>
      <c r="X2722" s="569">
        <v>15484.109999999999</v>
      </c>
      <c r="Y2722" s="569">
        <v>15738.939999999999</v>
      </c>
      <c r="Z2722" s="569">
        <v>16150.25</v>
      </c>
      <c r="AA2722" s="569">
        <v>15953.369999999999</v>
      </c>
      <c r="AB2722" s="569">
        <v>16418.89</v>
      </c>
      <c r="AC2722" s="569">
        <v>16466.68</v>
      </c>
      <c r="AD2722" s="569">
        <v>16460.11</v>
      </c>
      <c r="AE2722" s="569">
        <v>17228.96</v>
      </c>
      <c r="AF2722" s="569">
        <v>19118.27</v>
      </c>
      <c r="AG2722" s="569">
        <v>21118.06</v>
      </c>
      <c r="AH2722" s="569">
        <v>20155.04</v>
      </c>
      <c r="AI2722" s="569">
        <v>19577.79</v>
      </c>
      <c r="AJ2722" s="569">
        <v>19361.98</v>
      </c>
      <c r="AK2722" s="569">
        <v>19184.34</v>
      </c>
      <c r="AL2722" s="569">
        <v>19652.150000000001</v>
      </c>
      <c r="AM2722" s="569">
        <v>20050.580000000002</v>
      </c>
      <c r="AN2722" s="569">
        <v>20134.45</v>
      </c>
      <c r="AO2722" s="569">
        <v>20133.07</v>
      </c>
    </row>
    <row r="2723" spans="1:44" s="330" customFormat="1" hidden="1" outlineLevel="1">
      <c r="B2723" s="582">
        <v>31034</v>
      </c>
      <c r="C2723" s="375" t="s">
        <v>1384</v>
      </c>
      <c r="D2723" s="226"/>
      <c r="E2723" s="375" t="s">
        <v>137</v>
      </c>
      <c r="F2723" s="226"/>
      <c r="G2723" s="226"/>
      <c r="H2723" s="226"/>
      <c r="I2723" s="226"/>
      <c r="J2723" s="226"/>
      <c r="K2723" s="574"/>
      <c r="L2723" s="574"/>
      <c r="M2723" s="574"/>
      <c r="N2723" s="574"/>
      <c r="O2723" s="574"/>
      <c r="P2723" s="569">
        <v>1179.9000000000001</v>
      </c>
      <c r="Q2723" s="569">
        <v>2181.52</v>
      </c>
      <c r="R2723" s="569">
        <v>43.84</v>
      </c>
      <c r="S2723" s="569">
        <v>4563.8900000000003</v>
      </c>
      <c r="T2723" s="569">
        <v>5814.85</v>
      </c>
      <c r="U2723" s="569">
        <v>7183.11</v>
      </c>
      <c r="V2723" s="569">
        <v>8054.26</v>
      </c>
      <c r="W2723" s="569">
        <v>8500.65</v>
      </c>
      <c r="X2723" s="569">
        <v>82.97</v>
      </c>
      <c r="Y2723" s="569">
        <v>89.6</v>
      </c>
      <c r="Z2723" s="569">
        <v>10540.69</v>
      </c>
      <c r="AA2723" s="569">
        <v>11356.9</v>
      </c>
      <c r="AB2723" s="569">
        <v>11142.04</v>
      </c>
      <c r="AC2723" s="569">
        <v>11493.73</v>
      </c>
      <c r="AD2723" s="569">
        <v>12694.37</v>
      </c>
      <c r="AE2723" s="569">
        <v>14105.36</v>
      </c>
      <c r="AF2723" s="569">
        <v>17892.63</v>
      </c>
      <c r="AG2723" s="569">
        <v>18533.59</v>
      </c>
      <c r="AH2723" s="569">
        <v>18637.73</v>
      </c>
      <c r="AI2723" s="569">
        <v>19391.16</v>
      </c>
      <c r="AJ2723" s="569">
        <v>19965.07</v>
      </c>
      <c r="AK2723" s="569">
        <v>20221.72</v>
      </c>
      <c r="AL2723" s="569">
        <v>21275.42</v>
      </c>
      <c r="AM2723" s="569">
        <v>21123.65</v>
      </c>
      <c r="AN2723" s="569">
        <v>21253.46</v>
      </c>
      <c r="AO2723" s="569">
        <v>20484.490000000002</v>
      </c>
    </row>
    <row r="2724" spans="1:44" s="330" customFormat="1" hidden="1" outlineLevel="1">
      <c r="B2724" s="582">
        <v>103574</v>
      </c>
      <c r="C2724" s="375" t="s">
        <v>1384</v>
      </c>
      <c r="D2724" s="226"/>
      <c r="E2724" s="375" t="s">
        <v>1415</v>
      </c>
      <c r="F2724" s="226"/>
      <c r="G2724" s="226"/>
      <c r="H2724" s="226"/>
      <c r="I2724" s="226"/>
      <c r="J2724" s="226"/>
      <c r="K2724" s="574"/>
      <c r="L2724" s="574"/>
      <c r="M2724" s="574"/>
      <c r="N2724" s="574"/>
      <c r="O2724" s="574"/>
      <c r="P2724" s="569">
        <v>2284.0600000000004</v>
      </c>
      <c r="Q2724" s="569">
        <v>2281.69</v>
      </c>
      <c r="R2724" s="569">
        <v>4952.5200000000004</v>
      </c>
      <c r="S2724" s="569">
        <v>2216.21</v>
      </c>
      <c r="T2724" s="569">
        <v>2284.1400000000003</v>
      </c>
      <c r="U2724" s="569">
        <v>2422.42</v>
      </c>
      <c r="V2724" s="569">
        <v>2559.44</v>
      </c>
      <c r="W2724" s="569">
        <v>2793.91</v>
      </c>
      <c r="X2724" s="569">
        <v>12196.599999999999</v>
      </c>
      <c r="Y2724" s="569">
        <v>13285.96</v>
      </c>
      <c r="Z2724" s="569">
        <v>3165.5899999999997</v>
      </c>
      <c r="AA2724" s="569">
        <v>3208.85</v>
      </c>
      <c r="AB2724" s="569">
        <v>3032.72</v>
      </c>
      <c r="AC2724" s="569">
        <v>3070.69</v>
      </c>
      <c r="AD2724" s="569">
        <v>3161.66</v>
      </c>
      <c r="AE2724" s="569">
        <v>3231.36</v>
      </c>
      <c r="AF2724" s="569">
        <v>3744.44</v>
      </c>
      <c r="AG2724" s="569">
        <v>4003.0299999999997</v>
      </c>
      <c r="AH2724" s="569">
        <v>3526.68</v>
      </c>
      <c r="AI2724" s="569">
        <v>3358.23</v>
      </c>
      <c r="AJ2724" s="569">
        <v>3070.74</v>
      </c>
      <c r="AK2724" s="569">
        <v>2735.46</v>
      </c>
      <c r="AL2724" s="569">
        <v>2725.64</v>
      </c>
      <c r="AM2724" s="569">
        <v>2860.8</v>
      </c>
      <c r="AN2724" s="569">
        <v>2824.26</v>
      </c>
      <c r="AO2724" s="569">
        <v>2847.8599999999997</v>
      </c>
    </row>
    <row r="2725" spans="1:44" s="330" customFormat="1" hidden="1" outlineLevel="1">
      <c r="B2725" s="575">
        <v>445566</v>
      </c>
      <c r="C2725" s="226" t="s">
        <v>1384</v>
      </c>
      <c r="D2725" s="226"/>
      <c r="E2725" s="226" t="s">
        <v>1416</v>
      </c>
      <c r="F2725" s="226"/>
      <c r="G2725" s="226"/>
      <c r="H2725" s="226"/>
      <c r="I2725" s="226"/>
      <c r="J2725" s="226"/>
      <c r="K2725" s="574"/>
      <c r="L2725" s="574"/>
      <c r="M2725" s="574"/>
      <c r="N2725" s="574"/>
      <c r="O2725" s="574"/>
      <c r="P2725" s="574">
        <v>282261.76000000007</v>
      </c>
      <c r="Q2725" s="574">
        <v>283147.01</v>
      </c>
      <c r="R2725" s="574">
        <v>283846.74000000005</v>
      </c>
      <c r="S2725" s="574">
        <v>291397.95000000007</v>
      </c>
      <c r="T2725" s="574">
        <v>296150.62999999989</v>
      </c>
      <c r="U2725" s="574">
        <v>302408.59999999998</v>
      </c>
      <c r="V2725" s="574">
        <v>309352.96999999997</v>
      </c>
      <c r="W2725" s="574">
        <v>321019.27000000008</v>
      </c>
      <c r="X2725" s="574">
        <v>346145.85000000003</v>
      </c>
      <c r="Y2725" s="574">
        <v>368791.67999999993</v>
      </c>
      <c r="Z2725" s="574">
        <v>378505.90000000008</v>
      </c>
      <c r="AA2725" s="574">
        <v>385904.38000000006</v>
      </c>
      <c r="AB2725" s="574">
        <v>381210.70999999996</v>
      </c>
      <c r="AC2725" s="574">
        <v>386580.87999999995</v>
      </c>
      <c r="AD2725" s="574">
        <v>396625.04</v>
      </c>
      <c r="AE2725" s="574">
        <v>421634.81</v>
      </c>
      <c r="AF2725" s="574">
        <v>482488.29999999993</v>
      </c>
      <c r="AG2725" s="574">
        <v>500782.71000000008</v>
      </c>
      <c r="AH2725" s="574">
        <v>490511.62999999989</v>
      </c>
      <c r="AI2725" s="574">
        <v>472191.20999999996</v>
      </c>
      <c r="AJ2725" s="574">
        <v>467243.11</v>
      </c>
      <c r="AK2725" s="574">
        <f>SUM(AK2675:AK2724)</f>
        <v>461999.91000000021</v>
      </c>
      <c r="AL2725" s="574">
        <f>SUM(AL2675:AL2724)</f>
        <v>460619.70999999996</v>
      </c>
      <c r="AM2725" s="574">
        <f>SUM(AM2675:AM2724)</f>
        <v>463922.87</v>
      </c>
      <c r="AN2725" s="574">
        <f>SUM(AN2675:AN2724)</f>
        <v>465347.10000000003</v>
      </c>
      <c r="AO2725" s="574">
        <f>SUM(AO2675:AO2724)</f>
        <v>463339.09</v>
      </c>
      <c r="AR2725"/>
    </row>
    <row r="2726" spans="1:44" collapsed="1">
      <c r="B2726" s="568"/>
      <c r="C2726" s="25" t="s">
        <v>1614</v>
      </c>
      <c r="D2726" s="25"/>
      <c r="E2726" s="6"/>
      <c r="F2726" s="6"/>
      <c r="G2726" s="6"/>
      <c r="H2726" s="6"/>
      <c r="I2726" s="6"/>
      <c r="J2726" s="6"/>
      <c r="K2726" s="7"/>
      <c r="L2726" s="7"/>
      <c r="M2726" s="7"/>
      <c r="N2726" s="7"/>
      <c r="O2726" s="7"/>
      <c r="P2726" s="7"/>
      <c r="Q2726" s="7"/>
      <c r="R2726" s="7"/>
      <c r="S2726" s="7"/>
      <c r="T2726" s="7"/>
      <c r="U2726" s="7"/>
      <c r="V2726" s="7"/>
      <c r="W2726" s="7"/>
      <c r="X2726" s="7"/>
      <c r="Y2726" s="7"/>
      <c r="Z2726" s="7"/>
      <c r="AA2726" s="7"/>
      <c r="AB2726" s="7"/>
      <c r="AC2726" s="7"/>
      <c r="AD2726" s="7"/>
      <c r="AE2726" s="7"/>
      <c r="AF2726" s="7"/>
      <c r="AG2726" s="7"/>
      <c r="AH2726" s="61"/>
      <c r="AI2726" s="61"/>
      <c r="AJ2726" s="26"/>
      <c r="AK2726" s="26"/>
      <c r="AL2726" s="26"/>
      <c r="AM2726" s="26"/>
      <c r="AN2726" s="26"/>
      <c r="AO2726" s="1069"/>
      <c r="AP2726" s="1044"/>
      <c r="AR2726" s="173"/>
    </row>
    <row r="2727" spans="1:44" s="173" customFormat="1" hidden="1" outlineLevel="1">
      <c r="A2727" s="578">
        <v>40</v>
      </c>
      <c r="B2727" s="568">
        <v>3656</v>
      </c>
      <c r="C2727" s="375" t="s">
        <v>1393</v>
      </c>
      <c r="D2727" s="226"/>
      <c r="E2727" s="23" t="s">
        <v>754</v>
      </c>
      <c r="F2727" s="570">
        <v>18844.810000000001</v>
      </c>
      <c r="G2727" s="570">
        <v>19146.259999999998</v>
      </c>
      <c r="H2727" s="577">
        <v>18629.39</v>
      </c>
      <c r="I2727" s="570">
        <v>18499.47</v>
      </c>
      <c r="J2727" s="570">
        <v>18301.98</v>
      </c>
      <c r="K2727" s="570">
        <v>18976.93</v>
      </c>
      <c r="L2727" s="570">
        <v>19331.919999999998</v>
      </c>
      <c r="M2727" s="570">
        <v>19823.099999999999</v>
      </c>
      <c r="N2727" s="570">
        <v>19907.71</v>
      </c>
      <c r="O2727" s="570">
        <v>18994.53</v>
      </c>
      <c r="P2727" s="570">
        <v>18412.330000000002</v>
      </c>
      <c r="Q2727" s="570">
        <v>18142.13</v>
      </c>
      <c r="R2727" s="570">
        <v>17219.93</v>
      </c>
      <c r="S2727" s="570">
        <v>16138.8</v>
      </c>
      <c r="T2727" s="570">
        <v>15635.46</v>
      </c>
      <c r="U2727" s="570">
        <v>15843.83</v>
      </c>
      <c r="V2727" s="570">
        <v>15810.43</v>
      </c>
      <c r="W2727" s="570">
        <v>16646.48</v>
      </c>
      <c r="X2727" s="570">
        <v>17722.53</v>
      </c>
      <c r="Y2727" s="570">
        <v>19548.09</v>
      </c>
      <c r="Z2727" s="570">
        <v>20975.39</v>
      </c>
      <c r="AA2727" s="570">
        <v>20789.09</v>
      </c>
      <c r="AB2727" s="570">
        <v>20844.509999999998</v>
      </c>
      <c r="AC2727" s="570">
        <v>20306.63</v>
      </c>
      <c r="AD2727" s="570">
        <v>20196.64</v>
      </c>
      <c r="AE2727" s="570">
        <v>20687.919999999998</v>
      </c>
      <c r="AF2727" s="570">
        <v>24424.53</v>
      </c>
      <c r="AG2727" s="570">
        <v>27913.74</v>
      </c>
      <c r="AH2727" s="569">
        <v>27944.34</v>
      </c>
      <c r="AI2727" s="569">
        <v>27644.74</v>
      </c>
      <c r="AJ2727" s="569">
        <v>28051.73</v>
      </c>
      <c r="AK2727" s="569">
        <v>29523.89</v>
      </c>
      <c r="AL2727" s="569">
        <v>30872.73</v>
      </c>
      <c r="AM2727" s="569">
        <v>33507.160000000003</v>
      </c>
      <c r="AN2727" s="569">
        <v>34751.43</v>
      </c>
      <c r="AO2727" s="569">
        <v>35658.14</v>
      </c>
    </row>
    <row r="2728" spans="1:44" s="173" customFormat="1" hidden="1" outlineLevel="1">
      <c r="A2728" s="578">
        <v>50</v>
      </c>
      <c r="B2728" s="568">
        <v>3658</v>
      </c>
      <c r="C2728" s="375" t="s">
        <v>1393</v>
      </c>
      <c r="D2728" s="226"/>
      <c r="E2728" s="23" t="s">
        <v>749</v>
      </c>
      <c r="F2728" s="570">
        <v>45669.919999999998</v>
      </c>
      <c r="G2728" s="570">
        <v>46117.77</v>
      </c>
      <c r="H2728" s="570">
        <v>44974.2</v>
      </c>
      <c r="I2728" s="570">
        <v>44169.45</v>
      </c>
      <c r="J2728" s="570">
        <v>45152.33</v>
      </c>
      <c r="K2728" s="570">
        <v>46816.38</v>
      </c>
      <c r="L2728" s="570">
        <v>46310.22</v>
      </c>
      <c r="M2728" s="570">
        <v>45992.26</v>
      </c>
      <c r="N2728" s="570">
        <v>46097.55</v>
      </c>
      <c r="O2728" s="570">
        <v>44981.17</v>
      </c>
      <c r="P2728" s="570">
        <v>44068.97</v>
      </c>
      <c r="Q2728" s="570">
        <v>43387.91</v>
      </c>
      <c r="R2728" s="570">
        <v>43520.61</v>
      </c>
      <c r="S2728" s="570">
        <v>43924.52</v>
      </c>
      <c r="T2728" s="570">
        <v>45209.71</v>
      </c>
      <c r="U2728" s="570">
        <v>44663.4</v>
      </c>
      <c r="V2728" s="570">
        <v>44648.45</v>
      </c>
      <c r="W2728" s="570">
        <v>45120.26</v>
      </c>
      <c r="X2728" s="570">
        <v>46472.19</v>
      </c>
      <c r="Y2728" s="570">
        <v>48402.52</v>
      </c>
      <c r="Z2728" s="570">
        <v>47845.53</v>
      </c>
      <c r="AA2728" s="570">
        <v>46900.09</v>
      </c>
      <c r="AB2728" s="570">
        <v>45996.59</v>
      </c>
      <c r="AC2728" s="570">
        <v>46387.41</v>
      </c>
      <c r="AD2728" s="570">
        <v>46656.18</v>
      </c>
      <c r="AE2728" s="570">
        <v>46473.54</v>
      </c>
      <c r="AF2728" s="570">
        <v>47315.77</v>
      </c>
      <c r="AG2728" s="570">
        <v>47551.62</v>
      </c>
      <c r="AH2728" s="569">
        <v>49779.38</v>
      </c>
      <c r="AI2728" s="569">
        <v>48780.91</v>
      </c>
      <c r="AJ2728" s="569">
        <v>48414.21</v>
      </c>
      <c r="AK2728" s="569">
        <v>47277.4</v>
      </c>
      <c r="AL2728" s="569">
        <v>47124.51</v>
      </c>
      <c r="AM2728" s="569">
        <v>47571.87</v>
      </c>
      <c r="AN2728" s="569">
        <v>47844.62</v>
      </c>
      <c r="AO2728" s="569">
        <v>48038.11</v>
      </c>
    </row>
    <row r="2729" spans="1:44" s="173" customFormat="1" hidden="1" outlineLevel="1">
      <c r="A2729" s="578">
        <v>60</v>
      </c>
      <c r="B2729" s="568">
        <v>9741</v>
      </c>
      <c r="C2729" s="375" t="s">
        <v>1393</v>
      </c>
      <c r="D2729" s="226"/>
      <c r="E2729" s="23" t="s">
        <v>755</v>
      </c>
      <c r="F2729" s="570">
        <v>5164.12</v>
      </c>
      <c r="G2729" s="570">
        <v>5102.38</v>
      </c>
      <c r="H2729" s="570">
        <v>4892.97</v>
      </c>
      <c r="I2729" s="570">
        <v>5027.47</v>
      </c>
      <c r="J2729" s="570">
        <v>5279.83</v>
      </c>
      <c r="K2729" s="570">
        <v>5338.64</v>
      </c>
      <c r="L2729" s="570">
        <v>5645.14</v>
      </c>
      <c r="M2729" s="570">
        <v>6047.75</v>
      </c>
      <c r="N2729" s="570">
        <v>6401.66</v>
      </c>
      <c r="O2729" s="570">
        <v>6121.89</v>
      </c>
      <c r="P2729" s="570">
        <v>6104.72</v>
      </c>
      <c r="Q2729" s="570">
        <v>6186.54</v>
      </c>
      <c r="R2729" s="570">
        <v>6574.04</v>
      </c>
      <c r="S2729" s="570">
        <v>7008.55</v>
      </c>
      <c r="T2729" s="570">
        <v>7150.73</v>
      </c>
      <c r="U2729" s="570">
        <v>7481.73</v>
      </c>
      <c r="V2729" s="570">
        <v>8121.64</v>
      </c>
      <c r="W2729" s="570">
        <v>8936.2999999999993</v>
      </c>
      <c r="X2729" s="570">
        <v>10103.450000000001</v>
      </c>
      <c r="Y2729" s="570">
        <v>10766.41</v>
      </c>
      <c r="Z2729" s="570">
        <v>11218.51</v>
      </c>
      <c r="AA2729" s="570">
        <v>11562.97</v>
      </c>
      <c r="AB2729" s="570">
        <v>11931.99</v>
      </c>
      <c r="AC2729" s="570">
        <v>11925.49</v>
      </c>
      <c r="AD2729" s="570">
        <v>12223.56</v>
      </c>
      <c r="AE2729" s="570">
        <v>12536.88</v>
      </c>
      <c r="AF2729" s="570">
        <v>13617.64</v>
      </c>
      <c r="AG2729" s="570">
        <v>14669.24</v>
      </c>
      <c r="AH2729" s="569">
        <v>17599.16</v>
      </c>
      <c r="AI2729" s="569">
        <v>17027.400000000001</v>
      </c>
      <c r="AJ2729" s="569">
        <v>18244.91</v>
      </c>
      <c r="AK2729" s="569">
        <v>19893.84</v>
      </c>
      <c r="AL2729" s="569">
        <v>21262.76</v>
      </c>
      <c r="AM2729" s="569">
        <v>23109.1</v>
      </c>
      <c r="AN2729" s="569">
        <v>23871.34</v>
      </c>
      <c r="AO2729" s="569">
        <v>25022.09</v>
      </c>
    </row>
    <row r="2730" spans="1:44" s="173" customFormat="1" hidden="1" outlineLevel="1">
      <c r="A2730" s="578">
        <v>70</v>
      </c>
      <c r="B2730" s="568">
        <v>3661</v>
      </c>
      <c r="C2730" s="375" t="s">
        <v>1393</v>
      </c>
      <c r="D2730" s="226"/>
      <c r="E2730" s="23" t="s">
        <v>756</v>
      </c>
      <c r="F2730" s="570">
        <v>12793.9</v>
      </c>
      <c r="G2730" s="570">
        <v>12772.88</v>
      </c>
      <c r="H2730" s="570">
        <v>11464.29</v>
      </c>
      <c r="I2730" s="570">
        <v>10976.33</v>
      </c>
      <c r="J2730" s="570">
        <v>11376.7</v>
      </c>
      <c r="K2730" s="570">
        <v>12155.18</v>
      </c>
      <c r="L2730" s="570">
        <v>12801.29</v>
      </c>
      <c r="M2730" s="570">
        <v>13345.68</v>
      </c>
      <c r="N2730" s="570">
        <v>13633.38</v>
      </c>
      <c r="O2730" s="570">
        <v>13575.63</v>
      </c>
      <c r="P2730" s="570">
        <v>13560.16</v>
      </c>
      <c r="Q2730" s="570">
        <v>13481.32</v>
      </c>
      <c r="R2730" s="570">
        <v>12680.26</v>
      </c>
      <c r="S2730" s="570">
        <v>12049.42</v>
      </c>
      <c r="T2730" s="570">
        <v>12094.88</v>
      </c>
      <c r="U2730" s="570">
        <v>12049.5</v>
      </c>
      <c r="V2730" s="570">
        <v>11951.62</v>
      </c>
      <c r="W2730" s="570">
        <v>12316.97</v>
      </c>
      <c r="X2730" s="570">
        <v>13428.33</v>
      </c>
      <c r="Y2730" s="570">
        <v>13983.34</v>
      </c>
      <c r="Z2730" s="570">
        <v>14771.14</v>
      </c>
      <c r="AA2730" s="570">
        <v>14679.66</v>
      </c>
      <c r="AB2730" s="570">
        <v>15214.37</v>
      </c>
      <c r="AC2730" s="570">
        <v>15615.03</v>
      </c>
      <c r="AD2730" s="570">
        <v>16014.14</v>
      </c>
      <c r="AE2730" s="570">
        <v>16302.22</v>
      </c>
      <c r="AF2730" s="570">
        <v>17065.419999999998</v>
      </c>
      <c r="AG2730" s="570">
        <v>17982.91</v>
      </c>
      <c r="AH2730" s="569">
        <v>17670.36</v>
      </c>
      <c r="AI2730" s="569">
        <v>18151.48</v>
      </c>
      <c r="AJ2730" s="569">
        <v>18399.400000000001</v>
      </c>
      <c r="AK2730" s="569">
        <v>18759.740000000002</v>
      </c>
      <c r="AL2730" s="569">
        <v>19051.55</v>
      </c>
      <c r="AM2730" s="569">
        <v>19571.13</v>
      </c>
      <c r="AN2730" s="569">
        <v>20426.509999999998</v>
      </c>
      <c r="AO2730" s="569">
        <v>20340.27</v>
      </c>
    </row>
    <row r="2731" spans="1:44" s="173" customFormat="1" hidden="1" outlineLevel="1">
      <c r="A2731" s="578">
        <v>91</v>
      </c>
      <c r="B2731" s="568">
        <v>3599</v>
      </c>
      <c r="C2731" s="375" t="s">
        <v>1393</v>
      </c>
      <c r="D2731" s="226"/>
      <c r="E2731" s="375" t="s">
        <v>1667</v>
      </c>
      <c r="F2731" s="570"/>
      <c r="G2731" s="570"/>
      <c r="H2731" s="570"/>
      <c r="I2731" s="570"/>
      <c r="J2731" s="570"/>
      <c r="K2731" s="570"/>
      <c r="L2731" s="570"/>
      <c r="M2731" s="570"/>
      <c r="N2731" s="570"/>
      <c r="O2731" s="570"/>
      <c r="P2731" s="570"/>
      <c r="Q2731" s="570"/>
      <c r="R2731" s="570"/>
      <c r="S2731" s="570"/>
      <c r="T2731" s="570"/>
      <c r="U2731" s="570"/>
      <c r="V2731" s="570"/>
      <c r="W2731" s="570"/>
      <c r="X2731" s="570"/>
      <c r="Y2731" s="570"/>
      <c r="Z2731" s="570"/>
      <c r="AA2731" s="570"/>
      <c r="AB2731" s="570"/>
      <c r="AC2731" s="570"/>
      <c r="AD2731" s="570"/>
      <c r="AE2731" s="570"/>
      <c r="AF2731" s="570"/>
      <c r="AG2731" s="570"/>
      <c r="AH2731" s="569"/>
      <c r="AI2731" s="569"/>
      <c r="AJ2731" s="569"/>
      <c r="AK2731" s="569"/>
      <c r="AL2731" s="569">
        <v>23855.74</v>
      </c>
      <c r="AM2731" s="569">
        <v>24068.14</v>
      </c>
      <c r="AN2731" s="569">
        <v>24855.39</v>
      </c>
      <c r="AO2731" s="569">
        <v>25688.240000000002</v>
      </c>
    </row>
    <row r="2732" spans="1:44" s="173" customFormat="1" hidden="1" outlineLevel="1">
      <c r="A2732" s="578">
        <v>80</v>
      </c>
      <c r="B2732" s="568">
        <v>3599</v>
      </c>
      <c r="C2732" s="375" t="s">
        <v>1393</v>
      </c>
      <c r="D2732" s="226"/>
      <c r="E2732" s="23" t="s">
        <v>1356</v>
      </c>
      <c r="F2732" s="570">
        <v>7927.36</v>
      </c>
      <c r="G2732" s="570">
        <v>7967.26</v>
      </c>
      <c r="H2732" s="570">
        <v>6888.18</v>
      </c>
      <c r="I2732" s="570">
        <v>7899.53</v>
      </c>
      <c r="J2732" s="570">
        <v>8626.8799999999992</v>
      </c>
      <c r="K2732" s="570">
        <v>9959.85</v>
      </c>
      <c r="L2732" s="570">
        <v>10445.26</v>
      </c>
      <c r="M2732" s="570">
        <v>10728.02</v>
      </c>
      <c r="N2732" s="570">
        <v>10853.6</v>
      </c>
      <c r="O2732" s="570">
        <v>11079.9</v>
      </c>
      <c r="P2732" s="570">
        <v>11412.02</v>
      </c>
      <c r="Q2732" s="570">
        <v>11479.63</v>
      </c>
      <c r="R2732" s="570">
        <v>11212.41</v>
      </c>
      <c r="S2732" s="570">
        <v>10769.03</v>
      </c>
      <c r="T2732" s="570">
        <v>10769.47</v>
      </c>
      <c r="U2732" s="570">
        <v>10890.46</v>
      </c>
      <c r="V2732" s="570">
        <v>10822.05</v>
      </c>
      <c r="W2732" s="570">
        <v>10945.62</v>
      </c>
      <c r="X2732" s="570">
        <v>11979.3</v>
      </c>
      <c r="Y2732" s="570">
        <v>12879.33</v>
      </c>
      <c r="Z2732" s="570">
        <v>14004.5</v>
      </c>
      <c r="AA2732" s="570">
        <v>15025.37</v>
      </c>
      <c r="AB2732" s="570">
        <v>14916.73</v>
      </c>
      <c r="AC2732" s="570">
        <v>15354.66</v>
      </c>
      <c r="AD2732" s="570">
        <v>15396.06</v>
      </c>
      <c r="AE2732" s="570">
        <v>15504.06</v>
      </c>
      <c r="AF2732" s="570">
        <v>16646.88</v>
      </c>
      <c r="AG2732" s="570">
        <v>16855.5</v>
      </c>
      <c r="AH2732" s="569">
        <v>15669.66</v>
      </c>
      <c r="AI2732" s="569">
        <v>16631.57</v>
      </c>
      <c r="AJ2732" s="569">
        <v>17573.759999999998</v>
      </c>
      <c r="AK2732" s="569">
        <v>4137.46</v>
      </c>
      <c r="AL2732" s="569"/>
      <c r="AM2732" s="569"/>
      <c r="AN2732" s="569"/>
      <c r="AO2732" s="569"/>
    </row>
    <row r="2733" spans="1:44" s="173" customFormat="1" hidden="1" outlineLevel="1">
      <c r="A2733" s="578">
        <v>90</v>
      </c>
      <c r="B2733" s="568">
        <v>30646</v>
      </c>
      <c r="C2733" s="375" t="s">
        <v>1393</v>
      </c>
      <c r="D2733" s="226"/>
      <c r="E2733" s="23" t="s">
        <v>1357</v>
      </c>
      <c r="F2733" s="570">
        <v>754.46</v>
      </c>
      <c r="G2733" s="570">
        <v>883.37</v>
      </c>
      <c r="H2733" s="570">
        <v>843.22</v>
      </c>
      <c r="I2733" s="570">
        <v>760.53</v>
      </c>
      <c r="J2733" s="570">
        <v>888.44</v>
      </c>
      <c r="K2733" s="570">
        <v>1055.72</v>
      </c>
      <c r="L2733" s="570">
        <v>1025.54</v>
      </c>
      <c r="M2733" s="570">
        <v>1013.4</v>
      </c>
      <c r="N2733" s="570">
        <v>1062.73</v>
      </c>
      <c r="O2733" s="570">
        <v>1099.17</v>
      </c>
      <c r="P2733" s="570">
        <v>1328.92</v>
      </c>
      <c r="Q2733" s="570">
        <v>1430.43</v>
      </c>
      <c r="R2733" s="570">
        <v>1538.28</v>
      </c>
      <c r="S2733" s="570">
        <v>1602.28</v>
      </c>
      <c r="T2733" s="570">
        <v>1620.2</v>
      </c>
      <c r="U2733" s="570">
        <v>1644.08</v>
      </c>
      <c r="V2733" s="570">
        <v>1653.43</v>
      </c>
      <c r="W2733" s="570">
        <v>1913.18</v>
      </c>
      <c r="X2733" s="570">
        <v>2223.81</v>
      </c>
      <c r="Y2733" s="570">
        <v>2192.38</v>
      </c>
      <c r="Z2733" s="570">
        <v>2278.02</v>
      </c>
      <c r="AA2733" s="570">
        <v>2494.64</v>
      </c>
      <c r="AB2733" s="570">
        <v>2789.44</v>
      </c>
      <c r="AC2733" s="570">
        <v>2726.22</v>
      </c>
      <c r="AD2733" s="570">
        <v>3193.5</v>
      </c>
      <c r="AE2733" s="570">
        <v>3454.34</v>
      </c>
      <c r="AF2733" s="570">
        <v>3739.23</v>
      </c>
      <c r="AG2733" s="570">
        <v>3898.45</v>
      </c>
      <c r="AH2733" s="569">
        <v>3990.08</v>
      </c>
      <c r="AI2733" s="569">
        <v>6311.24</v>
      </c>
      <c r="AJ2733" s="569">
        <v>6419.63</v>
      </c>
      <c r="AK2733" s="569">
        <v>6313.59</v>
      </c>
      <c r="AL2733" s="569"/>
      <c r="AM2733" s="569"/>
      <c r="AN2733" s="569"/>
      <c r="AO2733" s="569"/>
    </row>
    <row r="2734" spans="1:44" s="173" customFormat="1" hidden="1" outlineLevel="1">
      <c r="A2734" s="578">
        <v>100</v>
      </c>
      <c r="B2734" s="568">
        <v>9930</v>
      </c>
      <c r="C2734" s="375" t="s">
        <v>1393</v>
      </c>
      <c r="D2734" s="226"/>
      <c r="E2734" s="23" t="s">
        <v>1358</v>
      </c>
      <c r="F2734" s="570">
        <v>1392.63</v>
      </c>
      <c r="G2734" s="570">
        <v>1310.81</v>
      </c>
      <c r="H2734" s="570">
        <v>1272.0999999999999</v>
      </c>
      <c r="I2734" s="570">
        <v>1197.69</v>
      </c>
      <c r="J2734" s="570">
        <v>1207.3399999999999</v>
      </c>
      <c r="K2734" s="570">
        <v>1362.9</v>
      </c>
      <c r="L2734" s="570">
        <v>1316.98</v>
      </c>
      <c r="M2734" s="570">
        <v>1281.81</v>
      </c>
      <c r="N2734" s="570">
        <v>1414.73</v>
      </c>
      <c r="O2734" s="570">
        <v>1581.67</v>
      </c>
      <c r="P2734" s="570">
        <v>1574.62</v>
      </c>
      <c r="Q2734" s="570">
        <v>1659.74</v>
      </c>
      <c r="R2734" s="570">
        <v>1648.41</v>
      </c>
      <c r="S2734" s="570">
        <v>1562.13</v>
      </c>
      <c r="T2734" s="570">
        <v>1630.21</v>
      </c>
      <c r="U2734" s="570">
        <v>1742.91</v>
      </c>
      <c r="V2734" s="570">
        <v>1758.88</v>
      </c>
      <c r="W2734" s="570">
        <v>1784.56</v>
      </c>
      <c r="X2734" s="570">
        <v>1915.48</v>
      </c>
      <c r="Y2734" s="570">
        <v>2108.38</v>
      </c>
      <c r="Z2734" s="570">
        <v>2394.19</v>
      </c>
      <c r="AA2734" s="570">
        <v>2576.08</v>
      </c>
      <c r="AB2734" s="570">
        <v>2710.72</v>
      </c>
      <c r="AC2734" s="570">
        <v>2670.4</v>
      </c>
      <c r="AD2734" s="570">
        <v>2796.72</v>
      </c>
      <c r="AE2734" s="570">
        <v>2712.09</v>
      </c>
      <c r="AF2734" s="570">
        <v>2805.33</v>
      </c>
      <c r="AG2734" s="570">
        <v>3033.28</v>
      </c>
      <c r="AH2734" s="569">
        <v>2745.56</v>
      </c>
      <c r="AI2734" s="569">
        <v>3093.4</v>
      </c>
      <c r="AJ2734" s="569">
        <v>3693.09</v>
      </c>
      <c r="AK2734" s="569">
        <v>18689.66</v>
      </c>
      <c r="AL2734" s="569">
        <v>4187.13</v>
      </c>
      <c r="AM2734" s="569">
        <v>4492.38</v>
      </c>
      <c r="AN2734" s="569">
        <v>4746.6000000000004</v>
      </c>
      <c r="AO2734" s="569">
        <v>4396.25</v>
      </c>
    </row>
    <row r="2735" spans="1:44" s="173" customFormat="1" hidden="1" outlineLevel="1">
      <c r="A2735" s="578">
        <v>110</v>
      </c>
      <c r="B2735" s="568">
        <v>10115</v>
      </c>
      <c r="C2735" s="375" t="s">
        <v>1393</v>
      </c>
      <c r="D2735" s="226"/>
      <c r="E2735" s="23" t="s">
        <v>757</v>
      </c>
      <c r="F2735" s="570">
        <v>9445.93</v>
      </c>
      <c r="G2735" s="570">
        <v>9782.01</v>
      </c>
      <c r="H2735" s="570">
        <v>9460.4</v>
      </c>
      <c r="I2735" s="570">
        <v>9576.4699999999993</v>
      </c>
      <c r="J2735" s="570">
        <v>10096.75</v>
      </c>
      <c r="K2735" s="570">
        <v>10479.959999999999</v>
      </c>
      <c r="L2735" s="570">
        <v>11204.95</v>
      </c>
      <c r="M2735" s="570">
        <v>12095.91</v>
      </c>
      <c r="N2735" s="570">
        <v>12635.82</v>
      </c>
      <c r="O2735" s="570">
        <v>13021.07</v>
      </c>
      <c r="P2735" s="570">
        <v>13564.3</v>
      </c>
      <c r="Q2735" s="570">
        <v>13751.05</v>
      </c>
      <c r="R2735" s="570">
        <v>13506.82</v>
      </c>
      <c r="S2735" s="570">
        <v>13439.39</v>
      </c>
      <c r="T2735" s="570">
        <v>14097.67</v>
      </c>
      <c r="U2735" s="570">
        <v>15072.34</v>
      </c>
      <c r="V2735" s="570">
        <v>14711.08</v>
      </c>
      <c r="W2735" s="570">
        <v>15147.98</v>
      </c>
      <c r="X2735" s="570">
        <v>16363.81</v>
      </c>
      <c r="Y2735" s="570">
        <v>18132.810000000001</v>
      </c>
      <c r="Z2735" s="570">
        <v>20372.73</v>
      </c>
      <c r="AA2735" s="570">
        <v>21272.54</v>
      </c>
      <c r="AB2735" s="570">
        <v>22044.04</v>
      </c>
      <c r="AC2735" s="570">
        <v>22808.09</v>
      </c>
      <c r="AD2735" s="570">
        <v>23052.71</v>
      </c>
      <c r="AE2735" s="570">
        <v>23271.56</v>
      </c>
      <c r="AF2735" s="570">
        <v>24166.23</v>
      </c>
      <c r="AG2735" s="570">
        <v>25287.08</v>
      </c>
      <c r="AH2735" s="569">
        <v>24750.1</v>
      </c>
      <c r="AI2735" s="569">
        <v>25662.23</v>
      </c>
      <c r="AJ2735" s="569">
        <v>24313.83</v>
      </c>
      <c r="AK2735" s="569">
        <v>24354.720000000001</v>
      </c>
      <c r="AL2735" s="569">
        <v>24761.8</v>
      </c>
      <c r="AM2735" s="569">
        <v>24963.040000000001</v>
      </c>
      <c r="AN2735" s="569">
        <v>26249.25</v>
      </c>
      <c r="AO2735" s="569">
        <v>27218.2</v>
      </c>
    </row>
    <row r="2736" spans="1:44" s="173" customFormat="1" hidden="1" outlineLevel="1">
      <c r="A2736" s="578">
        <v>120</v>
      </c>
      <c r="B2736" s="568">
        <v>11163</v>
      </c>
      <c r="C2736" s="375" t="s">
        <v>1393</v>
      </c>
      <c r="D2736" s="226"/>
      <c r="E2736" s="23" t="s">
        <v>1359</v>
      </c>
      <c r="F2736" s="570">
        <v>2317.64</v>
      </c>
      <c r="G2736" s="570">
        <v>2568.48</v>
      </c>
      <c r="H2736" s="570">
        <v>2505.83</v>
      </c>
      <c r="I2736" s="570">
        <v>2545.2800000000002</v>
      </c>
      <c r="J2736" s="570">
        <v>2657.92</v>
      </c>
      <c r="K2736" s="570">
        <v>2656.03</v>
      </c>
      <c r="L2736" s="570">
        <v>2876.86</v>
      </c>
      <c r="M2736" s="570">
        <v>2691.6</v>
      </c>
      <c r="N2736" s="570">
        <v>2694.09</v>
      </c>
      <c r="O2736" s="570">
        <v>2759.92</v>
      </c>
      <c r="P2736" s="570">
        <v>2696.73</v>
      </c>
      <c r="Q2736" s="570">
        <v>2726.62</v>
      </c>
      <c r="R2736" s="570">
        <v>2591.1799999999998</v>
      </c>
      <c r="S2736" s="570">
        <v>2403.7399999999998</v>
      </c>
      <c r="T2736" s="570">
        <v>2400.5</v>
      </c>
      <c r="U2736" s="570">
        <v>2522.38</v>
      </c>
      <c r="V2736" s="570">
        <v>2540.0700000000002</v>
      </c>
      <c r="W2736" s="570">
        <v>2675.05</v>
      </c>
      <c r="X2736" s="570">
        <v>2890.73</v>
      </c>
      <c r="Y2736" s="570">
        <v>3325.51</v>
      </c>
      <c r="Z2736" s="570">
        <v>3764.1</v>
      </c>
      <c r="AA2736" s="570">
        <v>4266.32</v>
      </c>
      <c r="AB2736" s="570">
        <v>4584.33</v>
      </c>
      <c r="AC2736" s="570">
        <v>4750.83</v>
      </c>
      <c r="AD2736" s="570">
        <v>4929.8999999999996</v>
      </c>
      <c r="AE2736" s="570">
        <v>4811.1000000000004</v>
      </c>
      <c r="AF2736" s="570">
        <v>4946.09</v>
      </c>
      <c r="AG2736" s="570">
        <v>5174.17</v>
      </c>
      <c r="AH2736" s="569">
        <v>5471.21</v>
      </c>
      <c r="AI2736" s="569">
        <v>5783.35</v>
      </c>
      <c r="AJ2736" s="569">
        <v>6108.14</v>
      </c>
      <c r="AK2736" s="569">
        <v>6610.36</v>
      </c>
      <c r="AL2736" s="569">
        <v>6955.41</v>
      </c>
      <c r="AM2736" s="569">
        <v>7443.69</v>
      </c>
      <c r="AN2736" s="569">
        <v>7673.33</v>
      </c>
      <c r="AO2736" s="569">
        <v>7506.7</v>
      </c>
    </row>
    <row r="2737" spans="1:44" s="173" customFormat="1" hidden="1" outlineLevel="1">
      <c r="A2737" s="578">
        <v>130</v>
      </c>
      <c r="B2737" s="568">
        <v>3632</v>
      </c>
      <c r="C2737" s="375" t="s">
        <v>1393</v>
      </c>
      <c r="D2737" s="226"/>
      <c r="E2737" s="23" t="s">
        <v>751</v>
      </c>
      <c r="F2737" s="570">
        <v>37048.230000000003</v>
      </c>
      <c r="G2737" s="570">
        <v>36853.279999999999</v>
      </c>
      <c r="H2737" s="570">
        <v>34727.35</v>
      </c>
      <c r="I2737" s="570">
        <v>35562.49</v>
      </c>
      <c r="J2737" s="570">
        <v>37417.440000000002</v>
      </c>
      <c r="K2737" s="570">
        <v>37449.46</v>
      </c>
      <c r="L2737" s="570">
        <v>38244.129999999997</v>
      </c>
      <c r="M2737" s="570">
        <v>38468.61</v>
      </c>
      <c r="N2737" s="570">
        <v>38627.18</v>
      </c>
      <c r="O2737" s="570">
        <v>38730.550000000003</v>
      </c>
      <c r="P2737" s="570">
        <v>39342.730000000003</v>
      </c>
      <c r="Q2737" s="570">
        <v>38643.21</v>
      </c>
      <c r="R2737" s="570">
        <v>38109.32</v>
      </c>
      <c r="S2737" s="570">
        <v>38232.129999999997</v>
      </c>
      <c r="T2737" s="570">
        <v>38394.99</v>
      </c>
      <c r="U2737" s="570">
        <v>39590.69</v>
      </c>
      <c r="V2737" s="570">
        <v>40128.67</v>
      </c>
      <c r="W2737" s="570">
        <v>40577.06</v>
      </c>
      <c r="X2737" s="570">
        <v>41180.559999999998</v>
      </c>
      <c r="Y2737" s="570">
        <v>41050.230000000003</v>
      </c>
      <c r="Z2737" s="570">
        <v>40745.99</v>
      </c>
      <c r="AA2737" s="570">
        <v>39747.620000000003</v>
      </c>
      <c r="AB2737" s="570">
        <v>41525.67</v>
      </c>
      <c r="AC2737" s="570">
        <v>41922.29</v>
      </c>
      <c r="AD2737" s="570">
        <v>43225.72</v>
      </c>
      <c r="AE2737" s="570">
        <v>43917.29</v>
      </c>
      <c r="AF2737" s="570">
        <v>44362.48</v>
      </c>
      <c r="AG2737" s="570">
        <v>44610.99</v>
      </c>
      <c r="AH2737" s="569">
        <v>44201.83</v>
      </c>
      <c r="AI2737" s="569">
        <v>45405.25</v>
      </c>
      <c r="AJ2737" s="569">
        <v>48193.39</v>
      </c>
      <c r="AK2737" s="569">
        <v>51014.11</v>
      </c>
      <c r="AL2737" s="569">
        <v>53025.08</v>
      </c>
      <c r="AM2737" s="569">
        <v>54494.71</v>
      </c>
      <c r="AN2737" s="569">
        <v>56462.46</v>
      </c>
      <c r="AO2737" s="569">
        <v>57109.08</v>
      </c>
    </row>
    <row r="2738" spans="1:44" s="173" customFormat="1" hidden="1" outlineLevel="1">
      <c r="A2738" s="578">
        <v>140</v>
      </c>
      <c r="B2738" s="568">
        <v>10298</v>
      </c>
      <c r="C2738" s="375" t="s">
        <v>1393</v>
      </c>
      <c r="D2738" s="226"/>
      <c r="E2738" s="23" t="s">
        <v>876</v>
      </c>
      <c r="F2738" s="570">
        <v>616.47</v>
      </c>
      <c r="G2738" s="570">
        <v>656.77</v>
      </c>
      <c r="H2738" s="570">
        <v>599.20000000000005</v>
      </c>
      <c r="I2738" s="570">
        <v>557.13</v>
      </c>
      <c r="J2738" s="570">
        <v>561.13</v>
      </c>
      <c r="K2738" s="570">
        <v>751.83</v>
      </c>
      <c r="L2738" s="570">
        <v>903.6</v>
      </c>
      <c r="M2738" s="570">
        <v>1074.97</v>
      </c>
      <c r="N2738" s="570">
        <v>1188.93</v>
      </c>
      <c r="O2738" s="570">
        <v>1209.2</v>
      </c>
      <c r="P2738" s="570">
        <v>1273.57</v>
      </c>
      <c r="Q2738" s="570">
        <v>1171.73</v>
      </c>
      <c r="R2738" s="570">
        <v>1194.67</v>
      </c>
      <c r="S2738" s="570">
        <v>1138.83</v>
      </c>
      <c r="T2738" s="570">
        <v>1053.8699999999999</v>
      </c>
      <c r="U2738" s="570">
        <v>1170.47</v>
      </c>
      <c r="V2738" s="570">
        <v>1263.33</v>
      </c>
      <c r="W2738" s="570">
        <v>1310.3699999999999</v>
      </c>
      <c r="X2738" s="570">
        <v>1321.03</v>
      </c>
      <c r="Y2738" s="570">
        <v>1457.48</v>
      </c>
      <c r="Z2738" s="570">
        <v>1548.59</v>
      </c>
      <c r="AA2738" s="570">
        <v>1551.52</v>
      </c>
      <c r="AB2738" s="570">
        <v>1590.54</v>
      </c>
      <c r="AC2738" s="570">
        <v>1506.43</v>
      </c>
      <c r="AD2738" s="570">
        <v>1550.45</v>
      </c>
      <c r="AE2738" s="570">
        <v>1607.94</v>
      </c>
      <c r="AF2738" s="570">
        <v>1688.91</v>
      </c>
      <c r="AG2738" s="570">
        <v>1838.88</v>
      </c>
      <c r="AH2738" s="569">
        <v>1732.3</v>
      </c>
      <c r="AI2738" s="569">
        <v>1922.73</v>
      </c>
      <c r="AJ2738" s="569">
        <v>2115.62</v>
      </c>
      <c r="AK2738" s="569">
        <v>2229.5</v>
      </c>
      <c r="AL2738" s="569">
        <v>2222.29</v>
      </c>
      <c r="AM2738" s="569">
        <v>2259.83</v>
      </c>
      <c r="AN2738" s="569">
        <v>2171.09</v>
      </c>
      <c r="AO2738" s="569">
        <v>2037.02</v>
      </c>
    </row>
    <row r="2739" spans="1:44" s="173" customFormat="1" hidden="1" outlineLevel="1">
      <c r="A2739" s="578">
        <v>150</v>
      </c>
      <c r="B2739" s="568">
        <v>3630</v>
      </c>
      <c r="C2739" s="375" t="s">
        <v>1393</v>
      </c>
      <c r="D2739" s="226"/>
      <c r="E2739" s="23" t="s">
        <v>1360</v>
      </c>
      <c r="F2739" s="570">
        <v>4583.8100000000004</v>
      </c>
      <c r="G2739" s="570">
        <v>4426.7700000000004</v>
      </c>
      <c r="H2739" s="570">
        <v>4400.87</v>
      </c>
      <c r="I2739" s="570">
        <v>4577.7700000000004</v>
      </c>
      <c r="J2739" s="570">
        <v>5114.6400000000003</v>
      </c>
      <c r="K2739" s="570">
        <v>5489.6</v>
      </c>
      <c r="L2739" s="570">
        <v>5382.53</v>
      </c>
      <c r="M2739" s="570">
        <v>4943.67</v>
      </c>
      <c r="N2739" s="570">
        <v>5292.43</v>
      </c>
      <c r="O2739" s="570">
        <v>5278.54</v>
      </c>
      <c r="P2739" s="570">
        <v>5458.28</v>
      </c>
      <c r="Q2739" s="570">
        <v>5528.37</v>
      </c>
      <c r="R2739" s="570">
        <v>5624.05</v>
      </c>
      <c r="S2739" s="570">
        <v>5741.78</v>
      </c>
      <c r="T2739" s="570">
        <v>5775.08</v>
      </c>
      <c r="U2739" s="570">
        <v>5964.61</v>
      </c>
      <c r="V2739" s="570">
        <v>5982.43</v>
      </c>
      <c r="W2739" s="570">
        <v>6271.96</v>
      </c>
      <c r="X2739" s="570">
        <v>6653.91</v>
      </c>
      <c r="Y2739" s="570">
        <v>6868.26</v>
      </c>
      <c r="Z2739" s="570">
        <v>7386.13</v>
      </c>
      <c r="AA2739" s="570">
        <v>7809.21</v>
      </c>
      <c r="AB2739" s="570">
        <v>7227.11</v>
      </c>
      <c r="AC2739" s="570">
        <v>7304.19</v>
      </c>
      <c r="AD2739" s="570">
        <v>7563.5</v>
      </c>
      <c r="AE2739" s="570">
        <v>7295.81</v>
      </c>
      <c r="AF2739" s="570">
        <v>7657.13</v>
      </c>
      <c r="AG2739" s="570">
        <v>7700.75</v>
      </c>
      <c r="AH2739" s="569">
        <v>7330.31</v>
      </c>
      <c r="AI2739" s="569">
        <v>7520.47</v>
      </c>
      <c r="AJ2739" s="569">
        <v>7564.78</v>
      </c>
      <c r="AK2739" s="569">
        <v>7615.26</v>
      </c>
      <c r="AL2739" s="569">
        <v>7715.35</v>
      </c>
      <c r="AM2739" s="569">
        <v>8126.3</v>
      </c>
      <c r="AN2739" s="569">
        <v>8524.5499999999993</v>
      </c>
      <c r="AO2739" s="569">
        <v>8790.7800000000007</v>
      </c>
    </row>
    <row r="2740" spans="1:44" s="173" customFormat="1" hidden="1" outlineLevel="1">
      <c r="A2740" s="578">
        <v>160</v>
      </c>
      <c r="B2740" s="568">
        <v>3631</v>
      </c>
      <c r="C2740" s="375" t="s">
        <v>1393</v>
      </c>
      <c r="D2740" s="226"/>
      <c r="E2740" s="23" t="s">
        <v>1209</v>
      </c>
      <c r="F2740" s="570">
        <v>4415.1000000000004</v>
      </c>
      <c r="G2740" s="570">
        <v>4496.8900000000003</v>
      </c>
      <c r="H2740" s="570">
        <v>4310.66</v>
      </c>
      <c r="I2740" s="570">
        <v>4458.78</v>
      </c>
      <c r="J2740" s="570">
        <v>5051.18</v>
      </c>
      <c r="K2740" s="570">
        <v>5434.68</v>
      </c>
      <c r="L2740" s="570">
        <v>5566.81</v>
      </c>
      <c r="M2740" s="570">
        <v>5940.68</v>
      </c>
      <c r="N2740" s="570">
        <v>6101.47</v>
      </c>
      <c r="O2740" s="570">
        <v>6006.23</v>
      </c>
      <c r="P2740" s="570">
        <v>6046.35</v>
      </c>
      <c r="Q2740" s="570">
        <v>5898.89</v>
      </c>
      <c r="R2740" s="570">
        <v>5957.09</v>
      </c>
      <c r="S2740" s="570">
        <v>5941.01</v>
      </c>
      <c r="T2740" s="570">
        <v>5955.98</v>
      </c>
      <c r="U2740" s="570">
        <v>5881.45</v>
      </c>
      <c r="V2740" s="570">
        <v>6548.76</v>
      </c>
      <c r="W2740" s="570">
        <v>6673.01</v>
      </c>
      <c r="X2740" s="570">
        <v>7145.21</v>
      </c>
      <c r="Y2740" s="570">
        <v>7413.93</v>
      </c>
      <c r="Z2740" s="570">
        <v>7826.24</v>
      </c>
      <c r="AA2740" s="570">
        <v>7926.69</v>
      </c>
      <c r="AB2740" s="570">
        <v>8068.66</v>
      </c>
      <c r="AC2740" s="570">
        <v>8194.51</v>
      </c>
      <c r="AD2740" s="570">
        <v>8165.05</v>
      </c>
      <c r="AE2740" s="570">
        <v>8367.1299999999992</v>
      </c>
      <c r="AF2740" s="570">
        <v>7394.11</v>
      </c>
      <c r="AG2740" s="570">
        <v>7930.5</v>
      </c>
      <c r="AH2740" s="569">
        <v>8029.44</v>
      </c>
      <c r="AI2740" s="569">
        <v>8895.0300000000007</v>
      </c>
      <c r="AJ2740" s="569">
        <v>9498.27</v>
      </c>
      <c r="AK2740" s="569">
        <v>10070.450000000001</v>
      </c>
      <c r="AL2740" s="569">
        <v>10582.21</v>
      </c>
      <c r="AM2740" s="569">
        <v>11152.71</v>
      </c>
      <c r="AN2740" s="569">
        <v>11116.33</v>
      </c>
      <c r="AO2740" s="569">
        <v>11223.68</v>
      </c>
    </row>
    <row r="2741" spans="1:44" s="173" customFormat="1" hidden="1" outlineLevel="1">
      <c r="A2741" s="578">
        <v>170</v>
      </c>
      <c r="B2741" s="568">
        <v>11161</v>
      </c>
      <c r="C2741" s="375" t="s">
        <v>1393</v>
      </c>
      <c r="D2741" s="226"/>
      <c r="E2741" s="23" t="s">
        <v>1211</v>
      </c>
      <c r="F2741" s="570">
        <v>2495.1799999999998</v>
      </c>
      <c r="G2741" s="570">
        <v>2467.2399999999998</v>
      </c>
      <c r="H2741" s="570">
        <v>2547.8000000000002</v>
      </c>
      <c r="I2741" s="570">
        <v>2521.5700000000002</v>
      </c>
      <c r="J2741" s="570">
        <v>2596.5700000000002</v>
      </c>
      <c r="K2741" s="570">
        <v>2809.08</v>
      </c>
      <c r="L2741" s="570">
        <v>2763.43</v>
      </c>
      <c r="M2741" s="570">
        <v>2678.63</v>
      </c>
      <c r="N2741" s="570">
        <v>2897.72</v>
      </c>
      <c r="O2741" s="570">
        <v>3148.8</v>
      </c>
      <c r="P2741" s="570">
        <v>3262.24</v>
      </c>
      <c r="Q2741" s="570">
        <v>3949.37</v>
      </c>
      <c r="R2741" s="570">
        <v>4379.8999999999996</v>
      </c>
      <c r="S2741" s="570">
        <v>4754.57</v>
      </c>
      <c r="T2741" s="570">
        <v>5045.93</v>
      </c>
      <c r="U2741" s="570">
        <v>5307.39</v>
      </c>
      <c r="V2741" s="570">
        <v>5611.03</v>
      </c>
      <c r="W2741" s="570">
        <v>5898.45</v>
      </c>
      <c r="X2741" s="570">
        <v>6558.23</v>
      </c>
      <c r="Y2741" s="570">
        <v>6805.38</v>
      </c>
      <c r="Z2741" s="570">
        <v>6956.15</v>
      </c>
      <c r="AA2741" s="570">
        <v>7232.37</v>
      </c>
      <c r="AB2741" s="570">
        <v>7378</v>
      </c>
      <c r="AC2741" s="570">
        <v>7620.04</v>
      </c>
      <c r="AD2741" s="570">
        <v>7414.93</v>
      </c>
      <c r="AE2741" s="570">
        <v>7898.49</v>
      </c>
      <c r="AF2741" s="570">
        <v>8282.0300000000007</v>
      </c>
      <c r="AG2741" s="570">
        <v>8833.8799999999992</v>
      </c>
      <c r="AH2741" s="569">
        <v>8547.1299999999992</v>
      </c>
      <c r="AI2741" s="569">
        <v>9104.7099999999991</v>
      </c>
      <c r="AJ2741" s="569">
        <v>9415.76</v>
      </c>
      <c r="AK2741" s="569">
        <v>9556.85</v>
      </c>
      <c r="AL2741" s="569">
        <v>9891</v>
      </c>
      <c r="AM2741" s="569">
        <v>10631.44</v>
      </c>
      <c r="AN2741" s="569">
        <v>10574.99</v>
      </c>
      <c r="AO2741" s="569">
        <v>10411.280000000001</v>
      </c>
    </row>
    <row r="2742" spans="1:44" s="173" customFormat="1" hidden="1" outlineLevel="1">
      <c r="A2742" s="578">
        <v>180</v>
      </c>
      <c r="B2742" s="568">
        <v>3639</v>
      </c>
      <c r="C2742" s="375" t="s">
        <v>1393</v>
      </c>
      <c r="D2742" s="226"/>
      <c r="E2742" s="23" t="s">
        <v>1212</v>
      </c>
      <c r="F2742" s="570">
        <v>5188.03</v>
      </c>
      <c r="G2742" s="570">
        <v>5367.62</v>
      </c>
      <c r="H2742" s="570">
        <v>4794.96</v>
      </c>
      <c r="I2742" s="570">
        <v>4825.1000000000004</v>
      </c>
      <c r="J2742" s="570">
        <v>5200.1000000000004</v>
      </c>
      <c r="K2742" s="570">
        <v>5406.28</v>
      </c>
      <c r="L2742" s="570">
        <v>5486.58</v>
      </c>
      <c r="M2742" s="570">
        <v>5593.83</v>
      </c>
      <c r="N2742" s="570">
        <v>5599.42</v>
      </c>
      <c r="O2742" s="570">
        <v>5953.3</v>
      </c>
      <c r="P2742" s="570">
        <v>6160.92</v>
      </c>
      <c r="Q2742" s="570">
        <v>5981.26</v>
      </c>
      <c r="R2742" s="570">
        <v>5567.48</v>
      </c>
      <c r="S2742" s="570">
        <v>5675.51</v>
      </c>
      <c r="T2742" s="570">
        <v>5660.32</v>
      </c>
      <c r="U2742" s="570">
        <v>5720.5</v>
      </c>
      <c r="V2742" s="570">
        <v>5391.65</v>
      </c>
      <c r="W2742" s="570">
        <v>5435.97</v>
      </c>
      <c r="X2742" s="570">
        <v>5693.99</v>
      </c>
      <c r="Y2742" s="570">
        <v>5844.39</v>
      </c>
      <c r="Z2742" s="570">
        <v>6074.24</v>
      </c>
      <c r="AA2742" s="570">
        <v>6031.86</v>
      </c>
      <c r="AB2742" s="570">
        <v>5668.79</v>
      </c>
      <c r="AC2742" s="570">
        <v>5810.19</v>
      </c>
      <c r="AD2742" s="570">
        <v>5748.4</v>
      </c>
      <c r="AE2742" s="570">
        <v>6105.92</v>
      </c>
      <c r="AF2742" s="570">
        <v>5246.5</v>
      </c>
      <c r="AG2742" s="570">
        <v>5748.29</v>
      </c>
      <c r="AH2742" s="569">
        <v>5834.15</v>
      </c>
      <c r="AI2742" s="569">
        <v>6124.24</v>
      </c>
      <c r="AJ2742" s="569">
        <v>7261.99</v>
      </c>
      <c r="AK2742" s="569">
        <v>7609.36</v>
      </c>
      <c r="AL2742" s="569">
        <v>7952.26</v>
      </c>
      <c r="AM2742" s="569">
        <v>7618.03</v>
      </c>
      <c r="AN2742" s="569">
        <v>7041.54</v>
      </c>
      <c r="AO2742" s="569">
        <v>6936.38</v>
      </c>
    </row>
    <row r="2743" spans="1:44" s="173" customFormat="1" hidden="1" outlineLevel="1">
      <c r="A2743" s="578">
        <v>190</v>
      </c>
      <c r="B2743" s="568">
        <v>9651</v>
      </c>
      <c r="C2743" s="375" t="s">
        <v>1393</v>
      </c>
      <c r="D2743" s="226"/>
      <c r="E2743" s="23" t="s">
        <v>861</v>
      </c>
      <c r="F2743" s="570">
        <v>691.43</v>
      </c>
      <c r="G2743" s="570">
        <v>746.46</v>
      </c>
      <c r="H2743" s="570">
        <v>597.17999999999995</v>
      </c>
      <c r="I2743" s="570">
        <v>590.47</v>
      </c>
      <c r="J2743" s="570">
        <v>663.37</v>
      </c>
      <c r="K2743" s="570">
        <v>721.23</v>
      </c>
      <c r="L2743" s="570">
        <v>825.81</v>
      </c>
      <c r="M2743" s="570">
        <v>842.32</v>
      </c>
      <c r="N2743" s="570">
        <v>948.77</v>
      </c>
      <c r="O2743" s="570">
        <v>1093.7</v>
      </c>
      <c r="P2743" s="570">
        <v>1263.1300000000001</v>
      </c>
      <c r="Q2743" s="570">
        <v>1304.81</v>
      </c>
      <c r="R2743" s="570">
        <v>1912.93</v>
      </c>
      <c r="S2743" s="570">
        <v>2030.42</v>
      </c>
      <c r="T2743" s="570">
        <v>2237.56</v>
      </c>
      <c r="U2743" s="570">
        <v>2473.2399999999998</v>
      </c>
      <c r="V2743" s="570">
        <v>2482.4699999999998</v>
      </c>
      <c r="W2743" s="570">
        <v>2425.4499999999998</v>
      </c>
      <c r="X2743" s="570">
        <v>2789.34</v>
      </c>
      <c r="Y2743" s="570">
        <v>3077.25</v>
      </c>
      <c r="Z2743" s="570">
        <v>3271.64</v>
      </c>
      <c r="AA2743" s="570">
        <v>3413.68</v>
      </c>
      <c r="AB2743" s="570">
        <v>3635.11</v>
      </c>
      <c r="AC2743" s="570">
        <v>3894.27</v>
      </c>
      <c r="AD2743" s="570">
        <v>4157.17</v>
      </c>
      <c r="AE2743" s="570">
        <v>4487.59</v>
      </c>
      <c r="AF2743" s="570">
        <v>4930.2700000000004</v>
      </c>
      <c r="AG2743" s="570">
        <v>5221.03</v>
      </c>
      <c r="AH2743" s="569">
        <v>4854.4399999999996</v>
      </c>
      <c r="AI2743" s="569">
        <v>5193.78</v>
      </c>
      <c r="AJ2743" s="569">
        <v>5414.71</v>
      </c>
      <c r="AK2743" s="569">
        <v>5665.97</v>
      </c>
      <c r="AL2743" s="569">
        <v>5882.79</v>
      </c>
      <c r="AM2743" s="569">
        <v>6068.25</v>
      </c>
      <c r="AN2743" s="569">
        <v>6364.29</v>
      </c>
      <c r="AO2743" s="569">
        <v>6791.94</v>
      </c>
    </row>
    <row r="2744" spans="1:44" s="173" customFormat="1" hidden="1" outlineLevel="1">
      <c r="A2744" s="578">
        <v>200</v>
      </c>
      <c r="B2744" s="568">
        <v>3665</v>
      </c>
      <c r="C2744" s="375" t="s">
        <v>1393</v>
      </c>
      <c r="D2744" s="226"/>
      <c r="E2744" s="23" t="s">
        <v>871</v>
      </c>
      <c r="F2744" s="570">
        <v>5817.18</v>
      </c>
      <c r="G2744" s="570">
        <v>5673.85</v>
      </c>
      <c r="H2744" s="570">
        <v>5367.74</v>
      </c>
      <c r="I2744" s="570">
        <v>4996.01</v>
      </c>
      <c r="J2744" s="570">
        <v>4824.54</v>
      </c>
      <c r="K2744" s="570">
        <v>4906.88</v>
      </c>
      <c r="L2744" s="570">
        <v>4867.88</v>
      </c>
      <c r="M2744" s="570">
        <v>5226.4799999999996</v>
      </c>
      <c r="N2744" s="570">
        <v>5163.2299999999996</v>
      </c>
      <c r="O2744" s="570">
        <v>5366.77</v>
      </c>
      <c r="P2744" s="570">
        <v>5505.38</v>
      </c>
      <c r="Q2744" s="570">
        <v>5554.98</v>
      </c>
      <c r="R2744" s="570">
        <v>5500.28</v>
      </c>
      <c r="S2744" s="570">
        <v>5447.88</v>
      </c>
      <c r="T2744" s="570">
        <v>5485.6</v>
      </c>
      <c r="U2744" s="570">
        <v>5513.61</v>
      </c>
      <c r="V2744" s="570">
        <v>5671.73</v>
      </c>
      <c r="W2744" s="570">
        <v>5706.23</v>
      </c>
      <c r="X2744" s="570">
        <v>5680.28</v>
      </c>
      <c r="Y2744" s="570">
        <v>5854.97</v>
      </c>
      <c r="Z2744" s="570">
        <v>6003.85</v>
      </c>
      <c r="AA2744" s="570">
        <v>6102.56</v>
      </c>
      <c r="AB2744" s="570">
        <v>6125.95</v>
      </c>
      <c r="AC2744" s="570">
        <v>6152.37</v>
      </c>
      <c r="AD2744" s="570">
        <v>6101.08</v>
      </c>
      <c r="AE2744" s="570">
        <v>6178.56</v>
      </c>
      <c r="AF2744" s="570">
        <v>6400.14</v>
      </c>
      <c r="AG2744" s="570">
        <v>6609.82</v>
      </c>
      <c r="AH2744" s="569">
        <v>6437.54</v>
      </c>
      <c r="AI2744" s="569">
        <v>6830.89</v>
      </c>
      <c r="AJ2744" s="569">
        <v>7224.87</v>
      </c>
      <c r="AK2744" s="569">
        <v>7546.04</v>
      </c>
      <c r="AL2744" s="569">
        <v>7907.38</v>
      </c>
      <c r="AM2744" s="569">
        <v>7985.96</v>
      </c>
      <c r="AN2744" s="569">
        <v>7993.36</v>
      </c>
      <c r="AO2744" s="569">
        <v>7990.5</v>
      </c>
    </row>
    <row r="2745" spans="1:44" s="173" customFormat="1" hidden="1" outlineLevel="1">
      <c r="A2745" s="578">
        <v>210</v>
      </c>
      <c r="B2745" s="568">
        <v>3565</v>
      </c>
      <c r="C2745" s="375" t="s">
        <v>1393</v>
      </c>
      <c r="D2745" s="226"/>
      <c r="E2745" s="23" t="s">
        <v>1361</v>
      </c>
      <c r="F2745" s="570">
        <v>6731.55</v>
      </c>
      <c r="G2745" s="570">
        <v>6435.98</v>
      </c>
      <c r="H2745" s="570">
        <v>5835.14</v>
      </c>
      <c r="I2745" s="570">
        <v>5837.14</v>
      </c>
      <c r="J2745" s="570">
        <v>5856.65</v>
      </c>
      <c r="K2745" s="570">
        <v>6189.21</v>
      </c>
      <c r="L2745" s="570">
        <v>6715.81</v>
      </c>
      <c r="M2745" s="570">
        <v>6762.36</v>
      </c>
      <c r="N2745" s="570">
        <v>6845.74</v>
      </c>
      <c r="O2745" s="570">
        <v>7053.43</v>
      </c>
      <c r="P2745" s="570">
        <v>6900.79</v>
      </c>
      <c r="Q2745" s="570">
        <v>6803.34</v>
      </c>
      <c r="R2745" s="570">
        <v>6421.63</v>
      </c>
      <c r="S2745" s="570">
        <v>6429.27</v>
      </c>
      <c r="T2745" s="570">
        <v>6492.69</v>
      </c>
      <c r="U2745" s="570">
        <v>6534.24</v>
      </c>
      <c r="V2745" s="570">
        <v>6252.98</v>
      </c>
      <c r="W2745" s="570">
        <v>6167.81</v>
      </c>
      <c r="X2745" s="570">
        <v>6621.93</v>
      </c>
      <c r="Y2745" s="570">
        <v>6983.61</v>
      </c>
      <c r="Z2745" s="570">
        <v>7124.7</v>
      </c>
      <c r="AA2745" s="570">
        <v>7318.82</v>
      </c>
      <c r="AB2745" s="570">
        <v>7258.99</v>
      </c>
      <c r="AC2745" s="570">
        <v>7231.13</v>
      </c>
      <c r="AD2745" s="570">
        <v>7198.79</v>
      </c>
      <c r="AE2745" s="570">
        <v>7149.51</v>
      </c>
      <c r="AF2745" s="570">
        <v>7510.89</v>
      </c>
      <c r="AG2745" s="570">
        <v>8399.93</v>
      </c>
      <c r="AH2745" s="569">
        <v>9803.82</v>
      </c>
      <c r="AI2745" s="569">
        <v>9374.1299999999992</v>
      </c>
      <c r="AJ2745" s="569">
        <v>9002.8700000000008</v>
      </c>
      <c r="AK2745" s="569">
        <v>9653.59</v>
      </c>
      <c r="AL2745" s="569">
        <v>10267.81</v>
      </c>
      <c r="AM2745" s="569">
        <v>10276.040000000001</v>
      </c>
      <c r="AN2745" s="569">
        <v>9964.5400000000009</v>
      </c>
      <c r="AO2745" s="569">
        <v>9416.15</v>
      </c>
    </row>
    <row r="2746" spans="1:44" s="173" customFormat="1" hidden="1" outlineLevel="1">
      <c r="A2746" s="578">
        <v>220</v>
      </c>
      <c r="B2746" s="568">
        <v>29269</v>
      </c>
      <c r="C2746" s="375" t="s">
        <v>1393</v>
      </c>
      <c r="D2746" s="226"/>
      <c r="E2746" s="23" t="s">
        <v>1362</v>
      </c>
      <c r="F2746" s="570">
        <v>797.2</v>
      </c>
      <c r="G2746" s="570">
        <v>824.25</v>
      </c>
      <c r="H2746" s="570">
        <v>780.2</v>
      </c>
      <c r="I2746" s="570">
        <v>753.05</v>
      </c>
      <c r="J2746" s="570">
        <v>790.01</v>
      </c>
      <c r="K2746" s="570">
        <v>875.7</v>
      </c>
      <c r="L2746" s="570">
        <v>892.38</v>
      </c>
      <c r="M2746" s="570">
        <v>830.73</v>
      </c>
      <c r="N2746" s="570">
        <v>895.24</v>
      </c>
      <c r="O2746" s="570">
        <v>862.44</v>
      </c>
      <c r="P2746" s="570">
        <v>786.87</v>
      </c>
      <c r="Q2746" s="570">
        <v>751.45</v>
      </c>
      <c r="R2746" s="570">
        <v>752.98</v>
      </c>
      <c r="S2746" s="570">
        <v>715.51</v>
      </c>
      <c r="T2746" s="570">
        <v>702.76</v>
      </c>
      <c r="U2746" s="570">
        <v>784.29</v>
      </c>
      <c r="V2746" s="570">
        <v>788.58</v>
      </c>
      <c r="W2746" s="570">
        <v>826.45</v>
      </c>
      <c r="X2746" s="570">
        <v>878.51</v>
      </c>
      <c r="Y2746" s="570">
        <v>963.67</v>
      </c>
      <c r="Z2746" s="570">
        <v>1060.3</v>
      </c>
      <c r="AA2746" s="570">
        <v>1078.6300000000001</v>
      </c>
      <c r="AB2746" s="570">
        <v>1076.58</v>
      </c>
      <c r="AC2746" s="570">
        <v>1119.93</v>
      </c>
      <c r="AD2746" s="570">
        <v>1158.0999999999999</v>
      </c>
      <c r="AE2746" s="570">
        <v>1169.26</v>
      </c>
      <c r="AF2746" s="570">
        <v>1215.8599999999999</v>
      </c>
      <c r="AG2746" s="570">
        <v>1335.82</v>
      </c>
      <c r="AH2746" s="569">
        <v>1492.91</v>
      </c>
      <c r="AI2746" s="569">
        <v>1419.06</v>
      </c>
      <c r="AJ2746" s="569">
        <v>1390.88</v>
      </c>
      <c r="AK2746" s="569">
        <v>1422.37</v>
      </c>
      <c r="AL2746" s="569">
        <v>1484.9</v>
      </c>
      <c r="AM2746" s="569">
        <v>1564.43</v>
      </c>
      <c r="AN2746" s="569">
        <v>1643.1</v>
      </c>
      <c r="AO2746" s="569">
        <v>1625.51</v>
      </c>
    </row>
    <row r="2747" spans="1:44" s="173" customFormat="1" hidden="1" outlineLevel="1">
      <c r="A2747" s="578">
        <v>223</v>
      </c>
      <c r="B2747" s="568">
        <v>42295</v>
      </c>
      <c r="C2747" s="375" t="s">
        <v>1393</v>
      </c>
      <c r="D2747" s="226"/>
      <c r="E2747" s="23" t="s">
        <v>1210</v>
      </c>
      <c r="F2747" s="570">
        <v>0</v>
      </c>
      <c r="G2747" s="570">
        <v>0</v>
      </c>
      <c r="H2747" s="570">
        <v>0</v>
      </c>
      <c r="I2747" s="570">
        <v>0</v>
      </c>
      <c r="J2747" s="570">
        <v>0</v>
      </c>
      <c r="K2747" s="570">
        <v>0</v>
      </c>
      <c r="L2747" s="570">
        <v>0</v>
      </c>
      <c r="M2747" s="570">
        <v>0</v>
      </c>
      <c r="N2747" s="570">
        <v>0</v>
      </c>
      <c r="O2747" s="570">
        <v>0</v>
      </c>
      <c r="P2747" s="570"/>
      <c r="Q2747" s="570"/>
      <c r="R2747" s="570"/>
      <c r="S2747" s="570"/>
      <c r="T2747" s="570"/>
      <c r="U2747" s="570"/>
      <c r="V2747" s="570"/>
      <c r="W2747" s="570"/>
      <c r="X2747" s="570"/>
      <c r="Y2747" s="570"/>
      <c r="Z2747" s="570"/>
      <c r="AA2747" s="570"/>
      <c r="AB2747" s="570"/>
      <c r="AC2747" s="570"/>
      <c r="AD2747" s="570"/>
      <c r="AE2747" s="570"/>
      <c r="AF2747" s="570">
        <v>1556.25</v>
      </c>
      <c r="AG2747" s="570">
        <v>1557.59</v>
      </c>
      <c r="AH2747" s="569">
        <v>1701.05</v>
      </c>
      <c r="AI2747" s="569">
        <v>1686.11</v>
      </c>
      <c r="AJ2747" s="569">
        <v>1697.68</v>
      </c>
      <c r="AK2747" s="569">
        <v>1747.46</v>
      </c>
      <c r="AL2747" s="569">
        <v>1853.45</v>
      </c>
      <c r="AM2747" s="569">
        <v>1877.38</v>
      </c>
      <c r="AN2747" s="569">
        <v>1744.96</v>
      </c>
      <c r="AO2747" s="569">
        <v>1744.82</v>
      </c>
    </row>
    <row r="2748" spans="1:44" s="173" customFormat="1" hidden="1" outlineLevel="1">
      <c r="A2748" s="578">
        <v>226</v>
      </c>
      <c r="B2748" s="787">
        <v>42485</v>
      </c>
      <c r="C2748" s="375" t="s">
        <v>1393</v>
      </c>
      <c r="D2748" s="226"/>
      <c r="E2748" s="23" t="s">
        <v>1213</v>
      </c>
      <c r="F2748" s="570">
        <v>0</v>
      </c>
      <c r="G2748" s="570">
        <v>0</v>
      </c>
      <c r="H2748" s="570">
        <v>0</v>
      </c>
      <c r="I2748" s="570">
        <v>0</v>
      </c>
      <c r="J2748" s="570">
        <v>0</v>
      </c>
      <c r="K2748" s="570">
        <v>0</v>
      </c>
      <c r="L2748" s="570">
        <v>0</v>
      </c>
      <c r="M2748" s="570">
        <v>0</v>
      </c>
      <c r="N2748" s="570">
        <v>0</v>
      </c>
      <c r="O2748" s="570">
        <v>0</v>
      </c>
      <c r="P2748" s="570"/>
      <c r="Q2748" s="570"/>
      <c r="R2748" s="570"/>
      <c r="S2748" s="570"/>
      <c r="T2748" s="570"/>
      <c r="U2748" s="570"/>
      <c r="V2748" s="570"/>
      <c r="W2748" s="570"/>
      <c r="X2748" s="570"/>
      <c r="Y2748" s="570"/>
      <c r="Z2748" s="570"/>
      <c r="AA2748" s="570"/>
      <c r="AB2748" s="570"/>
      <c r="AC2748" s="570"/>
      <c r="AD2748" s="570"/>
      <c r="AE2748" s="570"/>
      <c r="AF2748" s="570">
        <v>1860.19</v>
      </c>
      <c r="AG2748" s="570">
        <v>2329.09</v>
      </c>
      <c r="AH2748" s="569">
        <v>2712.7</v>
      </c>
      <c r="AI2748" s="569">
        <v>2939.75</v>
      </c>
      <c r="AJ2748" s="569">
        <v>3162.61</v>
      </c>
      <c r="AK2748" s="569">
        <v>3104.28</v>
      </c>
      <c r="AL2748" s="569">
        <v>3200.15</v>
      </c>
      <c r="AM2748" s="569">
        <v>4184.1000000000004</v>
      </c>
      <c r="AN2748" s="569">
        <v>4918.1899999999996</v>
      </c>
      <c r="AO2748" s="569">
        <v>4943.93</v>
      </c>
    </row>
    <row r="2749" spans="1:44" s="173" customFormat="1" hidden="1" outlineLevel="1">
      <c r="A2749" s="578">
        <v>230</v>
      </c>
      <c r="B2749" s="568">
        <v>3652</v>
      </c>
      <c r="C2749" s="375" t="s">
        <v>1393</v>
      </c>
      <c r="D2749" s="226"/>
      <c r="E2749" s="23" t="s">
        <v>726</v>
      </c>
      <c r="F2749" s="570">
        <v>26156.9</v>
      </c>
      <c r="G2749" s="570">
        <v>26575.93</v>
      </c>
      <c r="H2749" s="570">
        <v>25678.29</v>
      </c>
      <c r="I2749" s="570">
        <v>24734.92</v>
      </c>
      <c r="J2749" s="570">
        <v>24849.95</v>
      </c>
      <c r="K2749" s="570">
        <v>26613.07</v>
      </c>
      <c r="L2749" s="570">
        <v>28136.17</v>
      </c>
      <c r="M2749" s="570">
        <v>28749.03</v>
      </c>
      <c r="N2749" s="570">
        <v>28853.64</v>
      </c>
      <c r="O2749" s="570">
        <v>28022.13</v>
      </c>
      <c r="P2749" s="570">
        <v>26917.919999999998</v>
      </c>
      <c r="Q2749" s="570">
        <v>26414.02</v>
      </c>
      <c r="R2749" s="570">
        <v>25808.15</v>
      </c>
      <c r="S2749" s="570">
        <v>25553.3</v>
      </c>
      <c r="T2749" s="570">
        <v>26765.41</v>
      </c>
      <c r="U2749" s="570">
        <v>27506.27</v>
      </c>
      <c r="V2749" s="570">
        <v>27200.2</v>
      </c>
      <c r="W2749" s="570">
        <v>27155.79</v>
      </c>
      <c r="X2749" s="570">
        <v>28343.15</v>
      </c>
      <c r="Y2749" s="570">
        <v>29517.4</v>
      </c>
      <c r="Z2749" s="570">
        <v>29682.09</v>
      </c>
      <c r="AA2749" s="570">
        <v>29375.5</v>
      </c>
      <c r="AB2749" s="570">
        <v>29498.959999999999</v>
      </c>
      <c r="AC2749" s="570">
        <v>29230.9</v>
      </c>
      <c r="AD2749" s="570">
        <v>29488.76</v>
      </c>
      <c r="AE2749" s="570">
        <v>30595.88</v>
      </c>
      <c r="AF2749" s="570">
        <v>32000.03</v>
      </c>
      <c r="AG2749" s="570">
        <v>33447.72</v>
      </c>
      <c r="AH2749" s="569">
        <v>35856.400000000001</v>
      </c>
      <c r="AI2749" s="569">
        <v>34382.550000000003</v>
      </c>
      <c r="AJ2749" s="569">
        <v>33996.5</v>
      </c>
      <c r="AK2749" s="569">
        <v>35250.870000000003</v>
      </c>
      <c r="AL2749" s="569">
        <v>37010.089999999997</v>
      </c>
      <c r="AM2749" s="569">
        <v>37989.35</v>
      </c>
      <c r="AN2749" s="569">
        <v>39341.129999999997</v>
      </c>
      <c r="AO2749" s="569">
        <v>40051.96</v>
      </c>
    </row>
    <row r="2750" spans="1:44" s="173" customFormat="1" hidden="1" outlineLevel="1">
      <c r="A2750" s="578">
        <v>240</v>
      </c>
      <c r="B2750" s="568">
        <v>11711</v>
      </c>
      <c r="C2750" s="375" t="s">
        <v>1393</v>
      </c>
      <c r="D2750" s="226"/>
      <c r="E2750" s="23" t="s">
        <v>1363</v>
      </c>
      <c r="F2750" s="570">
        <v>3842.42</v>
      </c>
      <c r="G2750" s="570">
        <v>3881.63</v>
      </c>
      <c r="H2750" s="570">
        <v>3903.94</v>
      </c>
      <c r="I2750" s="570">
        <v>4207.4399999999996</v>
      </c>
      <c r="J2750" s="570">
        <v>4375.43</v>
      </c>
      <c r="K2750" s="570">
        <v>4621.79</v>
      </c>
      <c r="L2750" s="570">
        <v>4687.63</v>
      </c>
      <c r="M2750" s="570">
        <v>4718.76</v>
      </c>
      <c r="N2750" s="570">
        <v>4614.29</v>
      </c>
      <c r="O2750" s="570">
        <v>4659.05</v>
      </c>
      <c r="P2750" s="570">
        <v>4704.8900000000003</v>
      </c>
      <c r="Q2750" s="570">
        <v>4752.96</v>
      </c>
      <c r="R2750" s="570">
        <v>4711.38</v>
      </c>
      <c r="S2750" s="570">
        <v>4695.0200000000004</v>
      </c>
      <c r="T2750" s="570">
        <v>4740.71</v>
      </c>
      <c r="U2750" s="570">
        <v>4794.3</v>
      </c>
      <c r="V2750" s="570">
        <v>5082.2700000000004</v>
      </c>
      <c r="W2750" s="570">
        <v>5401.18</v>
      </c>
      <c r="X2750" s="570">
        <v>5438.88</v>
      </c>
      <c r="Y2750" s="570">
        <v>5316.34</v>
      </c>
      <c r="Z2750" s="570">
        <v>5473.15</v>
      </c>
      <c r="AA2750" s="570">
        <v>5428.91</v>
      </c>
      <c r="AB2750" s="570">
        <v>5503.71</v>
      </c>
      <c r="AC2750" s="570">
        <v>5463.85</v>
      </c>
      <c r="AD2750" s="570">
        <v>5420.69</v>
      </c>
      <c r="AE2750" s="570">
        <v>5331.3</v>
      </c>
      <c r="AF2750" s="570">
        <v>5606.94</v>
      </c>
      <c r="AG2750" s="570">
        <v>5838.57</v>
      </c>
      <c r="AH2750" s="569">
        <v>6586.72</v>
      </c>
      <c r="AI2750" s="569">
        <v>5806.4</v>
      </c>
      <c r="AJ2750" s="569">
        <v>5957.65</v>
      </c>
      <c r="AK2750" s="569">
        <v>6380.09</v>
      </c>
      <c r="AL2750" s="569">
        <v>6602.08</v>
      </c>
      <c r="AM2750" s="569">
        <v>6372.25</v>
      </c>
      <c r="AN2750" s="569">
        <v>6316.89</v>
      </c>
      <c r="AO2750" s="569">
        <v>6718.28</v>
      </c>
    </row>
    <row r="2751" spans="1:44" s="173" customFormat="1" hidden="1" outlineLevel="1">
      <c r="A2751" s="578">
        <v>250</v>
      </c>
      <c r="B2751" s="568">
        <v>12826</v>
      </c>
      <c r="C2751" s="375" t="s">
        <v>1393</v>
      </c>
      <c r="D2751" s="226"/>
      <c r="E2751" s="23" t="s">
        <v>1364</v>
      </c>
      <c r="F2751" s="570">
        <v>4818.3</v>
      </c>
      <c r="G2751" s="570">
        <v>4986.2700000000004</v>
      </c>
      <c r="H2751" s="570">
        <v>4687.7</v>
      </c>
      <c r="I2751" s="570">
        <v>4742.7</v>
      </c>
      <c r="J2751" s="570">
        <v>4754.97</v>
      </c>
      <c r="K2751" s="570">
        <v>4906.2700000000004</v>
      </c>
      <c r="L2751" s="570">
        <v>5283.23</v>
      </c>
      <c r="M2751" s="570">
        <v>5575.5</v>
      </c>
      <c r="N2751" s="570">
        <v>5322.47</v>
      </c>
      <c r="O2751" s="570">
        <v>5360.3</v>
      </c>
      <c r="P2751" s="570">
        <v>5355.2</v>
      </c>
      <c r="Q2751" s="570">
        <v>5534.67</v>
      </c>
      <c r="R2751" s="570">
        <v>5563.77</v>
      </c>
      <c r="S2751" s="570">
        <v>5622.87</v>
      </c>
      <c r="T2751" s="570">
        <v>5970.43</v>
      </c>
      <c r="U2751" s="570">
        <v>6385.3</v>
      </c>
      <c r="V2751" s="570">
        <v>6493.8</v>
      </c>
      <c r="W2751" s="570">
        <v>6789.98</v>
      </c>
      <c r="X2751" s="570">
        <v>7341.94</v>
      </c>
      <c r="Y2751" s="570">
        <v>7740.94</v>
      </c>
      <c r="Z2751" s="570">
        <v>8217.31</v>
      </c>
      <c r="AA2751" s="570">
        <v>8456.49</v>
      </c>
      <c r="AB2751" s="570">
        <v>8542.83</v>
      </c>
      <c r="AC2751" s="570">
        <v>8475.68</v>
      </c>
      <c r="AD2751" s="570">
        <v>8887.77</v>
      </c>
      <c r="AE2751" s="570">
        <v>9055.26</v>
      </c>
      <c r="AF2751" s="570">
        <v>9330.14</v>
      </c>
      <c r="AG2751" s="570">
        <v>9488.15</v>
      </c>
      <c r="AH2751" s="569">
        <v>8584.69</v>
      </c>
      <c r="AI2751" s="569">
        <v>10097.040000000001</v>
      </c>
      <c r="AJ2751" s="569">
        <v>10277.56</v>
      </c>
      <c r="AK2751" s="569">
        <v>10676.35</v>
      </c>
      <c r="AL2751" s="569">
        <v>10651.44</v>
      </c>
      <c r="AM2751" s="569">
        <v>10617.68</v>
      </c>
      <c r="AN2751" s="569">
        <v>10500.66</v>
      </c>
      <c r="AO2751" s="569">
        <v>10515.81</v>
      </c>
      <c r="AR2751" s="66"/>
    </row>
    <row r="2752" spans="1:44" s="66" customFormat="1" hidden="1" outlineLevel="1">
      <c r="A2752" s="578">
        <v>260</v>
      </c>
      <c r="B2752" s="568">
        <v>13231</v>
      </c>
      <c r="C2752" s="375" t="s">
        <v>1393</v>
      </c>
      <c r="D2752" s="226"/>
      <c r="E2752" s="23" t="s">
        <v>1365</v>
      </c>
      <c r="F2752" s="562">
        <v>579.83000000000004</v>
      </c>
      <c r="G2752" s="562">
        <v>576.44000000000005</v>
      </c>
      <c r="H2752" s="562">
        <v>554.96</v>
      </c>
      <c r="I2752" s="562">
        <v>596.15</v>
      </c>
      <c r="J2752" s="562">
        <v>696.03</v>
      </c>
      <c r="K2752" s="562">
        <v>742.71</v>
      </c>
      <c r="L2752" s="562">
        <v>814.66</v>
      </c>
      <c r="M2752" s="562">
        <v>709.85</v>
      </c>
      <c r="N2752" s="562">
        <v>749.36</v>
      </c>
      <c r="O2752" s="562">
        <v>727.53</v>
      </c>
      <c r="P2752" s="562">
        <v>772.44</v>
      </c>
      <c r="Q2752" s="562">
        <v>1001.22</v>
      </c>
      <c r="R2752" s="562">
        <v>998.6</v>
      </c>
      <c r="S2752" s="562">
        <v>998.43</v>
      </c>
      <c r="T2752" s="562">
        <v>945.28</v>
      </c>
      <c r="U2752" s="562">
        <v>993.38</v>
      </c>
      <c r="V2752" s="562">
        <v>1030.45</v>
      </c>
      <c r="W2752" s="562">
        <v>1183.83</v>
      </c>
      <c r="X2752" s="562">
        <v>1383.79</v>
      </c>
      <c r="Y2752" s="562">
        <v>1576.74</v>
      </c>
      <c r="Z2752" s="562">
        <v>1659.05</v>
      </c>
      <c r="AA2752" s="562">
        <v>1690.12</v>
      </c>
      <c r="AB2752" s="562">
        <v>1720.75</v>
      </c>
      <c r="AC2752" s="562">
        <v>1849.18</v>
      </c>
      <c r="AD2752" s="562">
        <v>2005.96</v>
      </c>
      <c r="AE2752" s="562">
        <v>2271.08</v>
      </c>
      <c r="AF2752" s="562">
        <v>2622.33</v>
      </c>
      <c r="AG2752" s="562">
        <v>3019.06</v>
      </c>
      <c r="AH2752" s="562">
        <v>3421.6</v>
      </c>
      <c r="AI2752" s="562">
        <v>3072.08</v>
      </c>
      <c r="AJ2752" s="569">
        <v>3201.7</v>
      </c>
      <c r="AK2752" s="569">
        <v>3216.32</v>
      </c>
      <c r="AL2752" s="569">
        <v>3029.25</v>
      </c>
      <c r="AM2752" s="569">
        <v>3077.61</v>
      </c>
      <c r="AN2752" s="569">
        <v>3177.75</v>
      </c>
      <c r="AO2752" s="569">
        <v>3253.2</v>
      </c>
    </row>
    <row r="2753" spans="1:44" s="66" customFormat="1" hidden="1" outlineLevel="1">
      <c r="A2753" s="578">
        <v>270</v>
      </c>
      <c r="B2753" s="568">
        <v>3581</v>
      </c>
      <c r="C2753" s="375" t="s">
        <v>1393</v>
      </c>
      <c r="D2753" s="226"/>
      <c r="E2753" s="23" t="s">
        <v>1366</v>
      </c>
      <c r="F2753" s="562">
        <v>11364.23</v>
      </c>
      <c r="G2753" s="562">
        <v>11258.73</v>
      </c>
      <c r="H2753" s="562">
        <v>9823.77</v>
      </c>
      <c r="I2753" s="562">
        <v>9872.74</v>
      </c>
      <c r="J2753" s="562">
        <v>9564.75</v>
      </c>
      <c r="K2753" s="562">
        <v>10120.870000000001</v>
      </c>
      <c r="L2753" s="562">
        <v>9771.77</v>
      </c>
      <c r="M2753" s="562">
        <v>8084.86</v>
      </c>
      <c r="N2753" s="562">
        <v>7822.3</v>
      </c>
      <c r="O2753" s="562">
        <v>7514.42</v>
      </c>
      <c r="P2753" s="562">
        <v>7234.87</v>
      </c>
      <c r="Q2753" s="562">
        <v>6891.96</v>
      </c>
      <c r="R2753" s="562">
        <v>6817.68</v>
      </c>
      <c r="S2753" s="562">
        <v>6846.02</v>
      </c>
      <c r="T2753" s="562">
        <v>6996.4</v>
      </c>
      <c r="U2753" s="562">
        <v>7127.88</v>
      </c>
      <c r="V2753" s="562">
        <v>6981.64</v>
      </c>
      <c r="W2753" s="562">
        <v>7265.74</v>
      </c>
      <c r="X2753" s="562">
        <v>7666.67</v>
      </c>
      <c r="Y2753" s="562">
        <v>8340.0400000000009</v>
      </c>
      <c r="Z2753" s="562">
        <v>8725.4500000000007</v>
      </c>
      <c r="AA2753" s="562">
        <v>9081.8700000000008</v>
      </c>
      <c r="AB2753" s="562">
        <v>8812.42</v>
      </c>
      <c r="AC2753" s="562">
        <v>8482.32</v>
      </c>
      <c r="AD2753" s="562">
        <v>9978.76</v>
      </c>
      <c r="AE2753" s="562">
        <v>12161.92</v>
      </c>
      <c r="AF2753" s="562">
        <v>11825.58</v>
      </c>
      <c r="AG2753" s="562">
        <v>12043.47</v>
      </c>
      <c r="AH2753" s="562">
        <v>12394.83</v>
      </c>
      <c r="AI2753" s="562">
        <v>12375.11</v>
      </c>
      <c r="AJ2753" s="569">
        <v>12388.35</v>
      </c>
      <c r="AK2753" s="569">
        <v>13133.85</v>
      </c>
      <c r="AL2753" s="569">
        <v>12841.19</v>
      </c>
      <c r="AM2753" s="569">
        <v>12222.94</v>
      </c>
      <c r="AN2753" s="569">
        <v>12106.11</v>
      </c>
      <c r="AO2753" s="569">
        <v>12749.05</v>
      </c>
    </row>
    <row r="2754" spans="1:44" s="66" customFormat="1" hidden="1" outlineLevel="1">
      <c r="A2754" s="578">
        <v>280</v>
      </c>
      <c r="B2754" s="568">
        <v>3606</v>
      </c>
      <c r="C2754" s="375" t="s">
        <v>1393</v>
      </c>
      <c r="D2754" s="226"/>
      <c r="E2754" s="23" t="s">
        <v>1367</v>
      </c>
      <c r="F2754" s="562">
        <v>10261.99</v>
      </c>
      <c r="G2754" s="562">
        <v>10101.43</v>
      </c>
      <c r="H2754" s="562">
        <v>9766.02</v>
      </c>
      <c r="I2754" s="562">
        <v>9775.92</v>
      </c>
      <c r="J2754" s="562">
        <v>9984.73</v>
      </c>
      <c r="K2754" s="562">
        <v>10906.63</v>
      </c>
      <c r="L2754" s="562">
        <v>11416.56</v>
      </c>
      <c r="M2754" s="562">
        <v>11814.41</v>
      </c>
      <c r="N2754" s="562">
        <v>11664.54</v>
      </c>
      <c r="O2754" s="562">
        <v>11282.08</v>
      </c>
      <c r="P2754" s="562">
        <v>11582.18</v>
      </c>
      <c r="Q2754" s="562">
        <v>11497.93</v>
      </c>
      <c r="R2754" s="562">
        <v>11193.21</v>
      </c>
      <c r="S2754" s="562">
        <v>11238.92</v>
      </c>
      <c r="T2754" s="562">
        <v>11296.63</v>
      </c>
      <c r="U2754" s="562">
        <v>11000.03</v>
      </c>
      <c r="V2754" s="562">
        <v>10876.43</v>
      </c>
      <c r="W2754" s="562">
        <v>11245.54</v>
      </c>
      <c r="X2754" s="562">
        <v>11700.24</v>
      </c>
      <c r="Y2754" s="562">
        <v>11924.95</v>
      </c>
      <c r="Z2754" s="562">
        <v>12308.73</v>
      </c>
      <c r="AA2754" s="562">
        <v>13114.53</v>
      </c>
      <c r="AB2754" s="562">
        <v>14118.71</v>
      </c>
      <c r="AC2754" s="562">
        <v>14697.93</v>
      </c>
      <c r="AD2754" s="562">
        <v>14980.05</v>
      </c>
      <c r="AE2754" s="562">
        <v>15009.39</v>
      </c>
      <c r="AF2754" s="562">
        <v>15214.75</v>
      </c>
      <c r="AG2754" s="562">
        <v>15603.31</v>
      </c>
      <c r="AH2754" s="562">
        <v>14852.28</v>
      </c>
      <c r="AI2754" s="562">
        <v>16261.7</v>
      </c>
      <c r="AJ2754" s="569">
        <v>16653.099999999999</v>
      </c>
      <c r="AK2754" s="569">
        <v>16973.46</v>
      </c>
      <c r="AL2754" s="569">
        <v>17424.060000000001</v>
      </c>
      <c r="AM2754" s="569">
        <v>17797.8</v>
      </c>
      <c r="AN2754" s="569">
        <v>18346.240000000002</v>
      </c>
      <c r="AO2754" s="569">
        <v>18450.88</v>
      </c>
    </row>
    <row r="2755" spans="1:44" s="66" customFormat="1" hidden="1" outlineLevel="1">
      <c r="A2755" s="578">
        <v>290</v>
      </c>
      <c r="B2755" s="568">
        <v>3615</v>
      </c>
      <c r="C2755" s="375" t="s">
        <v>1393</v>
      </c>
      <c r="D2755" s="226"/>
      <c r="E2755" s="375" t="s">
        <v>1094</v>
      </c>
      <c r="F2755" s="562">
        <v>17490.14</v>
      </c>
      <c r="G2755" s="562">
        <v>17075.509999999998</v>
      </c>
      <c r="H2755" s="562">
        <v>17986.53</v>
      </c>
      <c r="I2755" s="562">
        <v>18299.71</v>
      </c>
      <c r="J2755" s="562">
        <v>18431.11</v>
      </c>
      <c r="K2755" s="562">
        <v>18481.669999999998</v>
      </c>
      <c r="L2755" s="562">
        <v>18691.66</v>
      </c>
      <c r="M2755" s="562">
        <v>18557.939999999999</v>
      </c>
      <c r="N2755" s="562">
        <v>19289.939999999999</v>
      </c>
      <c r="O2755" s="562">
        <v>18475.59</v>
      </c>
      <c r="P2755" s="562">
        <v>18032.09</v>
      </c>
      <c r="Q2755" s="562">
        <v>18105.310000000001</v>
      </c>
      <c r="R2755" s="562">
        <v>18095.580000000002</v>
      </c>
      <c r="S2755" s="562">
        <v>18025.98</v>
      </c>
      <c r="T2755" s="562">
        <v>18428.68</v>
      </c>
      <c r="U2755" s="562">
        <v>19304.04</v>
      </c>
      <c r="V2755" s="562">
        <v>19247.77</v>
      </c>
      <c r="W2755" s="562">
        <v>19885.22</v>
      </c>
      <c r="X2755" s="562">
        <v>21032.080000000002</v>
      </c>
      <c r="Y2755" s="562">
        <v>22309.81</v>
      </c>
      <c r="Z2755" s="562">
        <v>23160.400000000001</v>
      </c>
      <c r="AA2755" s="562">
        <v>23358.29</v>
      </c>
      <c r="AB2755" s="562">
        <v>23710.99</v>
      </c>
      <c r="AC2755" s="562">
        <v>24273.49</v>
      </c>
      <c r="AD2755" s="562">
        <v>24889.84</v>
      </c>
      <c r="AE2755" s="562">
        <v>25487.46</v>
      </c>
      <c r="AF2755" s="562">
        <v>26884.7</v>
      </c>
      <c r="AG2755" s="562">
        <v>28269.43</v>
      </c>
      <c r="AH2755" s="562">
        <v>27911.02</v>
      </c>
      <c r="AI2755" s="562">
        <v>29457.41</v>
      </c>
      <c r="AJ2755" s="569">
        <v>30712.37</v>
      </c>
      <c r="AK2755" s="569">
        <v>31461.279999999999</v>
      </c>
      <c r="AL2755" s="569">
        <v>32583.75</v>
      </c>
      <c r="AM2755" s="569">
        <v>33160.61</v>
      </c>
      <c r="AN2755" s="569">
        <v>33073.879999999997</v>
      </c>
      <c r="AO2755" s="569">
        <v>32940.629999999997</v>
      </c>
    </row>
    <row r="2756" spans="1:44" s="66" customFormat="1" hidden="1" outlineLevel="1">
      <c r="A2756" s="578">
        <v>300</v>
      </c>
      <c r="B2756" s="568">
        <v>20</v>
      </c>
      <c r="C2756" s="375" t="s">
        <v>1393</v>
      </c>
      <c r="D2756" s="226"/>
      <c r="E2756" s="23" t="s">
        <v>1368</v>
      </c>
      <c r="F2756" s="562">
        <v>331.98</v>
      </c>
      <c r="G2756" s="562">
        <v>283.14999999999998</v>
      </c>
      <c r="H2756" s="562">
        <v>244.05</v>
      </c>
      <c r="I2756" s="562">
        <v>228.18</v>
      </c>
      <c r="J2756" s="562">
        <v>236.3</v>
      </c>
      <c r="K2756" s="562">
        <v>235.2</v>
      </c>
      <c r="L2756" s="562">
        <v>283.68</v>
      </c>
      <c r="M2756" s="562">
        <v>320.39999999999998</v>
      </c>
      <c r="N2756" s="562">
        <v>361.25</v>
      </c>
      <c r="O2756" s="562">
        <v>410.75</v>
      </c>
      <c r="P2756" s="562">
        <v>453.13</v>
      </c>
      <c r="Q2756" s="562">
        <v>481.53</v>
      </c>
      <c r="R2756" s="562">
        <v>519.67999999999995</v>
      </c>
      <c r="S2756" s="562">
        <v>582.33000000000004</v>
      </c>
      <c r="T2756" s="562">
        <v>589.73</v>
      </c>
      <c r="U2756" s="562">
        <v>612.35</v>
      </c>
      <c r="V2756" s="562">
        <v>600.17999999999995</v>
      </c>
      <c r="W2756" s="562">
        <v>631.73</v>
      </c>
      <c r="X2756" s="562">
        <v>614.73</v>
      </c>
      <c r="Y2756" s="562">
        <v>678.05</v>
      </c>
      <c r="Z2756" s="562">
        <v>630.08000000000004</v>
      </c>
      <c r="AA2756" s="562">
        <v>684.47</v>
      </c>
      <c r="AB2756" s="562">
        <v>703.8</v>
      </c>
      <c r="AC2756" s="562">
        <v>682.71</v>
      </c>
      <c r="AD2756" s="562">
        <v>661.9</v>
      </c>
      <c r="AE2756" s="562">
        <v>668.89</v>
      </c>
      <c r="AF2756" s="562">
        <v>723.93</v>
      </c>
      <c r="AG2756" s="562">
        <v>729.48</v>
      </c>
      <c r="AH2756" s="562">
        <v>644.41</v>
      </c>
      <c r="AI2756" s="562">
        <v>593.59</v>
      </c>
      <c r="AJ2756" s="569">
        <v>537.77</v>
      </c>
      <c r="AK2756" s="569">
        <v>632.61</v>
      </c>
      <c r="AL2756" s="569">
        <v>649.38</v>
      </c>
      <c r="AM2756" s="569">
        <v>657.16</v>
      </c>
      <c r="AN2756" s="569">
        <v>594.45000000000005</v>
      </c>
      <c r="AO2756" s="569">
        <v>565.24</v>
      </c>
    </row>
    <row r="2757" spans="1:44" s="66" customFormat="1" hidden="1" outlineLevel="1">
      <c r="A2757" s="578">
        <v>301</v>
      </c>
      <c r="B2757" s="568">
        <v>3625</v>
      </c>
      <c r="C2757" s="375" t="s">
        <v>1393</v>
      </c>
      <c r="D2757" s="226"/>
      <c r="E2757" s="23" t="s">
        <v>1369</v>
      </c>
      <c r="F2757" s="562">
        <v>2080.1999999999998</v>
      </c>
      <c r="G2757" s="562">
        <v>1901.72</v>
      </c>
      <c r="H2757" s="562">
        <v>1760.41</v>
      </c>
      <c r="I2757" s="562">
        <v>1732.98</v>
      </c>
      <c r="J2757" s="562">
        <v>1750.82</v>
      </c>
      <c r="K2757" s="562">
        <v>1857.04</v>
      </c>
      <c r="L2757" s="562">
        <v>1886.68</v>
      </c>
      <c r="M2757" s="562">
        <v>1870.85</v>
      </c>
      <c r="N2757" s="562">
        <v>2026.04</v>
      </c>
      <c r="O2757" s="562">
        <v>2054.83</v>
      </c>
      <c r="P2757" s="562">
        <v>2171.0100000000002</v>
      </c>
      <c r="Q2757" s="562">
        <v>2260.2399999999998</v>
      </c>
      <c r="R2757" s="562">
        <v>2285.92</v>
      </c>
      <c r="S2757" s="562">
        <v>2263.66</v>
      </c>
      <c r="T2757" s="562">
        <v>2160.12</v>
      </c>
      <c r="U2757" s="562">
        <v>2045.97</v>
      </c>
      <c r="V2757" s="562">
        <v>1838.07</v>
      </c>
      <c r="W2757" s="562">
        <v>1913.83</v>
      </c>
      <c r="X2757" s="562">
        <v>1768.82</v>
      </c>
      <c r="Y2757" s="562">
        <v>1800.28</v>
      </c>
      <c r="Z2757" s="562">
        <v>1859.91</v>
      </c>
      <c r="AA2757" s="562">
        <v>1750.27</v>
      </c>
      <c r="AB2757" s="562">
        <v>1675.17</v>
      </c>
      <c r="AC2757" s="562">
        <v>1598.63</v>
      </c>
      <c r="AD2757" s="562">
        <v>1519.02</v>
      </c>
      <c r="AE2757" s="562">
        <v>1568.91</v>
      </c>
      <c r="AF2757" s="562">
        <v>1678.98</v>
      </c>
      <c r="AG2757" s="562">
        <v>1687.4</v>
      </c>
      <c r="AH2757" s="562">
        <v>1689.44</v>
      </c>
      <c r="AI2757" s="562">
        <v>1493.88</v>
      </c>
      <c r="AJ2757" s="569">
        <v>1498.34</v>
      </c>
      <c r="AK2757" s="569">
        <v>1562.53</v>
      </c>
      <c r="AL2757" s="569">
        <v>1591.2</v>
      </c>
      <c r="AM2757" s="569">
        <v>1641.6</v>
      </c>
      <c r="AN2757" s="569">
        <v>1584.53</v>
      </c>
      <c r="AO2757" s="569">
        <v>1476.2</v>
      </c>
    </row>
    <row r="2758" spans="1:44" s="66" customFormat="1" hidden="1" outlineLevel="1">
      <c r="A2758" s="578">
        <v>310</v>
      </c>
      <c r="B2758" s="568">
        <v>3644</v>
      </c>
      <c r="C2758" s="375" t="s">
        <v>1393</v>
      </c>
      <c r="D2758" s="226"/>
      <c r="E2758" s="23" t="s">
        <v>735</v>
      </c>
      <c r="F2758" s="562">
        <v>23329.279999999999</v>
      </c>
      <c r="G2758" s="562">
        <v>23003.49</v>
      </c>
      <c r="H2758" s="562">
        <v>22329.08</v>
      </c>
      <c r="I2758" s="562">
        <v>22174.94</v>
      </c>
      <c r="J2758" s="562">
        <v>22158.69</v>
      </c>
      <c r="K2758" s="562">
        <v>22978.240000000002</v>
      </c>
      <c r="L2758" s="562">
        <v>23203.06</v>
      </c>
      <c r="M2758" s="562">
        <v>23507.33</v>
      </c>
      <c r="N2758" s="562">
        <v>23295.88</v>
      </c>
      <c r="O2758" s="562">
        <v>22651.4</v>
      </c>
      <c r="P2758" s="562">
        <v>22573.9</v>
      </c>
      <c r="Q2758" s="562">
        <v>22456.82</v>
      </c>
      <c r="R2758" s="562">
        <v>22939.29</v>
      </c>
      <c r="S2758" s="562">
        <v>23303.42</v>
      </c>
      <c r="T2758" s="562">
        <v>23738.880000000001</v>
      </c>
      <c r="U2758" s="562">
        <v>23116.65</v>
      </c>
      <c r="V2758" s="562">
        <v>22610.91</v>
      </c>
      <c r="W2758" s="562">
        <v>22927.42</v>
      </c>
      <c r="X2758" s="562">
        <v>24300.5</v>
      </c>
      <c r="Y2758" s="562">
        <v>25932.01</v>
      </c>
      <c r="Z2758" s="562">
        <v>27033.919999999998</v>
      </c>
      <c r="AA2758" s="562">
        <v>26934.5</v>
      </c>
      <c r="AB2758" s="562">
        <v>26833.31</v>
      </c>
      <c r="AC2758" s="562">
        <v>26746.1</v>
      </c>
      <c r="AD2758" s="562">
        <v>26833.14</v>
      </c>
      <c r="AE2758" s="562">
        <v>26966.52</v>
      </c>
      <c r="AF2758" s="562">
        <v>28483.360000000001</v>
      </c>
      <c r="AG2758" s="562">
        <v>29683.96</v>
      </c>
      <c r="AH2758" s="562">
        <v>30352.400000000001</v>
      </c>
      <c r="AI2758" s="562">
        <v>30422.62</v>
      </c>
      <c r="AJ2758" s="569">
        <v>30861.59</v>
      </c>
      <c r="AK2758" s="569">
        <v>32405.18</v>
      </c>
      <c r="AL2758" s="569">
        <v>33312.199999999997</v>
      </c>
      <c r="AM2758" s="569">
        <v>33853.910000000003</v>
      </c>
      <c r="AN2758" s="569">
        <v>34394.61</v>
      </c>
      <c r="AO2758" s="569">
        <v>35176.53</v>
      </c>
    </row>
    <row r="2759" spans="1:44" s="66" customFormat="1" hidden="1" outlineLevel="1">
      <c r="A2759" s="578">
        <v>320</v>
      </c>
      <c r="B2759" s="568">
        <v>3541</v>
      </c>
      <c r="C2759" s="375" t="s">
        <v>1393</v>
      </c>
      <c r="D2759" s="226"/>
      <c r="E2759" s="23" t="s">
        <v>855</v>
      </c>
      <c r="F2759" s="562">
        <v>5709.59</v>
      </c>
      <c r="G2759" s="562">
        <v>5540.89</v>
      </c>
      <c r="H2759" s="562">
        <v>5248.93</v>
      </c>
      <c r="I2759" s="562">
        <v>5151.42</v>
      </c>
      <c r="J2759" s="562">
        <v>5157.88</v>
      </c>
      <c r="K2759" s="562">
        <v>5720.24</v>
      </c>
      <c r="L2759" s="562">
        <v>5763.13</v>
      </c>
      <c r="M2759" s="562">
        <v>5656.53</v>
      </c>
      <c r="N2759" s="562">
        <v>5464.09</v>
      </c>
      <c r="O2759" s="562">
        <v>5404.94</v>
      </c>
      <c r="P2759" s="562">
        <v>5399.91</v>
      </c>
      <c r="Q2759" s="562">
        <v>5540.18</v>
      </c>
      <c r="R2759" s="562">
        <v>5398.5</v>
      </c>
      <c r="S2759" s="562">
        <v>5573.66</v>
      </c>
      <c r="T2759" s="562">
        <v>5634.21</v>
      </c>
      <c r="U2759" s="562">
        <v>5675.47</v>
      </c>
      <c r="V2759" s="562">
        <v>5641.69</v>
      </c>
      <c r="W2759" s="562">
        <v>5700.98</v>
      </c>
      <c r="X2759" s="562">
        <v>5706.04</v>
      </c>
      <c r="Y2759" s="562">
        <v>5625.22</v>
      </c>
      <c r="Z2759" s="562">
        <v>5432.23</v>
      </c>
      <c r="AA2759" s="562">
        <v>5531.43</v>
      </c>
      <c r="AB2759" s="562">
        <v>5575.49</v>
      </c>
      <c r="AC2759" s="562">
        <v>5545.14</v>
      </c>
      <c r="AD2759" s="562">
        <v>5512.08</v>
      </c>
      <c r="AE2759" s="562">
        <v>5402.27</v>
      </c>
      <c r="AF2759" s="562">
        <v>5681.18</v>
      </c>
      <c r="AG2759" s="562">
        <v>5903.22</v>
      </c>
      <c r="AH2759" s="562">
        <v>5689.82</v>
      </c>
      <c r="AI2759" s="562">
        <v>6141.4</v>
      </c>
      <c r="AJ2759" s="569">
        <v>5757.42</v>
      </c>
      <c r="AK2759" s="569">
        <v>5750.58</v>
      </c>
      <c r="AL2759" s="569">
        <v>6701.37</v>
      </c>
      <c r="AM2759" s="569">
        <v>7403.75</v>
      </c>
      <c r="AN2759" s="569">
        <v>7842.3</v>
      </c>
      <c r="AO2759" s="569">
        <v>7784.96</v>
      </c>
    </row>
    <row r="2760" spans="1:44" s="66" customFormat="1" hidden="1" outlineLevel="1">
      <c r="A2760" s="578">
        <v>330</v>
      </c>
      <c r="B2760" s="568">
        <v>3594</v>
      </c>
      <c r="C2760" s="375" t="s">
        <v>1393</v>
      </c>
      <c r="D2760" s="226"/>
      <c r="E2760" s="23" t="s">
        <v>731</v>
      </c>
      <c r="F2760" s="562">
        <v>18005.91</v>
      </c>
      <c r="G2760" s="562">
        <v>18939.59</v>
      </c>
      <c r="H2760" s="562">
        <v>18474.55</v>
      </c>
      <c r="I2760" s="562">
        <v>18750.05</v>
      </c>
      <c r="J2760" s="562">
        <v>19866.09</v>
      </c>
      <c r="K2760" s="562">
        <v>21794.66</v>
      </c>
      <c r="L2760" s="562">
        <v>23683.59</v>
      </c>
      <c r="M2760" s="562">
        <v>24040.720000000001</v>
      </c>
      <c r="N2760" s="562">
        <v>23649.85</v>
      </c>
      <c r="O2760" s="562">
        <v>22711.21</v>
      </c>
      <c r="P2760" s="562">
        <v>22118.76</v>
      </c>
      <c r="Q2760" s="562">
        <v>22005.74</v>
      </c>
      <c r="R2760" s="562">
        <v>21548.14</v>
      </c>
      <c r="S2760" s="562">
        <v>21361.200000000001</v>
      </c>
      <c r="T2760" s="562">
        <v>21789.17</v>
      </c>
      <c r="U2760" s="562">
        <v>22395.599999999999</v>
      </c>
      <c r="V2760" s="562">
        <v>22759.14</v>
      </c>
      <c r="W2760" s="562">
        <v>23384.6</v>
      </c>
      <c r="X2760" s="562">
        <v>24640.32</v>
      </c>
      <c r="Y2760" s="562">
        <v>25835.18</v>
      </c>
      <c r="Z2760" s="562">
        <v>26546.14</v>
      </c>
      <c r="AA2760" s="562">
        <v>26632.2</v>
      </c>
      <c r="AB2760" s="562">
        <v>27714.35</v>
      </c>
      <c r="AC2760" s="562">
        <v>28427.360000000001</v>
      </c>
      <c r="AD2760" s="562">
        <v>29615.66</v>
      </c>
      <c r="AE2760" s="562">
        <v>29872.84</v>
      </c>
      <c r="AF2760" s="562">
        <v>29863.02</v>
      </c>
      <c r="AG2760" s="562">
        <v>30515.46</v>
      </c>
      <c r="AH2760" s="562">
        <v>29306.3</v>
      </c>
      <c r="AI2760" s="562">
        <v>30173.45</v>
      </c>
      <c r="AJ2760" s="569">
        <v>30390.55</v>
      </c>
      <c r="AK2760" s="569">
        <v>30949.68</v>
      </c>
      <c r="AL2760" s="569">
        <v>32091.87</v>
      </c>
      <c r="AM2760" s="569">
        <v>32501.56</v>
      </c>
      <c r="AN2760" s="569">
        <v>32774.89</v>
      </c>
      <c r="AO2760" s="569">
        <v>32965.160000000003</v>
      </c>
    </row>
    <row r="2761" spans="1:44" s="66" customFormat="1" hidden="1" outlineLevel="1">
      <c r="A2761" s="578">
        <v>333</v>
      </c>
      <c r="B2761" s="568">
        <v>42421</v>
      </c>
      <c r="C2761" s="375" t="s">
        <v>1393</v>
      </c>
      <c r="D2761" s="226"/>
      <c r="E2761" s="23" t="s">
        <v>1370</v>
      </c>
      <c r="F2761" s="562">
        <v>0</v>
      </c>
      <c r="G2761" s="562">
        <v>0</v>
      </c>
      <c r="H2761" s="562">
        <v>0</v>
      </c>
      <c r="I2761" s="562">
        <v>0</v>
      </c>
      <c r="J2761" s="562">
        <v>0</v>
      </c>
      <c r="K2761" s="562">
        <v>0</v>
      </c>
      <c r="L2761" s="562">
        <v>0</v>
      </c>
      <c r="M2761" s="562">
        <v>0</v>
      </c>
      <c r="N2761" s="562">
        <v>0</v>
      </c>
      <c r="O2761" s="562">
        <v>0</v>
      </c>
      <c r="P2761" s="562"/>
      <c r="Q2761" s="562"/>
      <c r="R2761" s="562"/>
      <c r="S2761" s="562"/>
      <c r="T2761" s="562"/>
      <c r="U2761" s="562"/>
      <c r="V2761" s="562"/>
      <c r="W2761" s="562"/>
      <c r="X2761" s="562"/>
      <c r="Y2761" s="562"/>
      <c r="Z2761" s="562"/>
      <c r="AA2761" s="562"/>
      <c r="AB2761" s="562"/>
      <c r="AC2761" s="562"/>
      <c r="AD2761" s="562"/>
      <c r="AE2761" s="562"/>
      <c r="AF2761" s="562">
        <v>1114.75</v>
      </c>
      <c r="AG2761" s="562">
        <v>1210.8900000000001</v>
      </c>
      <c r="AH2761" s="562">
        <v>1206.48</v>
      </c>
      <c r="AI2761" s="562">
        <v>1334.27</v>
      </c>
      <c r="AJ2761" s="569">
        <v>1368.84</v>
      </c>
      <c r="AK2761" s="569">
        <v>1648.46</v>
      </c>
      <c r="AL2761" s="569">
        <v>2072.9299999999998</v>
      </c>
      <c r="AM2761" s="569">
        <v>2569.88</v>
      </c>
      <c r="AN2761" s="569">
        <v>2913.02</v>
      </c>
      <c r="AO2761" s="569">
        <v>3104.5</v>
      </c>
    </row>
    <row r="2762" spans="1:44" s="66" customFormat="1" hidden="1" outlineLevel="1">
      <c r="A2762" s="578">
        <v>340</v>
      </c>
      <c r="B2762" s="568">
        <v>3592</v>
      </c>
      <c r="C2762" s="375" t="s">
        <v>1393</v>
      </c>
      <c r="D2762" s="226"/>
      <c r="E2762" s="23" t="s">
        <v>730</v>
      </c>
      <c r="F2762" s="562">
        <v>3869.55</v>
      </c>
      <c r="G2762" s="562">
        <v>3883.33</v>
      </c>
      <c r="H2762" s="562">
        <v>3594.15</v>
      </c>
      <c r="I2762" s="562">
        <v>3546.81</v>
      </c>
      <c r="J2762" s="562">
        <v>3888.99</v>
      </c>
      <c r="K2762" s="562">
        <v>4351.71</v>
      </c>
      <c r="L2762" s="562">
        <v>4392.79</v>
      </c>
      <c r="M2762" s="562">
        <v>4383.6499999999996</v>
      </c>
      <c r="N2762" s="562">
        <v>4429.8500000000004</v>
      </c>
      <c r="O2762" s="562">
        <v>4563.53</v>
      </c>
      <c r="P2762" s="562">
        <v>4678.26</v>
      </c>
      <c r="Q2762" s="562">
        <v>4662.33</v>
      </c>
      <c r="R2762" s="562">
        <v>4739.68</v>
      </c>
      <c r="S2762" s="562">
        <v>4619.1899999999996</v>
      </c>
      <c r="T2762" s="562">
        <v>4797.09</v>
      </c>
      <c r="U2762" s="562">
        <v>4789.5</v>
      </c>
      <c r="V2762" s="562">
        <v>4890.82</v>
      </c>
      <c r="W2762" s="562">
        <v>4922.2700000000004</v>
      </c>
      <c r="X2762" s="562">
        <v>5100.3999999999996</v>
      </c>
      <c r="Y2762" s="562">
        <v>5272.7</v>
      </c>
      <c r="Z2762" s="562">
        <v>5443.64</v>
      </c>
      <c r="AA2762" s="562">
        <v>5293.38</v>
      </c>
      <c r="AB2762" s="562">
        <v>5270.24</v>
      </c>
      <c r="AC2762" s="562">
        <v>5038.17</v>
      </c>
      <c r="AD2762" s="562">
        <v>4975.05</v>
      </c>
      <c r="AE2762" s="562">
        <v>5032.1400000000003</v>
      </c>
      <c r="AF2762" s="562">
        <v>5147.28</v>
      </c>
      <c r="AG2762" s="562">
        <v>5244.56</v>
      </c>
      <c r="AH2762" s="562">
        <v>4541.42</v>
      </c>
      <c r="AI2762" s="562">
        <v>4648.91</v>
      </c>
      <c r="AJ2762" s="569">
        <v>4721.99</v>
      </c>
      <c r="AK2762" s="569">
        <v>4747.16</v>
      </c>
      <c r="AL2762" s="569">
        <v>4884.82</v>
      </c>
      <c r="AM2762" s="569">
        <v>4793.6499999999996</v>
      </c>
      <c r="AN2762" s="569">
        <v>4879.5600000000004</v>
      </c>
      <c r="AO2762" s="569">
        <v>4847.1899999999996</v>
      </c>
    </row>
    <row r="2763" spans="1:44" s="66" customFormat="1" hidden="1" outlineLevel="1">
      <c r="A2763" s="578">
        <v>350</v>
      </c>
      <c r="B2763" s="568">
        <v>3624</v>
      </c>
      <c r="C2763" s="375" t="s">
        <v>1393</v>
      </c>
      <c r="D2763" s="226"/>
      <c r="E2763" s="23" t="s">
        <v>858</v>
      </c>
      <c r="F2763" s="562">
        <v>12390.75</v>
      </c>
      <c r="G2763" s="562">
        <v>12286.16</v>
      </c>
      <c r="H2763" s="562">
        <v>11859.14</v>
      </c>
      <c r="I2763" s="562">
        <v>11827.05</v>
      </c>
      <c r="J2763" s="562">
        <v>11816.98</v>
      </c>
      <c r="K2763" s="562">
        <v>12301.5</v>
      </c>
      <c r="L2763" s="562">
        <v>12437.92</v>
      </c>
      <c r="M2763" s="562">
        <v>12495.09</v>
      </c>
      <c r="N2763" s="562">
        <v>12475.91</v>
      </c>
      <c r="O2763" s="562">
        <v>12172.61</v>
      </c>
      <c r="P2763" s="562">
        <v>12038.22</v>
      </c>
      <c r="Q2763" s="562">
        <v>11593.34</v>
      </c>
      <c r="R2763" s="562">
        <v>11237.16</v>
      </c>
      <c r="S2763" s="562">
        <v>11163.64</v>
      </c>
      <c r="T2763" s="562">
        <v>11552.49</v>
      </c>
      <c r="U2763" s="562">
        <v>11611.29</v>
      </c>
      <c r="V2763" s="562">
        <v>11208.07</v>
      </c>
      <c r="W2763" s="562">
        <v>10907.83</v>
      </c>
      <c r="X2763" s="562">
        <v>11087.89</v>
      </c>
      <c r="Y2763" s="562">
        <v>10857.36</v>
      </c>
      <c r="Z2763" s="562">
        <v>10672.65</v>
      </c>
      <c r="AA2763" s="562">
        <v>10526.22</v>
      </c>
      <c r="AB2763" s="562">
        <v>10613.24</v>
      </c>
      <c r="AC2763" s="562">
        <v>10830.05</v>
      </c>
      <c r="AD2763" s="562">
        <v>10724.74</v>
      </c>
      <c r="AE2763" s="562">
        <v>11031.01</v>
      </c>
      <c r="AF2763" s="562">
        <v>11568.74</v>
      </c>
      <c r="AG2763" s="562">
        <v>11371.22</v>
      </c>
      <c r="AH2763" s="562">
        <v>10820.65</v>
      </c>
      <c r="AI2763" s="562">
        <v>11376.63</v>
      </c>
      <c r="AJ2763" s="569">
        <v>11231.4</v>
      </c>
      <c r="AK2763" s="569">
        <v>11044</v>
      </c>
      <c r="AL2763" s="569">
        <v>11066.06</v>
      </c>
      <c r="AM2763" s="569">
        <v>11198.74</v>
      </c>
      <c r="AN2763" s="569">
        <v>11133.21</v>
      </c>
      <c r="AO2763" s="569">
        <v>11069.17</v>
      </c>
    </row>
    <row r="2764" spans="1:44" s="66" customFormat="1" hidden="1" outlineLevel="1">
      <c r="A2764" s="578">
        <v>360</v>
      </c>
      <c r="B2764" s="568">
        <v>3642</v>
      </c>
      <c r="C2764" s="375" t="s">
        <v>1393</v>
      </c>
      <c r="D2764" s="226"/>
      <c r="E2764" s="23" t="s">
        <v>733</v>
      </c>
      <c r="F2764" s="562">
        <v>8228.3799999999992</v>
      </c>
      <c r="G2764" s="562">
        <v>7941.84</v>
      </c>
      <c r="H2764" s="562">
        <v>6728.2</v>
      </c>
      <c r="I2764" s="562">
        <v>6026.44</v>
      </c>
      <c r="J2764" s="562">
        <v>6574.74</v>
      </c>
      <c r="K2764" s="562">
        <v>7850.29</v>
      </c>
      <c r="L2764" s="562">
        <v>8267.5</v>
      </c>
      <c r="M2764" s="562">
        <v>8358.3799999999992</v>
      </c>
      <c r="N2764" s="562">
        <v>8913.56</v>
      </c>
      <c r="O2764" s="562">
        <v>9341.18</v>
      </c>
      <c r="P2764" s="562">
        <v>9253.31</v>
      </c>
      <c r="Q2764" s="562">
        <v>8800.23</v>
      </c>
      <c r="R2764" s="562">
        <v>8118.82</v>
      </c>
      <c r="S2764" s="562">
        <v>7023.43</v>
      </c>
      <c r="T2764" s="562">
        <v>6532.35</v>
      </c>
      <c r="U2764" s="562">
        <v>5978.9</v>
      </c>
      <c r="V2764" s="562">
        <v>5963.04</v>
      </c>
      <c r="W2764" s="562">
        <v>6290.69</v>
      </c>
      <c r="X2764" s="562">
        <v>7640.52</v>
      </c>
      <c r="Y2764" s="562">
        <v>9097.86</v>
      </c>
      <c r="Z2764" s="562">
        <v>10064.92</v>
      </c>
      <c r="AA2764" s="562">
        <v>10407.700000000001</v>
      </c>
      <c r="AB2764" s="562">
        <v>10347.540000000001</v>
      </c>
      <c r="AC2764" s="562">
        <v>9612.42</v>
      </c>
      <c r="AD2764" s="562">
        <v>8423.2900000000009</v>
      </c>
      <c r="AE2764" s="562">
        <v>8056.13</v>
      </c>
      <c r="AF2764" s="562">
        <v>8740.61</v>
      </c>
      <c r="AG2764" s="562">
        <v>8877.09</v>
      </c>
      <c r="AH2764" s="562">
        <v>9952.08</v>
      </c>
      <c r="AI2764" s="562">
        <v>8420.91</v>
      </c>
      <c r="AJ2764" s="569">
        <v>7969.23</v>
      </c>
      <c r="AK2764" s="569">
        <v>8227.5</v>
      </c>
      <c r="AL2764" s="569">
        <v>8312.16</v>
      </c>
      <c r="AM2764" s="569">
        <v>8526.58</v>
      </c>
      <c r="AN2764" s="569">
        <v>9288.14</v>
      </c>
      <c r="AO2764" s="569">
        <v>8898.0300000000007</v>
      </c>
    </row>
    <row r="2765" spans="1:44" s="66" customFormat="1" hidden="1" outlineLevel="1">
      <c r="A2765" s="578">
        <v>370</v>
      </c>
      <c r="B2765" s="568">
        <v>3646</v>
      </c>
      <c r="C2765" s="375" t="s">
        <v>1393</v>
      </c>
      <c r="D2765" s="226"/>
      <c r="E2765" s="23" t="s">
        <v>737</v>
      </c>
      <c r="F2765" s="562">
        <v>7053.46</v>
      </c>
      <c r="G2765" s="562">
        <v>7071.17</v>
      </c>
      <c r="H2765" s="562">
        <v>6605.19</v>
      </c>
      <c r="I2765" s="562">
        <v>6397.2</v>
      </c>
      <c r="J2765" s="562">
        <v>6781.95</v>
      </c>
      <c r="K2765" s="562">
        <v>7365.76</v>
      </c>
      <c r="L2765" s="562">
        <v>7897.96</v>
      </c>
      <c r="M2765" s="562">
        <v>8060.46</v>
      </c>
      <c r="N2765" s="562">
        <v>7826.91</v>
      </c>
      <c r="O2765" s="562">
        <v>7994.58</v>
      </c>
      <c r="P2765" s="562">
        <v>8165.93</v>
      </c>
      <c r="Q2765" s="562">
        <v>8251.56</v>
      </c>
      <c r="R2765" s="562">
        <v>8015.18</v>
      </c>
      <c r="S2765" s="562">
        <v>7929.43</v>
      </c>
      <c r="T2765" s="562">
        <v>7798.89</v>
      </c>
      <c r="U2765" s="562">
        <v>7580.82</v>
      </c>
      <c r="V2765" s="562">
        <v>6993.85</v>
      </c>
      <c r="W2765" s="562">
        <v>6621.3</v>
      </c>
      <c r="X2765" s="562">
        <v>6633.57</v>
      </c>
      <c r="Y2765" s="562">
        <v>7238.26</v>
      </c>
      <c r="Z2765" s="562">
        <v>8332.52</v>
      </c>
      <c r="AA2765" s="562">
        <v>9125.86</v>
      </c>
      <c r="AB2765" s="562">
        <v>9366.1</v>
      </c>
      <c r="AC2765" s="562">
        <v>9749.1200000000008</v>
      </c>
      <c r="AD2765" s="562">
        <v>10040.25</v>
      </c>
      <c r="AE2765" s="562">
        <v>10265.9</v>
      </c>
      <c r="AF2765" s="562">
        <v>10889.01</v>
      </c>
      <c r="AG2765" s="562">
        <v>11547.84</v>
      </c>
      <c r="AH2765" s="562">
        <v>13289.88</v>
      </c>
      <c r="AI2765" s="562">
        <v>12294.81</v>
      </c>
      <c r="AJ2765" s="569">
        <v>12242.8</v>
      </c>
      <c r="AK2765" s="569">
        <v>12129.99</v>
      </c>
      <c r="AL2765" s="569">
        <v>12240.26</v>
      </c>
      <c r="AM2765" s="569">
        <v>12249.83</v>
      </c>
      <c r="AN2765" s="569">
        <v>12235.71</v>
      </c>
      <c r="AO2765" s="569">
        <v>12398.27</v>
      </c>
    </row>
    <row r="2766" spans="1:44" s="66" customFormat="1" hidden="1" outlineLevel="1">
      <c r="B2766" s="571">
        <v>445566</v>
      </c>
      <c r="C2766" s="226" t="s">
        <v>1393</v>
      </c>
      <c r="D2766" s="226"/>
      <c r="E2766" s="226" t="s">
        <v>1389</v>
      </c>
      <c r="F2766" s="576">
        <v>328207.86</v>
      </c>
      <c r="G2766" s="576">
        <v>328907.61000000004</v>
      </c>
      <c r="H2766" s="576">
        <v>314136.59000000003</v>
      </c>
      <c r="I2766" s="576">
        <v>313396.38</v>
      </c>
      <c r="J2766" s="576">
        <v>322553.21000000002</v>
      </c>
      <c r="K2766" s="576">
        <v>339683.19</v>
      </c>
      <c r="L2766" s="576">
        <v>349225.11</v>
      </c>
      <c r="M2766" s="576">
        <v>352285.57000000018</v>
      </c>
      <c r="N2766" s="576">
        <v>355021.27999999985</v>
      </c>
      <c r="O2766" s="576">
        <v>351264.0400000001</v>
      </c>
      <c r="P2766" s="576">
        <v>350175.05000000005</v>
      </c>
      <c r="Q2766" s="576">
        <v>348082.82</v>
      </c>
      <c r="R2766" s="576">
        <v>343903.01</v>
      </c>
      <c r="S2766" s="576">
        <v>341805.26999999996</v>
      </c>
      <c r="T2766" s="576">
        <v>347150.08000000002</v>
      </c>
      <c r="U2766" s="576">
        <v>351768.86999999988</v>
      </c>
      <c r="V2766" s="576">
        <v>351557.61</v>
      </c>
      <c r="W2766" s="576">
        <v>359007.09</v>
      </c>
      <c r="X2766" s="576">
        <v>378022.16000000009</v>
      </c>
      <c r="Y2766" s="576">
        <v>396721.08</v>
      </c>
      <c r="Z2766" s="576">
        <v>410864.13</v>
      </c>
      <c r="AA2766" s="576">
        <v>415171.4599999999</v>
      </c>
      <c r="AB2766" s="576">
        <v>420595.72999999981</v>
      </c>
      <c r="AC2766" s="576">
        <v>424003.15999999992</v>
      </c>
      <c r="AD2766" s="576">
        <v>430699.56000000006</v>
      </c>
      <c r="AE2766" s="576">
        <v>438708.11000000016</v>
      </c>
      <c r="AF2766" s="576">
        <v>460207.21000000008</v>
      </c>
      <c r="AG2766" s="576">
        <v>478963.39000000007</v>
      </c>
      <c r="AH2766" s="576">
        <v>485397.89</v>
      </c>
      <c r="AI2766" s="576">
        <v>493855.23</v>
      </c>
      <c r="AJ2766" s="576">
        <v>502929.29000000004</v>
      </c>
      <c r="AK2766" s="576">
        <f>SUM(AK2727:AK2765)</f>
        <v>518985.81000000011</v>
      </c>
      <c r="AL2766" s="576">
        <f>SUM(AL2727:AL2765)</f>
        <v>533120.41</v>
      </c>
      <c r="AM2766" s="576">
        <f>SUM(AM2727:AM2765)</f>
        <v>547600.58999999985</v>
      </c>
      <c r="AN2766" s="576">
        <f>SUM(AN2727:AN2765)</f>
        <v>559440.94999999984</v>
      </c>
      <c r="AO2766" s="576">
        <f>SUM(AO2727:AO2765)</f>
        <v>565854.13000000012</v>
      </c>
      <c r="AR2766"/>
    </row>
    <row r="2767" spans="1:44" collapsed="1">
      <c r="B2767" s="568"/>
      <c r="C2767" s="25" t="s">
        <v>1618</v>
      </c>
      <c r="D2767" s="25"/>
      <c r="E2767" s="6"/>
      <c r="F2767" s="6"/>
      <c r="G2767" s="6"/>
      <c r="H2767" s="6"/>
      <c r="I2767" s="6"/>
      <c r="J2767" s="6"/>
      <c r="K2767" s="7"/>
      <c r="L2767" s="7"/>
      <c r="M2767" s="7"/>
      <c r="N2767" s="7"/>
      <c r="O2767" s="7"/>
      <c r="P2767" s="7"/>
      <c r="Q2767" s="7"/>
      <c r="R2767" s="7"/>
      <c r="S2767" s="7"/>
      <c r="T2767" s="7"/>
      <c r="U2767" s="7"/>
      <c r="V2767" s="7"/>
      <c r="W2767" s="7"/>
      <c r="X2767" s="7"/>
      <c r="Y2767" s="7"/>
      <c r="Z2767" s="7"/>
      <c r="AA2767" s="7"/>
      <c r="AB2767" s="7"/>
      <c r="AC2767" s="7"/>
      <c r="AD2767" s="7"/>
      <c r="AE2767" s="7"/>
      <c r="AF2767" s="7"/>
      <c r="AG2767" s="7"/>
      <c r="AH2767" s="61"/>
      <c r="AI2767" s="61"/>
      <c r="AJ2767" s="26"/>
      <c r="AK2767" s="26"/>
      <c r="AL2767" s="26"/>
      <c r="AM2767" s="26"/>
      <c r="AN2767" s="26"/>
      <c r="AO2767" s="1069"/>
      <c r="AP2767" s="1044"/>
      <c r="AR2767" s="66"/>
    </row>
    <row r="2768" spans="1:44" s="66" customFormat="1" hidden="1" outlineLevel="1">
      <c r="A2768" s="579">
        <v>390</v>
      </c>
      <c r="B2768" s="568">
        <v>30</v>
      </c>
      <c r="C2768" s="375" t="s">
        <v>1393</v>
      </c>
      <c r="D2768" s="226"/>
      <c r="E2768" s="375" t="s">
        <v>1846</v>
      </c>
      <c r="F2768" s="562"/>
      <c r="G2768" s="562"/>
      <c r="H2768" s="562"/>
      <c r="I2768" s="562"/>
      <c r="J2768" s="1082"/>
      <c r="K2768" s="1082"/>
      <c r="L2768" s="1082"/>
      <c r="M2768" s="1082">
        <v>1751.5700000000002</v>
      </c>
      <c r="N2768" s="1082">
        <v>1818.9</v>
      </c>
      <c r="O2768" s="1082">
        <v>1894.56</v>
      </c>
      <c r="P2768" s="1082">
        <v>1924.15</v>
      </c>
      <c r="Q2768" s="1082">
        <v>1967.87</v>
      </c>
      <c r="R2768" s="1082">
        <v>1966.92</v>
      </c>
      <c r="S2768" s="1082">
        <v>1858.45</v>
      </c>
      <c r="T2768" s="1082">
        <v>1858.45</v>
      </c>
      <c r="U2768" s="1082">
        <v>1803.83</v>
      </c>
      <c r="V2768" s="1082">
        <v>1704.75</v>
      </c>
      <c r="W2768" s="1082">
        <v>1737.98</v>
      </c>
      <c r="X2768" s="1082">
        <v>1798.77</v>
      </c>
      <c r="Y2768" s="1082">
        <v>1911.36</v>
      </c>
      <c r="Z2768" s="1082">
        <v>2061.62</v>
      </c>
      <c r="AA2768" s="1082">
        <v>2304.5500000000002</v>
      </c>
      <c r="AB2768" s="1082">
        <v>2350.3200000000002</v>
      </c>
      <c r="AC2768" s="1082">
        <v>2377.13</v>
      </c>
      <c r="AD2768" s="1082">
        <v>2360.08</v>
      </c>
      <c r="AE2768" s="1082">
        <v>2358.41</v>
      </c>
      <c r="AF2768" s="1082">
        <v>2360.4899999999998</v>
      </c>
      <c r="AG2768" s="1082">
        <v>2394.9300000000003</v>
      </c>
      <c r="AH2768" s="1082">
        <v>2360.29</v>
      </c>
      <c r="AI2768" s="1082">
        <v>2310.85</v>
      </c>
      <c r="AJ2768" s="1083">
        <v>2260.31</v>
      </c>
      <c r="AK2768" s="1083">
        <v>2216.29</v>
      </c>
      <c r="AL2768" s="1083">
        <v>2191.0299999999997</v>
      </c>
      <c r="AM2768" s="1083">
        <v>2205.41</v>
      </c>
      <c r="AN2768" s="1083">
        <v>2203.5700000000002</v>
      </c>
      <c r="AO2768" s="1083">
        <v>2252.16</v>
      </c>
    </row>
    <row r="2769" spans="1:44" s="66" customFormat="1" hidden="1" outlineLevel="1">
      <c r="A2769" s="579">
        <v>400</v>
      </c>
      <c r="B2769" s="568">
        <v>104952</v>
      </c>
      <c r="C2769" s="375" t="s">
        <v>1393</v>
      </c>
      <c r="D2769" s="226"/>
      <c r="E2769" s="23" t="s">
        <v>1372</v>
      </c>
      <c r="F2769" s="562"/>
      <c r="G2769" s="562"/>
      <c r="H2769" s="562"/>
      <c r="I2769" s="562"/>
      <c r="J2769" s="1082"/>
      <c r="K2769" s="1082"/>
      <c r="L2769" s="1082"/>
      <c r="M2769" s="1082">
        <v>1862</v>
      </c>
      <c r="N2769" s="1082">
        <v>1935.6100000000001</v>
      </c>
      <c r="O2769" s="1082">
        <v>2099.7600000000002</v>
      </c>
      <c r="P2769" s="1082">
        <v>2258.92</v>
      </c>
      <c r="Q2769" s="1082">
        <v>2377.31</v>
      </c>
      <c r="R2769" s="1082">
        <v>2362.12</v>
      </c>
      <c r="S2769" s="1082">
        <v>2162.4500000000003</v>
      </c>
      <c r="T2769" s="1082">
        <v>2162.4500000000003</v>
      </c>
      <c r="U2769" s="1082">
        <v>2073.77</v>
      </c>
      <c r="V2769" s="1082">
        <v>2059.6499999999996</v>
      </c>
      <c r="W2769" s="1082">
        <v>2032.06</v>
      </c>
      <c r="X2769" s="1082">
        <v>2052.9700000000003</v>
      </c>
      <c r="Y2769" s="1082">
        <v>2129.71</v>
      </c>
      <c r="Z2769" s="1082">
        <v>2180.67</v>
      </c>
      <c r="AA2769" s="1082">
        <v>2239.39</v>
      </c>
      <c r="AB2769" s="1082">
        <v>2331.2200000000003</v>
      </c>
      <c r="AC2769" s="1082">
        <v>2424.67</v>
      </c>
      <c r="AD2769" s="1082">
        <v>2518.9699999999998</v>
      </c>
      <c r="AE2769" s="1082">
        <v>2559.38</v>
      </c>
      <c r="AF2769" s="1082">
        <v>2749.34</v>
      </c>
      <c r="AG2769" s="1082">
        <v>3001.7</v>
      </c>
      <c r="AH2769" s="1082">
        <v>3145.3500000000004</v>
      </c>
      <c r="AI2769" s="1082">
        <v>3323.66</v>
      </c>
      <c r="AJ2769" s="1083">
        <v>3408.7299999999996</v>
      </c>
      <c r="AK2769" s="1083">
        <v>3516.84</v>
      </c>
      <c r="AL2769" s="1083">
        <v>3408.7799999999997</v>
      </c>
      <c r="AM2769" s="1083">
        <v>3586.56</v>
      </c>
      <c r="AN2769" s="1083">
        <v>3697.03</v>
      </c>
      <c r="AO2769" s="1083">
        <v>3702.66</v>
      </c>
    </row>
    <row r="2770" spans="1:44" s="66" customFormat="1" hidden="1" outlineLevel="1">
      <c r="A2770" s="579">
        <v>410</v>
      </c>
      <c r="B2770" s="568">
        <v>11618</v>
      </c>
      <c r="C2770" s="375" t="s">
        <v>1393</v>
      </c>
      <c r="D2770" s="226"/>
      <c r="E2770" s="23" t="s">
        <v>1373</v>
      </c>
      <c r="F2770" s="562"/>
      <c r="G2770" s="562"/>
      <c r="H2770" s="562"/>
      <c r="I2770" s="562"/>
      <c r="J2770" s="1082"/>
      <c r="K2770" s="1082"/>
      <c r="L2770" s="1082"/>
      <c r="M2770" s="1082">
        <v>3060.6600000000003</v>
      </c>
      <c r="N2770" s="1082">
        <v>3084.8100000000004</v>
      </c>
      <c r="O2770" s="1082">
        <v>3215.2</v>
      </c>
      <c r="P2770" s="1082">
        <v>3249.78</v>
      </c>
      <c r="Q2770" s="1082">
        <v>3109.35</v>
      </c>
      <c r="R2770" s="1082">
        <v>2976.84</v>
      </c>
      <c r="S2770" s="1082">
        <v>2968.3100000000004</v>
      </c>
      <c r="T2770" s="1082">
        <v>2968.3100000000004</v>
      </c>
      <c r="U2770" s="1082">
        <v>2967.91</v>
      </c>
      <c r="V2770" s="1082">
        <v>3091.95</v>
      </c>
      <c r="W2770" s="1082">
        <v>2949.2</v>
      </c>
      <c r="X2770" s="1082">
        <v>3103.22</v>
      </c>
      <c r="Y2770" s="1082">
        <v>3134.1000000000004</v>
      </c>
      <c r="Z2770" s="1082">
        <v>3195.37</v>
      </c>
      <c r="AA2770" s="1082">
        <v>3281.86</v>
      </c>
      <c r="AB2770" s="1082">
        <v>3435.2500000000005</v>
      </c>
      <c r="AC2770" s="1082">
        <v>3512.7299999999996</v>
      </c>
      <c r="AD2770" s="1082">
        <v>3602.25</v>
      </c>
      <c r="AE2770" s="1082">
        <v>3682.61</v>
      </c>
      <c r="AF2770" s="1082">
        <v>3896.1</v>
      </c>
      <c r="AG2770" s="1082">
        <v>4405.4799999999996</v>
      </c>
      <c r="AH2770" s="1082">
        <v>4503.37</v>
      </c>
      <c r="AI2770" s="1082">
        <v>4429.51</v>
      </c>
      <c r="AJ2770" s="1083">
        <v>4474.1399999999994</v>
      </c>
      <c r="AK2770" s="1083">
        <v>4406.29</v>
      </c>
      <c r="AL2770" s="1083">
        <v>4578.2899999999991</v>
      </c>
      <c r="AM2770" s="1083">
        <v>4842.4500000000007</v>
      </c>
      <c r="AN2770" s="1083">
        <v>4892.28</v>
      </c>
      <c r="AO2770" s="1083">
        <v>4927.42</v>
      </c>
    </row>
    <row r="2771" spans="1:44" s="66" customFormat="1" hidden="1" outlineLevel="1">
      <c r="A2771" s="579">
        <v>420</v>
      </c>
      <c r="B2771" s="568">
        <v>40</v>
      </c>
      <c r="C2771" s="375" t="s">
        <v>1393</v>
      </c>
      <c r="D2771" s="226"/>
      <c r="E2771" s="23" t="s">
        <v>1374</v>
      </c>
      <c r="F2771" s="562"/>
      <c r="G2771" s="562"/>
      <c r="H2771" s="562"/>
      <c r="I2771" s="562"/>
      <c r="J2771" s="1082"/>
      <c r="K2771" s="1082"/>
      <c r="L2771" s="1082"/>
      <c r="M2771" s="1082">
        <v>2432.61</v>
      </c>
      <c r="N2771" s="1082">
        <v>2486.08</v>
      </c>
      <c r="O2771" s="1082">
        <v>2519.8599999999997</v>
      </c>
      <c r="P2771" s="1082">
        <v>2545.98</v>
      </c>
      <c r="Q2771" s="1082">
        <v>2594.63</v>
      </c>
      <c r="R2771" s="1082">
        <v>2576.6</v>
      </c>
      <c r="S2771" s="1082">
        <v>2621.84</v>
      </c>
      <c r="T2771" s="1082">
        <v>2621.84</v>
      </c>
      <c r="U2771" s="1082">
        <v>2663.16</v>
      </c>
      <c r="V2771" s="1082">
        <v>2516.92</v>
      </c>
      <c r="W2771" s="1082">
        <v>2499.62</v>
      </c>
      <c r="X2771" s="1082">
        <v>2635.68</v>
      </c>
      <c r="Y2771" s="1082">
        <v>2728.4</v>
      </c>
      <c r="Z2771" s="1082">
        <v>2764.92</v>
      </c>
      <c r="AA2771" s="1082">
        <v>2823.2599999999998</v>
      </c>
      <c r="AB2771" s="1082">
        <v>2854.81</v>
      </c>
      <c r="AC2771" s="1082">
        <v>2885.69</v>
      </c>
      <c r="AD2771" s="1082">
        <v>2992.37</v>
      </c>
      <c r="AE2771" s="1082">
        <v>3239.76</v>
      </c>
      <c r="AF2771" s="1082">
        <v>3429.04</v>
      </c>
      <c r="AG2771" s="1082">
        <v>3416.4500000000003</v>
      </c>
      <c r="AH2771" s="1082">
        <v>3443.8</v>
      </c>
      <c r="AI2771" s="1082">
        <v>3435.69</v>
      </c>
      <c r="AJ2771" s="1083">
        <v>3381.44</v>
      </c>
      <c r="AK2771" s="1083">
        <v>3429.8799999999997</v>
      </c>
      <c r="AL2771" s="1083">
        <v>3454.12</v>
      </c>
      <c r="AM2771" s="1083">
        <v>3525.93</v>
      </c>
      <c r="AN2771" s="1083">
        <v>3832.01</v>
      </c>
      <c r="AO2771" s="1083">
        <v>3812.85</v>
      </c>
    </row>
    <row r="2772" spans="1:44" s="66" customFormat="1" hidden="1" outlineLevel="1">
      <c r="A2772" s="579">
        <v>430</v>
      </c>
      <c r="B2772" s="568">
        <v>25554</v>
      </c>
      <c r="C2772" s="375" t="s">
        <v>1393</v>
      </c>
      <c r="D2772" s="226"/>
      <c r="E2772" s="23" t="s">
        <v>1375</v>
      </c>
      <c r="F2772" s="562"/>
      <c r="G2772" s="562"/>
      <c r="H2772" s="562"/>
      <c r="I2772" s="562"/>
      <c r="J2772" s="1082"/>
      <c r="K2772" s="1082"/>
      <c r="L2772" s="1082"/>
      <c r="M2772" s="1082">
        <v>0</v>
      </c>
      <c r="N2772" s="1082">
        <v>0</v>
      </c>
      <c r="O2772" s="1082">
        <v>0</v>
      </c>
      <c r="P2772" s="1082">
        <v>0</v>
      </c>
      <c r="Q2772" s="1082">
        <v>0</v>
      </c>
      <c r="R2772" s="1082">
        <v>0</v>
      </c>
      <c r="S2772" s="1082">
        <v>0</v>
      </c>
      <c r="T2772" s="1082">
        <v>0</v>
      </c>
      <c r="U2772" s="1082">
        <v>0</v>
      </c>
      <c r="V2772" s="1082">
        <v>0</v>
      </c>
      <c r="W2772" s="1082">
        <v>77.319999999999993</v>
      </c>
      <c r="X2772" s="1082">
        <v>74.37</v>
      </c>
      <c r="Y2772" s="1082">
        <v>93.9</v>
      </c>
      <c r="Z2772" s="1082">
        <v>123.2</v>
      </c>
      <c r="AA2772" s="1082">
        <v>113.5</v>
      </c>
      <c r="AB2772" s="1082">
        <v>131.37</v>
      </c>
      <c r="AC2772" s="1082">
        <v>158.9</v>
      </c>
      <c r="AD2772" s="1082">
        <v>195.8</v>
      </c>
      <c r="AE2772" s="1082">
        <v>289.5</v>
      </c>
      <c r="AF2772" s="1082">
        <v>283.37</v>
      </c>
      <c r="AG2772" s="1082">
        <v>328.47</v>
      </c>
      <c r="AH2772" s="1082">
        <v>399.93</v>
      </c>
      <c r="AI2772" s="1082">
        <v>365.73</v>
      </c>
      <c r="AJ2772" s="1083">
        <v>388.87</v>
      </c>
      <c r="AK2772" s="1083">
        <v>353.61</v>
      </c>
      <c r="AL2772" s="1083">
        <v>362.12</v>
      </c>
      <c r="AM2772" s="1083">
        <v>383.7</v>
      </c>
      <c r="AN2772" s="1083">
        <v>378.18</v>
      </c>
      <c r="AO2772" s="1083">
        <v>404.86</v>
      </c>
    </row>
    <row r="2773" spans="1:44" s="66" customFormat="1" hidden="1" outlineLevel="1">
      <c r="A2773" s="579">
        <v>440</v>
      </c>
      <c r="B2773" s="781">
        <v>42439</v>
      </c>
      <c r="C2773" s="375" t="s">
        <v>1393</v>
      </c>
      <c r="D2773" s="226"/>
      <c r="E2773" s="23" t="s">
        <v>1376</v>
      </c>
      <c r="F2773" s="562"/>
      <c r="G2773" s="562"/>
      <c r="H2773" s="562"/>
      <c r="I2773" s="562"/>
      <c r="J2773" s="1082"/>
      <c r="K2773" s="1082"/>
      <c r="L2773" s="1082"/>
      <c r="M2773" s="1082">
        <v>0</v>
      </c>
      <c r="N2773" s="1082">
        <v>0</v>
      </c>
      <c r="O2773" s="1082">
        <v>0</v>
      </c>
      <c r="P2773" s="1082">
        <v>0</v>
      </c>
      <c r="Q2773" s="1082">
        <v>0</v>
      </c>
      <c r="R2773" s="1082">
        <v>0</v>
      </c>
      <c r="S2773" s="1082">
        <v>0</v>
      </c>
      <c r="T2773" s="1082">
        <v>0</v>
      </c>
      <c r="U2773" s="1082">
        <v>0</v>
      </c>
      <c r="V2773" s="1082">
        <v>0</v>
      </c>
      <c r="W2773" s="1082">
        <v>0</v>
      </c>
      <c r="X2773" s="1082">
        <v>0</v>
      </c>
      <c r="Y2773" s="1082">
        <v>0</v>
      </c>
      <c r="Z2773" s="1082">
        <v>0</v>
      </c>
      <c r="AA2773" s="1082">
        <v>0</v>
      </c>
      <c r="AB2773" s="1082">
        <v>0</v>
      </c>
      <c r="AC2773" s="1082">
        <v>0</v>
      </c>
      <c r="AD2773" s="1082">
        <v>0</v>
      </c>
      <c r="AE2773" s="1082">
        <v>0</v>
      </c>
      <c r="AF2773" s="1082">
        <v>0</v>
      </c>
      <c r="AG2773" s="1082">
        <v>0</v>
      </c>
      <c r="AH2773" s="1082">
        <v>0</v>
      </c>
      <c r="AI2773" s="1082">
        <v>5</v>
      </c>
      <c r="AJ2773" s="1083">
        <v>15.79</v>
      </c>
      <c r="AK2773" s="1083">
        <v>16.88</v>
      </c>
      <c r="AL2773" s="1083">
        <v>16.419999999999998</v>
      </c>
      <c r="AM2773" s="1083">
        <v>22.21</v>
      </c>
      <c r="AN2773" s="1083">
        <v>30.130000000000003</v>
      </c>
      <c r="AO2773" s="1083">
        <v>32</v>
      </c>
    </row>
    <row r="2774" spans="1:44" s="66" customFormat="1" hidden="1" outlineLevel="1">
      <c r="A2774" s="579">
        <v>450</v>
      </c>
      <c r="B2774" s="568">
        <v>89</v>
      </c>
      <c r="C2774" s="375" t="s">
        <v>1393</v>
      </c>
      <c r="D2774" s="226"/>
      <c r="E2774" s="23" t="s">
        <v>1377</v>
      </c>
      <c r="F2774" s="562"/>
      <c r="G2774" s="562"/>
      <c r="H2774" s="562"/>
      <c r="I2774" s="562"/>
      <c r="J2774" s="1082"/>
      <c r="K2774" s="1082"/>
      <c r="L2774" s="1082"/>
      <c r="M2774" s="1082">
        <v>208.72</v>
      </c>
      <c r="N2774" s="1082">
        <v>225.28</v>
      </c>
      <c r="O2774" s="1082">
        <v>235.14</v>
      </c>
      <c r="P2774" s="1082">
        <v>232.82</v>
      </c>
      <c r="Q2774" s="1082">
        <v>240.85</v>
      </c>
      <c r="R2774" s="1082">
        <v>265.44</v>
      </c>
      <c r="S2774" s="1082">
        <v>815.18</v>
      </c>
      <c r="T2774" s="1082">
        <v>815.18</v>
      </c>
      <c r="U2774" s="1082">
        <v>853.08</v>
      </c>
      <c r="V2774" s="1082">
        <v>901.54</v>
      </c>
      <c r="W2774" s="1082">
        <v>978.94999999999993</v>
      </c>
      <c r="X2774" s="1082">
        <v>992.3</v>
      </c>
      <c r="Y2774" s="1082">
        <v>1070.9299999999998</v>
      </c>
      <c r="Z2774" s="1082">
        <v>1065.69</v>
      </c>
      <c r="AA2774" s="1082">
        <v>1098.4199999999998</v>
      </c>
      <c r="AB2774" s="1082">
        <v>1140.8800000000001</v>
      </c>
      <c r="AC2774" s="1082">
        <v>1302.53</v>
      </c>
      <c r="AD2774" s="1082">
        <v>1482.25</v>
      </c>
      <c r="AE2774" s="1082">
        <v>1837.5</v>
      </c>
      <c r="AF2774" s="1082">
        <v>2036.0400000000002</v>
      </c>
      <c r="AG2774" s="1082">
        <v>2140.61</v>
      </c>
      <c r="AH2774" s="1082">
        <v>2307.3200000000002</v>
      </c>
      <c r="AI2774" s="1082">
        <v>2465.4699999999998</v>
      </c>
      <c r="AJ2774" s="1083">
        <v>2595.98</v>
      </c>
      <c r="AK2774" s="1083">
        <v>2646.5</v>
      </c>
      <c r="AL2774" s="1083">
        <v>2809.7999999999997</v>
      </c>
      <c r="AM2774" s="1083">
        <v>3073.2200000000003</v>
      </c>
      <c r="AN2774" s="1083">
        <v>3113.57</v>
      </c>
      <c r="AO2774" s="1083">
        <v>3184.53</v>
      </c>
    </row>
    <row r="2775" spans="1:44" s="66" customFormat="1" hidden="1" outlineLevel="1">
      <c r="A2775" s="579">
        <v>460</v>
      </c>
      <c r="B2775" s="568">
        <v>130</v>
      </c>
      <c r="C2775" s="375" t="s">
        <v>1393</v>
      </c>
      <c r="D2775" s="226"/>
      <c r="E2775" s="375" t="s">
        <v>1845</v>
      </c>
      <c r="F2775" s="562"/>
      <c r="G2775" s="562"/>
      <c r="H2775" s="562"/>
      <c r="I2775" s="562"/>
      <c r="J2775" s="1082"/>
      <c r="K2775" s="1082"/>
      <c r="L2775" s="1082"/>
      <c r="M2775" s="1082">
        <v>372</v>
      </c>
      <c r="N2775" s="1082">
        <v>379</v>
      </c>
      <c r="O2775" s="1082">
        <v>416</v>
      </c>
      <c r="P2775" s="1082">
        <v>452.89</v>
      </c>
      <c r="Q2775" s="1082">
        <v>518.83000000000004</v>
      </c>
      <c r="R2775" s="1082">
        <v>545.38</v>
      </c>
      <c r="S2775" s="1082">
        <v>659.1099999999999</v>
      </c>
      <c r="T2775" s="1082">
        <v>659.1099999999999</v>
      </c>
      <c r="U2775" s="1082">
        <v>714.65</v>
      </c>
      <c r="V2775" s="1082">
        <v>725.8900000000001</v>
      </c>
      <c r="W2775" s="1082">
        <v>753.18</v>
      </c>
      <c r="X2775" s="1082">
        <v>890.84</v>
      </c>
      <c r="Y2775" s="1082">
        <v>1034.29</v>
      </c>
      <c r="Z2775" s="1082">
        <v>1030.8899999999999</v>
      </c>
      <c r="AA2775" s="1082">
        <v>1060.0999999999999</v>
      </c>
      <c r="AB2775" s="1082">
        <v>1121.98</v>
      </c>
      <c r="AC2775" s="1082">
        <v>1186.19</v>
      </c>
      <c r="AD2775" s="1082">
        <v>1248.45</v>
      </c>
      <c r="AE2775" s="1082">
        <v>1385.75</v>
      </c>
      <c r="AF2775" s="1082">
        <v>1597.45</v>
      </c>
      <c r="AG2775" s="1082">
        <v>1857.28</v>
      </c>
      <c r="AH2775" s="1082">
        <v>2118.4299999999998</v>
      </c>
      <c r="AI2775" s="1082">
        <v>2287.34</v>
      </c>
      <c r="AJ2775" s="1083">
        <v>2509.3500000000004</v>
      </c>
      <c r="AK2775" s="1083">
        <v>2661.55</v>
      </c>
      <c r="AL2775" s="1083">
        <v>2828.91</v>
      </c>
      <c r="AM2775" s="1083">
        <v>2843.15</v>
      </c>
      <c r="AN2775" s="1083">
        <v>2836.2200000000003</v>
      </c>
      <c r="AO2775" s="1083">
        <v>2847.05</v>
      </c>
    </row>
    <row r="2776" spans="1:44" s="66" customFormat="1" hidden="1" outlineLevel="1">
      <c r="A2776" s="579">
        <v>470</v>
      </c>
      <c r="B2776" s="568">
        <v>412</v>
      </c>
      <c r="C2776" s="375" t="s">
        <v>1393</v>
      </c>
      <c r="D2776" s="226"/>
      <c r="E2776" s="23" t="s">
        <v>942</v>
      </c>
      <c r="F2776" s="562"/>
      <c r="G2776" s="562"/>
      <c r="H2776" s="562"/>
      <c r="I2776" s="562"/>
      <c r="J2776" s="1082"/>
      <c r="K2776" s="1082"/>
      <c r="L2776" s="1082"/>
      <c r="M2776" s="1082">
        <v>789.64</v>
      </c>
      <c r="N2776" s="1082">
        <v>844.45</v>
      </c>
      <c r="O2776" s="1082">
        <v>935.87</v>
      </c>
      <c r="P2776" s="1082">
        <v>1072.6300000000001</v>
      </c>
      <c r="Q2776" s="1082">
        <v>1120.1199999999999</v>
      </c>
      <c r="R2776" s="1082">
        <v>1228.32</v>
      </c>
      <c r="S2776" s="1082">
        <v>1485.31</v>
      </c>
      <c r="T2776" s="1082">
        <v>1485.31</v>
      </c>
      <c r="U2776" s="1082">
        <v>1634.8700000000001</v>
      </c>
      <c r="V2776" s="1082">
        <v>1881.67</v>
      </c>
      <c r="W2776" s="1082">
        <v>1901.49</v>
      </c>
      <c r="X2776" s="1082">
        <v>2089.2199999999998</v>
      </c>
      <c r="Y2776" s="1082">
        <v>2357.62</v>
      </c>
      <c r="Z2776" s="1082">
        <v>2521.9899999999998</v>
      </c>
      <c r="AA2776" s="1082">
        <v>2754.14</v>
      </c>
      <c r="AB2776" s="1082">
        <v>2984.88</v>
      </c>
      <c r="AC2776" s="1082">
        <v>3044.6</v>
      </c>
      <c r="AD2776" s="1082">
        <v>3287.5600000000004</v>
      </c>
      <c r="AE2776" s="1082">
        <v>3650.61</v>
      </c>
      <c r="AF2776" s="1082">
        <v>4088.1800000000003</v>
      </c>
      <c r="AG2776" s="1082">
        <v>4379.26</v>
      </c>
      <c r="AH2776" s="1082">
        <v>4813.4400000000005</v>
      </c>
      <c r="AI2776" s="1082">
        <v>5039.07</v>
      </c>
      <c r="AJ2776" s="1083">
        <v>5366.3099999999995</v>
      </c>
      <c r="AK2776" s="1083">
        <v>5601.09</v>
      </c>
      <c r="AL2776" s="1083">
        <v>5347.34</v>
      </c>
      <c r="AM2776" s="1083">
        <v>5465.2699999999995</v>
      </c>
      <c r="AN2776" s="1083">
        <v>5735.93</v>
      </c>
      <c r="AO2776" s="1083">
        <v>6042.71</v>
      </c>
    </row>
    <row r="2777" spans="1:44" s="66" customFormat="1" hidden="1" outlineLevel="1">
      <c r="A2777" s="579">
        <v>480</v>
      </c>
      <c r="B2777" s="781">
        <v>862</v>
      </c>
      <c r="C2777" s="375" t="s">
        <v>1393</v>
      </c>
      <c r="D2777" s="226"/>
      <c r="E2777" s="375" t="s">
        <v>1403</v>
      </c>
      <c r="F2777" s="562"/>
      <c r="G2777" s="562"/>
      <c r="H2777" s="562"/>
      <c r="I2777" s="562"/>
      <c r="J2777" s="1082"/>
      <c r="K2777" s="1082"/>
      <c r="L2777" s="1082"/>
      <c r="M2777" s="1082"/>
      <c r="N2777" s="1082"/>
      <c r="O2777" s="1082"/>
      <c r="P2777" s="1082"/>
      <c r="Q2777" s="1082"/>
      <c r="R2777" s="1082"/>
      <c r="S2777" s="1082"/>
      <c r="T2777" s="1082"/>
      <c r="U2777" s="1082"/>
      <c r="V2777" s="1082"/>
      <c r="W2777" s="1082"/>
      <c r="X2777" s="1082"/>
      <c r="Y2777" s="1082"/>
      <c r="Z2777" s="1082"/>
      <c r="AA2777" s="1082"/>
      <c r="AB2777" s="1082"/>
      <c r="AC2777" s="1082"/>
      <c r="AD2777" s="1082"/>
      <c r="AE2777" s="1082"/>
      <c r="AF2777" s="1082"/>
      <c r="AG2777" s="1082"/>
      <c r="AH2777" s="1082"/>
      <c r="AI2777" s="1082"/>
      <c r="AJ2777" s="1083"/>
      <c r="AK2777" s="1084"/>
      <c r="AL2777" s="1083">
        <v>584.70000000000005</v>
      </c>
      <c r="AM2777" s="1083">
        <v>641.20000000000005</v>
      </c>
      <c r="AN2777" s="1083">
        <v>737.31000000000006</v>
      </c>
      <c r="AO2777" s="1083">
        <v>789.35</v>
      </c>
    </row>
    <row r="2778" spans="1:44" s="66" customFormat="1" hidden="1" outlineLevel="1">
      <c r="A2778" s="578">
        <v>500</v>
      </c>
      <c r="B2778" s="781">
        <v>203658</v>
      </c>
      <c r="C2778" s="1049" t="s">
        <v>1393</v>
      </c>
      <c r="D2778" s="226"/>
      <c r="E2778" s="1049" t="s">
        <v>1843</v>
      </c>
      <c r="F2778" s="562"/>
      <c r="G2778" s="562"/>
      <c r="H2778" s="562"/>
      <c r="I2778" s="562"/>
      <c r="J2778" s="1082"/>
      <c r="K2778" s="1082"/>
      <c r="L2778" s="1082"/>
      <c r="M2778" s="1082"/>
      <c r="N2778" s="1082"/>
      <c r="O2778" s="1082"/>
      <c r="P2778" s="1082"/>
      <c r="Q2778" s="1082"/>
      <c r="R2778" s="1082"/>
      <c r="S2778" s="1082"/>
      <c r="T2778" s="1082"/>
      <c r="U2778" s="1082"/>
      <c r="V2778" s="1082"/>
      <c r="W2778" s="1082"/>
      <c r="X2778" s="1082"/>
      <c r="Y2778" s="1082"/>
      <c r="Z2778" s="1082"/>
      <c r="AA2778" s="1082"/>
      <c r="AB2778" s="1082"/>
      <c r="AC2778" s="1082"/>
      <c r="AD2778" s="1082"/>
      <c r="AE2778" s="1082"/>
      <c r="AF2778" s="1082"/>
      <c r="AG2778" s="1082"/>
      <c r="AH2778" s="1082"/>
      <c r="AI2778" s="1082"/>
      <c r="AJ2778" s="1083"/>
      <c r="AK2778" s="1084"/>
      <c r="AL2778" s="1083"/>
      <c r="AM2778" s="1083">
        <v>100</v>
      </c>
      <c r="AN2778" s="1083">
        <v>100</v>
      </c>
      <c r="AO2778" s="1083">
        <v>148</v>
      </c>
    </row>
    <row r="2779" spans="1:44" s="66" customFormat="1" hidden="1" outlineLevel="1">
      <c r="A2779" s="578">
        <v>510</v>
      </c>
      <c r="B2779" s="781">
        <v>203599</v>
      </c>
      <c r="C2779" s="375" t="s">
        <v>1393</v>
      </c>
      <c r="D2779" s="226"/>
      <c r="E2779" s="375" t="s">
        <v>1688</v>
      </c>
      <c r="F2779" s="562"/>
      <c r="G2779" s="562"/>
      <c r="H2779" s="562"/>
      <c r="I2779" s="562"/>
      <c r="J2779" s="1082"/>
      <c r="K2779" s="1082"/>
      <c r="L2779" s="1082"/>
      <c r="M2779" s="1082"/>
      <c r="N2779" s="1082"/>
      <c r="O2779" s="1082"/>
      <c r="P2779" s="1082"/>
      <c r="Q2779" s="1082"/>
      <c r="R2779" s="1082"/>
      <c r="S2779" s="1082"/>
      <c r="T2779" s="1082"/>
      <c r="U2779" s="1082"/>
      <c r="V2779" s="1082"/>
      <c r="W2779" s="1082"/>
      <c r="X2779" s="1082"/>
      <c r="Y2779" s="1082"/>
      <c r="Z2779" s="1082"/>
      <c r="AA2779" s="1082"/>
      <c r="AB2779" s="1082"/>
      <c r="AC2779" s="1082"/>
      <c r="AD2779" s="1082"/>
      <c r="AE2779" s="1082"/>
      <c r="AF2779" s="1082"/>
      <c r="AG2779" s="1082"/>
      <c r="AH2779" s="1082"/>
      <c r="AI2779" s="1082"/>
      <c r="AJ2779" s="1083"/>
      <c r="AK2779" s="1084"/>
      <c r="AL2779" s="1083"/>
      <c r="AM2779" s="1083">
        <v>55</v>
      </c>
      <c r="AN2779" s="1083">
        <v>101</v>
      </c>
      <c r="AO2779" s="1083">
        <v>155</v>
      </c>
    </row>
    <row r="2780" spans="1:44" s="66" customFormat="1" hidden="1" outlineLevel="1">
      <c r="B2780" s="575">
        <v>445566</v>
      </c>
      <c r="C2780" s="226" t="s">
        <v>1393</v>
      </c>
      <c r="D2780" s="226"/>
      <c r="E2780" s="226" t="s">
        <v>1390</v>
      </c>
      <c r="F2780" s="576"/>
      <c r="G2780" s="576"/>
      <c r="H2780" s="576"/>
      <c r="I2780" s="576"/>
      <c r="J2780" s="1085"/>
      <c r="K2780" s="1085"/>
      <c r="L2780" s="1085"/>
      <c r="M2780" s="1085">
        <v>10477.199999999999</v>
      </c>
      <c r="N2780" s="1085">
        <v>10774.130000000003</v>
      </c>
      <c r="O2780" s="1085">
        <v>11316.390000000001</v>
      </c>
      <c r="P2780" s="1085">
        <v>11737.169999999998</v>
      </c>
      <c r="Q2780" s="1085">
        <v>11928.96</v>
      </c>
      <c r="R2780" s="1085">
        <v>11921.619999999999</v>
      </c>
      <c r="S2780" s="1085">
        <v>12570.650000000001</v>
      </c>
      <c r="T2780" s="1085">
        <v>12570.650000000001</v>
      </c>
      <c r="U2780" s="1085">
        <v>12711.27</v>
      </c>
      <c r="V2780" s="1085">
        <v>12882.37</v>
      </c>
      <c r="W2780" s="1085">
        <v>12929.800000000001</v>
      </c>
      <c r="X2780" s="1085">
        <v>13637.369999999999</v>
      </c>
      <c r="Y2780" s="1085">
        <v>14460.309999999998</v>
      </c>
      <c r="Z2780" s="1085">
        <v>14944.35</v>
      </c>
      <c r="AA2780" s="1085">
        <v>15675.220000000001</v>
      </c>
      <c r="AB2780" s="1085">
        <v>16350.710000000003</v>
      </c>
      <c r="AC2780" s="1085">
        <v>16892.439999999999</v>
      </c>
      <c r="AD2780" s="1085">
        <v>17687.73</v>
      </c>
      <c r="AE2780" s="1085">
        <v>19003.52</v>
      </c>
      <c r="AF2780" s="1085">
        <v>20440.010000000002</v>
      </c>
      <c r="AG2780" s="1085">
        <v>21924.18</v>
      </c>
      <c r="AH2780" s="1085">
        <v>23091.93</v>
      </c>
      <c r="AI2780" s="1085">
        <v>23662.32</v>
      </c>
      <c r="AJ2780" s="1084">
        <v>24400.92</v>
      </c>
      <c r="AK2780" s="1084">
        <f>SUM(AK2768:AK2777)</f>
        <v>24848.93</v>
      </c>
      <c r="AL2780" s="1084">
        <f>SUM(AL2768:AL2779)</f>
        <v>25581.51</v>
      </c>
      <c r="AM2780" s="1084">
        <f>SUM(AM2768:AM2779)</f>
        <v>26744.100000000002</v>
      </c>
      <c r="AN2780" s="1084">
        <f>SUM(AN2768:AN2779)</f>
        <v>27657.230000000003</v>
      </c>
      <c r="AO2780" s="1084">
        <f>SUM(AO2768:AO2779)</f>
        <v>28298.589999999997</v>
      </c>
    </row>
    <row r="2781" spans="1:44" s="66" customFormat="1" hidden="1" outlineLevel="1">
      <c r="B2781" s="575"/>
      <c r="C2781" s="375"/>
      <c r="D2781" s="226"/>
      <c r="E2781" s="375" t="s">
        <v>1838</v>
      </c>
      <c r="F2781" s="562"/>
      <c r="G2781" s="562"/>
      <c r="H2781" s="562"/>
      <c r="I2781" s="562"/>
      <c r="J2781" s="562"/>
      <c r="K2781" s="562"/>
      <c r="L2781" s="562"/>
      <c r="M2781" s="562"/>
      <c r="N2781" s="562"/>
      <c r="O2781" s="562"/>
      <c r="P2781" s="562"/>
      <c r="Q2781" s="562"/>
      <c r="R2781" s="562"/>
      <c r="S2781" s="562"/>
      <c r="T2781" s="562"/>
      <c r="U2781" s="562"/>
      <c r="V2781" s="562"/>
      <c r="W2781" s="562">
        <v>5481</v>
      </c>
      <c r="X2781" s="562">
        <v>5525</v>
      </c>
      <c r="Y2781" s="562">
        <v>5569.67</v>
      </c>
      <c r="Z2781" s="562">
        <v>5626.04</v>
      </c>
      <c r="AA2781" s="562">
        <v>5688.25</v>
      </c>
      <c r="AB2781" s="562">
        <v>5790.42</v>
      </c>
      <c r="AC2781" s="562">
        <v>6014</v>
      </c>
      <c r="AD2781" s="562">
        <v>6202.54</v>
      </c>
      <c r="AE2781" s="562">
        <v>6460.67</v>
      </c>
      <c r="AF2781" s="562">
        <v>6676.13</v>
      </c>
      <c r="AG2781" s="562">
        <v>6437.16</v>
      </c>
      <c r="AH2781" s="562">
        <v>6810.5</v>
      </c>
      <c r="AI2781" s="562">
        <v>7471.4</v>
      </c>
      <c r="AJ2781" s="291">
        <v>7551.92</v>
      </c>
      <c r="AK2781" s="1086">
        <v>7757</v>
      </c>
      <c r="AL2781" s="1086">
        <v>7828</v>
      </c>
      <c r="AM2781" s="1086">
        <v>8135</v>
      </c>
      <c r="AN2781" s="1086">
        <v>8255</v>
      </c>
      <c r="AO2781" s="1086">
        <v>8267</v>
      </c>
    </row>
    <row r="2782" spans="1:44" s="66" customFormat="1" hidden="1" outlineLevel="1">
      <c r="A2782" s="579"/>
      <c r="B2782" s="568"/>
      <c r="C2782" s="375"/>
      <c r="D2782" s="226"/>
      <c r="E2782" s="375" t="s">
        <v>1839</v>
      </c>
      <c r="F2782" s="562"/>
      <c r="G2782" s="562"/>
      <c r="H2782" s="562"/>
      <c r="I2782" s="562"/>
      <c r="J2782" s="562"/>
      <c r="K2782" s="562"/>
      <c r="L2782" s="562"/>
      <c r="M2782" s="562"/>
      <c r="N2782" s="562"/>
      <c r="O2782" s="562"/>
      <c r="P2782" s="562"/>
      <c r="Q2782" s="562"/>
      <c r="R2782" s="562"/>
      <c r="S2782" s="562"/>
      <c r="T2782" s="562"/>
      <c r="U2782" s="562"/>
      <c r="V2782" s="562"/>
      <c r="W2782" s="562"/>
      <c r="X2782" s="562"/>
      <c r="Y2782" s="562"/>
      <c r="Z2782" s="562"/>
      <c r="AA2782" s="1070">
        <v>514</v>
      </c>
      <c r="AB2782" s="12">
        <v>509</v>
      </c>
      <c r="AC2782" s="12">
        <v>505</v>
      </c>
      <c r="AD2782" s="12">
        <v>503</v>
      </c>
      <c r="AE2782" s="12">
        <v>510</v>
      </c>
      <c r="AF2782" s="12">
        <v>516</v>
      </c>
      <c r="AG2782" s="12">
        <v>521</v>
      </c>
      <c r="AH2782" s="12">
        <v>527</v>
      </c>
      <c r="AI2782" s="12">
        <v>527</v>
      </c>
      <c r="AJ2782" s="12">
        <v>526</v>
      </c>
      <c r="AK2782" s="776">
        <v>528</v>
      </c>
      <c r="AL2782" s="291">
        <v>531</v>
      </c>
      <c r="AM2782" s="291">
        <v>536</v>
      </c>
      <c r="AN2782" s="291">
        <v>552</v>
      </c>
      <c r="AO2782" s="291">
        <v>576</v>
      </c>
      <c r="AR2782"/>
    </row>
    <row r="2783" spans="1:44" collapsed="1">
      <c r="B2783" s="568"/>
      <c r="C2783" s="25" t="s">
        <v>1623</v>
      </c>
      <c r="D2783" s="25"/>
      <c r="E2783" s="6"/>
      <c r="F2783" s="6"/>
      <c r="G2783" s="6"/>
      <c r="H2783" s="6"/>
      <c r="I2783" s="6"/>
      <c r="J2783" s="6"/>
      <c r="K2783" s="7"/>
      <c r="L2783" s="7"/>
      <c r="M2783" s="7"/>
      <c r="N2783" s="7"/>
      <c r="O2783" s="7"/>
      <c r="P2783" s="7"/>
      <c r="Q2783" s="7"/>
      <c r="R2783" s="7"/>
      <c r="S2783" s="7"/>
      <c r="T2783" s="7"/>
      <c r="U2783" s="7"/>
      <c r="V2783" s="7"/>
      <c r="W2783" s="7"/>
      <c r="X2783" s="7"/>
      <c r="Y2783" s="7"/>
      <c r="Z2783" s="7"/>
      <c r="AA2783" s="7"/>
      <c r="AB2783" s="7"/>
      <c r="AC2783" s="7"/>
      <c r="AD2783" s="7"/>
      <c r="AE2783" s="7"/>
      <c r="AF2783" s="7"/>
      <c r="AG2783" s="7"/>
      <c r="AH2783" s="61"/>
      <c r="AI2783" s="61"/>
      <c r="AJ2783" s="26"/>
      <c r="AK2783" s="26"/>
      <c r="AL2783" s="26"/>
      <c r="AM2783" s="26"/>
      <c r="AN2783" s="26"/>
      <c r="AO2783" s="1069"/>
      <c r="AP2783" s="1044"/>
      <c r="AR2783" s="66"/>
    </row>
    <row r="2784" spans="1:44" s="66" customFormat="1" hidden="1" outlineLevel="1">
      <c r="A2784" s="579">
        <v>520</v>
      </c>
      <c r="B2784" s="568">
        <v>9225</v>
      </c>
      <c r="C2784" s="375" t="s">
        <v>1393</v>
      </c>
      <c r="D2784" s="226"/>
      <c r="E2784" s="23" t="s">
        <v>1379</v>
      </c>
      <c r="F2784" s="27"/>
      <c r="G2784" s="27"/>
      <c r="H2784" s="27"/>
      <c r="I2784" s="27"/>
      <c r="J2784" s="562"/>
      <c r="K2784" s="562"/>
      <c r="L2784" s="562"/>
      <c r="M2784" s="562"/>
      <c r="N2784" s="562"/>
      <c r="O2784" s="562"/>
      <c r="P2784" s="562">
        <v>2853.47</v>
      </c>
      <c r="Q2784" s="562">
        <v>3261.59</v>
      </c>
      <c r="R2784" s="562">
        <v>3273.28</v>
      </c>
      <c r="S2784" s="562">
        <v>3424.07</v>
      </c>
      <c r="T2784" s="562">
        <v>3459.64</v>
      </c>
      <c r="U2784" s="562">
        <v>3557.64</v>
      </c>
      <c r="V2784" s="562">
        <v>3230.4</v>
      </c>
      <c r="W2784" s="562">
        <v>2924.22</v>
      </c>
      <c r="X2784" s="562">
        <v>3380.13</v>
      </c>
      <c r="Y2784" s="562">
        <v>3774</v>
      </c>
      <c r="Z2784" s="562">
        <v>3742.9</v>
      </c>
      <c r="AA2784" s="562">
        <v>4151.13</v>
      </c>
      <c r="AB2784" s="562">
        <v>3732.28</v>
      </c>
      <c r="AC2784" s="562">
        <v>3664.52</v>
      </c>
      <c r="AD2784" s="562">
        <v>3929.71</v>
      </c>
      <c r="AE2784" s="562">
        <v>4186.55</v>
      </c>
      <c r="AF2784" s="562">
        <v>3826.64</v>
      </c>
      <c r="AG2784" s="562">
        <v>4616.88</v>
      </c>
      <c r="AH2784" s="562">
        <v>4275.62</v>
      </c>
      <c r="AI2784" s="562">
        <v>4201.78</v>
      </c>
      <c r="AJ2784" s="562">
        <v>4298.62</v>
      </c>
      <c r="AK2784" s="562">
        <v>4126.21</v>
      </c>
      <c r="AL2784" s="562">
        <v>3837.98</v>
      </c>
      <c r="AM2784" s="562">
        <v>3972.61</v>
      </c>
      <c r="AN2784" s="562">
        <v>3520.31</v>
      </c>
      <c r="AO2784" s="562">
        <v>373.07</v>
      </c>
    </row>
    <row r="2785" spans="1:44" s="66" customFormat="1" hidden="1" outlineLevel="1">
      <c r="A2785" s="579">
        <v>540</v>
      </c>
      <c r="B2785" s="568">
        <v>33965</v>
      </c>
      <c r="C2785" s="375" t="s">
        <v>1393</v>
      </c>
      <c r="D2785" s="226"/>
      <c r="E2785" s="23" t="s">
        <v>1380</v>
      </c>
      <c r="F2785" s="27"/>
      <c r="G2785" s="27"/>
      <c r="H2785" s="27"/>
      <c r="I2785" s="27"/>
      <c r="J2785" s="562"/>
      <c r="K2785" s="562"/>
      <c r="L2785" s="562"/>
      <c r="M2785" s="562"/>
      <c r="N2785" s="562"/>
      <c r="O2785" s="562"/>
      <c r="P2785" s="562">
        <v>0</v>
      </c>
      <c r="Q2785" s="562">
        <v>0</v>
      </c>
      <c r="R2785" s="562">
        <v>0</v>
      </c>
      <c r="S2785" s="562">
        <v>0</v>
      </c>
      <c r="T2785" s="562">
        <v>0</v>
      </c>
      <c r="U2785" s="562">
        <v>0</v>
      </c>
      <c r="V2785" s="562">
        <v>520.46</v>
      </c>
      <c r="W2785" s="562">
        <v>523.24</v>
      </c>
      <c r="X2785" s="562">
        <v>590.21</v>
      </c>
      <c r="Y2785" s="562">
        <v>640.33000000000004</v>
      </c>
      <c r="Z2785" s="562">
        <v>628.66</v>
      </c>
      <c r="AA2785" s="562">
        <v>582.33000000000004</v>
      </c>
      <c r="AB2785" s="562">
        <v>509.23</v>
      </c>
      <c r="AC2785" s="562">
        <v>496.03</v>
      </c>
      <c r="AD2785" s="562">
        <v>588.77</v>
      </c>
      <c r="AE2785" s="562">
        <v>693.86</v>
      </c>
      <c r="AF2785" s="562">
        <v>598.67999999999995</v>
      </c>
      <c r="AG2785" s="562">
        <v>790.64</v>
      </c>
      <c r="AH2785" s="562">
        <v>668.74</v>
      </c>
      <c r="AI2785" s="562">
        <v>645.1</v>
      </c>
      <c r="AJ2785" s="562">
        <v>632.4</v>
      </c>
      <c r="AK2785" s="562">
        <v>654.33000000000004</v>
      </c>
      <c r="AL2785" s="562">
        <v>721.1</v>
      </c>
      <c r="AM2785" s="562">
        <v>654.86</v>
      </c>
      <c r="AN2785" s="562">
        <v>483.33</v>
      </c>
      <c r="AO2785" s="562">
        <v>3044.14</v>
      </c>
    </row>
    <row r="2786" spans="1:44" s="66" customFormat="1" hidden="1" outlineLevel="1">
      <c r="A2786" s="579">
        <v>550</v>
      </c>
      <c r="B2786" s="568">
        <v>3634</v>
      </c>
      <c r="C2786" s="375" t="s">
        <v>1393</v>
      </c>
      <c r="D2786" s="226"/>
      <c r="E2786" s="23" t="s">
        <v>1381</v>
      </c>
      <c r="F2786" s="27"/>
      <c r="G2786" s="27"/>
      <c r="H2786" s="27"/>
      <c r="I2786" s="27"/>
      <c r="J2786" s="562"/>
      <c r="K2786" s="562"/>
      <c r="L2786" s="562"/>
      <c r="M2786" s="562"/>
      <c r="N2786" s="562"/>
      <c r="O2786" s="562"/>
      <c r="P2786" s="562">
        <v>4208.47</v>
      </c>
      <c r="Q2786" s="562">
        <v>4099.33</v>
      </c>
      <c r="R2786" s="562">
        <v>4379.71</v>
      </c>
      <c r="S2786" s="562">
        <v>4760.6899999999996</v>
      </c>
      <c r="T2786" s="562">
        <v>5086.5600000000004</v>
      </c>
      <c r="U2786" s="562">
        <v>5046.95</v>
      </c>
      <c r="V2786" s="562">
        <v>4094.34</v>
      </c>
      <c r="W2786" s="562">
        <v>4057.95</v>
      </c>
      <c r="X2786" s="562">
        <v>4078.01</v>
      </c>
      <c r="Y2786" s="562">
        <v>4360.04</v>
      </c>
      <c r="Z2786" s="562">
        <v>4405.3599999999997</v>
      </c>
      <c r="AA2786" s="562">
        <v>4602.29</v>
      </c>
      <c r="AB2786" s="562">
        <v>4508.6499999999996</v>
      </c>
      <c r="AC2786" s="562">
        <v>4323.1099999999997</v>
      </c>
      <c r="AD2786" s="562">
        <v>4275.38</v>
      </c>
      <c r="AE2786" s="562">
        <v>4553.9399999999996</v>
      </c>
      <c r="AF2786" s="562">
        <v>4185.3599999999997</v>
      </c>
      <c r="AG2786" s="562">
        <v>5392.47</v>
      </c>
      <c r="AH2786" s="562">
        <v>4761</v>
      </c>
      <c r="AI2786" s="562">
        <v>4219.6499999999996</v>
      </c>
      <c r="AJ2786" s="562">
        <v>3980.65</v>
      </c>
      <c r="AK2786" s="562">
        <v>3880.7</v>
      </c>
      <c r="AL2786" s="562">
        <v>3653.67</v>
      </c>
      <c r="AM2786" s="562">
        <v>3682.89</v>
      </c>
      <c r="AN2786" s="562">
        <v>3573.4</v>
      </c>
      <c r="AO2786" s="562">
        <v>413.3</v>
      </c>
    </row>
    <row r="2787" spans="1:44" s="66" customFormat="1" hidden="1" outlineLevel="1">
      <c r="A2787" s="579">
        <v>530</v>
      </c>
      <c r="B2787" s="568">
        <v>9932</v>
      </c>
      <c r="C2787" s="375" t="s">
        <v>1393</v>
      </c>
      <c r="D2787" s="226"/>
      <c r="E2787" s="375" t="s">
        <v>1470</v>
      </c>
      <c r="F2787" s="27"/>
      <c r="G2787" s="27"/>
      <c r="H2787" s="27"/>
      <c r="I2787" s="27"/>
      <c r="J2787" s="562"/>
      <c r="K2787" s="562"/>
      <c r="L2787" s="562"/>
      <c r="M2787" s="562"/>
      <c r="N2787" s="562"/>
      <c r="O2787" s="562"/>
      <c r="P2787" s="562">
        <v>1518.07</v>
      </c>
      <c r="Q2787" s="562">
        <v>1621</v>
      </c>
      <c r="R2787" s="562">
        <v>1393.55</v>
      </c>
      <c r="S2787" s="562">
        <v>1366.65</v>
      </c>
      <c r="T2787" s="562">
        <v>1343.7</v>
      </c>
      <c r="U2787" s="562">
        <v>1472.69</v>
      </c>
      <c r="V2787" s="562">
        <v>1553.11</v>
      </c>
      <c r="W2787" s="562">
        <v>1698.55</v>
      </c>
      <c r="X2787" s="562">
        <v>1815.64</v>
      </c>
      <c r="Y2787" s="562">
        <v>2031.22</v>
      </c>
      <c r="Z2787" s="562">
        <v>2031.97</v>
      </c>
      <c r="AA2787" s="562">
        <v>2048.7800000000002</v>
      </c>
      <c r="AB2787" s="562">
        <v>1837.92</v>
      </c>
      <c r="AC2787" s="562">
        <v>1854.77</v>
      </c>
      <c r="AD2787" s="562">
        <v>1692.07</v>
      </c>
      <c r="AE2787" s="562">
        <v>1532.29</v>
      </c>
      <c r="AF2787" s="562">
        <v>800.26</v>
      </c>
      <c r="AG2787" s="562">
        <v>975.26</v>
      </c>
      <c r="AH2787" s="562">
        <v>835.15</v>
      </c>
      <c r="AI2787" s="562">
        <v>802.69</v>
      </c>
      <c r="AJ2787" s="562">
        <v>969.72</v>
      </c>
      <c r="AK2787" s="562">
        <v>957.55</v>
      </c>
      <c r="AL2787" s="562">
        <v>889.06</v>
      </c>
      <c r="AM2787" s="562">
        <v>1010.83</v>
      </c>
      <c r="AN2787" s="562">
        <v>994.76</v>
      </c>
      <c r="AO2787" s="562">
        <v>195.4</v>
      </c>
    </row>
    <row r="2788" spans="1:44" s="66" customFormat="1" hidden="1" outlineLevel="1">
      <c r="A2788" s="1080">
        <v>552</v>
      </c>
      <c r="B2788" s="1081">
        <v>133965</v>
      </c>
      <c r="C2788" s="1049" t="s">
        <v>1393</v>
      </c>
      <c r="D2788" s="226"/>
      <c r="E2788" s="1079" t="s">
        <v>1923</v>
      </c>
      <c r="F2788" s="968"/>
      <c r="G2788" s="968"/>
      <c r="H2788" s="968"/>
      <c r="I2788" s="968"/>
      <c r="J2788" s="562"/>
      <c r="K2788" s="562"/>
      <c r="L2788" s="562"/>
      <c r="M2788" s="562"/>
      <c r="N2788" s="562"/>
      <c r="O2788" s="562"/>
      <c r="P2788" s="562"/>
      <c r="Q2788" s="562"/>
      <c r="R2788" s="562"/>
      <c r="S2788" s="562"/>
      <c r="T2788" s="562"/>
      <c r="U2788" s="562"/>
      <c r="V2788" s="562"/>
      <c r="W2788" s="562"/>
      <c r="X2788" s="562"/>
      <c r="Y2788" s="562"/>
      <c r="Z2788" s="562"/>
      <c r="AA2788" s="562"/>
      <c r="AB2788" s="562"/>
      <c r="AC2788" s="562"/>
      <c r="AD2788" s="562"/>
      <c r="AE2788" s="562"/>
      <c r="AF2788" s="562"/>
      <c r="AG2788" s="562"/>
      <c r="AH2788" s="562"/>
      <c r="AI2788" s="562"/>
      <c r="AJ2788" s="562"/>
      <c r="AK2788" s="562"/>
      <c r="AL2788" s="562"/>
      <c r="AM2788" s="562">
        <v>190.53</v>
      </c>
      <c r="AN2788" s="562">
        <v>226.63</v>
      </c>
      <c r="AO2788" s="562">
        <v>3465.05</v>
      </c>
    </row>
    <row r="2789" spans="1:44" s="66" customFormat="1" hidden="1" outlineLevel="1">
      <c r="A2789" s="1080">
        <v>553</v>
      </c>
      <c r="B2789" s="1081">
        <v>203634</v>
      </c>
      <c r="C2789" s="1049" t="s">
        <v>1393</v>
      </c>
      <c r="D2789" s="226"/>
      <c r="E2789" s="1078" t="s">
        <v>1924</v>
      </c>
      <c r="F2789" s="968"/>
      <c r="G2789" s="968"/>
      <c r="H2789" s="968"/>
      <c r="I2789" s="968"/>
      <c r="J2789" s="562"/>
      <c r="K2789" s="562"/>
      <c r="L2789" s="562"/>
      <c r="M2789" s="562"/>
      <c r="N2789" s="562"/>
      <c r="O2789" s="562"/>
      <c r="P2789" s="562"/>
      <c r="Q2789" s="562"/>
      <c r="R2789" s="562"/>
      <c r="S2789" s="562"/>
      <c r="T2789" s="562"/>
      <c r="U2789" s="562"/>
      <c r="V2789" s="562"/>
      <c r="W2789" s="562"/>
      <c r="X2789" s="562"/>
      <c r="Y2789" s="562"/>
      <c r="Z2789" s="562"/>
      <c r="AA2789" s="562"/>
      <c r="AB2789" s="562"/>
      <c r="AC2789" s="562"/>
      <c r="AD2789" s="562"/>
      <c r="AE2789" s="562"/>
      <c r="AF2789" s="562"/>
      <c r="AG2789" s="562"/>
      <c r="AH2789" s="562"/>
      <c r="AI2789" s="562"/>
      <c r="AJ2789" s="562"/>
      <c r="AK2789" s="562"/>
      <c r="AL2789" s="562"/>
      <c r="AM2789" s="562">
        <v>273.5</v>
      </c>
      <c r="AN2789" s="562">
        <v>329.27</v>
      </c>
      <c r="AO2789" s="562">
        <v>1113.4100000000001</v>
      </c>
    </row>
    <row r="2790" spans="1:44" s="66" customFormat="1" hidden="1" outlineLevel="1">
      <c r="B2790" s="575">
        <v>445566</v>
      </c>
      <c r="C2790" s="226" t="s">
        <v>1393</v>
      </c>
      <c r="D2790" s="226"/>
      <c r="E2790" s="226" t="s">
        <v>1391</v>
      </c>
      <c r="F2790" s="27"/>
      <c r="G2790" s="27"/>
      <c r="H2790" s="27"/>
      <c r="I2790" s="27"/>
      <c r="J2790" s="576"/>
      <c r="K2790" s="576"/>
      <c r="L2790" s="576"/>
      <c r="M2790" s="576"/>
      <c r="N2790" s="576"/>
      <c r="O2790" s="576"/>
      <c r="P2790" s="576">
        <v>8580.01</v>
      </c>
      <c r="Q2790" s="576">
        <v>8981.92</v>
      </c>
      <c r="R2790" s="576">
        <v>9046.5399999999991</v>
      </c>
      <c r="S2790" s="576">
        <v>9551.41</v>
      </c>
      <c r="T2790" s="576">
        <v>9889.9000000000015</v>
      </c>
      <c r="U2790" s="576">
        <v>10077.280000000001</v>
      </c>
      <c r="V2790" s="576">
        <v>9398.3100000000013</v>
      </c>
      <c r="W2790" s="576">
        <v>9203.9599999999991</v>
      </c>
      <c r="X2790" s="576">
        <v>9863.99</v>
      </c>
      <c r="Y2790" s="576">
        <v>10805.589999999998</v>
      </c>
      <c r="Z2790" s="576">
        <v>10808.89</v>
      </c>
      <c r="AA2790" s="576">
        <v>11384.53</v>
      </c>
      <c r="AB2790" s="576">
        <v>10588.08</v>
      </c>
      <c r="AC2790" s="576">
        <v>10338.43</v>
      </c>
      <c r="AD2790" s="576">
        <v>10485.93</v>
      </c>
      <c r="AE2790" s="576">
        <v>10966.64</v>
      </c>
      <c r="AF2790" s="576">
        <v>9410.94</v>
      </c>
      <c r="AG2790" s="576">
        <v>11775.250000000002</v>
      </c>
      <c r="AH2790" s="576">
        <v>10540.51</v>
      </c>
      <c r="AI2790" s="576">
        <v>9869.2199999999993</v>
      </c>
      <c r="AJ2790" s="35">
        <v>9881.39</v>
      </c>
      <c r="AK2790" s="694">
        <f>SUM(AK2784:AK2787)</f>
        <v>9618.7899999999991</v>
      </c>
      <c r="AL2790" s="694">
        <f>SUM(AL2784:AL2789)</f>
        <v>9101.81</v>
      </c>
      <c r="AM2790" s="694">
        <f>SUM(AM2784:AM2789)</f>
        <v>9785.2200000000012</v>
      </c>
      <c r="AN2790" s="694">
        <f>SUM(AN2784:AN2789)</f>
        <v>9127.6999999999989</v>
      </c>
      <c r="AO2790" s="694">
        <f>SUM(AO2784:AO2789)</f>
        <v>8604.3700000000008</v>
      </c>
      <c r="AR2790"/>
    </row>
    <row r="2791" spans="1:44" collapsed="1">
      <c r="B2791" s="568"/>
      <c r="C2791" s="25" t="s">
        <v>1624</v>
      </c>
      <c r="D2791" s="25"/>
      <c r="E2791" s="6"/>
      <c r="F2791" s="6"/>
      <c r="G2791" s="6"/>
      <c r="H2791" s="6"/>
      <c r="I2791" s="6"/>
      <c r="J2791" s="61"/>
      <c r="K2791" s="61"/>
      <c r="L2791" s="61"/>
      <c r="M2791" s="61"/>
      <c r="N2791" s="61"/>
      <c r="O2791" s="61"/>
      <c r="P2791" s="61"/>
      <c r="Q2791" s="61"/>
      <c r="R2791" s="61"/>
      <c r="S2791" s="61"/>
      <c r="T2791" s="61"/>
      <c r="U2791" s="61"/>
      <c r="V2791" s="61"/>
      <c r="W2791" s="61"/>
      <c r="X2791" s="61"/>
      <c r="Y2791" s="61"/>
      <c r="Z2791" s="61"/>
      <c r="AA2791" s="61"/>
      <c r="AB2791" s="61"/>
      <c r="AC2791" s="61"/>
      <c r="AD2791" s="61"/>
      <c r="AE2791" s="61"/>
      <c r="AF2791" s="61"/>
      <c r="AG2791" s="61"/>
      <c r="AH2791" s="61"/>
      <c r="AI2791" s="61"/>
      <c r="AJ2791" s="26"/>
      <c r="AK2791" s="26"/>
      <c r="AL2791" s="26"/>
      <c r="AM2791" s="26"/>
      <c r="AN2791" s="26"/>
      <c r="AO2791" s="1069"/>
      <c r="AP2791" s="1044"/>
      <c r="AR2791" s="66"/>
    </row>
    <row r="2792" spans="1:44" s="66" customFormat="1" hidden="1" outlineLevel="1">
      <c r="A2792" s="579">
        <v>490</v>
      </c>
      <c r="B2792" s="568">
        <v>36273</v>
      </c>
      <c r="C2792" s="375" t="s">
        <v>1393</v>
      </c>
      <c r="D2792" s="226"/>
      <c r="E2792" s="23" t="s">
        <v>739</v>
      </c>
      <c r="F2792" s="27"/>
      <c r="G2792" s="27"/>
      <c r="H2792" s="27"/>
      <c r="I2792" s="27"/>
      <c r="J2792" s="562"/>
      <c r="K2792" s="562"/>
      <c r="L2792" s="562"/>
      <c r="M2792" s="562"/>
      <c r="N2792" s="562"/>
      <c r="O2792" s="562"/>
      <c r="P2792" s="562">
        <v>1053.25</v>
      </c>
      <c r="Q2792" s="562">
        <v>982.23</v>
      </c>
      <c r="R2792" s="562">
        <v>1023.19</v>
      </c>
      <c r="S2792" s="562">
        <v>1241.3399999999999</v>
      </c>
      <c r="T2792" s="562">
        <v>1406.14</v>
      </c>
      <c r="U2792" s="562">
        <v>1777.89</v>
      </c>
      <c r="V2792" s="562">
        <v>1875.98</v>
      </c>
      <c r="W2792" s="562">
        <v>1912.91</v>
      </c>
      <c r="X2792" s="562">
        <v>1882.32</v>
      </c>
      <c r="Y2792" s="562">
        <v>1957.47</v>
      </c>
      <c r="Z2792" s="562">
        <v>2041.77</v>
      </c>
      <c r="AA2792" s="562">
        <v>2069.71</v>
      </c>
      <c r="AB2792" s="562">
        <v>2065.36</v>
      </c>
      <c r="AC2792" s="562">
        <v>2008.19</v>
      </c>
      <c r="AD2792" s="562">
        <v>2179.87</v>
      </c>
      <c r="AE2792" s="562">
        <v>2403.09</v>
      </c>
      <c r="AF2792" s="562">
        <v>2362.5300000000002</v>
      </c>
      <c r="AG2792" s="562">
        <v>2380.9299999999998</v>
      </c>
      <c r="AH2792" s="562">
        <v>2201.2600000000002</v>
      </c>
      <c r="AI2792" s="562">
        <v>2122.6</v>
      </c>
      <c r="AJ2792" s="562">
        <v>2120.7199999999998</v>
      </c>
      <c r="AK2792" s="562">
        <v>2101.5100000000002</v>
      </c>
      <c r="AL2792" s="562">
        <v>2209.52</v>
      </c>
      <c r="AM2792" s="562">
        <v>2114.0700000000002</v>
      </c>
      <c r="AN2792" s="562">
        <v>2230.04</v>
      </c>
      <c r="AO2792" s="562">
        <v>2428.0100000000002</v>
      </c>
    </row>
    <row r="2793" spans="1:44" s="66" customFormat="1" hidden="1" outlineLevel="1">
      <c r="A2793" s="579">
        <v>500</v>
      </c>
      <c r="B2793" s="568">
        <v>23582</v>
      </c>
      <c r="C2793" s="375" t="s">
        <v>1393</v>
      </c>
      <c r="D2793" s="226"/>
      <c r="E2793" s="23" t="s">
        <v>1382</v>
      </c>
      <c r="F2793" s="27"/>
      <c r="G2793" s="27"/>
      <c r="H2793" s="27"/>
      <c r="I2793" s="27"/>
      <c r="J2793" s="562"/>
      <c r="K2793" s="562"/>
      <c r="L2793" s="562"/>
      <c r="M2793" s="562"/>
      <c r="N2793" s="562"/>
      <c r="O2793" s="562"/>
      <c r="P2793" s="562">
        <v>1025.9000000000001</v>
      </c>
      <c r="Q2793" s="562">
        <v>935.17</v>
      </c>
      <c r="R2793" s="562">
        <v>1002.97</v>
      </c>
      <c r="S2793" s="562">
        <v>1002.61</v>
      </c>
      <c r="T2793" s="562">
        <v>1015.89</v>
      </c>
      <c r="U2793" s="562">
        <v>977.11</v>
      </c>
      <c r="V2793" s="562">
        <v>1140.18</v>
      </c>
      <c r="W2793" s="562">
        <v>1233.95</v>
      </c>
      <c r="X2793" s="562">
        <v>1293.3599999999999</v>
      </c>
      <c r="Y2793" s="562">
        <v>1251.46</v>
      </c>
      <c r="Z2793" s="562">
        <v>1347.24</v>
      </c>
      <c r="AA2793" s="562">
        <v>1458.33</v>
      </c>
      <c r="AB2793" s="562">
        <v>1368.8</v>
      </c>
      <c r="AC2793" s="562">
        <v>1430.89</v>
      </c>
      <c r="AD2793" s="562">
        <v>1476.71</v>
      </c>
      <c r="AE2793" s="562">
        <v>1480.89</v>
      </c>
      <c r="AF2793" s="562">
        <v>1701.13</v>
      </c>
      <c r="AG2793" s="562">
        <v>1923.51</v>
      </c>
      <c r="AH2793" s="562">
        <v>1803.4</v>
      </c>
      <c r="AI2793" s="562">
        <v>1752.48</v>
      </c>
      <c r="AJ2793" s="562">
        <v>1614.12</v>
      </c>
      <c r="AK2793" s="562">
        <v>1574.98</v>
      </c>
      <c r="AL2793" s="562">
        <v>1559.48</v>
      </c>
      <c r="AM2793" s="562">
        <v>1523.58</v>
      </c>
      <c r="AN2793" s="562">
        <v>1494.69</v>
      </c>
      <c r="AO2793" s="562">
        <v>1470.11</v>
      </c>
    </row>
    <row r="2794" spans="1:44" s="66" customFormat="1" hidden="1" outlineLevel="1">
      <c r="A2794" s="579">
        <v>510</v>
      </c>
      <c r="B2794" s="568">
        <v>23485</v>
      </c>
      <c r="C2794" s="375" t="s">
        <v>1393</v>
      </c>
      <c r="D2794" s="226"/>
      <c r="E2794" s="23" t="s">
        <v>1383</v>
      </c>
      <c r="F2794" s="27"/>
      <c r="G2794" s="27"/>
      <c r="H2794" s="27"/>
      <c r="I2794" s="27"/>
      <c r="J2794" s="562"/>
      <c r="K2794" s="562"/>
      <c r="L2794" s="562"/>
      <c r="M2794" s="562"/>
      <c r="N2794" s="562"/>
      <c r="O2794" s="562"/>
      <c r="P2794" s="562">
        <v>1787.11</v>
      </c>
      <c r="Q2794" s="562">
        <v>1792.98</v>
      </c>
      <c r="R2794" s="562">
        <v>1750.21</v>
      </c>
      <c r="S2794" s="562">
        <v>1948.99</v>
      </c>
      <c r="T2794" s="562">
        <v>1952.55</v>
      </c>
      <c r="U2794" s="562">
        <v>1980.97</v>
      </c>
      <c r="V2794" s="562">
        <v>1935.89</v>
      </c>
      <c r="W2794" s="562">
        <v>2078.41</v>
      </c>
      <c r="X2794" s="562">
        <v>2129.35</v>
      </c>
      <c r="Y2794" s="562">
        <v>2038.92</v>
      </c>
      <c r="Z2794" s="562">
        <v>2058.29</v>
      </c>
      <c r="AA2794" s="562">
        <v>2055.2199999999998</v>
      </c>
      <c r="AB2794" s="562">
        <v>1892.49</v>
      </c>
      <c r="AC2794" s="562">
        <v>1937.94</v>
      </c>
      <c r="AD2794" s="562">
        <v>1862.94</v>
      </c>
      <c r="AE2794" s="562">
        <v>1705.63</v>
      </c>
      <c r="AF2794" s="562">
        <v>1882.48</v>
      </c>
      <c r="AG2794" s="562">
        <v>2334.62</v>
      </c>
      <c r="AH2794" s="562">
        <v>2418.25</v>
      </c>
      <c r="AI2794" s="562">
        <v>2611.44</v>
      </c>
      <c r="AJ2794" s="562">
        <v>1984.44</v>
      </c>
      <c r="AK2794" s="562">
        <v>1737.14</v>
      </c>
      <c r="AL2794" s="562">
        <v>1696</v>
      </c>
      <c r="AM2794" s="562">
        <v>1765.83</v>
      </c>
      <c r="AN2794" s="562">
        <v>1781.17</v>
      </c>
      <c r="AO2794" s="562">
        <v>1994.91</v>
      </c>
    </row>
    <row r="2795" spans="1:44" s="66" customFormat="1" hidden="1" outlineLevel="1">
      <c r="B2795" s="575">
        <v>445566</v>
      </c>
      <c r="C2795" s="226" t="s">
        <v>1393</v>
      </c>
      <c r="D2795" s="226"/>
      <c r="E2795" s="226" t="s">
        <v>1392</v>
      </c>
      <c r="F2795" s="27"/>
      <c r="G2795" s="27"/>
      <c r="H2795" s="27"/>
      <c r="I2795" s="27"/>
      <c r="J2795" s="576"/>
      <c r="K2795" s="576"/>
      <c r="L2795" s="576"/>
      <c r="M2795" s="576"/>
      <c r="N2795" s="576"/>
      <c r="O2795" s="576"/>
      <c r="P2795" s="576">
        <v>3866.26</v>
      </c>
      <c r="Q2795" s="576">
        <v>3710.38</v>
      </c>
      <c r="R2795" s="576">
        <v>3776.37</v>
      </c>
      <c r="S2795" s="576">
        <v>4192.9399999999996</v>
      </c>
      <c r="T2795" s="576">
        <v>4374.58</v>
      </c>
      <c r="U2795" s="576">
        <v>4735.97</v>
      </c>
      <c r="V2795" s="576">
        <v>4952.05</v>
      </c>
      <c r="W2795" s="576">
        <v>5225.2700000000004</v>
      </c>
      <c r="X2795" s="576">
        <v>5305.03</v>
      </c>
      <c r="Y2795" s="576">
        <v>5247.85</v>
      </c>
      <c r="Z2795" s="576">
        <v>5447.3</v>
      </c>
      <c r="AA2795" s="576">
        <v>5583.26</v>
      </c>
      <c r="AB2795" s="576">
        <v>5326.65</v>
      </c>
      <c r="AC2795" s="576">
        <v>5377.02</v>
      </c>
      <c r="AD2795" s="576">
        <v>5519.52</v>
      </c>
      <c r="AE2795" s="576">
        <v>5589.6100000000006</v>
      </c>
      <c r="AF2795" s="576">
        <v>5946.14</v>
      </c>
      <c r="AG2795" s="576">
        <v>6639.0599999999995</v>
      </c>
      <c r="AH2795" s="576">
        <v>6422.91</v>
      </c>
      <c r="AI2795" s="576">
        <v>6486.52</v>
      </c>
      <c r="AJ2795" s="35">
        <v>5719.28</v>
      </c>
      <c r="AK2795" s="694">
        <f>SUM(AK2792:AK2794)</f>
        <v>5413.63</v>
      </c>
      <c r="AL2795" s="694">
        <f>SUM(AL2792:AL2794)</f>
        <v>5465</v>
      </c>
      <c r="AM2795" s="694">
        <f>SUM(AM2792:AM2794)</f>
        <v>5403.48</v>
      </c>
      <c r="AN2795" s="694">
        <f>SUM(AN2792:AN2794)</f>
        <v>5505.9</v>
      </c>
      <c r="AO2795" s="694">
        <f>SUM(AO2792:AO2794)</f>
        <v>5893.03</v>
      </c>
      <c r="AR2795"/>
    </row>
    <row r="2796" spans="1:44" collapsed="1">
      <c r="B2796" s="568"/>
      <c r="C2796" s="25" t="s">
        <v>1630</v>
      </c>
      <c r="D2796" s="25"/>
      <c r="E2796" s="6"/>
      <c r="F2796" s="6"/>
      <c r="G2796" s="6"/>
      <c r="H2796" s="6"/>
      <c r="I2796" s="6"/>
      <c r="J2796" s="6"/>
      <c r="K2796" s="7"/>
      <c r="L2796" s="7"/>
      <c r="M2796" s="7"/>
      <c r="N2796" s="7"/>
      <c r="O2796" s="7"/>
      <c r="P2796" s="7"/>
      <c r="Q2796" s="7"/>
      <c r="R2796" s="7"/>
      <c r="S2796" s="7"/>
      <c r="T2796" s="7"/>
      <c r="U2796" s="7"/>
      <c r="V2796" s="7"/>
      <c r="W2796" s="7"/>
      <c r="X2796" s="7"/>
      <c r="Y2796" s="7"/>
      <c r="Z2796" s="7"/>
      <c r="AA2796" s="7"/>
      <c r="AB2796" s="7"/>
      <c r="AC2796" s="7"/>
      <c r="AD2796" s="7"/>
      <c r="AE2796" s="7"/>
      <c r="AF2796" s="7"/>
      <c r="AG2796" s="7"/>
      <c r="AH2796" s="61"/>
      <c r="AI2796" s="61"/>
      <c r="AJ2796" s="26"/>
      <c r="AK2796" s="26"/>
      <c r="AL2796" s="26"/>
      <c r="AM2796" s="26"/>
      <c r="AN2796" s="26"/>
      <c r="AO2796" s="1069"/>
      <c r="AP2796" s="1044"/>
      <c r="AR2796" s="330"/>
    </row>
    <row r="2797" spans="1:44" s="330" customFormat="1" hidden="1" outlineLevel="1">
      <c r="B2797" s="581">
        <v>3539</v>
      </c>
      <c r="C2797" s="375" t="s">
        <v>1393</v>
      </c>
      <c r="D2797" s="226"/>
      <c r="E2797" s="375" t="s">
        <v>102</v>
      </c>
      <c r="F2797" s="226"/>
      <c r="G2797" s="226"/>
      <c r="H2797" s="226"/>
      <c r="I2797" s="226"/>
      <c r="J2797" s="226"/>
      <c r="K2797" s="574"/>
      <c r="L2797" s="574"/>
      <c r="M2797" s="574"/>
      <c r="N2797" s="574"/>
      <c r="O2797" s="574"/>
      <c r="P2797" s="569">
        <v>3255.95</v>
      </c>
      <c r="Q2797" s="569">
        <v>3093.37</v>
      </c>
      <c r="R2797" s="569">
        <v>2971.17</v>
      </c>
      <c r="S2797" s="569">
        <v>3057.77</v>
      </c>
      <c r="T2797" s="569">
        <v>3043.3</v>
      </c>
      <c r="U2797" s="569">
        <v>2901.12</v>
      </c>
      <c r="V2797" s="569">
        <v>3038.22</v>
      </c>
      <c r="W2797" s="569">
        <v>3021.93</v>
      </c>
      <c r="X2797" s="569">
        <v>3240.31</v>
      </c>
      <c r="Y2797" s="569">
        <v>3492.92</v>
      </c>
      <c r="Z2797" s="569">
        <v>3349.44</v>
      </c>
      <c r="AA2797" s="569">
        <v>3277.05</v>
      </c>
      <c r="AB2797" s="569">
        <v>3126.09</v>
      </c>
      <c r="AC2797" s="569">
        <v>3433.32</v>
      </c>
      <c r="AD2797" s="569">
        <v>3324.66</v>
      </c>
      <c r="AE2797" s="569">
        <v>3371.7</v>
      </c>
      <c r="AF2797" s="569">
        <v>3782.02</v>
      </c>
      <c r="AG2797" s="569">
        <v>3768.48</v>
      </c>
      <c r="AH2797" s="569">
        <v>3569.81</v>
      </c>
      <c r="AI2797" s="569">
        <v>3460.78</v>
      </c>
      <c r="AJ2797" s="569">
        <v>3512.48</v>
      </c>
      <c r="AK2797" s="569">
        <v>3424.43</v>
      </c>
      <c r="AL2797" s="569">
        <v>3534.61</v>
      </c>
      <c r="AM2797" s="569">
        <v>3733.07</v>
      </c>
      <c r="AN2797" s="569">
        <v>3588.65</v>
      </c>
      <c r="AO2797" s="569">
        <v>3600.42</v>
      </c>
    </row>
    <row r="2798" spans="1:44" s="330" customFormat="1" hidden="1" outlineLevel="1">
      <c r="B2798" s="581">
        <v>3540</v>
      </c>
      <c r="C2798" s="375" t="s">
        <v>1393</v>
      </c>
      <c r="D2798" s="226"/>
      <c r="E2798" s="375" t="s">
        <v>103</v>
      </c>
      <c r="F2798" s="226"/>
      <c r="G2798" s="226"/>
      <c r="H2798" s="226"/>
      <c r="I2798" s="226"/>
      <c r="J2798" s="226"/>
      <c r="K2798" s="574"/>
      <c r="L2798" s="574"/>
      <c r="M2798" s="574"/>
      <c r="N2798" s="574"/>
      <c r="O2798" s="574"/>
      <c r="P2798" s="569">
        <v>5132.68</v>
      </c>
      <c r="Q2798" s="569">
        <v>5045.6400000000003</v>
      </c>
      <c r="R2798" s="569">
        <v>4949.34</v>
      </c>
      <c r="S2798" s="569">
        <v>5008.87</v>
      </c>
      <c r="T2798" s="569">
        <v>5111</v>
      </c>
      <c r="U2798" s="569">
        <v>5611.36</v>
      </c>
      <c r="V2798" s="569">
        <v>6048.62</v>
      </c>
      <c r="W2798" s="569">
        <v>5984.96</v>
      </c>
      <c r="X2798" s="569">
        <v>6243.82</v>
      </c>
      <c r="Y2798" s="569">
        <v>6518.32</v>
      </c>
      <c r="Z2798" s="569">
        <v>7016.08</v>
      </c>
      <c r="AA2798" s="569">
        <v>7224.75</v>
      </c>
      <c r="AB2798" s="569">
        <v>6879.27</v>
      </c>
      <c r="AC2798" s="569">
        <v>6730.83</v>
      </c>
      <c r="AD2798" s="569">
        <v>6744.44</v>
      </c>
      <c r="AE2798" s="569">
        <v>6802.6</v>
      </c>
      <c r="AF2798" s="569">
        <v>7551.42</v>
      </c>
      <c r="AG2798" s="569">
        <v>7708.45</v>
      </c>
      <c r="AH2798" s="569">
        <v>7499.08</v>
      </c>
      <c r="AI2798" s="569">
        <v>7113.66</v>
      </c>
      <c r="AJ2798" s="569">
        <v>6760.52</v>
      </c>
      <c r="AK2798" s="569">
        <v>6439.53</v>
      </c>
      <c r="AL2798" s="569">
        <v>6393.1</v>
      </c>
      <c r="AM2798" s="569">
        <v>6276.25</v>
      </c>
      <c r="AN2798" s="569">
        <v>6327.47</v>
      </c>
      <c r="AO2798" s="569">
        <v>6118.06</v>
      </c>
    </row>
    <row r="2799" spans="1:44" s="330" customFormat="1" hidden="1" outlineLevel="1">
      <c r="B2799" s="581">
        <v>3546</v>
      </c>
      <c r="C2799" s="375" t="s">
        <v>1393</v>
      </c>
      <c r="D2799" s="226"/>
      <c r="E2799" s="375" t="s">
        <v>167</v>
      </c>
      <c r="F2799" s="226"/>
      <c r="G2799" s="226"/>
      <c r="H2799" s="226"/>
      <c r="I2799" s="226"/>
      <c r="J2799" s="226"/>
      <c r="K2799" s="574"/>
      <c r="L2799" s="574"/>
      <c r="M2799" s="574"/>
      <c r="N2799" s="574"/>
      <c r="O2799" s="574"/>
      <c r="P2799" s="569">
        <v>2513.7199999999998</v>
      </c>
      <c r="Q2799" s="569">
        <v>2299.08</v>
      </c>
      <c r="R2799" s="569">
        <v>2364.37</v>
      </c>
      <c r="S2799" s="569">
        <v>2459.0700000000002</v>
      </c>
      <c r="T2799" s="569">
        <v>2476.3200000000002</v>
      </c>
      <c r="U2799" s="569">
        <v>2383.9499999999998</v>
      </c>
      <c r="V2799" s="569">
        <v>2371.23</v>
      </c>
      <c r="W2799" s="569">
        <v>2652.67</v>
      </c>
      <c r="X2799" s="569">
        <v>2560.19</v>
      </c>
      <c r="Y2799" s="569">
        <v>2790.2</v>
      </c>
      <c r="Z2799" s="569">
        <v>2727.41</v>
      </c>
      <c r="AA2799" s="569">
        <v>2670.7</v>
      </c>
      <c r="AB2799" s="569">
        <v>2297.1799999999998</v>
      </c>
      <c r="AC2799" s="569">
        <v>2199.89</v>
      </c>
      <c r="AD2799" s="569">
        <v>2300.5</v>
      </c>
      <c r="AE2799" s="569">
        <v>2599.9899999999998</v>
      </c>
      <c r="AF2799" s="569">
        <v>3025.92</v>
      </c>
      <c r="AG2799" s="569">
        <v>3072.78</v>
      </c>
      <c r="AH2799" s="569">
        <v>2793.53</v>
      </c>
      <c r="AI2799" s="569">
        <v>2602.42</v>
      </c>
      <c r="AJ2799" s="569">
        <v>2558.33</v>
      </c>
      <c r="AK2799" s="569">
        <v>2622.79</v>
      </c>
      <c r="AL2799" s="569">
        <v>2950.95</v>
      </c>
      <c r="AM2799" s="569">
        <v>2896.5</v>
      </c>
      <c r="AN2799" s="569">
        <v>2774.67</v>
      </c>
      <c r="AO2799" s="569">
        <v>2569.44</v>
      </c>
    </row>
    <row r="2800" spans="1:44" s="330" customFormat="1" hidden="1" outlineLevel="1">
      <c r="B2800" s="581">
        <v>3549</v>
      </c>
      <c r="C2800" s="375" t="s">
        <v>1393</v>
      </c>
      <c r="D2800" s="226"/>
      <c r="E2800" s="375" t="s">
        <v>106</v>
      </c>
      <c r="F2800" s="226"/>
      <c r="G2800" s="226"/>
      <c r="H2800" s="226"/>
      <c r="I2800" s="226"/>
      <c r="J2800" s="226"/>
      <c r="K2800" s="574"/>
      <c r="L2800" s="574"/>
      <c r="M2800" s="574"/>
      <c r="N2800" s="574"/>
      <c r="O2800" s="574"/>
      <c r="P2800" s="569">
        <v>7037.7</v>
      </c>
      <c r="Q2800" s="569">
        <v>7209.2</v>
      </c>
      <c r="R2800" s="569">
        <v>7499.39</v>
      </c>
      <c r="S2800" s="569">
        <v>7809.38</v>
      </c>
      <c r="T2800" s="569">
        <v>8173.64</v>
      </c>
      <c r="U2800" s="569">
        <v>8656.41</v>
      </c>
      <c r="V2800" s="569">
        <v>9235.61</v>
      </c>
      <c r="W2800" s="569">
        <v>9499.1200000000008</v>
      </c>
      <c r="X2800" s="569">
        <v>9959.67</v>
      </c>
      <c r="Y2800" s="569">
        <v>10574.34</v>
      </c>
      <c r="Z2800" s="569">
        <v>10656.03</v>
      </c>
      <c r="AA2800" s="569">
        <v>10634.2</v>
      </c>
      <c r="AB2800" s="569">
        <v>10802.91</v>
      </c>
      <c r="AC2800" s="569">
        <v>10713.96</v>
      </c>
      <c r="AD2800" s="569">
        <v>11236.18</v>
      </c>
      <c r="AE2800" s="569">
        <v>12123.64</v>
      </c>
      <c r="AF2800" s="569">
        <v>13143.3</v>
      </c>
      <c r="AG2800" s="569">
        <v>13224.32</v>
      </c>
      <c r="AH2800" s="569">
        <v>13726.88</v>
      </c>
      <c r="AI2800" s="569">
        <v>13510.59</v>
      </c>
      <c r="AJ2800" s="569">
        <v>13934.53</v>
      </c>
      <c r="AK2800" s="569">
        <v>14406.66</v>
      </c>
      <c r="AL2800" s="569">
        <v>14230.8</v>
      </c>
      <c r="AM2800" s="569">
        <v>13909.12</v>
      </c>
      <c r="AN2800" s="569">
        <v>13574.24</v>
      </c>
      <c r="AO2800" s="569">
        <v>13949.99</v>
      </c>
    </row>
    <row r="2801" spans="2:41" s="330" customFormat="1" hidden="1" outlineLevel="1">
      <c r="B2801" s="581">
        <v>3553</v>
      </c>
      <c r="C2801" s="375" t="s">
        <v>1393</v>
      </c>
      <c r="D2801" s="226"/>
      <c r="E2801" s="375" t="s">
        <v>1404</v>
      </c>
      <c r="F2801" s="226"/>
      <c r="G2801" s="226"/>
      <c r="H2801" s="226"/>
      <c r="I2801" s="226"/>
      <c r="J2801" s="226"/>
      <c r="K2801" s="574"/>
      <c r="L2801" s="574"/>
      <c r="M2801" s="574"/>
      <c r="N2801" s="574"/>
      <c r="O2801" s="574"/>
      <c r="P2801" s="569">
        <v>1980.52</v>
      </c>
      <c r="Q2801" s="569">
        <v>1941.49</v>
      </c>
      <c r="R2801" s="569">
        <v>1891.77</v>
      </c>
      <c r="S2801" s="569">
        <v>1893.89</v>
      </c>
      <c r="T2801" s="569">
        <v>1891.25</v>
      </c>
      <c r="U2801" s="569">
        <v>1957.33</v>
      </c>
      <c r="V2801" s="569">
        <v>1960.18</v>
      </c>
      <c r="W2801" s="569">
        <v>1940.35</v>
      </c>
      <c r="X2801" s="569">
        <v>2072.4699999999998</v>
      </c>
      <c r="Y2801" s="569">
        <v>2203.17</v>
      </c>
      <c r="Z2801" s="569">
        <v>2404.83</v>
      </c>
      <c r="AA2801" s="569">
        <v>2635.2</v>
      </c>
      <c r="AB2801" s="569">
        <v>2511.15</v>
      </c>
      <c r="AC2801" s="569">
        <v>2590.7399999999998</v>
      </c>
      <c r="AD2801" s="569">
        <v>2427.9899999999998</v>
      </c>
      <c r="AE2801" s="569">
        <v>2608.27</v>
      </c>
      <c r="AF2801" s="569">
        <v>3089.43</v>
      </c>
      <c r="AG2801" s="569">
        <v>3256.09</v>
      </c>
      <c r="AH2801" s="569">
        <v>3019.74</v>
      </c>
      <c r="AI2801" s="569">
        <v>2683.79</v>
      </c>
      <c r="AJ2801" s="569">
        <v>2546.81</v>
      </c>
      <c r="AK2801" s="569">
        <v>2499.69</v>
      </c>
      <c r="AL2801" s="569">
        <v>2332.39</v>
      </c>
      <c r="AM2801" s="569">
        <v>2213.2600000000002</v>
      </c>
      <c r="AN2801" s="569">
        <v>2312.6</v>
      </c>
      <c r="AO2801" s="569">
        <v>2362.48</v>
      </c>
    </row>
    <row r="2802" spans="2:41" s="330" customFormat="1" hidden="1" outlineLevel="1">
      <c r="B2802" s="581">
        <v>3554</v>
      </c>
      <c r="C2802" s="375" t="s">
        <v>1393</v>
      </c>
      <c r="D2802" s="226"/>
      <c r="E2802" s="375" t="s">
        <v>110</v>
      </c>
      <c r="F2802" s="226"/>
      <c r="G2802" s="226"/>
      <c r="H2802" s="226"/>
      <c r="I2802" s="226"/>
      <c r="J2802" s="226"/>
      <c r="K2802" s="574"/>
      <c r="L2802" s="574"/>
      <c r="M2802" s="574"/>
      <c r="N2802" s="574"/>
      <c r="O2802" s="574"/>
      <c r="P2802" s="569">
        <v>748.66</v>
      </c>
      <c r="Q2802" s="569">
        <v>738.53</v>
      </c>
      <c r="R2802" s="569">
        <v>706.39</v>
      </c>
      <c r="S2802" s="569">
        <v>704.69</v>
      </c>
      <c r="T2802" s="569">
        <v>787.34</v>
      </c>
      <c r="U2802" s="569">
        <v>626.29</v>
      </c>
      <c r="V2802" s="569">
        <v>654.29999999999995</v>
      </c>
      <c r="W2802" s="569">
        <v>696.29</v>
      </c>
      <c r="X2802" s="569">
        <v>648.34</v>
      </c>
      <c r="Y2802" s="569">
        <v>699.2</v>
      </c>
      <c r="Z2802" s="569">
        <v>729.15</v>
      </c>
      <c r="AA2802" s="569">
        <v>780.31</v>
      </c>
      <c r="AB2802" s="569">
        <v>847.62</v>
      </c>
      <c r="AC2802" s="569">
        <v>840.23</v>
      </c>
      <c r="AD2802" s="569">
        <v>855.78</v>
      </c>
      <c r="AE2802" s="569">
        <v>1002.2</v>
      </c>
      <c r="AF2802" s="569">
        <v>1160.71</v>
      </c>
      <c r="AG2802" s="569">
        <v>1220.3699999999999</v>
      </c>
      <c r="AH2802" s="569">
        <v>1097.93</v>
      </c>
      <c r="AI2802" s="569">
        <v>978.72</v>
      </c>
      <c r="AJ2802" s="569">
        <v>976.4</v>
      </c>
      <c r="AK2802" s="569">
        <v>921.37</v>
      </c>
      <c r="AL2802" s="569">
        <v>964.21</v>
      </c>
      <c r="AM2802" s="569">
        <v>1045.8399999999999</v>
      </c>
      <c r="AN2802" s="569">
        <v>1087.92</v>
      </c>
      <c r="AO2802" s="569">
        <v>1053.29</v>
      </c>
    </row>
    <row r="2803" spans="2:41" s="330" customFormat="1" hidden="1" outlineLevel="1">
      <c r="B2803" s="581">
        <v>3558</v>
      </c>
      <c r="C2803" s="375" t="s">
        <v>1393</v>
      </c>
      <c r="D2803" s="226"/>
      <c r="E2803" s="375" t="s">
        <v>1405</v>
      </c>
      <c r="F2803" s="226"/>
      <c r="G2803" s="226"/>
      <c r="H2803" s="226"/>
      <c r="I2803" s="226"/>
      <c r="J2803" s="226"/>
      <c r="K2803" s="574"/>
      <c r="L2803" s="574"/>
      <c r="M2803" s="574"/>
      <c r="N2803" s="574"/>
      <c r="O2803" s="574"/>
      <c r="P2803" s="569">
        <v>2503.09</v>
      </c>
      <c r="Q2803" s="569">
        <v>2547.8200000000002</v>
      </c>
      <c r="R2803" s="569">
        <v>2480.7800000000002</v>
      </c>
      <c r="S2803" s="569">
        <v>2615.02</v>
      </c>
      <c r="T2803" s="569">
        <v>2715.47</v>
      </c>
      <c r="U2803" s="569">
        <v>2737.9</v>
      </c>
      <c r="V2803" s="569">
        <v>3032.07</v>
      </c>
      <c r="W2803" s="569">
        <v>3372.08</v>
      </c>
      <c r="X2803" s="569">
        <v>3616.21</v>
      </c>
      <c r="Y2803" s="569">
        <v>4112.38</v>
      </c>
      <c r="Z2803" s="569">
        <v>4408.8100000000004</v>
      </c>
      <c r="AA2803" s="569">
        <v>4336.83</v>
      </c>
      <c r="AB2803" s="569">
        <v>4559.1000000000004</v>
      </c>
      <c r="AC2803" s="569">
        <v>4811.3999999999996</v>
      </c>
      <c r="AD2803" s="569">
        <v>4968.55</v>
      </c>
      <c r="AE2803" s="569">
        <v>5484.13</v>
      </c>
      <c r="AF2803" s="569">
        <v>6016.86</v>
      </c>
      <c r="AG2803" s="569">
        <v>6143.67</v>
      </c>
      <c r="AH2803" s="569">
        <v>6510.69</v>
      </c>
      <c r="AI2803" s="569">
        <v>6674.73</v>
      </c>
      <c r="AJ2803" s="569">
        <v>6594.26</v>
      </c>
      <c r="AK2803" s="569">
        <v>6384.58</v>
      </c>
      <c r="AL2803" s="569">
        <v>5960.49</v>
      </c>
      <c r="AM2803" s="569">
        <v>5846.31</v>
      </c>
      <c r="AN2803" s="569">
        <v>6137.58</v>
      </c>
      <c r="AO2803" s="569">
        <v>6326.84</v>
      </c>
    </row>
    <row r="2804" spans="2:41" s="330" customFormat="1" hidden="1" outlineLevel="1">
      <c r="B2804" s="582">
        <v>3563</v>
      </c>
      <c r="C2804" s="375" t="s">
        <v>1393</v>
      </c>
      <c r="D2804" s="226"/>
      <c r="E2804" s="375" t="s">
        <v>114</v>
      </c>
      <c r="F2804" s="226"/>
      <c r="G2804" s="226"/>
      <c r="H2804" s="226"/>
      <c r="I2804" s="226"/>
      <c r="J2804" s="226"/>
      <c r="K2804" s="574"/>
      <c r="L2804" s="574"/>
      <c r="M2804" s="574"/>
      <c r="N2804" s="574"/>
      <c r="O2804" s="574"/>
      <c r="P2804" s="569">
        <v>8221.91</v>
      </c>
      <c r="Q2804" s="569">
        <v>7492.59</v>
      </c>
      <c r="R2804" s="569">
        <v>7451.83</v>
      </c>
      <c r="S2804" s="569">
        <v>7524.26</v>
      </c>
      <c r="T2804" s="569">
        <v>7250</v>
      </c>
      <c r="U2804" s="569">
        <v>7083.04</v>
      </c>
      <c r="V2804" s="569">
        <v>7013.9</v>
      </c>
      <c r="W2804" s="569">
        <v>6966.95</v>
      </c>
      <c r="X2804" s="569">
        <v>7478.12</v>
      </c>
      <c r="Y2804" s="569">
        <v>7932.75</v>
      </c>
      <c r="Z2804" s="569">
        <v>7829.36</v>
      </c>
      <c r="AA2804" s="569">
        <v>7939.74</v>
      </c>
      <c r="AB2804" s="569">
        <v>7767.27</v>
      </c>
      <c r="AC2804" s="569">
        <v>7492.34</v>
      </c>
      <c r="AD2804" s="569">
        <v>7279.11</v>
      </c>
      <c r="AE2804" s="569">
        <v>7411.88</v>
      </c>
      <c r="AF2804" s="569">
        <v>8205.94</v>
      </c>
      <c r="AG2804" s="569">
        <v>8111.16</v>
      </c>
      <c r="AH2804" s="569">
        <v>7961.34</v>
      </c>
      <c r="AI2804" s="569">
        <v>7311.32</v>
      </c>
      <c r="AJ2804" s="569">
        <v>7149.43</v>
      </c>
      <c r="AK2804" s="569">
        <v>7051.9</v>
      </c>
      <c r="AL2804" s="569">
        <v>7752.37</v>
      </c>
      <c r="AM2804" s="569">
        <v>7676.44</v>
      </c>
      <c r="AN2804" s="569">
        <v>7500.27</v>
      </c>
      <c r="AO2804" s="569">
        <v>7660.59</v>
      </c>
    </row>
    <row r="2805" spans="2:41" s="330" customFormat="1" hidden="1" outlineLevel="1">
      <c r="B2805" s="582">
        <v>3568</v>
      </c>
      <c r="C2805" s="375" t="s">
        <v>1393</v>
      </c>
      <c r="D2805" s="226"/>
      <c r="E2805" s="375" t="s">
        <v>116</v>
      </c>
      <c r="F2805" s="226"/>
      <c r="G2805" s="226"/>
      <c r="H2805" s="226"/>
      <c r="I2805" s="226"/>
      <c r="J2805" s="226"/>
      <c r="K2805" s="574"/>
      <c r="L2805" s="574"/>
      <c r="M2805" s="574"/>
      <c r="N2805" s="574"/>
      <c r="O2805" s="574"/>
      <c r="P2805" s="569">
        <v>896.77</v>
      </c>
      <c r="Q2805" s="569">
        <v>899.7</v>
      </c>
      <c r="R2805" s="569">
        <v>848.81</v>
      </c>
      <c r="S2805" s="569">
        <v>804.15</v>
      </c>
      <c r="T2805" s="569">
        <v>824.3</v>
      </c>
      <c r="U2805" s="569">
        <v>888.93</v>
      </c>
      <c r="V2805" s="569">
        <v>896.59</v>
      </c>
      <c r="W2805" s="569">
        <v>910.99</v>
      </c>
      <c r="X2805" s="569">
        <v>1010.77</v>
      </c>
      <c r="Y2805" s="569">
        <v>998.67</v>
      </c>
      <c r="Z2805" s="569">
        <v>1017.58</v>
      </c>
      <c r="AA2805" s="569">
        <v>1064.5</v>
      </c>
      <c r="AB2805" s="569">
        <v>1008.92</v>
      </c>
      <c r="AC2805" s="569">
        <v>1043.93</v>
      </c>
      <c r="AD2805" s="569">
        <v>1002.09</v>
      </c>
      <c r="AE2805" s="569">
        <v>915.05</v>
      </c>
      <c r="AF2805" s="569">
        <v>923.13</v>
      </c>
      <c r="AG2805" s="569">
        <v>923.54</v>
      </c>
      <c r="AH2805" s="569">
        <v>801.61</v>
      </c>
      <c r="AI2805" s="569">
        <v>859.61</v>
      </c>
      <c r="AJ2805" s="569">
        <v>842.53</v>
      </c>
      <c r="AK2805" s="569">
        <v>1007.57</v>
      </c>
      <c r="AL2805" s="569">
        <v>981.95</v>
      </c>
      <c r="AM2805" s="569">
        <v>995.1</v>
      </c>
      <c r="AN2805" s="569">
        <v>972.65</v>
      </c>
      <c r="AO2805" s="569">
        <v>935.44</v>
      </c>
    </row>
    <row r="2806" spans="2:41" s="330" customFormat="1" hidden="1" outlineLevel="1">
      <c r="B2806" s="582">
        <v>3570</v>
      </c>
      <c r="C2806" s="375" t="s">
        <v>1393</v>
      </c>
      <c r="D2806" s="226"/>
      <c r="E2806" s="375" t="s">
        <v>1406</v>
      </c>
      <c r="F2806" s="226"/>
      <c r="G2806" s="226"/>
      <c r="H2806" s="226"/>
      <c r="I2806" s="226"/>
      <c r="J2806" s="226"/>
      <c r="K2806" s="574"/>
      <c r="L2806" s="574"/>
      <c r="M2806" s="574"/>
      <c r="N2806" s="574"/>
      <c r="O2806" s="574"/>
      <c r="P2806" s="569">
        <v>2533.0700000000002</v>
      </c>
      <c r="Q2806" s="569">
        <v>2343.48</v>
      </c>
      <c r="R2806" s="569">
        <v>2323.5700000000002</v>
      </c>
      <c r="S2806" s="569">
        <v>2405.46</v>
      </c>
      <c r="T2806" s="569">
        <v>2344.66</v>
      </c>
      <c r="U2806" s="569">
        <v>2402.87</v>
      </c>
      <c r="V2806" s="569">
        <v>2466.1</v>
      </c>
      <c r="W2806" s="569">
        <v>2439.38</v>
      </c>
      <c r="X2806" s="569">
        <v>2725.93</v>
      </c>
      <c r="Y2806" s="569">
        <v>2778.17</v>
      </c>
      <c r="Z2806" s="569">
        <v>2962.56</v>
      </c>
      <c r="AA2806" s="569">
        <v>2950.48</v>
      </c>
      <c r="AB2806" s="569">
        <v>2830.83</v>
      </c>
      <c r="AC2806" s="569">
        <v>2962.79</v>
      </c>
      <c r="AD2806" s="569">
        <v>2950.39</v>
      </c>
      <c r="AE2806" s="569">
        <v>3254.63</v>
      </c>
      <c r="AF2806" s="569">
        <v>3735.59</v>
      </c>
      <c r="AG2806" s="569">
        <v>3991.28</v>
      </c>
      <c r="AH2806" s="569">
        <v>3877.06</v>
      </c>
      <c r="AI2806" s="569">
        <v>3542.88</v>
      </c>
      <c r="AJ2806" s="569">
        <v>3488.37</v>
      </c>
      <c r="AK2806" s="569">
        <v>3243.82</v>
      </c>
      <c r="AL2806" s="569">
        <v>3045.73</v>
      </c>
      <c r="AM2806" s="569">
        <v>2949.78</v>
      </c>
      <c r="AN2806" s="569">
        <v>2821.97</v>
      </c>
      <c r="AO2806" s="569">
        <v>2860.01</v>
      </c>
    </row>
    <row r="2807" spans="2:41" s="330" customFormat="1" hidden="1" outlineLevel="1">
      <c r="B2807" s="582">
        <v>3572</v>
      </c>
      <c r="C2807" s="375" t="s">
        <v>1393</v>
      </c>
      <c r="D2807" s="226"/>
      <c r="E2807" s="375" t="s">
        <v>143</v>
      </c>
      <c r="F2807" s="226"/>
      <c r="G2807" s="226"/>
      <c r="H2807" s="226"/>
      <c r="I2807" s="226"/>
      <c r="J2807" s="226"/>
      <c r="K2807" s="574"/>
      <c r="L2807" s="574"/>
      <c r="M2807" s="574"/>
      <c r="N2807" s="574"/>
      <c r="O2807" s="574"/>
      <c r="P2807" s="569">
        <v>3963.24</v>
      </c>
      <c r="Q2807" s="569">
        <v>3846.61</v>
      </c>
      <c r="R2807" s="569">
        <v>3728.47</v>
      </c>
      <c r="S2807" s="569">
        <v>3704.73</v>
      </c>
      <c r="T2807" s="569">
        <v>3667.33</v>
      </c>
      <c r="U2807" s="569">
        <v>3493.49</v>
      </c>
      <c r="V2807" s="569">
        <v>3554.4</v>
      </c>
      <c r="W2807" s="569">
        <v>3875.76</v>
      </c>
      <c r="X2807" s="569">
        <v>3975.06</v>
      </c>
      <c r="Y2807" s="569">
        <v>4527.9799999999996</v>
      </c>
      <c r="Z2807" s="569">
        <v>4693.03</v>
      </c>
      <c r="AA2807" s="569">
        <v>4836.9399999999996</v>
      </c>
      <c r="AB2807" s="569">
        <v>4696.92</v>
      </c>
      <c r="AC2807" s="569">
        <v>4649.47</v>
      </c>
      <c r="AD2807" s="569">
        <v>4684.66</v>
      </c>
      <c r="AE2807" s="569">
        <v>4788.5200000000004</v>
      </c>
      <c r="AF2807" s="569">
        <v>5600.08</v>
      </c>
      <c r="AG2807" s="569">
        <v>5845.2</v>
      </c>
      <c r="AH2807" s="569">
        <v>5655.83</v>
      </c>
      <c r="AI2807" s="569">
        <v>5560.99</v>
      </c>
      <c r="AJ2807" s="569">
        <v>5395.12</v>
      </c>
      <c r="AK2807" s="569">
        <v>5182.45</v>
      </c>
      <c r="AL2807" s="569">
        <v>5104.16</v>
      </c>
      <c r="AM2807" s="569">
        <v>5301.38</v>
      </c>
      <c r="AN2807" s="569">
        <v>5003.2</v>
      </c>
      <c r="AO2807" s="569">
        <v>5268.44</v>
      </c>
    </row>
    <row r="2808" spans="2:41" s="330" customFormat="1" hidden="1" outlineLevel="1">
      <c r="B2808" s="582">
        <v>3573</v>
      </c>
      <c r="C2808" s="375" t="s">
        <v>1393</v>
      </c>
      <c r="D2808" s="226"/>
      <c r="E2808" s="375" t="s">
        <v>119</v>
      </c>
      <c r="F2808" s="226"/>
      <c r="G2808" s="226"/>
      <c r="H2808" s="226"/>
      <c r="I2808" s="226"/>
      <c r="J2808" s="226"/>
      <c r="K2808" s="574"/>
      <c r="L2808" s="574"/>
      <c r="M2808" s="574"/>
      <c r="N2808" s="574"/>
      <c r="O2808" s="574"/>
      <c r="P2808" s="569">
        <v>1568.7</v>
      </c>
      <c r="Q2808" s="569">
        <v>1542.21</v>
      </c>
      <c r="R2808" s="569">
        <v>1568.47</v>
      </c>
      <c r="S2808" s="569">
        <v>1640.76</v>
      </c>
      <c r="T2808" s="569">
        <v>1657.45</v>
      </c>
      <c r="U2808" s="569">
        <v>1602.45</v>
      </c>
      <c r="V2808" s="569">
        <v>1625.82</v>
      </c>
      <c r="W2808" s="569">
        <v>1731.41</v>
      </c>
      <c r="X2808" s="569">
        <v>1933.89</v>
      </c>
      <c r="Y2808" s="569">
        <v>2243.8200000000002</v>
      </c>
      <c r="Z2808" s="569">
        <v>2467.1799999999998</v>
      </c>
      <c r="AA2808" s="569">
        <v>2287.8200000000002</v>
      </c>
      <c r="AB2808" s="569">
        <v>2316.04</v>
      </c>
      <c r="AC2808" s="569">
        <v>2551.21</v>
      </c>
      <c r="AD2808" s="569">
        <v>2456.94</v>
      </c>
      <c r="AE2808" s="569">
        <v>2809.11</v>
      </c>
      <c r="AF2808" s="569">
        <v>3278.39</v>
      </c>
      <c r="AG2808" s="569">
        <v>3320.98</v>
      </c>
      <c r="AH2808" s="569">
        <v>3233.06</v>
      </c>
      <c r="AI2808" s="569">
        <v>3259.33</v>
      </c>
      <c r="AJ2808" s="569">
        <v>3125.48</v>
      </c>
      <c r="AK2808" s="569">
        <v>2862.04</v>
      </c>
      <c r="AL2808" s="569">
        <v>2786.12</v>
      </c>
      <c r="AM2808" s="569">
        <v>2897.02</v>
      </c>
      <c r="AN2808" s="569">
        <v>2923.83</v>
      </c>
      <c r="AO2808" s="569">
        <v>3001.57</v>
      </c>
    </row>
    <row r="2809" spans="2:41" s="330" customFormat="1" hidden="1" outlineLevel="1">
      <c r="B2809" s="582">
        <v>3580</v>
      </c>
      <c r="C2809" s="375" t="s">
        <v>1393</v>
      </c>
      <c r="D2809" s="226"/>
      <c r="E2809" s="375" t="s">
        <v>122</v>
      </c>
      <c r="F2809" s="226"/>
      <c r="G2809" s="226"/>
      <c r="H2809" s="226"/>
      <c r="I2809" s="226"/>
      <c r="J2809" s="226"/>
      <c r="K2809" s="574"/>
      <c r="L2809" s="574"/>
      <c r="M2809" s="574"/>
      <c r="N2809" s="574"/>
      <c r="O2809" s="574"/>
      <c r="P2809" s="569">
        <v>4014.08</v>
      </c>
      <c r="Q2809" s="569">
        <v>4002.36</v>
      </c>
      <c r="R2809" s="569">
        <v>3720.34</v>
      </c>
      <c r="S2809" s="569">
        <v>3636.45</v>
      </c>
      <c r="T2809" s="569">
        <v>3587.31</v>
      </c>
      <c r="U2809" s="569">
        <v>3573.82</v>
      </c>
      <c r="V2809" s="569">
        <v>3828.64</v>
      </c>
      <c r="W2809" s="569">
        <v>3863.87</v>
      </c>
      <c r="X2809" s="569">
        <v>4051.96</v>
      </c>
      <c r="Y2809" s="569">
        <v>4368.87</v>
      </c>
      <c r="Z2809" s="569">
        <v>4222.91</v>
      </c>
      <c r="AA2809" s="569">
        <v>4271.88</v>
      </c>
      <c r="AB2809" s="569">
        <v>4152.7299999999996</v>
      </c>
      <c r="AC2809" s="569">
        <v>4134.1899999999996</v>
      </c>
      <c r="AD2809" s="569">
        <v>4885.18</v>
      </c>
      <c r="AE2809" s="569">
        <v>4921.16</v>
      </c>
      <c r="AF2809" s="569">
        <v>5636.4</v>
      </c>
      <c r="AG2809" s="569">
        <v>5629.35</v>
      </c>
      <c r="AH2809" s="569">
        <v>5176.2700000000004</v>
      </c>
      <c r="AI2809" s="569">
        <v>4980.91</v>
      </c>
      <c r="AJ2809" s="569">
        <v>4778.91</v>
      </c>
      <c r="AK2809" s="569">
        <v>4495.6499999999996</v>
      </c>
      <c r="AL2809" s="569">
        <v>4039.38</v>
      </c>
      <c r="AM2809" s="569">
        <v>4250.22</v>
      </c>
      <c r="AN2809" s="569">
        <v>4037.54</v>
      </c>
      <c r="AO2809" s="569">
        <v>4035.53</v>
      </c>
    </row>
    <row r="2810" spans="2:41" s="330" customFormat="1" hidden="1" outlineLevel="1">
      <c r="B2810" s="582">
        <v>3582</v>
      </c>
      <c r="C2810" s="375" t="s">
        <v>1393</v>
      </c>
      <c r="D2810" s="226"/>
      <c r="E2810" s="375" t="s">
        <v>123</v>
      </c>
      <c r="F2810" s="226"/>
      <c r="G2810" s="226"/>
      <c r="H2810" s="226"/>
      <c r="I2810" s="226"/>
      <c r="J2810" s="226"/>
      <c r="K2810" s="574"/>
      <c r="L2810" s="574"/>
      <c r="M2810" s="574"/>
      <c r="N2810" s="574"/>
      <c r="O2810" s="574"/>
      <c r="P2810" s="569">
        <v>5111.8100000000004</v>
      </c>
      <c r="Q2810" s="569">
        <v>5100.8900000000003</v>
      </c>
      <c r="R2810" s="569">
        <v>5190.17</v>
      </c>
      <c r="S2810" s="569">
        <v>5468.86</v>
      </c>
      <c r="T2810" s="569">
        <v>5565.88</v>
      </c>
      <c r="U2810" s="569">
        <v>5577.39</v>
      </c>
      <c r="V2810" s="569">
        <v>5420.97</v>
      </c>
      <c r="W2810" s="569">
        <v>5307.04</v>
      </c>
      <c r="X2810" s="569">
        <v>5611.86</v>
      </c>
      <c r="Y2810" s="569">
        <v>5640.6</v>
      </c>
      <c r="Z2810" s="569">
        <v>5758.5</v>
      </c>
      <c r="AA2810" s="569">
        <v>6104.69</v>
      </c>
      <c r="AB2810" s="569">
        <v>5928.24</v>
      </c>
      <c r="AC2810" s="569">
        <v>5661.88</v>
      </c>
      <c r="AD2810" s="569">
        <v>5539.01</v>
      </c>
      <c r="AE2810" s="569">
        <v>5890.97</v>
      </c>
      <c r="AF2810" s="569">
        <v>6493.5</v>
      </c>
      <c r="AG2810" s="569">
        <v>6418.21</v>
      </c>
      <c r="AH2810" s="569">
        <v>6415.47</v>
      </c>
      <c r="AI2810" s="569">
        <v>5963.52</v>
      </c>
      <c r="AJ2810" s="569">
        <v>5520.19</v>
      </c>
      <c r="AK2810" s="569">
        <v>5336.52</v>
      </c>
      <c r="AL2810" s="569">
        <v>5249.04</v>
      </c>
      <c r="AM2810" s="569">
        <v>5375.56</v>
      </c>
      <c r="AN2810" s="569">
        <v>5906.74</v>
      </c>
      <c r="AO2810" s="569">
        <v>5694.66</v>
      </c>
    </row>
    <row r="2811" spans="2:41" s="330" customFormat="1" hidden="1" outlineLevel="1">
      <c r="B2811" s="582">
        <v>3583</v>
      </c>
      <c r="C2811" s="375" t="s">
        <v>1393</v>
      </c>
      <c r="D2811" s="226"/>
      <c r="E2811" s="375" t="s">
        <v>174</v>
      </c>
      <c r="F2811" s="226"/>
      <c r="G2811" s="226"/>
      <c r="H2811" s="226"/>
      <c r="I2811" s="226"/>
      <c r="J2811" s="226"/>
      <c r="K2811" s="574"/>
      <c r="L2811" s="574"/>
      <c r="M2811" s="574"/>
      <c r="N2811" s="574"/>
      <c r="O2811" s="574"/>
      <c r="P2811" s="569">
        <v>4102.84</v>
      </c>
      <c r="Q2811" s="569">
        <v>4252.8500000000004</v>
      </c>
      <c r="R2811" s="569">
        <v>4391.84</v>
      </c>
      <c r="S2811" s="569">
        <v>4528.5600000000004</v>
      </c>
      <c r="T2811" s="569">
        <v>4283.1099999999997</v>
      </c>
      <c r="U2811" s="569">
        <v>4204.8999999999996</v>
      </c>
      <c r="V2811" s="569">
        <v>4197.66</v>
      </c>
      <c r="W2811" s="569">
        <v>4131.45</v>
      </c>
      <c r="X2811" s="569">
        <v>4379.83</v>
      </c>
      <c r="Y2811" s="569">
        <v>4460.7299999999996</v>
      </c>
      <c r="Z2811" s="569">
        <v>4653.91</v>
      </c>
      <c r="AA2811" s="569">
        <v>4392.38</v>
      </c>
      <c r="AB2811" s="569">
        <v>3999.03</v>
      </c>
      <c r="AC2811" s="569">
        <v>4263.03</v>
      </c>
      <c r="AD2811" s="569">
        <v>4434</v>
      </c>
      <c r="AE2811" s="569">
        <v>4450.3</v>
      </c>
      <c r="AF2811" s="569">
        <v>5002.9799999999996</v>
      </c>
      <c r="AG2811" s="569">
        <v>4915.97</v>
      </c>
      <c r="AH2811" s="569">
        <v>4499.57</v>
      </c>
      <c r="AI2811" s="569">
        <v>4280.05</v>
      </c>
      <c r="AJ2811" s="569">
        <v>4461.93</v>
      </c>
      <c r="AK2811" s="569">
        <v>4523.63</v>
      </c>
      <c r="AL2811" s="569">
        <v>4860.1099999999997</v>
      </c>
      <c r="AM2811" s="569">
        <v>5088.03</v>
      </c>
      <c r="AN2811" s="569">
        <v>5048.87</v>
      </c>
      <c r="AO2811" s="569">
        <v>5135.3</v>
      </c>
    </row>
    <row r="2812" spans="2:41" s="330" customFormat="1" hidden="1" outlineLevel="1">
      <c r="B2812" s="582">
        <v>3590</v>
      </c>
      <c r="C2812" s="375" t="s">
        <v>1393</v>
      </c>
      <c r="D2812" s="226"/>
      <c r="E2812" s="375" t="s">
        <v>126</v>
      </c>
      <c r="F2812" s="226"/>
      <c r="G2812" s="226"/>
      <c r="H2812" s="226"/>
      <c r="I2812" s="226"/>
      <c r="J2812" s="226"/>
      <c r="K2812" s="574"/>
      <c r="L2812" s="574"/>
      <c r="M2812" s="574"/>
      <c r="N2812" s="574"/>
      <c r="O2812" s="574"/>
      <c r="P2812" s="569">
        <v>4355.76</v>
      </c>
      <c r="Q2812" s="569">
        <v>4219.6099999999997</v>
      </c>
      <c r="R2812" s="569">
        <v>4306.47</v>
      </c>
      <c r="S2812" s="569">
        <v>4292.2700000000004</v>
      </c>
      <c r="T2812" s="569">
        <v>4374.21</v>
      </c>
      <c r="U2812" s="569">
        <v>4483.2299999999996</v>
      </c>
      <c r="V2812" s="569">
        <v>4375.4399999999996</v>
      </c>
      <c r="W2812" s="569">
        <v>4437.68</v>
      </c>
      <c r="X2812" s="569">
        <v>5088.8599999999997</v>
      </c>
      <c r="Y2812" s="569">
        <v>5463.54</v>
      </c>
      <c r="Z2812" s="569">
        <v>3799.49</v>
      </c>
      <c r="AA2812" s="569">
        <v>4055.23</v>
      </c>
      <c r="AB2812" s="569">
        <v>5955.73</v>
      </c>
      <c r="AC2812" s="569">
        <v>6006.14</v>
      </c>
      <c r="AD2812" s="569">
        <v>6160.14</v>
      </c>
      <c r="AE2812" s="569">
        <v>6285.06</v>
      </c>
      <c r="AF2812" s="569">
        <v>7364.13</v>
      </c>
      <c r="AG2812" s="569">
        <v>7690.33</v>
      </c>
      <c r="AH2812" s="569">
        <v>7605.71</v>
      </c>
      <c r="AI2812" s="569">
        <v>7004.24</v>
      </c>
      <c r="AJ2812" s="569">
        <v>6469.43</v>
      </c>
      <c r="AK2812" s="569">
        <v>6253</v>
      </c>
      <c r="AL2812" s="569">
        <v>6268.72</v>
      </c>
      <c r="AM2812" s="569">
        <v>6303.58</v>
      </c>
      <c r="AN2812" s="569">
        <v>6390.84</v>
      </c>
      <c r="AO2812" s="569">
        <v>6359.06</v>
      </c>
    </row>
    <row r="2813" spans="2:41" s="330" customFormat="1" hidden="1" outlineLevel="1">
      <c r="B2813" s="582">
        <v>3593</v>
      </c>
      <c r="C2813" s="375" t="s">
        <v>1393</v>
      </c>
      <c r="D2813" s="226"/>
      <c r="E2813" s="375" t="s">
        <v>128</v>
      </c>
      <c r="F2813" s="226"/>
      <c r="G2813" s="226"/>
      <c r="H2813" s="226"/>
      <c r="I2813" s="226"/>
      <c r="J2813" s="226"/>
      <c r="K2813" s="574"/>
      <c r="L2813" s="574"/>
      <c r="M2813" s="574"/>
      <c r="N2813" s="574"/>
      <c r="O2813" s="574"/>
      <c r="P2813" s="569">
        <v>2680.86</v>
      </c>
      <c r="Q2813" s="569">
        <v>2633.46</v>
      </c>
      <c r="R2813" s="569">
        <v>2583.94</v>
      </c>
      <c r="S2813" s="569">
        <v>2839</v>
      </c>
      <c r="T2813" s="569">
        <v>2852.19</v>
      </c>
      <c r="U2813" s="569">
        <v>2907.03</v>
      </c>
      <c r="V2813" s="569">
        <v>3069.49</v>
      </c>
      <c r="W2813" s="569">
        <v>3385.3</v>
      </c>
      <c r="X2813" s="569">
        <v>3809.97</v>
      </c>
      <c r="Y2813" s="569">
        <v>4225.1099999999997</v>
      </c>
      <c r="Z2813" s="569">
        <v>6725.89</v>
      </c>
      <c r="AA2813" s="569">
        <v>6730.19</v>
      </c>
      <c r="AB2813" s="569">
        <v>5185.6000000000004</v>
      </c>
      <c r="AC2813" s="569">
        <v>5369.75</v>
      </c>
      <c r="AD2813" s="569">
        <v>5877.38</v>
      </c>
      <c r="AE2813" s="569">
        <v>6422.45</v>
      </c>
      <c r="AF2813" s="569">
        <v>7743.65</v>
      </c>
      <c r="AG2813" s="569">
        <v>8298.7800000000007</v>
      </c>
      <c r="AH2813" s="569">
        <v>8267</v>
      </c>
      <c r="AI2813" s="569">
        <v>7943.8</v>
      </c>
      <c r="AJ2813" s="569">
        <v>7637.15</v>
      </c>
      <c r="AK2813" s="569">
        <v>7221.97</v>
      </c>
      <c r="AL2813" s="569">
        <v>6669.26</v>
      </c>
      <c r="AM2813" s="569">
        <v>6346.51</v>
      </c>
      <c r="AN2813" s="569">
        <v>6263.61</v>
      </c>
      <c r="AO2813" s="569">
        <v>6012.67</v>
      </c>
    </row>
    <row r="2814" spans="2:41" s="330" customFormat="1" hidden="1" outlineLevel="1">
      <c r="B2814" s="582">
        <v>3596</v>
      </c>
      <c r="C2814" s="375" t="s">
        <v>1393</v>
      </c>
      <c r="D2814" s="226"/>
      <c r="E2814" s="375" t="s">
        <v>131</v>
      </c>
      <c r="F2814" s="226"/>
      <c r="G2814" s="226"/>
      <c r="H2814" s="226"/>
      <c r="I2814" s="226"/>
      <c r="J2814" s="226"/>
      <c r="K2814" s="574"/>
      <c r="L2814" s="574"/>
      <c r="M2814" s="574"/>
      <c r="N2814" s="574"/>
      <c r="O2814" s="574"/>
      <c r="P2814" s="569">
        <v>3463.39</v>
      </c>
      <c r="Q2814" s="569">
        <v>3189.42</v>
      </c>
      <c r="R2814" s="569">
        <v>3201.99</v>
      </c>
      <c r="S2814" s="569">
        <v>3327.58</v>
      </c>
      <c r="T2814" s="569">
        <v>3344.2</v>
      </c>
      <c r="U2814" s="569">
        <v>3342.52</v>
      </c>
      <c r="V2814" s="569">
        <v>3308.49</v>
      </c>
      <c r="W2814" s="569">
        <v>3291.08</v>
      </c>
      <c r="X2814" s="569">
        <v>3440.61</v>
      </c>
      <c r="Y2814" s="569">
        <v>3811.03</v>
      </c>
      <c r="Z2814" s="569">
        <v>3610.13</v>
      </c>
      <c r="AA2814" s="569">
        <v>4061.15</v>
      </c>
      <c r="AB2814" s="569">
        <v>3600.98</v>
      </c>
      <c r="AC2814" s="569">
        <v>3172.33</v>
      </c>
      <c r="AD2814" s="569">
        <v>3208.39</v>
      </c>
      <c r="AE2814" s="569">
        <v>3261.53</v>
      </c>
      <c r="AF2814" s="569">
        <v>3720.05</v>
      </c>
      <c r="AG2814" s="569">
        <v>3697.49</v>
      </c>
      <c r="AH2814" s="569">
        <v>3614.33</v>
      </c>
      <c r="AI2814" s="569">
        <v>3472.37</v>
      </c>
      <c r="AJ2814" s="569">
        <v>3503.47</v>
      </c>
      <c r="AK2814" s="569">
        <v>3569.85</v>
      </c>
      <c r="AL2814" s="569">
        <v>3712.21</v>
      </c>
      <c r="AM2814" s="569">
        <v>4233.34</v>
      </c>
      <c r="AN2814" s="569">
        <v>4175.8599999999997</v>
      </c>
      <c r="AO2814" s="569">
        <v>4393.09</v>
      </c>
    </row>
    <row r="2815" spans="2:41" s="330" customFormat="1" hidden="1" outlineLevel="1">
      <c r="B2815" s="582">
        <v>3600</v>
      </c>
      <c r="C2815" s="375" t="s">
        <v>1393</v>
      </c>
      <c r="D2815" s="226"/>
      <c r="E2815" s="375" t="s">
        <v>132</v>
      </c>
      <c r="F2815" s="226"/>
      <c r="G2815" s="226"/>
      <c r="H2815" s="226"/>
      <c r="I2815" s="226"/>
      <c r="J2815" s="226"/>
      <c r="K2815" s="574"/>
      <c r="L2815" s="574"/>
      <c r="M2815" s="574"/>
      <c r="N2815" s="574"/>
      <c r="O2815" s="574"/>
      <c r="P2815" s="569">
        <v>1375.74</v>
      </c>
      <c r="Q2815" s="569">
        <v>1261.8599999999999</v>
      </c>
      <c r="R2815" s="569">
        <v>1357.07</v>
      </c>
      <c r="S2815" s="569">
        <v>1376.89</v>
      </c>
      <c r="T2815" s="569">
        <v>1334.38</v>
      </c>
      <c r="U2815" s="569">
        <v>1312.62</v>
      </c>
      <c r="V2815" s="569">
        <v>1351.17</v>
      </c>
      <c r="W2815" s="569">
        <v>1274.48</v>
      </c>
      <c r="X2815" s="569">
        <v>1304.48</v>
      </c>
      <c r="Y2815" s="569">
        <v>1405.19</v>
      </c>
      <c r="Z2815" s="569">
        <v>1346.52</v>
      </c>
      <c r="AA2815" s="569">
        <v>1433.8</v>
      </c>
      <c r="AB2815" s="569">
        <v>1441.66</v>
      </c>
      <c r="AC2815" s="569">
        <v>1404.53</v>
      </c>
      <c r="AD2815" s="569">
        <v>1413.23</v>
      </c>
      <c r="AE2815" s="569">
        <v>1485.74</v>
      </c>
      <c r="AF2815" s="569">
        <v>1589.25</v>
      </c>
      <c r="AG2815" s="569">
        <v>1670.07</v>
      </c>
      <c r="AH2815" s="569">
        <v>1814.7</v>
      </c>
      <c r="AI2815" s="569">
        <v>1879.05</v>
      </c>
      <c r="AJ2815" s="569">
        <v>1950.68</v>
      </c>
      <c r="AK2815" s="569">
        <v>1929.04</v>
      </c>
      <c r="AL2815" s="569">
        <v>1973.29</v>
      </c>
      <c r="AM2815" s="569">
        <v>1964.74</v>
      </c>
      <c r="AN2815" s="569">
        <v>2000.53</v>
      </c>
      <c r="AO2815" s="569">
        <v>1874.55</v>
      </c>
    </row>
    <row r="2816" spans="2:41" s="330" customFormat="1" hidden="1" outlineLevel="1">
      <c r="B2816" s="582">
        <v>3601</v>
      </c>
      <c r="C2816" s="375" t="s">
        <v>1393</v>
      </c>
      <c r="D2816" s="226"/>
      <c r="E2816" s="375" t="s">
        <v>133</v>
      </c>
      <c r="F2816" s="226"/>
      <c r="G2816" s="226"/>
      <c r="H2816" s="226"/>
      <c r="I2816" s="226"/>
      <c r="J2816" s="226"/>
      <c r="K2816" s="574"/>
      <c r="L2816" s="574"/>
      <c r="M2816" s="574"/>
      <c r="N2816" s="574"/>
      <c r="O2816" s="574"/>
      <c r="P2816" s="569">
        <v>1953.65</v>
      </c>
      <c r="Q2816" s="569">
        <v>1924.59</v>
      </c>
      <c r="R2816" s="569">
        <v>2042.05</v>
      </c>
      <c r="S2816" s="569">
        <v>2126.12</v>
      </c>
      <c r="T2816" s="569">
        <v>2107.6799999999998</v>
      </c>
      <c r="U2816" s="569">
        <v>2274.64</v>
      </c>
      <c r="V2816" s="569">
        <v>2115.4499999999998</v>
      </c>
      <c r="W2816" s="569">
        <v>2206.4699999999998</v>
      </c>
      <c r="X2816" s="569">
        <v>2477.7399999999998</v>
      </c>
      <c r="Y2816" s="569">
        <v>2805.61</v>
      </c>
      <c r="Z2816" s="569">
        <v>3030.8</v>
      </c>
      <c r="AA2816" s="569">
        <v>3016.68</v>
      </c>
      <c r="AB2816" s="569">
        <v>3049.9</v>
      </c>
      <c r="AC2816" s="569">
        <v>3034.92</v>
      </c>
      <c r="AD2816" s="569">
        <v>3123.29</v>
      </c>
      <c r="AE2816" s="569">
        <v>3462.89</v>
      </c>
      <c r="AF2816" s="569">
        <v>4345.49</v>
      </c>
      <c r="AG2816" s="569">
        <v>4525.04</v>
      </c>
      <c r="AH2816" s="569">
        <v>4359.66</v>
      </c>
      <c r="AI2816" s="569">
        <v>3957.71</v>
      </c>
      <c r="AJ2816" s="569">
        <v>3996.89</v>
      </c>
      <c r="AK2816" s="569">
        <v>3750.82</v>
      </c>
      <c r="AL2816" s="569">
        <v>3573.27</v>
      </c>
      <c r="AM2816" s="569">
        <v>3299.32</v>
      </c>
      <c r="AN2816" s="569">
        <v>3165.67</v>
      </c>
      <c r="AO2816" s="569">
        <v>3435.88</v>
      </c>
    </row>
    <row r="2817" spans="2:41" s="330" customFormat="1" hidden="1" outlineLevel="1">
      <c r="B2817" s="582">
        <v>3603</v>
      </c>
      <c r="C2817" s="375" t="s">
        <v>1393</v>
      </c>
      <c r="D2817" s="226"/>
      <c r="E2817" s="375" t="s">
        <v>134</v>
      </c>
      <c r="F2817" s="226"/>
      <c r="G2817" s="226"/>
      <c r="H2817" s="226"/>
      <c r="I2817" s="226"/>
      <c r="J2817" s="226"/>
      <c r="K2817" s="574"/>
      <c r="L2817" s="574"/>
      <c r="M2817" s="574"/>
      <c r="N2817" s="574"/>
      <c r="O2817" s="574"/>
      <c r="P2817" s="569">
        <v>704.2</v>
      </c>
      <c r="Q2817" s="569">
        <v>714.66</v>
      </c>
      <c r="R2817" s="569">
        <v>699.41</v>
      </c>
      <c r="S2817" s="569">
        <v>710.37</v>
      </c>
      <c r="T2817" s="569">
        <v>694.58</v>
      </c>
      <c r="U2817" s="569">
        <v>678.34</v>
      </c>
      <c r="V2817" s="569">
        <v>666.24</v>
      </c>
      <c r="W2817" s="569">
        <v>715.32</v>
      </c>
      <c r="X2817" s="569">
        <v>671.25</v>
      </c>
      <c r="Y2817" s="569">
        <v>689.17</v>
      </c>
      <c r="Z2817" s="569">
        <v>612.17999999999995</v>
      </c>
      <c r="AA2817" s="569">
        <v>645.4</v>
      </c>
      <c r="AB2817" s="569">
        <v>638.73</v>
      </c>
      <c r="AC2817" s="569">
        <v>651.04</v>
      </c>
      <c r="AD2817" s="569">
        <v>616.75</v>
      </c>
      <c r="AE2817" s="569">
        <v>621.51</v>
      </c>
      <c r="AF2817" s="569">
        <v>746.52</v>
      </c>
      <c r="AG2817" s="569">
        <v>1083.06</v>
      </c>
      <c r="AH2817" s="569">
        <v>1313.81</v>
      </c>
      <c r="AI2817" s="569">
        <v>1462.93</v>
      </c>
      <c r="AJ2817" s="569">
        <v>1429.9</v>
      </c>
      <c r="AK2817" s="569">
        <v>1571.4</v>
      </c>
      <c r="AL2817" s="569">
        <v>1589.68</v>
      </c>
      <c r="AM2817" s="569">
        <v>1612.2</v>
      </c>
      <c r="AN2817" s="569">
        <v>1637.56</v>
      </c>
      <c r="AO2817" s="569">
        <v>1623.79</v>
      </c>
    </row>
    <row r="2818" spans="2:41" s="330" customFormat="1" hidden="1" outlineLevel="1">
      <c r="B2818" s="582">
        <v>3607</v>
      </c>
      <c r="C2818" s="375" t="s">
        <v>1393</v>
      </c>
      <c r="D2818" s="226"/>
      <c r="E2818" s="375" t="s">
        <v>1407</v>
      </c>
      <c r="F2818" s="226"/>
      <c r="G2818" s="226"/>
      <c r="H2818" s="226"/>
      <c r="I2818" s="226"/>
      <c r="J2818" s="226"/>
      <c r="K2818" s="574"/>
      <c r="L2818" s="574"/>
      <c r="M2818" s="574"/>
      <c r="N2818" s="574"/>
      <c r="O2818" s="574"/>
      <c r="P2818" s="569">
        <v>23075.279999999999</v>
      </c>
      <c r="Q2818" s="569">
        <v>23482.940000000002</v>
      </c>
      <c r="R2818" s="569">
        <v>24270.46</v>
      </c>
      <c r="S2818" s="569">
        <v>25141.03</v>
      </c>
      <c r="T2818" s="569">
        <v>25539.5</v>
      </c>
      <c r="U2818" s="569">
        <v>25202.370000000003</v>
      </c>
      <c r="V2818" s="569">
        <v>26025.010000000002</v>
      </c>
      <c r="W2818" s="569">
        <v>26816.78</v>
      </c>
      <c r="X2818" s="569">
        <v>29535.66</v>
      </c>
      <c r="Y2818" s="569">
        <v>32281.66</v>
      </c>
      <c r="Z2818" s="569">
        <v>34205.490000000005</v>
      </c>
      <c r="AA2818" s="569">
        <v>34693.58</v>
      </c>
      <c r="AB2818" s="569">
        <v>33775.839999999997</v>
      </c>
      <c r="AC2818" s="569">
        <v>34098.620000000003</v>
      </c>
      <c r="AD2818" s="569">
        <v>34756.28</v>
      </c>
      <c r="AE2818" s="569">
        <v>36891.5</v>
      </c>
      <c r="AF2818" s="569">
        <v>41725.819999999992</v>
      </c>
      <c r="AG2818" s="569">
        <v>39161.96</v>
      </c>
      <c r="AH2818" s="569">
        <v>39850.259999999995</v>
      </c>
      <c r="AI2818" s="569">
        <v>36848.950000000004</v>
      </c>
      <c r="AJ2818" s="569">
        <v>36022.770000000004</v>
      </c>
      <c r="AK2818" s="569">
        <v>35345.5</v>
      </c>
      <c r="AL2818" s="569">
        <v>35535.480000000003</v>
      </c>
      <c r="AM2818" s="569">
        <v>35382.07</v>
      </c>
      <c r="AN2818" s="569">
        <v>36189.519999999997</v>
      </c>
      <c r="AO2818" s="569">
        <v>35522.699999999997</v>
      </c>
    </row>
    <row r="2819" spans="2:41" s="330" customFormat="1" hidden="1" outlineLevel="1">
      <c r="B2819" s="582">
        <v>3611</v>
      </c>
      <c r="C2819" s="375" t="s">
        <v>1393</v>
      </c>
      <c r="D2819" s="226"/>
      <c r="E2819" s="375" t="s">
        <v>136</v>
      </c>
      <c r="F2819" s="226"/>
      <c r="G2819" s="226"/>
      <c r="H2819" s="226"/>
      <c r="I2819" s="226"/>
      <c r="J2819" s="226"/>
      <c r="K2819" s="574"/>
      <c r="L2819" s="574"/>
      <c r="M2819" s="574"/>
      <c r="N2819" s="574"/>
      <c r="O2819" s="574"/>
      <c r="P2819" s="569">
        <v>4610.46</v>
      </c>
      <c r="Q2819" s="569">
        <v>4606.54</v>
      </c>
      <c r="R2819" s="569">
        <v>4433.49</v>
      </c>
      <c r="S2819" s="569">
        <v>4547.24</v>
      </c>
      <c r="T2819" s="569">
        <v>4942.24</v>
      </c>
      <c r="U2819" s="569">
        <v>5056.8999999999996</v>
      </c>
      <c r="V2819" s="569">
        <v>5174.92</v>
      </c>
      <c r="W2819" s="569">
        <v>5446.03</v>
      </c>
      <c r="X2819" s="569">
        <v>6075.44</v>
      </c>
      <c r="Y2819" s="569">
        <v>6517.02</v>
      </c>
      <c r="Z2819" s="569">
        <v>6934.76</v>
      </c>
      <c r="AA2819" s="569">
        <v>7003.73</v>
      </c>
      <c r="AB2819" s="569">
        <v>6714.68</v>
      </c>
      <c r="AC2819" s="569">
        <v>6716.28</v>
      </c>
      <c r="AD2819" s="569">
        <v>6725.2</v>
      </c>
      <c r="AE2819" s="569">
        <v>6899.43</v>
      </c>
      <c r="AF2819" s="569">
        <v>7609.31</v>
      </c>
      <c r="AG2819" s="569">
        <v>7568.11</v>
      </c>
      <c r="AH2819" s="569">
        <v>7430.88</v>
      </c>
      <c r="AI2819" s="569">
        <v>7220.34</v>
      </c>
      <c r="AJ2819" s="569">
        <v>6942.12</v>
      </c>
      <c r="AK2819" s="569">
        <v>7027.94</v>
      </c>
      <c r="AL2819" s="569">
        <v>6752.08</v>
      </c>
      <c r="AM2819" s="569">
        <v>6658.42</v>
      </c>
      <c r="AN2819" s="569">
        <v>6605.32</v>
      </c>
      <c r="AO2819" s="569">
        <v>6271.12</v>
      </c>
    </row>
    <row r="2820" spans="2:41" s="330" customFormat="1" hidden="1" outlineLevel="1">
      <c r="B2820" s="582">
        <v>3614</v>
      </c>
      <c r="C2820" s="375" t="s">
        <v>1393</v>
      </c>
      <c r="D2820" s="226"/>
      <c r="E2820" s="375" t="s">
        <v>138</v>
      </c>
      <c r="F2820" s="226"/>
      <c r="G2820" s="226"/>
      <c r="H2820" s="226"/>
      <c r="I2820" s="226"/>
      <c r="J2820" s="226"/>
      <c r="K2820" s="574"/>
      <c r="L2820" s="574"/>
      <c r="M2820" s="574"/>
      <c r="N2820" s="574"/>
      <c r="O2820" s="574"/>
      <c r="P2820" s="569">
        <v>2222.12</v>
      </c>
      <c r="Q2820" s="569">
        <v>2361.36</v>
      </c>
      <c r="R2820" s="569">
        <v>2360.9</v>
      </c>
      <c r="S2820" s="569">
        <v>2414.6799999999998</v>
      </c>
      <c r="T2820" s="569">
        <v>2659.09</v>
      </c>
      <c r="U2820" s="569">
        <v>2630.52</v>
      </c>
      <c r="V2820" s="569">
        <v>2600.79</v>
      </c>
      <c r="W2820" s="569">
        <v>2656.35</v>
      </c>
      <c r="X2820" s="569">
        <v>2792.03</v>
      </c>
      <c r="Y2820" s="569">
        <v>3085.47</v>
      </c>
      <c r="Z2820" s="569">
        <v>3406.86</v>
      </c>
      <c r="AA2820" s="569">
        <v>3613.73</v>
      </c>
      <c r="AB2820" s="569">
        <v>3474.81</v>
      </c>
      <c r="AC2820" s="569">
        <v>3359.74</v>
      </c>
      <c r="AD2820" s="569">
        <v>3261.98</v>
      </c>
      <c r="AE2820" s="569">
        <v>3469.66</v>
      </c>
      <c r="AF2820" s="569">
        <v>4018.52</v>
      </c>
      <c r="AG2820" s="569">
        <v>4069.67</v>
      </c>
      <c r="AH2820" s="569">
        <v>3628.83</v>
      </c>
      <c r="AI2820" s="569">
        <v>3754.71</v>
      </c>
      <c r="AJ2820" s="569">
        <v>3417.45</v>
      </c>
      <c r="AK2820" s="569">
        <v>3488.94</v>
      </c>
      <c r="AL2820" s="569">
        <v>3473.1</v>
      </c>
      <c r="AM2820" s="569">
        <v>3714.85</v>
      </c>
      <c r="AN2820" s="569">
        <v>4047</v>
      </c>
      <c r="AO2820" s="569">
        <v>4159.3</v>
      </c>
    </row>
    <row r="2821" spans="2:41" s="330" customFormat="1" hidden="1" outlineLevel="1">
      <c r="B2821" s="582">
        <v>3626</v>
      </c>
      <c r="C2821" s="375" t="s">
        <v>1393</v>
      </c>
      <c r="D2821" s="226"/>
      <c r="E2821" s="375" t="s">
        <v>1408</v>
      </c>
      <c r="F2821" s="226"/>
      <c r="G2821" s="226"/>
      <c r="H2821" s="226"/>
      <c r="I2821" s="226"/>
      <c r="J2821" s="226"/>
      <c r="K2821" s="574"/>
      <c r="L2821" s="574"/>
      <c r="M2821" s="574"/>
      <c r="N2821" s="574"/>
      <c r="O2821" s="574"/>
      <c r="P2821" s="569">
        <v>17183.550000000003</v>
      </c>
      <c r="Q2821" s="569">
        <v>16483.060000000001</v>
      </c>
      <c r="R2821" s="569">
        <v>16054.779999999999</v>
      </c>
      <c r="S2821" s="569">
        <v>16327.259999999998</v>
      </c>
      <c r="T2821" s="569">
        <v>17084.09</v>
      </c>
      <c r="U2821" s="569">
        <v>17689.57</v>
      </c>
      <c r="V2821" s="569">
        <v>17791.599999999999</v>
      </c>
      <c r="W2821" s="569">
        <v>18719.519999999997</v>
      </c>
      <c r="X2821" s="569">
        <v>20577.27</v>
      </c>
      <c r="Y2821" s="569">
        <v>22167.86</v>
      </c>
      <c r="Z2821" s="569">
        <v>22525.42</v>
      </c>
      <c r="AA2821" s="569">
        <v>23861.329999999998</v>
      </c>
      <c r="AB2821" s="569">
        <v>23897.89</v>
      </c>
      <c r="AC2821" s="569">
        <v>23658.29</v>
      </c>
      <c r="AD2821" s="569">
        <v>25564.54</v>
      </c>
      <c r="AE2821" s="569">
        <v>27840.690000000002</v>
      </c>
      <c r="AF2821" s="569">
        <v>32278.43</v>
      </c>
      <c r="AG2821" s="569">
        <v>34015.229999999996</v>
      </c>
      <c r="AH2821" s="569">
        <v>34158.28</v>
      </c>
      <c r="AI2821" s="569">
        <v>34502.79</v>
      </c>
      <c r="AJ2821" s="569">
        <v>34248.069999999992</v>
      </c>
      <c r="AK2821" s="569">
        <v>33201.99</v>
      </c>
      <c r="AL2821" s="569">
        <v>32919.949999999997</v>
      </c>
      <c r="AM2821" s="569">
        <v>32457.89</v>
      </c>
      <c r="AN2821" s="569">
        <v>33057.199999999997</v>
      </c>
      <c r="AO2821" s="569">
        <v>31855.119999999999</v>
      </c>
    </row>
    <row r="2822" spans="2:41" s="330" customFormat="1" hidden="1" outlineLevel="1">
      <c r="B2822" s="582">
        <v>3627</v>
      </c>
      <c r="C2822" s="375" t="s">
        <v>1393</v>
      </c>
      <c r="D2822" s="226"/>
      <c r="E2822" s="375" t="s">
        <v>1409</v>
      </c>
      <c r="F2822" s="226"/>
      <c r="G2822" s="226"/>
      <c r="H2822" s="226"/>
      <c r="I2822" s="226"/>
      <c r="J2822" s="226"/>
      <c r="K2822" s="574"/>
      <c r="L2822" s="574"/>
      <c r="M2822" s="574"/>
      <c r="N2822" s="574"/>
      <c r="O2822" s="574"/>
      <c r="P2822" s="569">
        <v>1825.64</v>
      </c>
      <c r="Q2822" s="569">
        <v>1746.18</v>
      </c>
      <c r="R2822" s="569">
        <v>1723.81</v>
      </c>
      <c r="S2822" s="569">
        <v>1854.8</v>
      </c>
      <c r="T2822" s="569">
        <v>1948.14</v>
      </c>
      <c r="U2822" s="569">
        <v>2107.8200000000002</v>
      </c>
      <c r="V2822" s="569">
        <v>2238.92</v>
      </c>
      <c r="W2822" s="569">
        <v>2347.4499999999998</v>
      </c>
      <c r="X2822" s="569">
        <v>2469.75</v>
      </c>
      <c r="Y2822" s="569">
        <v>2578.35</v>
      </c>
      <c r="Z2822" s="569">
        <v>2660.12</v>
      </c>
      <c r="AA2822" s="569">
        <v>2749.41</v>
      </c>
      <c r="AB2822" s="569">
        <v>2663.67</v>
      </c>
      <c r="AC2822" s="569">
        <v>3024.96</v>
      </c>
      <c r="AD2822" s="569">
        <v>3352.59</v>
      </c>
      <c r="AE2822" s="569">
        <v>3667.12</v>
      </c>
      <c r="AF2822" s="569">
        <v>4116.32</v>
      </c>
      <c r="AG2822" s="569">
        <v>4232.66</v>
      </c>
      <c r="AH2822" s="569">
        <v>4145.33</v>
      </c>
      <c r="AI2822" s="569">
        <v>3933.29</v>
      </c>
      <c r="AJ2822" s="569">
        <v>3907.47</v>
      </c>
      <c r="AK2822" s="569">
        <v>3674.34</v>
      </c>
      <c r="AL2822" s="569">
        <v>3544.93</v>
      </c>
      <c r="AM2822" s="569">
        <v>3358.01</v>
      </c>
      <c r="AN2822" s="569">
        <v>3359.62</v>
      </c>
      <c r="AO2822" s="569">
        <v>3283.78</v>
      </c>
    </row>
    <row r="2823" spans="2:41" s="330" customFormat="1" hidden="1" outlineLevel="1">
      <c r="B2823" s="582">
        <v>3628</v>
      </c>
      <c r="C2823" s="375" t="s">
        <v>1393</v>
      </c>
      <c r="D2823" s="226"/>
      <c r="E2823" s="375" t="s">
        <v>141</v>
      </c>
      <c r="F2823" s="226"/>
      <c r="G2823" s="226"/>
      <c r="H2823" s="226"/>
      <c r="I2823" s="226"/>
      <c r="J2823" s="226"/>
      <c r="K2823" s="574"/>
      <c r="L2823" s="574"/>
      <c r="M2823" s="574"/>
      <c r="N2823" s="574"/>
      <c r="O2823" s="574"/>
      <c r="P2823" s="569">
        <v>3217.36</v>
      </c>
      <c r="Q2823" s="569">
        <v>3320.33</v>
      </c>
      <c r="R2823" s="569">
        <v>3071.66</v>
      </c>
      <c r="S2823" s="569">
        <v>3131.88</v>
      </c>
      <c r="T2823" s="569">
        <v>3020.84</v>
      </c>
      <c r="U2823" s="569">
        <v>3024.19</v>
      </c>
      <c r="V2823" s="569">
        <v>2985.09</v>
      </c>
      <c r="W2823" s="569">
        <v>3003.12</v>
      </c>
      <c r="X2823" s="569">
        <v>3169.18</v>
      </c>
      <c r="Y2823" s="569">
        <v>3201.91</v>
      </c>
      <c r="Z2823" s="569">
        <v>3496.3</v>
      </c>
      <c r="AA2823" s="569">
        <v>3431.08</v>
      </c>
      <c r="AB2823" s="569">
        <v>3248.11</v>
      </c>
      <c r="AC2823" s="569">
        <v>3223.11</v>
      </c>
      <c r="AD2823" s="569">
        <v>3416.05</v>
      </c>
      <c r="AE2823" s="569">
        <v>3533.1</v>
      </c>
      <c r="AF2823" s="569">
        <v>3761.57</v>
      </c>
      <c r="AG2823" s="569">
        <v>3370.69</v>
      </c>
      <c r="AH2823" s="569">
        <v>3202.22</v>
      </c>
      <c r="AI2823" s="569">
        <v>2817.81</v>
      </c>
      <c r="AJ2823" s="569">
        <v>2981.46</v>
      </c>
      <c r="AK2823" s="569">
        <v>2910.85</v>
      </c>
      <c r="AL2823" s="569">
        <v>2862.99</v>
      </c>
      <c r="AM2823" s="569">
        <v>3028</v>
      </c>
      <c r="AN2823" s="569">
        <v>2925.14</v>
      </c>
      <c r="AO2823" s="569">
        <v>2989.53</v>
      </c>
    </row>
    <row r="2824" spans="2:41" s="330" customFormat="1" hidden="1" outlineLevel="1">
      <c r="B2824" s="582">
        <v>3643</v>
      </c>
      <c r="C2824" s="375" t="s">
        <v>1393</v>
      </c>
      <c r="D2824" s="226"/>
      <c r="E2824" s="375" t="s">
        <v>142</v>
      </c>
      <c r="F2824" s="226"/>
      <c r="G2824" s="226"/>
      <c r="H2824" s="226"/>
      <c r="I2824" s="226"/>
      <c r="J2824" s="226"/>
      <c r="K2824" s="574"/>
      <c r="L2824" s="574"/>
      <c r="M2824" s="574"/>
      <c r="N2824" s="574"/>
      <c r="O2824" s="574"/>
      <c r="P2824" s="569">
        <v>4642.37</v>
      </c>
      <c r="Q2824" s="569">
        <v>4917.16</v>
      </c>
      <c r="R2824" s="569">
        <v>4900.25</v>
      </c>
      <c r="S2824" s="569">
        <v>5230.53</v>
      </c>
      <c r="T2824" s="569">
        <v>5330.32</v>
      </c>
      <c r="U2824" s="569">
        <v>5133.2299999999996</v>
      </c>
      <c r="V2824" s="569">
        <v>5368.01</v>
      </c>
      <c r="W2824" s="569">
        <v>5223.58</v>
      </c>
      <c r="X2824" s="569">
        <v>5154.53</v>
      </c>
      <c r="Y2824" s="569">
        <v>5638.12</v>
      </c>
      <c r="Z2824" s="569">
        <v>6077.28</v>
      </c>
      <c r="AA2824" s="569">
        <v>6254.15</v>
      </c>
      <c r="AB2824" s="569">
        <v>6400.16</v>
      </c>
      <c r="AC2824" s="569">
        <v>6930.77</v>
      </c>
      <c r="AD2824" s="569">
        <v>6563.45</v>
      </c>
      <c r="AE2824" s="569">
        <v>6152.92</v>
      </c>
      <c r="AF2824" s="569">
        <v>6689.15</v>
      </c>
      <c r="AG2824" s="569">
        <v>6684.28</v>
      </c>
      <c r="AH2824" s="569">
        <v>5978.86</v>
      </c>
      <c r="AI2824" s="569">
        <v>2959.06</v>
      </c>
      <c r="AJ2824" s="569">
        <v>2391.2399999999998</v>
      </c>
      <c r="AK2824" s="569">
        <v>2460.33</v>
      </c>
      <c r="AL2824" s="569">
        <v>2406.2800000000002</v>
      </c>
      <c r="AM2824" s="569">
        <v>2858.3</v>
      </c>
      <c r="AN2824" s="569">
        <v>3519.37</v>
      </c>
      <c r="AO2824" s="569">
        <v>3922.23</v>
      </c>
    </row>
    <row r="2825" spans="2:41" s="330" customFormat="1" hidden="1" outlineLevel="1">
      <c r="B2825" s="582">
        <v>3648</v>
      </c>
      <c r="C2825" s="375" t="s">
        <v>1393</v>
      </c>
      <c r="D2825" s="226"/>
      <c r="E2825" s="375" t="s">
        <v>144</v>
      </c>
      <c r="F2825" s="226"/>
      <c r="G2825" s="226"/>
      <c r="H2825" s="226"/>
      <c r="I2825" s="226"/>
      <c r="J2825" s="226"/>
      <c r="K2825" s="574"/>
      <c r="L2825" s="574"/>
      <c r="M2825" s="574"/>
      <c r="N2825" s="574"/>
      <c r="O2825" s="574"/>
      <c r="P2825" s="569">
        <v>5813.57</v>
      </c>
      <c r="Q2825" s="569">
        <v>5590.29</v>
      </c>
      <c r="R2825" s="569">
        <v>5691.81</v>
      </c>
      <c r="S2825" s="569">
        <v>5870.82</v>
      </c>
      <c r="T2825" s="569">
        <v>6216.4</v>
      </c>
      <c r="U2825" s="569">
        <v>6227.86</v>
      </c>
      <c r="V2825" s="569">
        <v>6466.64</v>
      </c>
      <c r="W2825" s="569">
        <v>6474.76</v>
      </c>
      <c r="X2825" s="569">
        <v>6829.64</v>
      </c>
      <c r="Y2825" s="569">
        <v>7378.75</v>
      </c>
      <c r="Z2825" s="569">
        <v>7494.52</v>
      </c>
      <c r="AA2825" s="569">
        <v>7479.43</v>
      </c>
      <c r="AB2825" s="569">
        <v>7259.17</v>
      </c>
      <c r="AC2825" s="569">
        <v>7233.97</v>
      </c>
      <c r="AD2825" s="569">
        <v>7340.51</v>
      </c>
      <c r="AE2825" s="569">
        <v>7927.07</v>
      </c>
      <c r="AF2825" s="569">
        <v>8987.2900000000009</v>
      </c>
      <c r="AG2825" s="569">
        <v>9096.35</v>
      </c>
      <c r="AH2825" s="569">
        <v>8838.43</v>
      </c>
      <c r="AI2825" s="569">
        <v>8430.43</v>
      </c>
      <c r="AJ2825" s="569">
        <v>8423.82</v>
      </c>
      <c r="AK2825" s="569">
        <v>8181.54</v>
      </c>
      <c r="AL2825" s="569">
        <v>8006.33</v>
      </c>
      <c r="AM2825" s="569">
        <v>8223.77</v>
      </c>
      <c r="AN2825" s="569">
        <v>8283.7099999999991</v>
      </c>
      <c r="AO2825" s="569">
        <v>8578.7999999999993</v>
      </c>
    </row>
    <row r="2826" spans="2:41" s="330" customFormat="1" hidden="1" outlineLevel="1">
      <c r="B2826" s="582">
        <v>3662</v>
      </c>
      <c r="C2826" s="375" t="s">
        <v>1393</v>
      </c>
      <c r="D2826" s="226"/>
      <c r="E2826" s="375" t="s">
        <v>146</v>
      </c>
      <c r="F2826" s="226"/>
      <c r="G2826" s="226"/>
      <c r="H2826" s="226"/>
      <c r="I2826" s="226"/>
      <c r="J2826" s="226"/>
      <c r="K2826" s="574"/>
      <c r="L2826" s="574"/>
      <c r="M2826" s="574"/>
      <c r="N2826" s="574"/>
      <c r="O2826" s="574"/>
      <c r="P2826" s="569">
        <v>2458.63</v>
      </c>
      <c r="Q2826" s="569">
        <v>2534.85</v>
      </c>
      <c r="R2826" s="569">
        <v>2660.92</v>
      </c>
      <c r="S2826" s="569">
        <v>2625.14</v>
      </c>
      <c r="T2826" s="569">
        <v>2718.02</v>
      </c>
      <c r="U2826" s="569">
        <v>2803.51</v>
      </c>
      <c r="V2826" s="569">
        <v>2808.46</v>
      </c>
      <c r="W2826" s="569">
        <v>2852.13</v>
      </c>
      <c r="X2826" s="569">
        <v>2801.12</v>
      </c>
      <c r="Y2826" s="569">
        <v>2787.58</v>
      </c>
      <c r="Z2826" s="569">
        <v>2909.2</v>
      </c>
      <c r="AA2826" s="569">
        <v>2926.15</v>
      </c>
      <c r="AB2826" s="569">
        <v>2752.79</v>
      </c>
      <c r="AC2826" s="569">
        <v>2722.78</v>
      </c>
      <c r="AD2826" s="569">
        <v>2683.86</v>
      </c>
      <c r="AE2826" s="569">
        <v>2726.57</v>
      </c>
      <c r="AF2826" s="569">
        <v>2872.7</v>
      </c>
      <c r="AG2826" s="569">
        <v>3054.03</v>
      </c>
      <c r="AH2826" s="569">
        <v>3007.38</v>
      </c>
      <c r="AI2826" s="569">
        <v>2928.69</v>
      </c>
      <c r="AJ2826" s="569">
        <v>2767.99</v>
      </c>
      <c r="AK2826" s="569">
        <v>2590.66</v>
      </c>
      <c r="AL2826" s="569">
        <v>2504.96</v>
      </c>
      <c r="AM2826" s="569">
        <v>2505.7600000000002</v>
      </c>
      <c r="AN2826" s="569">
        <v>2461.79</v>
      </c>
      <c r="AO2826" s="569">
        <v>2269.34</v>
      </c>
    </row>
    <row r="2827" spans="2:41" s="330" customFormat="1" hidden="1" outlineLevel="1">
      <c r="B2827" s="582">
        <v>3664</v>
      </c>
      <c r="C2827" s="375" t="s">
        <v>1393</v>
      </c>
      <c r="D2827" s="226"/>
      <c r="E2827" s="375" t="s">
        <v>147</v>
      </c>
      <c r="F2827" s="226"/>
      <c r="G2827" s="226"/>
      <c r="H2827" s="226"/>
      <c r="I2827" s="226"/>
      <c r="J2827" s="226"/>
      <c r="K2827" s="574"/>
      <c r="L2827" s="574"/>
      <c r="M2827" s="574"/>
      <c r="N2827" s="574"/>
      <c r="O2827" s="574"/>
      <c r="P2827" s="569">
        <v>1894.79</v>
      </c>
      <c r="Q2827" s="569">
        <v>1923.79</v>
      </c>
      <c r="R2827" s="569">
        <v>1826.16</v>
      </c>
      <c r="S2827" s="569">
        <v>1949.42</v>
      </c>
      <c r="T2827" s="569">
        <v>2057.56</v>
      </c>
      <c r="U2827" s="569">
        <v>2095.6999999999998</v>
      </c>
      <c r="V2827" s="569">
        <v>2212.0100000000002</v>
      </c>
      <c r="W2827" s="569">
        <v>2252.52</v>
      </c>
      <c r="X2827" s="569">
        <v>2973.73</v>
      </c>
      <c r="Y2827" s="569">
        <v>3188.49</v>
      </c>
      <c r="Z2827" s="569">
        <v>3310.91</v>
      </c>
      <c r="AA2827" s="569">
        <v>3526.15</v>
      </c>
      <c r="AB2827" s="569">
        <v>3488.51</v>
      </c>
      <c r="AC2827" s="569">
        <v>3412.1</v>
      </c>
      <c r="AD2827" s="569">
        <v>3253.68</v>
      </c>
      <c r="AE2827" s="569">
        <v>3474.07</v>
      </c>
      <c r="AF2827" s="569">
        <v>3988.35</v>
      </c>
      <c r="AG2827" s="569">
        <v>4086.76</v>
      </c>
      <c r="AH2827" s="569">
        <v>3989.78</v>
      </c>
      <c r="AI2827" s="569">
        <v>4008.97</v>
      </c>
      <c r="AJ2827" s="569">
        <v>4124.43</v>
      </c>
      <c r="AK2827" s="569">
        <v>4128.5200000000004</v>
      </c>
      <c r="AL2827" s="569">
        <v>4099.82</v>
      </c>
      <c r="AM2827" s="569">
        <v>3777.91</v>
      </c>
      <c r="AN2827" s="569">
        <v>4046.36</v>
      </c>
      <c r="AO2827" s="569">
        <v>3933.81</v>
      </c>
    </row>
    <row r="2828" spans="2:41" s="330" customFormat="1" hidden="1" outlineLevel="1">
      <c r="B2828" s="582">
        <v>3668</v>
      </c>
      <c r="C2828" s="375" t="s">
        <v>1393</v>
      </c>
      <c r="D2828" s="226"/>
      <c r="E2828" s="375" t="s">
        <v>149</v>
      </c>
      <c r="F2828" s="226"/>
      <c r="G2828" s="226"/>
      <c r="H2828" s="226"/>
      <c r="I2828" s="226"/>
      <c r="J2828" s="226"/>
      <c r="K2828" s="574"/>
      <c r="L2828" s="574"/>
      <c r="M2828" s="574"/>
      <c r="N2828" s="574"/>
      <c r="O2828" s="574"/>
      <c r="P2828" s="569">
        <v>2820.04</v>
      </c>
      <c r="Q2828" s="569">
        <v>2892.84</v>
      </c>
      <c r="R2828" s="569">
        <v>3103.63</v>
      </c>
      <c r="S2828" s="569">
        <v>3208.52</v>
      </c>
      <c r="T2828" s="569">
        <v>3236.03</v>
      </c>
      <c r="U2828" s="569">
        <v>3357.57</v>
      </c>
      <c r="V2828" s="569">
        <v>3351.71</v>
      </c>
      <c r="W2828" s="569">
        <v>3550.39</v>
      </c>
      <c r="X2828" s="569">
        <v>3908.63</v>
      </c>
      <c r="Y2828" s="569">
        <v>4227.1400000000003</v>
      </c>
      <c r="Z2828" s="569">
        <v>4199.82</v>
      </c>
      <c r="AA2828" s="569">
        <v>4297.24</v>
      </c>
      <c r="AB2828" s="569">
        <v>4225.99</v>
      </c>
      <c r="AC2828" s="569">
        <v>4218.47</v>
      </c>
      <c r="AD2828" s="569">
        <v>4123.7299999999996</v>
      </c>
      <c r="AE2828" s="569">
        <v>4281.91</v>
      </c>
      <c r="AF2828" s="569">
        <v>4872.8100000000004</v>
      </c>
      <c r="AG2828" s="569">
        <v>4984.83</v>
      </c>
      <c r="AH2828" s="569">
        <v>4984.2</v>
      </c>
      <c r="AI2828" s="569">
        <v>5048.17</v>
      </c>
      <c r="AJ2828" s="569">
        <v>4970.66</v>
      </c>
      <c r="AK2828" s="569">
        <v>4875.97</v>
      </c>
      <c r="AL2828" s="569">
        <v>4898.4799999999996</v>
      </c>
      <c r="AM2828" s="569">
        <v>4837.3599999999997</v>
      </c>
      <c r="AN2828" s="569">
        <v>4773.5</v>
      </c>
      <c r="AO2828" s="569">
        <v>4808.99</v>
      </c>
    </row>
    <row r="2829" spans="2:41" s="330" customFormat="1" hidden="1" outlineLevel="1">
      <c r="B2829" s="582">
        <v>4003</v>
      </c>
      <c r="C2829" s="375" t="s">
        <v>1393</v>
      </c>
      <c r="D2829" s="226"/>
      <c r="E2829" s="375" t="s">
        <v>108</v>
      </c>
      <c r="F2829" s="226"/>
      <c r="G2829" s="226"/>
      <c r="H2829" s="226"/>
      <c r="I2829" s="226"/>
      <c r="J2829" s="226"/>
      <c r="K2829" s="574"/>
      <c r="L2829" s="574"/>
      <c r="M2829" s="574"/>
      <c r="N2829" s="574"/>
      <c r="O2829" s="574"/>
      <c r="P2829" s="569">
        <v>6214.39</v>
      </c>
      <c r="Q2829" s="569">
        <v>6310.37</v>
      </c>
      <c r="R2829" s="569">
        <v>6527.41</v>
      </c>
      <c r="S2829" s="569">
        <v>6757.77</v>
      </c>
      <c r="T2829" s="569">
        <v>6978.87</v>
      </c>
      <c r="U2829" s="569">
        <v>6380.07</v>
      </c>
      <c r="V2829" s="569">
        <v>6600.67</v>
      </c>
      <c r="W2829" s="569">
        <v>6589.85</v>
      </c>
      <c r="X2829" s="569">
        <v>7397.93</v>
      </c>
      <c r="Y2829" s="569">
        <v>8157.35</v>
      </c>
      <c r="Z2829" s="569">
        <v>8056.73</v>
      </c>
      <c r="AA2829" s="569">
        <v>8792.92</v>
      </c>
      <c r="AB2829" s="569">
        <v>8367.7099999999991</v>
      </c>
      <c r="AC2829" s="569">
        <v>8600.2000000000007</v>
      </c>
      <c r="AD2829" s="569">
        <v>9131.16</v>
      </c>
      <c r="AE2829" s="569">
        <v>9081.5499999999993</v>
      </c>
      <c r="AF2829" s="569">
        <v>10606.44</v>
      </c>
      <c r="AG2829" s="569">
        <v>11212.44</v>
      </c>
      <c r="AH2829" s="569">
        <v>11095.37</v>
      </c>
      <c r="AI2829" s="569">
        <v>10894.45</v>
      </c>
      <c r="AJ2829" s="569">
        <v>9274.81</v>
      </c>
      <c r="AK2829" s="569">
        <v>9444.86</v>
      </c>
      <c r="AL2829" s="569">
        <v>8751.5400000000009</v>
      </c>
      <c r="AM2829" s="569">
        <v>8274.9599999999991</v>
      </c>
      <c r="AN2829" s="569">
        <v>7768.59</v>
      </c>
      <c r="AO2829" s="569">
        <v>8292.4599999999991</v>
      </c>
    </row>
    <row r="2830" spans="2:41" s="330" customFormat="1" hidden="1" outlineLevel="1">
      <c r="B2830" s="582">
        <v>6661</v>
      </c>
      <c r="C2830" s="375" t="s">
        <v>1393</v>
      </c>
      <c r="D2830" s="226"/>
      <c r="E2830" s="375" t="s">
        <v>104</v>
      </c>
      <c r="F2830" s="226"/>
      <c r="G2830" s="226"/>
      <c r="H2830" s="226"/>
      <c r="I2830" s="226"/>
      <c r="J2830" s="226"/>
      <c r="K2830" s="574"/>
      <c r="L2830" s="574"/>
      <c r="M2830" s="574"/>
      <c r="N2830" s="574"/>
      <c r="O2830" s="574"/>
      <c r="P2830" s="569">
        <v>2797.1</v>
      </c>
      <c r="Q2830" s="569">
        <v>2896.08</v>
      </c>
      <c r="R2830" s="569">
        <v>2790.06</v>
      </c>
      <c r="S2830" s="569">
        <v>2953.82</v>
      </c>
      <c r="T2830" s="569">
        <v>2899.39</v>
      </c>
      <c r="U2830" s="569">
        <v>3080.63</v>
      </c>
      <c r="V2830" s="569">
        <v>3168.62</v>
      </c>
      <c r="W2830" s="569">
        <v>3341.72</v>
      </c>
      <c r="X2830" s="569">
        <v>3564.02</v>
      </c>
      <c r="Y2830" s="569">
        <v>3854.21</v>
      </c>
      <c r="Z2830" s="569">
        <v>3885.77</v>
      </c>
      <c r="AA2830" s="569">
        <v>3846.34</v>
      </c>
      <c r="AB2830" s="569">
        <v>3475.54</v>
      </c>
      <c r="AC2830" s="569">
        <v>3428.23</v>
      </c>
      <c r="AD2830" s="569">
        <v>3392.64</v>
      </c>
      <c r="AE2830" s="569">
        <v>3469.63</v>
      </c>
      <c r="AF2830" s="569">
        <v>4027.58</v>
      </c>
      <c r="AG2830" s="569">
        <v>4093.51</v>
      </c>
      <c r="AH2830" s="569">
        <v>3972.7</v>
      </c>
      <c r="AI2830" s="569">
        <v>3712.55</v>
      </c>
      <c r="AJ2830" s="569">
        <v>3702.99</v>
      </c>
      <c r="AK2830" s="569">
        <v>3495.62</v>
      </c>
      <c r="AL2830" s="569">
        <v>3427.02</v>
      </c>
      <c r="AM2830" s="569">
        <v>3382.94</v>
      </c>
      <c r="AN2830" s="569">
        <v>3300.73</v>
      </c>
      <c r="AO2830" s="569">
        <v>2935.69</v>
      </c>
    </row>
    <row r="2831" spans="2:41" s="330" customFormat="1" hidden="1" outlineLevel="1">
      <c r="B2831" s="582">
        <v>6662</v>
      </c>
      <c r="C2831" s="375" t="s">
        <v>1393</v>
      </c>
      <c r="D2831" s="226"/>
      <c r="E2831" s="375" t="s">
        <v>117</v>
      </c>
      <c r="F2831" s="226"/>
      <c r="G2831" s="226"/>
      <c r="H2831" s="226"/>
      <c r="I2831" s="226"/>
      <c r="J2831" s="226"/>
      <c r="K2831" s="574"/>
      <c r="L2831" s="574"/>
      <c r="M2831" s="574"/>
      <c r="N2831" s="574"/>
      <c r="O2831" s="574"/>
      <c r="P2831" s="569">
        <v>1574.5</v>
      </c>
      <c r="Q2831" s="569">
        <v>1596.97</v>
      </c>
      <c r="R2831" s="569">
        <v>1491.28</v>
      </c>
      <c r="S2831" s="569">
        <v>1646.13</v>
      </c>
      <c r="T2831" s="569">
        <v>1594.74</v>
      </c>
      <c r="U2831" s="569">
        <v>1609.77</v>
      </c>
      <c r="V2831" s="569">
        <v>1703.65</v>
      </c>
      <c r="W2831" s="569">
        <v>1722.61</v>
      </c>
      <c r="X2831" s="569">
        <v>1522.77</v>
      </c>
      <c r="Y2831" s="569">
        <v>1595.66</v>
      </c>
      <c r="Z2831" s="569">
        <v>1549.08</v>
      </c>
      <c r="AA2831" s="569">
        <v>1634.75</v>
      </c>
      <c r="AB2831" s="569">
        <v>1462.24</v>
      </c>
      <c r="AC2831" s="569">
        <v>1491.96</v>
      </c>
      <c r="AD2831" s="569">
        <v>1405.49</v>
      </c>
      <c r="AE2831" s="569">
        <v>1346.75</v>
      </c>
      <c r="AF2831" s="569">
        <v>1533.97</v>
      </c>
      <c r="AG2831" s="569">
        <v>1651</v>
      </c>
      <c r="AH2831" s="569">
        <v>1598.91</v>
      </c>
      <c r="AI2831" s="569">
        <v>1577.63</v>
      </c>
      <c r="AJ2831" s="569">
        <v>1500.66</v>
      </c>
      <c r="AK2831" s="569">
        <v>1429.99</v>
      </c>
      <c r="AL2831" s="569">
        <v>1431.5</v>
      </c>
      <c r="AM2831" s="569">
        <v>1449.39</v>
      </c>
      <c r="AN2831" s="569">
        <v>1490.24</v>
      </c>
      <c r="AO2831" s="569">
        <v>1630.11</v>
      </c>
    </row>
    <row r="2832" spans="2:41" s="330" customFormat="1" hidden="1" outlineLevel="1">
      <c r="B2832" s="582">
        <v>7096</v>
      </c>
      <c r="C2832" s="375" t="s">
        <v>1393</v>
      </c>
      <c r="D2832" s="226"/>
      <c r="E2832" s="375" t="s">
        <v>1410</v>
      </c>
      <c r="F2832" s="226"/>
      <c r="G2832" s="226"/>
      <c r="H2832" s="226"/>
      <c r="I2832" s="226"/>
      <c r="J2832" s="226"/>
      <c r="K2832" s="574"/>
      <c r="L2832" s="574"/>
      <c r="M2832" s="574"/>
      <c r="N2832" s="574"/>
      <c r="O2832" s="574"/>
      <c r="P2832" s="569">
        <v>2810.38</v>
      </c>
      <c r="Q2832" s="569">
        <v>2744.96</v>
      </c>
      <c r="R2832" s="569">
        <v>2619.9499999999998</v>
      </c>
      <c r="S2832" s="569">
        <v>2682.46</v>
      </c>
      <c r="T2832" s="569">
        <v>2603.7199999999998</v>
      </c>
      <c r="U2832" s="569">
        <v>2481.27</v>
      </c>
      <c r="V2832" s="569">
        <v>2553.71</v>
      </c>
      <c r="W2832" s="569">
        <v>2521.56</v>
      </c>
      <c r="X2832" s="569">
        <v>2770.6</v>
      </c>
      <c r="Y2832" s="569">
        <v>2880.7</v>
      </c>
      <c r="Z2832" s="569">
        <v>3029.14</v>
      </c>
      <c r="AA2832" s="569">
        <v>3097.19</v>
      </c>
      <c r="AB2832" s="569">
        <v>2889.97</v>
      </c>
      <c r="AC2832" s="569">
        <v>2718.98</v>
      </c>
      <c r="AD2832" s="569">
        <v>2658.81</v>
      </c>
      <c r="AE2832" s="569">
        <v>2777.74</v>
      </c>
      <c r="AF2832" s="569">
        <v>3167.01</v>
      </c>
      <c r="AG2832" s="569">
        <v>3198.19</v>
      </c>
      <c r="AH2832" s="569">
        <v>3046.57</v>
      </c>
      <c r="AI2832" s="569">
        <v>2966.77</v>
      </c>
      <c r="AJ2832" s="569">
        <v>2930.51</v>
      </c>
      <c r="AK2832" s="569">
        <v>2729.93</v>
      </c>
      <c r="AL2832" s="569">
        <v>2703.15</v>
      </c>
      <c r="AM2832" s="569">
        <v>2772.43</v>
      </c>
      <c r="AN2832" s="569">
        <v>2780.17</v>
      </c>
      <c r="AO2832" s="569">
        <v>3023.27</v>
      </c>
    </row>
    <row r="2833" spans="2:44" s="330" customFormat="1" hidden="1" outlineLevel="1">
      <c r="B2833" s="582">
        <v>7857</v>
      </c>
      <c r="C2833" s="375" t="s">
        <v>1393</v>
      </c>
      <c r="D2833" s="226"/>
      <c r="E2833" s="375" t="s">
        <v>107</v>
      </c>
      <c r="F2833" s="226"/>
      <c r="G2833" s="226"/>
      <c r="H2833" s="226"/>
      <c r="I2833" s="226"/>
      <c r="J2833" s="226"/>
      <c r="K2833" s="574"/>
      <c r="L2833" s="574"/>
      <c r="M2833" s="574"/>
      <c r="N2833" s="574"/>
      <c r="O2833" s="574"/>
      <c r="P2833" s="569">
        <v>1864.11</v>
      </c>
      <c r="Q2833" s="569">
        <v>1833.22</v>
      </c>
      <c r="R2833" s="569">
        <v>1906.18</v>
      </c>
      <c r="S2833" s="569">
        <v>2015.84</v>
      </c>
      <c r="T2833" s="569">
        <v>2148.8200000000002</v>
      </c>
      <c r="U2833" s="569">
        <v>2138.4499999999998</v>
      </c>
      <c r="V2833" s="569">
        <v>2220.71</v>
      </c>
      <c r="W2833" s="569">
        <v>2265.14</v>
      </c>
      <c r="X2833" s="569">
        <v>2402.42</v>
      </c>
      <c r="Y2833" s="569">
        <v>2384.06</v>
      </c>
      <c r="Z2833" s="569">
        <v>2376.58</v>
      </c>
      <c r="AA2833" s="569">
        <v>2328.14</v>
      </c>
      <c r="AB2833" s="569">
        <v>2339.85</v>
      </c>
      <c r="AC2833" s="569">
        <v>2373.52</v>
      </c>
      <c r="AD2833" s="569">
        <v>2319.59</v>
      </c>
      <c r="AE2833" s="569">
        <v>2389.0100000000002</v>
      </c>
      <c r="AF2833" s="569">
        <v>2626.3</v>
      </c>
      <c r="AG2833" s="569">
        <v>2805.22</v>
      </c>
      <c r="AH2833" s="569">
        <v>2740.81</v>
      </c>
      <c r="AI2833" s="569">
        <v>2622.65</v>
      </c>
      <c r="AJ2833" s="569">
        <v>2607.35</v>
      </c>
      <c r="AK2833" s="569">
        <v>2568.9</v>
      </c>
      <c r="AL2833" s="569">
        <v>2596.7399999999998</v>
      </c>
      <c r="AM2833" s="569">
        <v>2589.34</v>
      </c>
      <c r="AN2833" s="569">
        <v>2595.66</v>
      </c>
      <c r="AO2833" s="569">
        <v>2548.52</v>
      </c>
    </row>
    <row r="2834" spans="2:44" s="330" customFormat="1" hidden="1" outlineLevel="1">
      <c r="B2834" s="582">
        <v>9331</v>
      </c>
      <c r="C2834" s="375" t="s">
        <v>1393</v>
      </c>
      <c r="D2834" s="226"/>
      <c r="E2834" s="375" t="s">
        <v>1411</v>
      </c>
      <c r="F2834" s="226"/>
      <c r="G2834" s="226"/>
      <c r="H2834" s="226"/>
      <c r="I2834" s="226"/>
      <c r="J2834" s="226"/>
      <c r="K2834" s="574"/>
      <c r="L2834" s="574"/>
      <c r="M2834" s="574"/>
      <c r="N2834" s="574"/>
      <c r="O2834" s="574"/>
      <c r="P2834" s="569">
        <v>33630.019999999997</v>
      </c>
      <c r="Q2834" s="569">
        <v>32469.430000000004</v>
      </c>
      <c r="R2834" s="569">
        <v>32145.279999999995</v>
      </c>
      <c r="S2834" s="569">
        <v>32326.06</v>
      </c>
      <c r="T2834" s="569">
        <v>31991.909999999996</v>
      </c>
      <c r="U2834" s="569">
        <v>33833.949999999997</v>
      </c>
      <c r="V2834" s="569">
        <v>34284.15</v>
      </c>
      <c r="W2834" s="569">
        <v>36280.03</v>
      </c>
      <c r="X2834" s="569">
        <v>39467.589999999997</v>
      </c>
      <c r="Y2834" s="569">
        <v>41842.93</v>
      </c>
      <c r="Z2834" s="569">
        <v>41874.980000000003</v>
      </c>
      <c r="AA2834" s="569">
        <v>42215.82</v>
      </c>
      <c r="AB2834" s="569">
        <v>41068.720000000001</v>
      </c>
      <c r="AC2834" s="569">
        <v>42137.7</v>
      </c>
      <c r="AD2834" s="569">
        <v>42882.590000000004</v>
      </c>
      <c r="AE2834" s="569">
        <v>46467.46</v>
      </c>
      <c r="AF2834" s="569">
        <v>52399.499999999993</v>
      </c>
      <c r="AG2834" s="569">
        <v>51359.79</v>
      </c>
      <c r="AH2834" s="569">
        <v>51517.49</v>
      </c>
      <c r="AI2834" s="569">
        <v>50676.98</v>
      </c>
      <c r="AJ2834" s="569">
        <v>49159.38</v>
      </c>
      <c r="AK2834" s="569">
        <v>48917.65</v>
      </c>
      <c r="AL2834" s="569">
        <v>48922.060000000005</v>
      </c>
      <c r="AM2834" s="569">
        <v>49985.400000000009</v>
      </c>
      <c r="AN2834" s="569">
        <v>50573.68</v>
      </c>
      <c r="AO2834" s="569">
        <v>51941.22</v>
      </c>
    </row>
    <row r="2835" spans="2:44" s="330" customFormat="1" hidden="1" outlineLevel="1">
      <c r="B2835" s="582">
        <v>9549</v>
      </c>
      <c r="C2835" s="375" t="s">
        <v>1393</v>
      </c>
      <c r="D2835" s="226"/>
      <c r="E2835" s="375" t="s">
        <v>148</v>
      </c>
      <c r="F2835" s="226"/>
      <c r="G2835" s="226"/>
      <c r="H2835" s="226"/>
      <c r="I2835" s="226"/>
      <c r="J2835" s="226"/>
      <c r="K2835" s="574"/>
      <c r="L2835" s="574"/>
      <c r="M2835" s="574"/>
      <c r="N2835" s="574"/>
      <c r="O2835" s="574"/>
      <c r="P2835" s="569">
        <v>985.81</v>
      </c>
      <c r="Q2835" s="569">
        <v>1003.58</v>
      </c>
      <c r="R2835" s="569">
        <v>845.62</v>
      </c>
      <c r="S2835" s="569">
        <v>869.56</v>
      </c>
      <c r="T2835" s="569">
        <v>937.33</v>
      </c>
      <c r="U2835" s="569">
        <v>968.32</v>
      </c>
      <c r="V2835" s="569">
        <v>958.77</v>
      </c>
      <c r="W2835" s="569">
        <v>941.17</v>
      </c>
      <c r="X2835" s="569">
        <v>1018.45</v>
      </c>
      <c r="Y2835" s="569">
        <v>1138.6500000000001</v>
      </c>
      <c r="Z2835" s="569">
        <v>1133.95</v>
      </c>
      <c r="AA2835" s="569">
        <v>1293.02</v>
      </c>
      <c r="AB2835" s="569">
        <v>1198.21</v>
      </c>
      <c r="AC2835" s="569">
        <v>1359.55</v>
      </c>
      <c r="AD2835" s="569">
        <v>1446.04</v>
      </c>
      <c r="AE2835" s="569">
        <v>1740.79</v>
      </c>
      <c r="AF2835" s="569">
        <v>1828.49</v>
      </c>
      <c r="AG2835" s="569">
        <v>1731.11</v>
      </c>
      <c r="AH2835" s="569">
        <v>1783.33</v>
      </c>
      <c r="AI2835" s="569">
        <v>1749.43</v>
      </c>
      <c r="AJ2835" s="569">
        <v>1543.7</v>
      </c>
      <c r="AK2835" s="569">
        <v>1563.78</v>
      </c>
      <c r="AL2835" s="569">
        <v>1633.79</v>
      </c>
      <c r="AM2835" s="569">
        <v>1639.99</v>
      </c>
      <c r="AN2835" s="569">
        <v>1665.93</v>
      </c>
      <c r="AO2835" s="569">
        <v>1592.73</v>
      </c>
    </row>
    <row r="2836" spans="2:44" s="330" customFormat="1" hidden="1" outlineLevel="1">
      <c r="B2836" s="582">
        <v>9797</v>
      </c>
      <c r="C2836" s="375" t="s">
        <v>1393</v>
      </c>
      <c r="D2836" s="226"/>
      <c r="E2836" s="375" t="s">
        <v>127</v>
      </c>
      <c r="F2836" s="226"/>
      <c r="G2836" s="226"/>
      <c r="H2836" s="226"/>
      <c r="I2836" s="226"/>
      <c r="J2836" s="226"/>
      <c r="K2836" s="574"/>
      <c r="L2836" s="574"/>
      <c r="M2836" s="574"/>
      <c r="N2836" s="574"/>
      <c r="O2836" s="574"/>
      <c r="P2836" s="569">
        <v>2452.52</v>
      </c>
      <c r="Q2836" s="569">
        <v>2439.34</v>
      </c>
      <c r="R2836" s="569">
        <v>2455.29</v>
      </c>
      <c r="S2836" s="569">
        <v>2626.91</v>
      </c>
      <c r="T2836" s="569">
        <v>2728.95</v>
      </c>
      <c r="U2836" s="569">
        <v>3157.2</v>
      </c>
      <c r="V2836" s="569">
        <v>3255.54</v>
      </c>
      <c r="W2836" s="569">
        <v>3391.68</v>
      </c>
      <c r="X2836" s="569">
        <v>3592.82</v>
      </c>
      <c r="Y2836" s="569">
        <v>3685.33</v>
      </c>
      <c r="Z2836" s="569">
        <v>4263.3599999999997</v>
      </c>
      <c r="AA2836" s="569">
        <v>4550.5600000000004</v>
      </c>
      <c r="AB2836" s="569">
        <v>4011.9</v>
      </c>
      <c r="AC2836" s="569">
        <v>4040.95</v>
      </c>
      <c r="AD2836" s="569">
        <v>3987.52</v>
      </c>
      <c r="AE2836" s="569">
        <v>3989.49</v>
      </c>
      <c r="AF2836" s="569">
        <v>4356.6099999999997</v>
      </c>
      <c r="AG2836" s="569">
        <v>4454.26</v>
      </c>
      <c r="AH2836" s="569">
        <v>4289.2299999999996</v>
      </c>
      <c r="AI2836" s="569">
        <v>4110.53</v>
      </c>
      <c r="AJ2836" s="569">
        <v>3864.36</v>
      </c>
      <c r="AK2836" s="569">
        <v>3742.13</v>
      </c>
      <c r="AL2836" s="569">
        <v>4015.15</v>
      </c>
      <c r="AM2836" s="569">
        <v>3916.81</v>
      </c>
      <c r="AN2836" s="569">
        <v>3574.15</v>
      </c>
      <c r="AO2836" s="569">
        <v>3370.27</v>
      </c>
    </row>
    <row r="2837" spans="2:44" s="330" customFormat="1" hidden="1" outlineLevel="1">
      <c r="B2837" s="582">
        <v>10060</v>
      </c>
      <c r="C2837" s="375" t="s">
        <v>1393</v>
      </c>
      <c r="D2837" s="226"/>
      <c r="E2837" s="375" t="s">
        <v>180</v>
      </c>
      <c r="F2837" s="226"/>
      <c r="G2837" s="226"/>
      <c r="H2837" s="226"/>
      <c r="I2837" s="226"/>
      <c r="J2837" s="226"/>
      <c r="K2837" s="574"/>
      <c r="L2837" s="574"/>
      <c r="M2837" s="574"/>
      <c r="N2837" s="574"/>
      <c r="O2837" s="574"/>
      <c r="P2837" s="569">
        <v>1439.5</v>
      </c>
      <c r="Q2837" s="569">
        <v>1397.55</v>
      </c>
      <c r="R2837" s="569">
        <v>1410.73</v>
      </c>
      <c r="S2837" s="569">
        <v>1474.69</v>
      </c>
      <c r="T2837" s="569">
        <v>1638.58</v>
      </c>
      <c r="U2837" s="569">
        <v>1664.08</v>
      </c>
      <c r="V2837" s="569">
        <v>1880.52</v>
      </c>
      <c r="W2837" s="569">
        <v>1866.47</v>
      </c>
      <c r="X2837" s="569">
        <v>1930.15</v>
      </c>
      <c r="Y2837" s="569">
        <v>2219.31</v>
      </c>
      <c r="Z2837" s="569">
        <v>2149.23</v>
      </c>
      <c r="AA2837" s="569">
        <v>2098.31</v>
      </c>
      <c r="AB2837" s="569">
        <v>2090.5</v>
      </c>
      <c r="AC2837" s="569">
        <v>2090.59</v>
      </c>
      <c r="AD2837" s="569">
        <v>2106.12</v>
      </c>
      <c r="AE2837" s="569">
        <v>2271.41</v>
      </c>
      <c r="AF2837" s="569">
        <v>2503.35</v>
      </c>
      <c r="AG2837" s="569">
        <v>2765.38</v>
      </c>
      <c r="AH2837" s="569">
        <v>2425.56</v>
      </c>
      <c r="AI2837" s="569">
        <v>2389.04</v>
      </c>
      <c r="AJ2837" s="569">
        <v>2379.3000000000002</v>
      </c>
      <c r="AK2837" s="569">
        <v>2254.91</v>
      </c>
      <c r="AL2837" s="569">
        <v>2244.06</v>
      </c>
      <c r="AM2837" s="569">
        <v>2258.44</v>
      </c>
      <c r="AN2837" s="569">
        <v>2244.0100000000002</v>
      </c>
      <c r="AO2837" s="569">
        <v>2109.7199999999998</v>
      </c>
    </row>
    <row r="2838" spans="2:44" s="330" customFormat="1" hidden="1" outlineLevel="1">
      <c r="B2838" s="582">
        <v>10387</v>
      </c>
      <c r="C2838" s="375" t="s">
        <v>1393</v>
      </c>
      <c r="D2838" s="226"/>
      <c r="E2838" s="375" t="s">
        <v>1412</v>
      </c>
      <c r="F2838" s="226"/>
      <c r="G2838" s="226"/>
      <c r="H2838" s="226"/>
      <c r="I2838" s="226"/>
      <c r="J2838" s="226"/>
      <c r="K2838" s="574"/>
      <c r="L2838" s="574"/>
      <c r="M2838" s="574"/>
      <c r="N2838" s="574"/>
      <c r="O2838" s="574"/>
      <c r="P2838" s="569">
        <v>13681.58</v>
      </c>
      <c r="Q2838" s="569">
        <v>14899.12</v>
      </c>
      <c r="R2838" s="569">
        <v>14591.73</v>
      </c>
      <c r="S2838" s="569">
        <v>14679.62</v>
      </c>
      <c r="T2838" s="569">
        <v>15006.54</v>
      </c>
      <c r="U2838" s="569">
        <v>14953.22</v>
      </c>
      <c r="V2838" s="569">
        <v>14524.21</v>
      </c>
      <c r="W2838" s="569">
        <v>14192.16</v>
      </c>
      <c r="X2838" s="569">
        <v>14328.28</v>
      </c>
      <c r="Y2838" s="569">
        <v>15241.71</v>
      </c>
      <c r="Z2838" s="569">
        <v>16881.27</v>
      </c>
      <c r="AA2838" s="569">
        <v>17716.34</v>
      </c>
      <c r="AB2838" s="569">
        <v>17894.61</v>
      </c>
      <c r="AC2838" s="569">
        <v>17200.25</v>
      </c>
      <c r="AD2838" s="569">
        <v>16692.259999999998</v>
      </c>
      <c r="AE2838" s="569">
        <v>17343.009999999998</v>
      </c>
      <c r="AF2838" s="569">
        <v>19529.63</v>
      </c>
      <c r="AG2838" s="569">
        <v>19891.509999999998</v>
      </c>
      <c r="AH2838" s="569">
        <v>20788.46</v>
      </c>
      <c r="AI2838" s="569">
        <v>20129.060000000001</v>
      </c>
      <c r="AJ2838" s="569">
        <v>19083.189999999999</v>
      </c>
      <c r="AK2838" s="569">
        <v>18318.240000000002</v>
      </c>
      <c r="AL2838" s="569">
        <v>18053.05</v>
      </c>
      <c r="AM2838" s="569">
        <v>18155.259999999998</v>
      </c>
      <c r="AN2838" s="569">
        <v>17752.650000000001</v>
      </c>
      <c r="AO2838" s="569">
        <v>17678.14</v>
      </c>
    </row>
    <row r="2839" spans="2:44" s="330" customFormat="1" hidden="1" outlineLevel="1">
      <c r="B2839" s="582">
        <v>10633</v>
      </c>
      <c r="C2839" s="375" t="s">
        <v>1393</v>
      </c>
      <c r="D2839" s="226"/>
      <c r="E2839" s="375" t="s">
        <v>120</v>
      </c>
      <c r="F2839" s="226"/>
      <c r="G2839" s="226"/>
      <c r="H2839" s="226"/>
      <c r="I2839" s="226"/>
      <c r="J2839" s="226"/>
      <c r="K2839" s="574"/>
      <c r="L2839" s="574"/>
      <c r="M2839" s="574"/>
      <c r="N2839" s="574"/>
      <c r="O2839" s="574"/>
      <c r="P2839" s="569">
        <v>25093.119999999999</v>
      </c>
      <c r="Q2839" s="569">
        <v>26036.36</v>
      </c>
      <c r="R2839" s="569">
        <v>25440.82</v>
      </c>
      <c r="S2839" s="569">
        <v>24852.83</v>
      </c>
      <c r="T2839" s="569">
        <v>24518.13</v>
      </c>
      <c r="U2839" s="569">
        <v>24930.82</v>
      </c>
      <c r="V2839" s="569">
        <v>24766.05</v>
      </c>
      <c r="W2839" s="569">
        <v>26359.39</v>
      </c>
      <c r="X2839" s="569">
        <v>28364.32</v>
      </c>
      <c r="Y2839" s="569">
        <v>28356.53</v>
      </c>
      <c r="Z2839" s="569">
        <v>28458.98</v>
      </c>
      <c r="AA2839" s="569">
        <v>28711.03</v>
      </c>
      <c r="AB2839" s="569">
        <v>28456.79</v>
      </c>
      <c r="AC2839" s="569">
        <v>29807.66</v>
      </c>
      <c r="AD2839" s="569">
        <v>30836.65</v>
      </c>
      <c r="AE2839" s="569">
        <v>34308.28</v>
      </c>
      <c r="AF2839" s="569">
        <v>39616.29</v>
      </c>
      <c r="AG2839" s="569">
        <v>41274.03</v>
      </c>
      <c r="AH2839" s="569">
        <v>41721.480000000003</v>
      </c>
      <c r="AI2839" s="569">
        <v>40108.800000000003</v>
      </c>
      <c r="AJ2839" s="569">
        <v>39753.4</v>
      </c>
      <c r="AK2839" s="569">
        <v>40561.18</v>
      </c>
      <c r="AL2839" s="569">
        <v>39294.06</v>
      </c>
      <c r="AM2839" s="569">
        <v>38793.14</v>
      </c>
      <c r="AN2839" s="569">
        <v>38394.04</v>
      </c>
      <c r="AO2839" s="569">
        <v>36982.949999999997</v>
      </c>
    </row>
    <row r="2840" spans="2:44" s="330" customFormat="1" hidden="1" outlineLevel="1">
      <c r="B2840" s="582">
        <v>11145</v>
      </c>
      <c r="C2840" s="375" t="s">
        <v>1393</v>
      </c>
      <c r="D2840" s="226"/>
      <c r="E2840" s="375" t="s">
        <v>892</v>
      </c>
      <c r="F2840" s="226"/>
      <c r="G2840" s="226"/>
      <c r="H2840" s="226"/>
      <c r="I2840" s="226"/>
      <c r="J2840" s="226"/>
      <c r="K2840" s="574"/>
      <c r="L2840" s="574"/>
      <c r="M2840" s="574"/>
      <c r="N2840" s="574"/>
      <c r="O2840" s="574"/>
      <c r="P2840" s="569">
        <v>12454.55</v>
      </c>
      <c r="Q2840" s="569">
        <v>12197.27</v>
      </c>
      <c r="R2840" s="569">
        <v>12862.67</v>
      </c>
      <c r="S2840" s="569">
        <v>13527.13</v>
      </c>
      <c r="T2840" s="569">
        <v>13956.08</v>
      </c>
      <c r="U2840" s="569">
        <v>14453.829999999998</v>
      </c>
      <c r="V2840" s="569">
        <v>15536.05</v>
      </c>
      <c r="W2840" s="569">
        <v>17099.14</v>
      </c>
      <c r="X2840" s="569">
        <v>19558.27</v>
      </c>
      <c r="Y2840" s="569">
        <v>21684.01</v>
      </c>
      <c r="Z2840" s="569">
        <v>23166.09</v>
      </c>
      <c r="AA2840" s="569">
        <v>25135.020000000004</v>
      </c>
      <c r="AB2840" s="569">
        <v>26238.59</v>
      </c>
      <c r="AC2840" s="569">
        <v>27318.66</v>
      </c>
      <c r="AD2840" s="569">
        <v>28928.159999999996</v>
      </c>
      <c r="AE2840" s="569">
        <v>30343.68</v>
      </c>
      <c r="AF2840" s="569">
        <v>36533.65</v>
      </c>
      <c r="AG2840" s="569">
        <v>38629.279999999999</v>
      </c>
      <c r="AH2840" s="569">
        <v>41520.119999999995</v>
      </c>
      <c r="AI2840" s="569">
        <v>42153.62</v>
      </c>
      <c r="AJ2840" s="569">
        <v>42778.97</v>
      </c>
      <c r="AK2840" s="569">
        <v>43423.64</v>
      </c>
      <c r="AL2840" s="569">
        <v>44139.88</v>
      </c>
      <c r="AM2840" s="569">
        <v>45515.79</v>
      </c>
      <c r="AN2840" s="569">
        <v>45646.66</v>
      </c>
      <c r="AO2840" s="569">
        <v>44184.92</v>
      </c>
    </row>
    <row r="2841" spans="2:44" s="330" customFormat="1" hidden="1" outlineLevel="1">
      <c r="B2841" s="582">
        <v>12015</v>
      </c>
      <c r="C2841" s="375" t="s">
        <v>1393</v>
      </c>
      <c r="D2841" s="226"/>
      <c r="E2841" s="375" t="s">
        <v>105</v>
      </c>
      <c r="F2841" s="226"/>
      <c r="G2841" s="226"/>
      <c r="H2841" s="226"/>
      <c r="I2841" s="226"/>
      <c r="J2841" s="226"/>
      <c r="K2841" s="574"/>
      <c r="L2841" s="574"/>
      <c r="M2841" s="574"/>
      <c r="N2841" s="574"/>
      <c r="O2841" s="574"/>
      <c r="P2841" s="569">
        <v>16009.87</v>
      </c>
      <c r="Q2841" s="569">
        <v>16625.7</v>
      </c>
      <c r="R2841" s="569">
        <v>16977.12</v>
      </c>
      <c r="S2841" s="569">
        <v>17047.41</v>
      </c>
      <c r="T2841" s="569">
        <v>17119.349999999999</v>
      </c>
      <c r="U2841" s="569">
        <v>17252.21</v>
      </c>
      <c r="V2841" s="569">
        <v>17201.21</v>
      </c>
      <c r="W2841" s="569">
        <v>17792.13</v>
      </c>
      <c r="X2841" s="569">
        <v>18952.62</v>
      </c>
      <c r="Y2841" s="569">
        <v>19652.36</v>
      </c>
      <c r="Z2841" s="569">
        <v>19875.560000000001</v>
      </c>
      <c r="AA2841" s="569">
        <v>19987.7</v>
      </c>
      <c r="AB2841" s="569">
        <v>20592.84</v>
      </c>
      <c r="AC2841" s="569">
        <v>21423.040000000001</v>
      </c>
      <c r="AD2841" s="569">
        <v>22107.56</v>
      </c>
      <c r="AE2841" s="569">
        <v>24063.33</v>
      </c>
      <c r="AF2841" s="569">
        <v>27108.48</v>
      </c>
      <c r="AG2841" s="569">
        <v>28500.240000000002</v>
      </c>
      <c r="AH2841" s="569">
        <v>27831.35</v>
      </c>
      <c r="AI2841" s="569">
        <v>26214.83</v>
      </c>
      <c r="AJ2841" s="569">
        <v>25374.560000000001</v>
      </c>
      <c r="AK2841" s="569">
        <v>25303.86</v>
      </c>
      <c r="AL2841" s="569">
        <v>25037.73</v>
      </c>
      <c r="AM2841" s="569">
        <v>24977.15</v>
      </c>
      <c r="AN2841" s="569">
        <v>24789.58</v>
      </c>
      <c r="AO2841" s="569">
        <v>24683.07</v>
      </c>
    </row>
    <row r="2842" spans="2:44" s="330" customFormat="1" hidden="1" outlineLevel="1">
      <c r="B2842" s="582">
        <v>23154</v>
      </c>
      <c r="C2842" s="375" t="s">
        <v>1393</v>
      </c>
      <c r="D2842" s="226"/>
      <c r="E2842" s="375" t="s">
        <v>1413</v>
      </c>
      <c r="F2842" s="226"/>
      <c r="G2842" s="226"/>
      <c r="H2842" s="226"/>
      <c r="I2842" s="226"/>
      <c r="J2842" s="226"/>
      <c r="K2842" s="574"/>
      <c r="L2842" s="574"/>
      <c r="M2842" s="574"/>
      <c r="N2842" s="574"/>
      <c r="O2842" s="574"/>
      <c r="P2842" s="569">
        <v>1586.17</v>
      </c>
      <c r="Q2842" s="569">
        <v>1679.42</v>
      </c>
      <c r="R2842" s="569">
        <v>1608.65</v>
      </c>
      <c r="S2842" s="569">
        <v>1556.34</v>
      </c>
      <c r="T2842" s="569">
        <v>1566.81</v>
      </c>
      <c r="U2842" s="569">
        <v>1642.62</v>
      </c>
      <c r="V2842" s="569">
        <v>1522.48</v>
      </c>
      <c r="W2842" s="569">
        <v>1474.71</v>
      </c>
      <c r="X2842" s="569">
        <v>1693.23</v>
      </c>
      <c r="Y2842" s="569">
        <v>1875.31</v>
      </c>
      <c r="Z2842" s="569">
        <v>1956.65</v>
      </c>
      <c r="AA2842" s="569">
        <v>1908.17</v>
      </c>
      <c r="AB2842" s="569">
        <v>1809.83</v>
      </c>
      <c r="AC2842" s="569">
        <v>1810.81</v>
      </c>
      <c r="AD2842" s="569">
        <v>1815.97</v>
      </c>
      <c r="AE2842" s="569">
        <v>1890.18</v>
      </c>
      <c r="AF2842" s="569">
        <v>2295.0500000000002</v>
      </c>
      <c r="AG2842" s="569">
        <v>2319.06</v>
      </c>
      <c r="AH2842" s="569">
        <v>2503.71</v>
      </c>
      <c r="AI2842" s="569">
        <v>2346.1799999999998</v>
      </c>
      <c r="AJ2842" s="569">
        <v>2327.62</v>
      </c>
      <c r="AK2842" s="569">
        <v>2166.67</v>
      </c>
      <c r="AL2842" s="569">
        <v>1993.44</v>
      </c>
      <c r="AM2842" s="569">
        <v>2202.1999999999998</v>
      </c>
      <c r="AN2842" s="569">
        <v>2136.5</v>
      </c>
      <c r="AO2842" s="569">
        <v>2160.35</v>
      </c>
    </row>
    <row r="2843" spans="2:44" s="330" customFormat="1" hidden="1" outlineLevel="1">
      <c r="B2843" s="582">
        <v>23614</v>
      </c>
      <c r="C2843" s="375" t="s">
        <v>1393</v>
      </c>
      <c r="D2843" s="226"/>
      <c r="E2843" s="375" t="s">
        <v>885</v>
      </c>
      <c r="F2843" s="226"/>
      <c r="G2843" s="226"/>
      <c r="H2843" s="226"/>
      <c r="I2843" s="226"/>
      <c r="J2843" s="226"/>
      <c r="K2843" s="574"/>
      <c r="L2843" s="574"/>
      <c r="M2843" s="574"/>
      <c r="N2843" s="574"/>
      <c r="O2843" s="574"/>
      <c r="P2843" s="569">
        <v>6167.62</v>
      </c>
      <c r="Q2843" s="569">
        <v>6318.67</v>
      </c>
      <c r="R2843" s="569">
        <v>6662.41</v>
      </c>
      <c r="S2843" s="569">
        <v>6881.39</v>
      </c>
      <c r="T2843" s="569">
        <v>7355.97</v>
      </c>
      <c r="U2843" s="569">
        <v>7448.04</v>
      </c>
      <c r="V2843" s="569">
        <v>8182.66</v>
      </c>
      <c r="W2843" s="569">
        <v>9045.67</v>
      </c>
      <c r="X2843" s="569">
        <v>10148.41</v>
      </c>
      <c r="Y2843" s="569">
        <v>11243.91</v>
      </c>
      <c r="Z2843" s="569">
        <v>12082.71</v>
      </c>
      <c r="AA2843" s="569">
        <v>12584.56</v>
      </c>
      <c r="AB2843" s="569">
        <v>12850.65</v>
      </c>
      <c r="AC2843" s="569">
        <v>13395.85</v>
      </c>
      <c r="AD2843" s="569">
        <v>14357.39</v>
      </c>
      <c r="AE2843" s="569">
        <v>15401.95</v>
      </c>
      <c r="AF2843" s="569">
        <v>17789.830000000002</v>
      </c>
      <c r="AG2843" s="569">
        <v>18403.82</v>
      </c>
      <c r="AH2843" s="569">
        <v>18463.57</v>
      </c>
      <c r="AI2843" s="569">
        <v>18747.09</v>
      </c>
      <c r="AJ2843" s="569">
        <v>18638.41</v>
      </c>
      <c r="AK2843" s="569">
        <v>17875.919999999998</v>
      </c>
      <c r="AL2843" s="569">
        <v>18899.34</v>
      </c>
      <c r="AM2843" s="569">
        <v>19739.77</v>
      </c>
      <c r="AN2843" s="569">
        <v>20533.189999999999</v>
      </c>
      <c r="AO2843" s="569">
        <v>21625.5</v>
      </c>
    </row>
    <row r="2844" spans="2:44" s="330" customFormat="1" hidden="1" outlineLevel="1">
      <c r="B2844" s="582">
        <v>29137</v>
      </c>
      <c r="C2844" s="375" t="s">
        <v>1393</v>
      </c>
      <c r="D2844" s="226"/>
      <c r="E2844" s="375" t="s">
        <v>1414</v>
      </c>
      <c r="F2844" s="226"/>
      <c r="G2844" s="226"/>
      <c r="H2844" s="226"/>
      <c r="I2844" s="226"/>
      <c r="J2844" s="226"/>
      <c r="K2844" s="574"/>
      <c r="L2844" s="574"/>
      <c r="M2844" s="574"/>
      <c r="N2844" s="574"/>
      <c r="O2844" s="574"/>
      <c r="P2844" s="569">
        <v>12223.84</v>
      </c>
      <c r="Q2844" s="569">
        <v>12120.119999999999</v>
      </c>
      <c r="R2844" s="569">
        <v>12109.320000000002</v>
      </c>
      <c r="S2844" s="569">
        <v>12512.09</v>
      </c>
      <c r="T2844" s="569">
        <v>12283.470000000001</v>
      </c>
      <c r="U2844" s="569">
        <v>13109</v>
      </c>
      <c r="V2844" s="569">
        <v>13757.380000000001</v>
      </c>
      <c r="W2844" s="569">
        <v>14609.32</v>
      </c>
      <c r="X2844" s="569">
        <v>15496.51</v>
      </c>
      <c r="Y2844" s="569">
        <v>15760.710000000001</v>
      </c>
      <c r="Z2844" s="569">
        <v>16394.8</v>
      </c>
      <c r="AA2844" s="569">
        <v>16362.61</v>
      </c>
      <c r="AB2844" s="569">
        <v>16912.45</v>
      </c>
      <c r="AC2844" s="569">
        <v>16959.2</v>
      </c>
      <c r="AD2844" s="569">
        <v>16928.989999999998</v>
      </c>
      <c r="AE2844" s="569">
        <v>17645.54</v>
      </c>
      <c r="AF2844" s="569">
        <v>19594.03</v>
      </c>
      <c r="AG2844" s="569">
        <v>21118.06</v>
      </c>
      <c r="AH2844" s="569">
        <v>20656.34</v>
      </c>
      <c r="AI2844" s="569">
        <v>20064.079999999998</v>
      </c>
      <c r="AJ2844" s="569">
        <v>19806.89</v>
      </c>
      <c r="AK2844" s="569">
        <v>19604.27</v>
      </c>
      <c r="AL2844" s="569">
        <v>20077.04</v>
      </c>
      <c r="AM2844" s="569">
        <v>20467.96</v>
      </c>
      <c r="AN2844" s="569">
        <v>20596.810000000001</v>
      </c>
      <c r="AO2844" s="569">
        <v>20596.349999999999</v>
      </c>
    </row>
    <row r="2845" spans="2:44" s="330" customFormat="1" hidden="1" outlineLevel="1">
      <c r="B2845" s="582">
        <v>31034</v>
      </c>
      <c r="C2845" s="375" t="s">
        <v>1393</v>
      </c>
      <c r="D2845" s="226"/>
      <c r="E2845" s="375" t="s">
        <v>137</v>
      </c>
      <c r="F2845" s="226"/>
      <c r="G2845" s="226"/>
      <c r="H2845" s="226"/>
      <c r="I2845" s="226"/>
      <c r="J2845" s="226"/>
      <c r="K2845" s="574"/>
      <c r="L2845" s="574"/>
      <c r="M2845" s="574"/>
      <c r="N2845" s="574"/>
      <c r="O2845" s="574"/>
      <c r="P2845" s="569">
        <v>1179.9000000000001</v>
      </c>
      <c r="Q2845" s="569">
        <v>2181.52</v>
      </c>
      <c r="R2845" s="569">
        <v>2873.84</v>
      </c>
      <c r="S2845" s="569">
        <v>4963.8900000000003</v>
      </c>
      <c r="T2845" s="569">
        <v>5814.85</v>
      </c>
      <c r="U2845" s="569">
        <v>7183.11</v>
      </c>
      <c r="V2845" s="569">
        <v>8073.16</v>
      </c>
      <c r="W2845" s="569">
        <v>8526.15</v>
      </c>
      <c r="X2845" s="569">
        <v>9467.61</v>
      </c>
      <c r="Y2845" s="569">
        <v>10316.530000000001</v>
      </c>
      <c r="Z2845" s="569">
        <v>10665.22</v>
      </c>
      <c r="AA2845" s="569">
        <v>11532.24</v>
      </c>
      <c r="AB2845" s="569">
        <v>11318.77</v>
      </c>
      <c r="AC2845" s="569">
        <v>11812.48</v>
      </c>
      <c r="AD2845" s="569">
        <v>12991.75</v>
      </c>
      <c r="AE2845" s="569">
        <v>14401.44</v>
      </c>
      <c r="AF2845" s="569">
        <v>18254.25</v>
      </c>
      <c r="AG2845" s="569">
        <v>18533.59</v>
      </c>
      <c r="AH2845" s="569">
        <v>18996.36</v>
      </c>
      <c r="AI2845" s="569">
        <v>19733.34</v>
      </c>
      <c r="AJ2845" s="569">
        <v>20309.11</v>
      </c>
      <c r="AK2845" s="569">
        <v>20588.71</v>
      </c>
      <c r="AL2845" s="569">
        <v>22070.04</v>
      </c>
      <c r="AM2845" s="569">
        <v>21474.36</v>
      </c>
      <c r="AN2845" s="569">
        <v>21621.26</v>
      </c>
      <c r="AO2845" s="569">
        <v>20838.59</v>
      </c>
    </row>
    <row r="2846" spans="2:44" s="330" customFormat="1" hidden="1" outlineLevel="1">
      <c r="B2846" s="582">
        <v>103574</v>
      </c>
      <c r="C2846" s="375" t="s">
        <v>1393</v>
      </c>
      <c r="D2846" s="226"/>
      <c r="E2846" s="375" t="s">
        <v>1415</v>
      </c>
      <c r="F2846" s="226"/>
      <c r="G2846" s="226"/>
      <c r="H2846" s="226"/>
      <c r="I2846" s="226"/>
      <c r="J2846" s="226"/>
      <c r="K2846" s="574"/>
      <c r="L2846" s="574"/>
      <c r="M2846" s="574"/>
      <c r="N2846" s="574"/>
      <c r="O2846" s="574"/>
      <c r="P2846" s="569">
        <v>2284.0600000000004</v>
      </c>
      <c r="Q2846" s="569">
        <v>2281.69</v>
      </c>
      <c r="R2846" s="569">
        <v>4952.5200000000004</v>
      </c>
      <c r="S2846" s="569">
        <v>2216.21</v>
      </c>
      <c r="T2846" s="569">
        <v>2287.1400000000003</v>
      </c>
      <c r="U2846" s="569">
        <v>2426.85</v>
      </c>
      <c r="V2846" s="569">
        <v>2566.3700000000003</v>
      </c>
      <c r="W2846" s="569">
        <v>2798.61</v>
      </c>
      <c r="X2846" s="569">
        <v>2849.66</v>
      </c>
      <c r="Y2846" s="569">
        <v>3121.33</v>
      </c>
      <c r="Z2846" s="569">
        <v>3192.33</v>
      </c>
      <c r="AA2846" s="569">
        <v>3235.33</v>
      </c>
      <c r="AB2846" s="569">
        <v>3086.0899999999997</v>
      </c>
      <c r="AC2846" s="569">
        <v>3112.69</v>
      </c>
      <c r="AD2846" s="569">
        <v>3190.2400000000002</v>
      </c>
      <c r="AE2846" s="569">
        <v>3255.15</v>
      </c>
      <c r="AF2846" s="569">
        <v>3769.73</v>
      </c>
      <c r="AG2846" s="569">
        <v>4003.0299999999997</v>
      </c>
      <c r="AH2846" s="569">
        <v>3550.81</v>
      </c>
      <c r="AI2846" s="569">
        <v>3380.52</v>
      </c>
      <c r="AJ2846" s="569">
        <v>3090.35</v>
      </c>
      <c r="AK2846" s="569">
        <v>2752.15</v>
      </c>
      <c r="AL2846" s="569">
        <v>2745.7000000000003</v>
      </c>
      <c r="AM2846" s="569">
        <v>2875.94</v>
      </c>
      <c r="AN2846" s="569">
        <v>2845.41</v>
      </c>
      <c r="AO2846" s="569">
        <v>2865.16</v>
      </c>
    </row>
    <row r="2847" spans="2:44" s="330" customFormat="1" hidden="1" outlineLevel="1">
      <c r="B2847" s="575">
        <v>445566</v>
      </c>
      <c r="C2847" s="226" t="s">
        <v>1393</v>
      </c>
      <c r="D2847" s="226"/>
      <c r="E2847" s="226" t="s">
        <v>1417</v>
      </c>
      <c r="F2847" s="226"/>
      <c r="G2847" s="226"/>
      <c r="H2847" s="226"/>
      <c r="I2847" s="226"/>
      <c r="J2847" s="226"/>
      <c r="K2847" s="574"/>
      <c r="L2847" s="574"/>
      <c r="M2847" s="574"/>
      <c r="N2847" s="574"/>
      <c r="O2847" s="574"/>
      <c r="P2847" s="574">
        <v>282331.19</v>
      </c>
      <c r="Q2847" s="574">
        <v>283190.12999999995</v>
      </c>
      <c r="R2847" s="574">
        <v>286646.39000000007</v>
      </c>
      <c r="S2847" s="574">
        <v>291825.62000000005</v>
      </c>
      <c r="T2847" s="574">
        <v>296268.47999999986</v>
      </c>
      <c r="U2847" s="574">
        <v>302742.30999999994</v>
      </c>
      <c r="V2847" s="574">
        <v>310009.65999999986</v>
      </c>
      <c r="W2847" s="574">
        <v>321864.72000000009</v>
      </c>
      <c r="X2847" s="574">
        <v>347113.97999999992</v>
      </c>
      <c r="Y2847" s="574">
        <v>369804.72</v>
      </c>
      <c r="Z2847" s="574">
        <v>382234.9</v>
      </c>
      <c r="AA2847" s="574">
        <v>392215.94999999995</v>
      </c>
      <c r="AB2847" s="574">
        <v>387562.78000000014</v>
      </c>
      <c r="AC2847" s="574">
        <v>393399.32999999984</v>
      </c>
      <c r="AD2847" s="574">
        <v>403709.4599999999</v>
      </c>
      <c r="AE2847" s="574">
        <v>429023.76</v>
      </c>
      <c r="AF2847" s="574">
        <v>490615.22</v>
      </c>
      <c r="AG2847" s="574">
        <v>500782.71000000008</v>
      </c>
      <c r="AH2847" s="574">
        <v>500529.7</v>
      </c>
      <c r="AI2847" s="574">
        <v>484534.16000000009</v>
      </c>
      <c r="AJ2847" s="574">
        <v>474955.84999999986</v>
      </c>
      <c r="AK2847" s="574">
        <f>SUM(AK2797:AK2846)</f>
        <v>469327.69999999995</v>
      </c>
      <c r="AL2847" s="574">
        <f>SUM(AL2797:AL2846)</f>
        <v>469011.52999999991</v>
      </c>
      <c r="AM2847" s="574">
        <f>SUM(AM2797:AM2846)</f>
        <v>471487.18000000011</v>
      </c>
      <c r="AN2847" s="574">
        <f>SUM(AN2797:AN2846)</f>
        <v>473230.06000000006</v>
      </c>
      <c r="AO2847" s="574">
        <f>SUM(AO2797:AO2846)</f>
        <v>470924.83999999991</v>
      </c>
      <c r="AR2847"/>
    </row>
    <row r="2848" spans="2:44" collapsed="1">
      <c r="B2848" s="568"/>
      <c r="C2848" s="25" t="s">
        <v>1615</v>
      </c>
      <c r="D2848" s="25"/>
      <c r="E2848" s="6"/>
      <c r="F2848" s="6"/>
      <c r="G2848" s="6"/>
      <c r="H2848" s="6"/>
      <c r="I2848" s="6"/>
      <c r="J2848" s="6"/>
      <c r="K2848" s="7"/>
      <c r="L2848" s="7"/>
      <c r="M2848" s="7"/>
      <c r="N2848" s="7"/>
      <c r="O2848" s="7"/>
      <c r="P2848" s="7"/>
      <c r="Q2848" s="7"/>
      <c r="R2848" s="7"/>
      <c r="S2848" s="7"/>
      <c r="T2848" s="7"/>
      <c r="U2848" s="7"/>
      <c r="V2848" s="7"/>
      <c r="W2848" s="7"/>
      <c r="X2848" s="7"/>
      <c r="Y2848" s="7"/>
      <c r="Z2848" s="7"/>
      <c r="AA2848" s="7"/>
      <c r="AB2848" s="7"/>
      <c r="AC2848" s="7"/>
      <c r="AD2848" s="7"/>
      <c r="AE2848" s="7"/>
      <c r="AF2848" s="7"/>
      <c r="AG2848" s="7"/>
      <c r="AH2848" s="61"/>
      <c r="AI2848" s="61"/>
      <c r="AJ2848" s="26"/>
      <c r="AK2848" s="26"/>
      <c r="AL2848" s="26"/>
      <c r="AM2848" s="26"/>
      <c r="AN2848" s="26"/>
      <c r="AO2848" s="1069"/>
      <c r="AP2848" s="1044"/>
      <c r="AR2848" s="173"/>
    </row>
    <row r="2849" spans="1:43" s="173" customFormat="1" hidden="1" outlineLevel="1">
      <c r="A2849" s="578">
        <v>300</v>
      </c>
      <c r="B2849" s="568">
        <v>20</v>
      </c>
      <c r="C2849" s="375" t="s">
        <v>1394</v>
      </c>
      <c r="D2849" s="226"/>
      <c r="E2849" s="23" t="s">
        <v>1368</v>
      </c>
      <c r="F2849" s="562"/>
      <c r="G2849" s="562"/>
      <c r="H2849" s="562"/>
      <c r="I2849" s="562"/>
      <c r="J2849" s="562"/>
      <c r="K2849" s="562"/>
      <c r="L2849" s="562"/>
      <c r="M2849" s="562"/>
      <c r="N2849" s="562"/>
      <c r="O2849" s="562"/>
      <c r="P2849" s="562"/>
      <c r="Q2849" s="562"/>
      <c r="R2849" s="562"/>
      <c r="S2849" s="562"/>
      <c r="T2849" s="562"/>
      <c r="U2849" s="562"/>
      <c r="V2849" s="562">
        <v>81.5</v>
      </c>
      <c r="W2849" s="562">
        <v>71.83</v>
      </c>
      <c r="X2849" s="562">
        <v>61.49</v>
      </c>
      <c r="Y2849" s="562">
        <v>61.66</v>
      </c>
      <c r="Z2849" s="562">
        <v>59.58</v>
      </c>
      <c r="AA2849" s="562">
        <v>67.58</v>
      </c>
      <c r="AB2849" s="562">
        <v>68</v>
      </c>
      <c r="AC2849" s="562">
        <v>71.33</v>
      </c>
      <c r="AD2849" s="562">
        <v>66.2</v>
      </c>
      <c r="AE2849" s="562">
        <v>64.7</v>
      </c>
      <c r="AF2849" s="562">
        <v>71</v>
      </c>
      <c r="AG2849" s="562">
        <v>69.95</v>
      </c>
      <c r="AH2849" s="562">
        <v>62.1</v>
      </c>
      <c r="AI2849" s="562">
        <v>58.85</v>
      </c>
      <c r="AJ2849" s="562">
        <v>61.6</v>
      </c>
      <c r="AK2849" s="562">
        <v>64.349999999999994</v>
      </c>
      <c r="AL2849" s="569">
        <v>66.849999999999994</v>
      </c>
      <c r="AM2849" s="562">
        <v>65.349999999999994</v>
      </c>
      <c r="AN2849" s="562">
        <v>62.75</v>
      </c>
      <c r="AO2849" s="562">
        <v>58.2</v>
      </c>
      <c r="AP2849" s="66"/>
      <c r="AQ2849" s="66"/>
    </row>
    <row r="2850" spans="1:43" s="173" customFormat="1" hidden="1" outlineLevel="1">
      <c r="A2850" s="578">
        <v>320</v>
      </c>
      <c r="B2850" s="568">
        <v>3541</v>
      </c>
      <c r="C2850" s="375" t="s">
        <v>1394</v>
      </c>
      <c r="D2850" s="226"/>
      <c r="E2850" s="23" t="s">
        <v>855</v>
      </c>
      <c r="F2850" s="562"/>
      <c r="G2850" s="562"/>
      <c r="H2850" s="562"/>
      <c r="I2850" s="562"/>
      <c r="J2850" s="562"/>
      <c r="K2850" s="562"/>
      <c r="L2850" s="562"/>
      <c r="M2850" s="562"/>
      <c r="N2850" s="562"/>
      <c r="O2850" s="562"/>
      <c r="P2850" s="562"/>
      <c r="Q2850" s="562"/>
      <c r="R2850" s="562"/>
      <c r="S2850" s="562"/>
      <c r="T2850" s="562"/>
      <c r="U2850" s="562"/>
      <c r="V2850" s="562">
        <v>463.18999999999994</v>
      </c>
      <c r="W2850" s="562">
        <v>487.53000000000003</v>
      </c>
      <c r="X2850" s="562">
        <v>492.78000000000003</v>
      </c>
      <c r="Y2850" s="562">
        <v>507.55</v>
      </c>
      <c r="Z2850" s="562">
        <v>501.66999999999996</v>
      </c>
      <c r="AA2850" s="562">
        <v>516.29</v>
      </c>
      <c r="AB2850" s="562">
        <v>524.55999999999995</v>
      </c>
      <c r="AC2850" s="562">
        <v>530.66999999999996</v>
      </c>
      <c r="AD2850" s="562">
        <v>536.25</v>
      </c>
      <c r="AE2850" s="562">
        <v>550.92000000000007</v>
      </c>
      <c r="AF2850" s="562">
        <v>572.20000000000005</v>
      </c>
      <c r="AG2850" s="562">
        <v>591</v>
      </c>
      <c r="AH2850" s="562">
        <v>585.18000000000006</v>
      </c>
      <c r="AI2850" s="562">
        <v>609.68000000000006</v>
      </c>
      <c r="AJ2850" s="562">
        <v>582.6</v>
      </c>
      <c r="AK2850" s="562">
        <v>574.16999999999996</v>
      </c>
      <c r="AL2850" s="569">
        <v>604.35</v>
      </c>
      <c r="AM2850" s="562">
        <v>615.73</v>
      </c>
      <c r="AN2850" s="562">
        <v>656.15</v>
      </c>
      <c r="AO2850" s="562">
        <v>662.1</v>
      </c>
      <c r="AP2850" s="66"/>
      <c r="AQ2850" s="66"/>
    </row>
    <row r="2851" spans="1:43" s="173" customFormat="1" hidden="1" outlineLevel="1">
      <c r="A2851" s="578">
        <v>210</v>
      </c>
      <c r="B2851" s="568">
        <v>3565</v>
      </c>
      <c r="C2851" s="375" t="s">
        <v>1394</v>
      </c>
      <c r="D2851" s="226"/>
      <c r="E2851" s="23" t="s">
        <v>1361</v>
      </c>
      <c r="F2851" s="570"/>
      <c r="G2851" s="570"/>
      <c r="H2851" s="570"/>
      <c r="I2851" s="570"/>
      <c r="J2851" s="570"/>
      <c r="K2851" s="570"/>
      <c r="L2851" s="570"/>
      <c r="M2851" s="570"/>
      <c r="N2851" s="570"/>
      <c r="O2851" s="570"/>
      <c r="P2851" s="570"/>
      <c r="Q2851" s="570"/>
      <c r="R2851" s="570"/>
      <c r="S2851" s="570"/>
      <c r="T2851" s="570"/>
      <c r="U2851" s="570"/>
      <c r="V2851" s="570">
        <v>600.58999999999992</v>
      </c>
      <c r="W2851" s="570">
        <v>629.24</v>
      </c>
      <c r="X2851" s="570">
        <v>635.93000000000006</v>
      </c>
      <c r="Y2851" s="570">
        <v>676.51</v>
      </c>
      <c r="Z2851" s="570">
        <v>679.36</v>
      </c>
      <c r="AA2851" s="570">
        <v>706.59999999999991</v>
      </c>
      <c r="AB2851" s="570">
        <v>697.22</v>
      </c>
      <c r="AC2851" s="570">
        <v>728.24</v>
      </c>
      <c r="AD2851" s="570">
        <v>729.48</v>
      </c>
      <c r="AE2851" s="570">
        <v>736.32999999999993</v>
      </c>
      <c r="AF2851" s="570">
        <v>758.81999999999994</v>
      </c>
      <c r="AG2851" s="570">
        <v>750.12</v>
      </c>
      <c r="AH2851" s="569">
        <v>726.69</v>
      </c>
      <c r="AI2851" s="569">
        <v>814.41000000000008</v>
      </c>
      <c r="AJ2851" s="569">
        <v>839.9</v>
      </c>
      <c r="AK2851" s="569">
        <v>879.08</v>
      </c>
      <c r="AL2851" s="569">
        <v>866.42</v>
      </c>
      <c r="AM2851" s="569">
        <v>897.51</v>
      </c>
      <c r="AN2851" s="569">
        <v>700.68000000000006</v>
      </c>
      <c r="AO2851" s="569">
        <v>804.23</v>
      </c>
    </row>
    <row r="2852" spans="1:43" s="173" customFormat="1" hidden="1" outlineLevel="1">
      <c r="A2852" s="578">
        <v>270</v>
      </c>
      <c r="B2852" s="568">
        <v>3581</v>
      </c>
      <c r="C2852" s="375" t="s">
        <v>1394</v>
      </c>
      <c r="D2852" s="226"/>
      <c r="E2852" s="23" t="s">
        <v>1366</v>
      </c>
      <c r="F2852" s="562"/>
      <c r="G2852" s="562"/>
      <c r="H2852" s="562"/>
      <c r="I2852" s="562"/>
      <c r="J2852" s="562"/>
      <c r="K2852" s="562"/>
      <c r="L2852" s="562"/>
      <c r="M2852" s="562"/>
      <c r="N2852" s="562"/>
      <c r="O2852" s="562"/>
      <c r="P2852" s="562"/>
      <c r="Q2852" s="562"/>
      <c r="R2852" s="562"/>
      <c r="S2852" s="562"/>
      <c r="T2852" s="562"/>
      <c r="U2852" s="562"/>
      <c r="V2852" s="562">
        <v>668.61</v>
      </c>
      <c r="W2852" s="562">
        <v>690.02</v>
      </c>
      <c r="X2852" s="562">
        <v>702.77</v>
      </c>
      <c r="Y2852" s="562">
        <v>746.22</v>
      </c>
      <c r="Z2852" s="562">
        <v>767.04</v>
      </c>
      <c r="AA2852" s="562">
        <v>791.25</v>
      </c>
      <c r="AB2852" s="562">
        <v>811.14</v>
      </c>
      <c r="AC2852" s="562">
        <v>831.24</v>
      </c>
      <c r="AD2852" s="562">
        <v>842.48</v>
      </c>
      <c r="AE2852" s="562">
        <v>872.93000000000006</v>
      </c>
      <c r="AF2852" s="562">
        <v>944.62</v>
      </c>
      <c r="AG2852" s="562">
        <v>932.38</v>
      </c>
      <c r="AH2852" s="562">
        <v>889.31</v>
      </c>
      <c r="AI2852" s="562">
        <v>911.13</v>
      </c>
      <c r="AJ2852" s="562">
        <v>921.74</v>
      </c>
      <c r="AK2852" s="562">
        <v>958.08</v>
      </c>
      <c r="AL2852" s="569">
        <v>1021.54</v>
      </c>
      <c r="AM2852" s="562">
        <v>1029.57</v>
      </c>
      <c r="AN2852" s="562">
        <v>979.92</v>
      </c>
      <c r="AO2852" s="562">
        <v>991.39</v>
      </c>
      <c r="AP2852" s="66"/>
      <c r="AQ2852" s="66"/>
    </row>
    <row r="2853" spans="1:43" s="173" customFormat="1" hidden="1" outlineLevel="1">
      <c r="A2853" s="578">
        <v>340</v>
      </c>
      <c r="B2853" s="568">
        <v>3592</v>
      </c>
      <c r="C2853" s="375" t="s">
        <v>1394</v>
      </c>
      <c r="D2853" s="226"/>
      <c r="E2853" s="1060" t="s">
        <v>730</v>
      </c>
      <c r="F2853" s="562"/>
      <c r="G2853" s="562"/>
      <c r="H2853" s="562"/>
      <c r="I2853" s="562"/>
      <c r="J2853" s="562"/>
      <c r="K2853" s="562"/>
      <c r="L2853" s="562"/>
      <c r="M2853" s="562"/>
      <c r="N2853" s="562"/>
      <c r="O2853" s="562"/>
      <c r="P2853" s="562"/>
      <c r="Q2853" s="562"/>
      <c r="R2853" s="562"/>
      <c r="S2853" s="562"/>
      <c r="T2853" s="562"/>
      <c r="U2853" s="562"/>
      <c r="V2853" s="562">
        <v>478.59</v>
      </c>
      <c r="W2853" s="562">
        <v>458.65</v>
      </c>
      <c r="X2853" s="562">
        <v>480.22</v>
      </c>
      <c r="Y2853" s="562">
        <v>508.23</v>
      </c>
      <c r="Z2853" s="562">
        <v>475.18999999999994</v>
      </c>
      <c r="AA2853" s="562">
        <v>492.9</v>
      </c>
      <c r="AB2853" s="562">
        <v>507.97</v>
      </c>
      <c r="AC2853" s="562">
        <v>506.2</v>
      </c>
      <c r="AD2853" s="562">
        <v>498.52</v>
      </c>
      <c r="AE2853" s="562">
        <v>514</v>
      </c>
      <c r="AF2853" s="562">
        <v>516.34</v>
      </c>
      <c r="AG2853" s="562">
        <v>515.03</v>
      </c>
      <c r="AH2853" s="562">
        <v>500.63</v>
      </c>
      <c r="AI2853" s="562">
        <v>499.38</v>
      </c>
      <c r="AJ2853" s="562">
        <v>506.62</v>
      </c>
      <c r="AK2853" s="562">
        <v>511.28999999999996</v>
      </c>
      <c r="AL2853" s="569">
        <v>525.41</v>
      </c>
      <c r="AM2853" s="562">
        <v>529.44000000000005</v>
      </c>
      <c r="AN2853" s="562">
        <v>537.73</v>
      </c>
      <c r="AO2853" s="562">
        <v>533.77</v>
      </c>
      <c r="AP2853" s="66"/>
      <c r="AQ2853" s="66"/>
    </row>
    <row r="2854" spans="1:43" s="173" customFormat="1" hidden="1" outlineLevel="1">
      <c r="A2854" s="578">
        <v>330</v>
      </c>
      <c r="B2854" s="568">
        <v>3594</v>
      </c>
      <c r="C2854" s="375" t="s">
        <v>1394</v>
      </c>
      <c r="D2854" s="226"/>
      <c r="E2854" s="23" t="s">
        <v>731</v>
      </c>
      <c r="F2854" s="562"/>
      <c r="G2854" s="562"/>
      <c r="H2854" s="562"/>
      <c r="I2854" s="562"/>
      <c r="J2854" s="562"/>
      <c r="K2854" s="562"/>
      <c r="L2854" s="562"/>
      <c r="M2854" s="562"/>
      <c r="N2854" s="562"/>
      <c r="O2854" s="562"/>
      <c r="P2854" s="562"/>
      <c r="Q2854" s="562"/>
      <c r="R2854" s="562"/>
      <c r="S2854" s="562"/>
      <c r="T2854" s="562"/>
      <c r="U2854" s="562"/>
      <c r="V2854" s="562">
        <v>2154.73</v>
      </c>
      <c r="W2854" s="562">
        <v>2170.52</v>
      </c>
      <c r="X2854" s="562">
        <v>2291.13</v>
      </c>
      <c r="Y2854" s="562">
        <v>2370.69</v>
      </c>
      <c r="Z2854" s="562">
        <v>2387.8000000000002</v>
      </c>
      <c r="AA2854" s="562">
        <v>2471.02</v>
      </c>
      <c r="AB2854" s="562">
        <v>2504.64</v>
      </c>
      <c r="AC2854" s="562">
        <v>2418.79</v>
      </c>
      <c r="AD2854" s="562">
        <v>2487.4300000000003</v>
      </c>
      <c r="AE2854" s="562">
        <v>2624</v>
      </c>
      <c r="AF2854" s="562">
        <v>2718.16</v>
      </c>
      <c r="AG2854" s="562">
        <v>2813.5299999999997</v>
      </c>
      <c r="AH2854" s="562">
        <v>2817.1099999999997</v>
      </c>
      <c r="AI2854" s="562">
        <v>2849.8599999999997</v>
      </c>
      <c r="AJ2854" s="562">
        <v>2827.63</v>
      </c>
      <c r="AK2854" s="562">
        <v>2269.58</v>
      </c>
      <c r="AL2854" s="569">
        <v>2141.84</v>
      </c>
      <c r="AM2854" s="562">
        <v>2153.8200000000002</v>
      </c>
      <c r="AN2854" s="562">
        <v>2516.09</v>
      </c>
      <c r="AO2854" s="562">
        <v>2614.1000000000004</v>
      </c>
      <c r="AP2854" s="66"/>
      <c r="AQ2854" s="66"/>
    </row>
    <row r="2855" spans="1:43" s="173" customFormat="1" hidden="1" outlineLevel="1">
      <c r="A2855" s="578">
        <v>91</v>
      </c>
      <c r="B2855" s="568">
        <v>3599</v>
      </c>
      <c r="C2855" s="375" t="s">
        <v>1394</v>
      </c>
      <c r="D2855" s="226"/>
      <c r="E2855" s="1049" t="s">
        <v>1667</v>
      </c>
      <c r="F2855" s="570"/>
      <c r="G2855" s="570"/>
      <c r="H2855" s="570"/>
      <c r="I2855" s="570"/>
      <c r="J2855" s="570"/>
      <c r="K2855" s="570"/>
      <c r="L2855" s="570"/>
      <c r="M2855" s="570"/>
      <c r="N2855" s="570"/>
      <c r="O2855" s="570"/>
      <c r="P2855" s="570"/>
      <c r="Q2855" s="570"/>
      <c r="R2855" s="570"/>
      <c r="S2855" s="570"/>
      <c r="T2855" s="570"/>
      <c r="U2855" s="570"/>
      <c r="V2855" s="570"/>
      <c r="W2855" s="570"/>
      <c r="X2855" s="570"/>
      <c r="Y2855" s="570"/>
      <c r="Z2855" s="570"/>
      <c r="AA2855" s="570"/>
      <c r="AB2855" s="570"/>
      <c r="AC2855" s="570"/>
      <c r="AD2855" s="570"/>
      <c r="AE2855" s="570"/>
      <c r="AF2855" s="570"/>
      <c r="AG2855" s="570"/>
      <c r="AH2855" s="569"/>
      <c r="AI2855" s="569"/>
      <c r="AJ2855" s="569"/>
      <c r="AK2855" s="569"/>
      <c r="AL2855" s="569">
        <v>1602.44</v>
      </c>
      <c r="AM2855" s="569">
        <v>1642.98</v>
      </c>
      <c r="AN2855" s="569">
        <v>1698.12</v>
      </c>
      <c r="AO2855" s="569">
        <v>1710.45</v>
      </c>
    </row>
    <row r="2856" spans="1:43" s="173" customFormat="1" hidden="1" outlineLevel="1">
      <c r="A2856" s="578">
        <v>80</v>
      </c>
      <c r="B2856" s="568">
        <v>3599</v>
      </c>
      <c r="C2856" s="375" t="s">
        <v>1394</v>
      </c>
      <c r="D2856" s="226"/>
      <c r="E2856" s="23" t="s">
        <v>1356</v>
      </c>
      <c r="F2856" s="570"/>
      <c r="G2856" s="570"/>
      <c r="H2856" s="570"/>
      <c r="I2856" s="570"/>
      <c r="J2856" s="570"/>
      <c r="K2856" s="570"/>
      <c r="L2856" s="570"/>
      <c r="M2856" s="570"/>
      <c r="N2856" s="570"/>
      <c r="O2856" s="570"/>
      <c r="P2856" s="570"/>
      <c r="Q2856" s="570"/>
      <c r="R2856" s="570"/>
      <c r="S2856" s="570"/>
      <c r="T2856" s="570"/>
      <c r="U2856" s="570"/>
      <c r="V2856" s="570">
        <v>945.77</v>
      </c>
      <c r="W2856" s="570">
        <v>936.7</v>
      </c>
      <c r="X2856" s="570">
        <v>952.52</v>
      </c>
      <c r="Y2856" s="570">
        <v>1039.31</v>
      </c>
      <c r="Z2856" s="570">
        <v>1112.6300000000001</v>
      </c>
      <c r="AA2856" s="570">
        <v>1236.6300000000001</v>
      </c>
      <c r="AB2856" s="570">
        <v>1281.72</v>
      </c>
      <c r="AC2856" s="570">
        <v>1088.23</v>
      </c>
      <c r="AD2856" s="570">
        <v>1051.3899999999999</v>
      </c>
      <c r="AE2856" s="570">
        <v>1027.07</v>
      </c>
      <c r="AF2856" s="570">
        <v>1096.45</v>
      </c>
      <c r="AG2856" s="570">
        <v>1123.9000000000001</v>
      </c>
      <c r="AH2856" s="569">
        <v>1082.44</v>
      </c>
      <c r="AI2856" s="569">
        <v>1099.95</v>
      </c>
      <c r="AJ2856" s="569">
        <v>1136.25</v>
      </c>
      <c r="AK2856" s="569">
        <v>1157.82</v>
      </c>
      <c r="AL2856" s="569"/>
      <c r="AM2856" s="569"/>
      <c r="AN2856" s="569"/>
      <c r="AO2856" s="569"/>
    </row>
    <row r="2857" spans="1:43" s="173" customFormat="1" hidden="1" outlineLevel="1">
      <c r="A2857" s="578">
        <v>280</v>
      </c>
      <c r="B2857" s="568">
        <v>3606</v>
      </c>
      <c r="C2857" s="375" t="s">
        <v>1394</v>
      </c>
      <c r="D2857" s="226"/>
      <c r="E2857" s="23" t="s">
        <v>1367</v>
      </c>
      <c r="F2857" s="562"/>
      <c r="G2857" s="562"/>
      <c r="H2857" s="562"/>
      <c r="I2857" s="562"/>
      <c r="J2857" s="562"/>
      <c r="K2857" s="562"/>
      <c r="L2857" s="562"/>
      <c r="M2857" s="562"/>
      <c r="N2857" s="562"/>
      <c r="O2857" s="562"/>
      <c r="P2857" s="562"/>
      <c r="Q2857" s="562"/>
      <c r="R2857" s="562"/>
      <c r="S2857" s="562"/>
      <c r="T2857" s="562"/>
      <c r="U2857" s="562"/>
      <c r="V2857" s="562">
        <v>891.81</v>
      </c>
      <c r="W2857" s="562">
        <v>876.42000000000007</v>
      </c>
      <c r="X2857" s="562">
        <v>916.8</v>
      </c>
      <c r="Y2857" s="562">
        <v>937.16</v>
      </c>
      <c r="Z2857" s="562">
        <v>948.92000000000007</v>
      </c>
      <c r="AA2857" s="562">
        <v>1037.8</v>
      </c>
      <c r="AB2857" s="562">
        <v>1133.33</v>
      </c>
      <c r="AC2857" s="562">
        <v>1128.81</v>
      </c>
      <c r="AD2857" s="562">
        <v>1172.31</v>
      </c>
      <c r="AE2857" s="562">
        <v>1137.96</v>
      </c>
      <c r="AF2857" s="562">
        <v>1161.3000000000002</v>
      </c>
      <c r="AG2857" s="562">
        <v>1206</v>
      </c>
      <c r="AH2857" s="562">
        <v>1203.7</v>
      </c>
      <c r="AI2857" s="562">
        <v>1286.22</v>
      </c>
      <c r="AJ2857" s="562">
        <v>1330.45</v>
      </c>
      <c r="AK2857" s="562">
        <v>1356.52</v>
      </c>
      <c r="AL2857" s="569">
        <v>1386.38</v>
      </c>
      <c r="AM2857" s="569">
        <v>1408.62</v>
      </c>
      <c r="AN2857" s="569">
        <v>1463.3600000000001</v>
      </c>
      <c r="AO2857" s="569">
        <v>1467.21</v>
      </c>
      <c r="AP2857" s="66"/>
      <c r="AQ2857" s="66"/>
    </row>
    <row r="2858" spans="1:43" s="173" customFormat="1" hidden="1" outlineLevel="1">
      <c r="A2858" s="578">
        <v>290</v>
      </c>
      <c r="B2858" s="568">
        <v>3615</v>
      </c>
      <c r="C2858" s="375" t="s">
        <v>1394</v>
      </c>
      <c r="D2858" s="226"/>
      <c r="E2858" s="1049" t="s">
        <v>1094</v>
      </c>
      <c r="F2858" s="562"/>
      <c r="G2858" s="562"/>
      <c r="H2858" s="562"/>
      <c r="I2858" s="562"/>
      <c r="J2858" s="562"/>
      <c r="K2858" s="562"/>
      <c r="L2858" s="562"/>
      <c r="M2858" s="562"/>
      <c r="N2858" s="562"/>
      <c r="O2858" s="562"/>
      <c r="P2858" s="562"/>
      <c r="Q2858" s="562"/>
      <c r="R2858" s="562"/>
      <c r="S2858" s="562"/>
      <c r="T2858" s="562"/>
      <c r="U2858" s="562"/>
      <c r="V2858" s="562">
        <v>1571.93</v>
      </c>
      <c r="W2858" s="562">
        <v>1615.6599999999999</v>
      </c>
      <c r="X2858" s="562">
        <v>1680.8600000000001</v>
      </c>
      <c r="Y2858" s="562">
        <v>1677.94</v>
      </c>
      <c r="Z2858" s="562">
        <v>1760.72</v>
      </c>
      <c r="AA2858" s="562">
        <v>1843.83</v>
      </c>
      <c r="AB2858" s="562">
        <v>1586.78</v>
      </c>
      <c r="AC2858" s="562">
        <v>1576.33</v>
      </c>
      <c r="AD2858" s="562">
        <v>1586.1599999999999</v>
      </c>
      <c r="AE2858" s="562">
        <v>1684.02</v>
      </c>
      <c r="AF2858" s="562">
        <v>1799.64</v>
      </c>
      <c r="AG2858" s="562">
        <v>1900.4099999999999</v>
      </c>
      <c r="AH2858" s="562">
        <v>2023.54</v>
      </c>
      <c r="AI2858" s="562">
        <v>2060.36</v>
      </c>
      <c r="AJ2858" s="562">
        <v>2114.9499999999998</v>
      </c>
      <c r="AK2858" s="562">
        <v>2179.29</v>
      </c>
      <c r="AL2858" s="569">
        <v>2266.4899999999998</v>
      </c>
      <c r="AM2858" s="562">
        <v>2356.21</v>
      </c>
      <c r="AN2858" s="562">
        <v>2418.71</v>
      </c>
      <c r="AO2858" s="562">
        <v>2475.86</v>
      </c>
      <c r="AP2858" s="66"/>
      <c r="AQ2858" s="66"/>
    </row>
    <row r="2859" spans="1:43" s="173" customFormat="1" hidden="1" outlineLevel="1">
      <c r="A2859" s="578">
        <v>350</v>
      </c>
      <c r="B2859" s="568">
        <v>3624</v>
      </c>
      <c r="C2859" s="375" t="s">
        <v>1394</v>
      </c>
      <c r="D2859" s="226"/>
      <c r="E2859" s="23" t="s">
        <v>858</v>
      </c>
      <c r="F2859" s="562"/>
      <c r="G2859" s="562"/>
      <c r="H2859" s="562"/>
      <c r="I2859" s="562"/>
      <c r="J2859" s="562"/>
      <c r="K2859" s="562"/>
      <c r="L2859" s="562"/>
      <c r="M2859" s="562"/>
      <c r="N2859" s="562"/>
      <c r="O2859" s="562"/>
      <c r="P2859" s="562"/>
      <c r="Q2859" s="562"/>
      <c r="R2859" s="562"/>
      <c r="S2859" s="562"/>
      <c r="T2859" s="562"/>
      <c r="U2859" s="562"/>
      <c r="V2859" s="562">
        <v>1008.24</v>
      </c>
      <c r="W2859" s="562">
        <v>981.14</v>
      </c>
      <c r="X2859" s="562">
        <v>992.02</v>
      </c>
      <c r="Y2859" s="562">
        <v>1008.1700000000001</v>
      </c>
      <c r="Z2859" s="562">
        <v>978.02</v>
      </c>
      <c r="AA2859" s="562">
        <v>1011.58</v>
      </c>
      <c r="AB2859" s="562">
        <v>1052.1300000000001</v>
      </c>
      <c r="AC2859" s="562">
        <v>1067.74</v>
      </c>
      <c r="AD2859" s="562">
        <v>1055.97</v>
      </c>
      <c r="AE2859" s="562">
        <v>1089.33</v>
      </c>
      <c r="AF2859" s="562">
        <v>1113.3</v>
      </c>
      <c r="AG2859" s="562">
        <v>1128.98</v>
      </c>
      <c r="AH2859" s="562">
        <v>1106.5999999999999</v>
      </c>
      <c r="AI2859" s="562">
        <v>1142.47</v>
      </c>
      <c r="AJ2859" s="562">
        <v>1159.1500000000001</v>
      </c>
      <c r="AK2859" s="562">
        <v>1170.46</v>
      </c>
      <c r="AL2859" s="569">
        <v>1176.4499999999998</v>
      </c>
      <c r="AM2859" s="562">
        <v>1179.3900000000001</v>
      </c>
      <c r="AN2859" s="562">
        <v>1197.3599999999999</v>
      </c>
      <c r="AO2859" s="562">
        <v>1224.02</v>
      </c>
      <c r="AP2859" s="66"/>
      <c r="AQ2859" s="66"/>
    </row>
    <row r="2860" spans="1:43" s="173" customFormat="1" hidden="1" outlineLevel="1">
      <c r="A2860" s="578">
        <v>301</v>
      </c>
      <c r="B2860" s="568">
        <v>3625</v>
      </c>
      <c r="C2860" s="375" t="s">
        <v>1394</v>
      </c>
      <c r="D2860" s="226"/>
      <c r="E2860" s="23" t="s">
        <v>1369</v>
      </c>
      <c r="F2860" s="562"/>
      <c r="G2860" s="562"/>
      <c r="H2860" s="562"/>
      <c r="I2860" s="562"/>
      <c r="J2860" s="562"/>
      <c r="K2860" s="562"/>
      <c r="L2860" s="562"/>
      <c r="M2860" s="562"/>
      <c r="N2860" s="562"/>
      <c r="O2860" s="562"/>
      <c r="P2860" s="562"/>
      <c r="Q2860" s="562"/>
      <c r="R2860" s="562"/>
      <c r="S2860" s="562"/>
      <c r="T2860" s="562"/>
      <c r="U2860" s="562"/>
      <c r="V2860" s="562">
        <v>225.45999999999998</v>
      </c>
      <c r="W2860" s="562">
        <v>235.82</v>
      </c>
      <c r="X2860" s="562">
        <v>219.73</v>
      </c>
      <c r="Y2860" s="562">
        <v>220.10000000000002</v>
      </c>
      <c r="Z2860" s="562">
        <v>213.35</v>
      </c>
      <c r="AA2860" s="562">
        <v>225.1</v>
      </c>
      <c r="AB2860" s="562">
        <v>224.2</v>
      </c>
      <c r="AC2860" s="562">
        <v>213.5</v>
      </c>
      <c r="AD2860" s="562">
        <v>220.01999999999998</v>
      </c>
      <c r="AE2860" s="562">
        <v>234.76</v>
      </c>
      <c r="AF2860" s="562">
        <v>230.45999999999998</v>
      </c>
      <c r="AG2860" s="562">
        <v>235.13</v>
      </c>
      <c r="AH2860" s="562">
        <v>232.19</v>
      </c>
      <c r="AI2860" s="562">
        <v>209.36</v>
      </c>
      <c r="AJ2860" s="562">
        <v>192.55</v>
      </c>
      <c r="AK2860" s="562">
        <v>200.92000000000002</v>
      </c>
      <c r="AL2860" s="569">
        <v>203.05</v>
      </c>
      <c r="AM2860" s="562">
        <v>196.43</v>
      </c>
      <c r="AN2860" s="562">
        <v>201.69</v>
      </c>
      <c r="AO2860" s="562">
        <v>192.81</v>
      </c>
      <c r="AP2860" s="66"/>
      <c r="AQ2860" s="66"/>
    </row>
    <row r="2861" spans="1:43" s="173" customFormat="1" hidden="1" outlineLevel="1">
      <c r="A2861" s="578">
        <v>150</v>
      </c>
      <c r="B2861" s="568">
        <v>3630</v>
      </c>
      <c r="C2861" s="375" t="s">
        <v>1394</v>
      </c>
      <c r="D2861" s="226"/>
      <c r="E2861" s="23" t="s">
        <v>1360</v>
      </c>
      <c r="F2861" s="570"/>
      <c r="G2861" s="570"/>
      <c r="H2861" s="570"/>
      <c r="I2861" s="570"/>
      <c r="J2861" s="570"/>
      <c r="K2861" s="570"/>
      <c r="L2861" s="570"/>
      <c r="M2861" s="570"/>
      <c r="N2861" s="570"/>
      <c r="O2861" s="570"/>
      <c r="P2861" s="570"/>
      <c r="Q2861" s="570"/>
      <c r="R2861" s="570"/>
      <c r="S2861" s="570"/>
      <c r="T2861" s="570"/>
      <c r="U2861" s="570"/>
      <c r="V2861" s="570">
        <v>576.49</v>
      </c>
      <c r="W2861" s="570">
        <v>596.20000000000005</v>
      </c>
      <c r="X2861" s="570">
        <v>614.86</v>
      </c>
      <c r="Y2861" s="570">
        <v>665.17000000000007</v>
      </c>
      <c r="Z2861" s="570">
        <v>704.25</v>
      </c>
      <c r="AA2861" s="570">
        <v>769.93000000000006</v>
      </c>
      <c r="AB2861" s="570">
        <v>778.98</v>
      </c>
      <c r="AC2861" s="570">
        <v>760.74</v>
      </c>
      <c r="AD2861" s="570">
        <v>751.79</v>
      </c>
      <c r="AE2861" s="570">
        <v>770.66</v>
      </c>
      <c r="AF2861" s="570">
        <v>777.81</v>
      </c>
      <c r="AG2861" s="570">
        <v>783.53</v>
      </c>
      <c r="AH2861" s="569">
        <v>728.77</v>
      </c>
      <c r="AI2861" s="569">
        <v>749.46</v>
      </c>
      <c r="AJ2861" s="569">
        <v>751.97</v>
      </c>
      <c r="AK2861" s="569">
        <v>767.87</v>
      </c>
      <c r="AL2861" s="569">
        <v>766.94</v>
      </c>
      <c r="AM2861" s="562">
        <v>770.44</v>
      </c>
      <c r="AN2861" s="562">
        <v>801.91000000000008</v>
      </c>
      <c r="AO2861" s="562">
        <v>839.75</v>
      </c>
    </row>
    <row r="2862" spans="1:43" s="173" customFormat="1" hidden="1" outlineLevel="1">
      <c r="A2862" s="578">
        <v>160</v>
      </c>
      <c r="B2862" s="568">
        <v>3631</v>
      </c>
      <c r="C2862" s="375" t="s">
        <v>1394</v>
      </c>
      <c r="D2862" s="226"/>
      <c r="E2862" s="23" t="s">
        <v>1209</v>
      </c>
      <c r="F2862" s="570"/>
      <c r="G2862" s="570"/>
      <c r="H2862" s="570"/>
      <c r="I2862" s="570"/>
      <c r="J2862" s="570"/>
      <c r="K2862" s="570"/>
      <c r="L2862" s="570"/>
      <c r="M2862" s="570"/>
      <c r="N2862" s="570"/>
      <c r="O2862" s="570"/>
      <c r="P2862" s="570"/>
      <c r="Q2862" s="570"/>
      <c r="R2862" s="570"/>
      <c r="S2862" s="570"/>
      <c r="T2862" s="570"/>
      <c r="U2862" s="570"/>
      <c r="V2862" s="570">
        <v>634.98</v>
      </c>
      <c r="W2862" s="570">
        <v>645.92000000000007</v>
      </c>
      <c r="X2862" s="570">
        <v>662.81999999999994</v>
      </c>
      <c r="Y2862" s="570">
        <v>674.31</v>
      </c>
      <c r="Z2862" s="570">
        <v>683.47</v>
      </c>
      <c r="AA2862" s="570">
        <v>719.51</v>
      </c>
      <c r="AB2862" s="570">
        <v>741.58999999999992</v>
      </c>
      <c r="AC2862" s="570">
        <v>757.66</v>
      </c>
      <c r="AD2862" s="570">
        <v>797.31999999999994</v>
      </c>
      <c r="AE2862" s="570">
        <v>823.63</v>
      </c>
      <c r="AF2862" s="570">
        <v>707.07999999999993</v>
      </c>
      <c r="AG2862" s="570">
        <v>729.79</v>
      </c>
      <c r="AH2862" s="569">
        <v>782.7</v>
      </c>
      <c r="AI2862" s="569">
        <v>820.89</v>
      </c>
      <c r="AJ2862" s="569">
        <v>863.04</v>
      </c>
      <c r="AK2862" s="569">
        <v>968.22</v>
      </c>
      <c r="AL2862" s="569">
        <v>994.8</v>
      </c>
      <c r="AM2862" s="569">
        <v>1027.1199999999999</v>
      </c>
      <c r="AN2862" s="569">
        <v>1050.25</v>
      </c>
      <c r="AO2862" s="569">
        <v>970.40000000000009</v>
      </c>
    </row>
    <row r="2863" spans="1:43" s="173" customFormat="1" hidden="1" outlineLevel="1">
      <c r="A2863" s="578">
        <v>130</v>
      </c>
      <c r="B2863" s="568">
        <v>3632</v>
      </c>
      <c r="C2863" s="375" t="s">
        <v>1394</v>
      </c>
      <c r="D2863" s="226"/>
      <c r="E2863" s="23" t="s">
        <v>751</v>
      </c>
      <c r="F2863" s="570"/>
      <c r="G2863" s="570"/>
      <c r="H2863" s="570"/>
      <c r="I2863" s="570"/>
      <c r="J2863" s="570"/>
      <c r="K2863" s="570"/>
      <c r="L2863" s="570"/>
      <c r="M2863" s="570"/>
      <c r="N2863" s="570"/>
      <c r="O2863" s="570"/>
      <c r="P2863" s="570"/>
      <c r="Q2863" s="570"/>
      <c r="R2863" s="570"/>
      <c r="S2863" s="570"/>
      <c r="T2863" s="570"/>
      <c r="U2863" s="570"/>
      <c r="V2863" s="570">
        <v>3775.29</v>
      </c>
      <c r="W2863" s="570">
        <v>3704.39</v>
      </c>
      <c r="X2863" s="570">
        <v>3918.1000000000004</v>
      </c>
      <c r="Y2863" s="570">
        <v>3949.91</v>
      </c>
      <c r="Z2863" s="570">
        <v>4020.5699999999997</v>
      </c>
      <c r="AA2863" s="570">
        <v>4118.54</v>
      </c>
      <c r="AB2863" s="570">
        <v>4223.88</v>
      </c>
      <c r="AC2863" s="570">
        <v>4510.5</v>
      </c>
      <c r="AD2863" s="570">
        <v>4534.38</v>
      </c>
      <c r="AE2863" s="570">
        <v>4718.49</v>
      </c>
      <c r="AF2863" s="570">
        <v>4723.2700000000004</v>
      </c>
      <c r="AG2863" s="570">
        <v>4711.1499999999996</v>
      </c>
      <c r="AH2863" s="569">
        <v>4451.79</v>
      </c>
      <c r="AI2863" s="569">
        <v>4405.7700000000004</v>
      </c>
      <c r="AJ2863" s="569">
        <v>4508.29</v>
      </c>
      <c r="AK2863" s="569">
        <v>4682.43</v>
      </c>
      <c r="AL2863" s="569">
        <v>4866.93</v>
      </c>
      <c r="AM2863" s="569">
        <v>4938.6000000000004</v>
      </c>
      <c r="AN2863" s="569">
        <v>4978.33</v>
      </c>
      <c r="AO2863" s="569">
        <v>5064.09</v>
      </c>
    </row>
    <row r="2864" spans="1:43" s="173" customFormat="1" hidden="1" outlineLevel="1">
      <c r="A2864" s="578">
        <v>180</v>
      </c>
      <c r="B2864" s="568">
        <v>3639</v>
      </c>
      <c r="C2864" s="375" t="s">
        <v>1394</v>
      </c>
      <c r="D2864" s="226"/>
      <c r="E2864" s="23" t="s">
        <v>1212</v>
      </c>
      <c r="F2864" s="570"/>
      <c r="G2864" s="570"/>
      <c r="H2864" s="570"/>
      <c r="I2864" s="570"/>
      <c r="J2864" s="570"/>
      <c r="K2864" s="570"/>
      <c r="L2864" s="570"/>
      <c r="M2864" s="570"/>
      <c r="N2864" s="570"/>
      <c r="O2864" s="570"/>
      <c r="P2864" s="570"/>
      <c r="Q2864" s="570"/>
      <c r="R2864" s="570"/>
      <c r="S2864" s="570"/>
      <c r="T2864" s="570"/>
      <c r="U2864" s="570"/>
      <c r="V2864" s="570">
        <v>576.02</v>
      </c>
      <c r="W2864" s="570">
        <v>595.59</v>
      </c>
      <c r="X2864" s="570">
        <v>609.85</v>
      </c>
      <c r="Y2864" s="570">
        <v>633.23</v>
      </c>
      <c r="Z2864" s="570">
        <v>648.04</v>
      </c>
      <c r="AA2864" s="570">
        <v>645.96</v>
      </c>
      <c r="AB2864" s="570">
        <v>623.86</v>
      </c>
      <c r="AC2864" s="570">
        <v>642.23</v>
      </c>
      <c r="AD2864" s="570">
        <v>639.81000000000006</v>
      </c>
      <c r="AE2864" s="570">
        <v>683.64</v>
      </c>
      <c r="AF2864" s="570">
        <v>585.59</v>
      </c>
      <c r="AG2864" s="570">
        <v>626.67999999999995</v>
      </c>
      <c r="AH2864" s="569">
        <v>616.11</v>
      </c>
      <c r="AI2864" s="569">
        <v>645.65</v>
      </c>
      <c r="AJ2864" s="569">
        <v>677.47</v>
      </c>
      <c r="AK2864" s="569">
        <v>716.7</v>
      </c>
      <c r="AL2864" s="569">
        <v>733.52</v>
      </c>
      <c r="AM2864" s="569">
        <v>777.45</v>
      </c>
      <c r="AN2864" s="569">
        <v>788.77</v>
      </c>
      <c r="AO2864" s="569">
        <v>764.91</v>
      </c>
    </row>
    <row r="2865" spans="1:44" s="173" customFormat="1" hidden="1" outlineLevel="1">
      <c r="A2865" s="578">
        <v>360</v>
      </c>
      <c r="B2865" s="568">
        <v>3642</v>
      </c>
      <c r="C2865" s="375" t="s">
        <v>1394</v>
      </c>
      <c r="D2865" s="226"/>
      <c r="E2865" s="23" t="s">
        <v>733</v>
      </c>
      <c r="F2865" s="562"/>
      <c r="G2865" s="562"/>
      <c r="H2865" s="562"/>
      <c r="I2865" s="562"/>
      <c r="J2865" s="562"/>
      <c r="K2865" s="562"/>
      <c r="L2865" s="562"/>
      <c r="M2865" s="562"/>
      <c r="N2865" s="562"/>
      <c r="O2865" s="562"/>
      <c r="P2865" s="562"/>
      <c r="Q2865" s="562"/>
      <c r="R2865" s="562"/>
      <c r="S2865" s="562"/>
      <c r="T2865" s="562"/>
      <c r="U2865" s="562"/>
      <c r="V2865" s="562">
        <v>676.69</v>
      </c>
      <c r="W2865" s="562">
        <v>639.67000000000007</v>
      </c>
      <c r="X2865" s="562">
        <v>666.37</v>
      </c>
      <c r="Y2865" s="562">
        <v>771.38</v>
      </c>
      <c r="Z2865" s="562">
        <v>570.33999999999992</v>
      </c>
      <c r="AA2865" s="562">
        <v>887.18000000000006</v>
      </c>
      <c r="AB2865" s="562">
        <v>956.28</v>
      </c>
      <c r="AC2865" s="562">
        <v>988.14</v>
      </c>
      <c r="AD2865" s="562">
        <v>944.51</v>
      </c>
      <c r="AE2865" s="562">
        <v>929.74</v>
      </c>
      <c r="AF2865" s="562">
        <v>908.6400000000001</v>
      </c>
      <c r="AG2865" s="562">
        <v>921.19</v>
      </c>
      <c r="AH2865" s="562">
        <v>897.9</v>
      </c>
      <c r="AI2865" s="562">
        <v>905.22</v>
      </c>
      <c r="AJ2865" s="562">
        <v>858.04</v>
      </c>
      <c r="AK2865" s="562">
        <v>918.94</v>
      </c>
      <c r="AL2865" s="569">
        <v>938.87</v>
      </c>
      <c r="AM2865" s="569">
        <v>941.94</v>
      </c>
      <c r="AN2865" s="569">
        <v>967.27</v>
      </c>
      <c r="AO2865" s="569">
        <v>989.73</v>
      </c>
      <c r="AP2865" s="66"/>
      <c r="AQ2865" s="66"/>
    </row>
    <row r="2866" spans="1:44" s="173" customFormat="1" hidden="1" outlineLevel="1">
      <c r="A2866" s="578">
        <v>310</v>
      </c>
      <c r="B2866" s="568">
        <v>3644</v>
      </c>
      <c r="C2866" s="375" t="s">
        <v>1394</v>
      </c>
      <c r="D2866" s="226"/>
      <c r="E2866" s="23" t="s">
        <v>735</v>
      </c>
      <c r="F2866" s="562"/>
      <c r="G2866" s="562"/>
      <c r="H2866" s="562"/>
      <c r="I2866" s="562"/>
      <c r="J2866" s="562"/>
      <c r="K2866" s="562"/>
      <c r="L2866" s="562"/>
      <c r="M2866" s="562"/>
      <c r="N2866" s="562"/>
      <c r="O2866" s="562"/>
      <c r="P2866" s="562"/>
      <c r="Q2866" s="562"/>
      <c r="R2866" s="562"/>
      <c r="S2866" s="562"/>
      <c r="T2866" s="562"/>
      <c r="U2866" s="562"/>
      <c r="V2866" s="562">
        <v>2320.39</v>
      </c>
      <c r="W2866" s="562">
        <v>2410.94</v>
      </c>
      <c r="X2866" s="562">
        <v>2450.58</v>
      </c>
      <c r="Y2866" s="562">
        <v>2553.52</v>
      </c>
      <c r="Z2866" s="562">
        <v>2618.09</v>
      </c>
      <c r="AA2866" s="562">
        <v>2753.86</v>
      </c>
      <c r="AB2866" s="562">
        <v>2869.83</v>
      </c>
      <c r="AC2866" s="562">
        <v>2935.39</v>
      </c>
      <c r="AD2866" s="562">
        <v>2982.1099999999997</v>
      </c>
      <c r="AE2866" s="562">
        <v>2949.96</v>
      </c>
      <c r="AF2866" s="562">
        <v>3015.87</v>
      </c>
      <c r="AG2866" s="562">
        <v>3075.2</v>
      </c>
      <c r="AH2866" s="562">
        <v>3100.55</v>
      </c>
      <c r="AI2866" s="562">
        <v>3178.88</v>
      </c>
      <c r="AJ2866" s="562">
        <v>3327.26</v>
      </c>
      <c r="AK2866" s="562">
        <v>3411.62</v>
      </c>
      <c r="AL2866" s="569">
        <v>3399.33</v>
      </c>
      <c r="AM2866" s="562">
        <v>3478.75</v>
      </c>
      <c r="AN2866" s="562">
        <v>3510.92</v>
      </c>
      <c r="AO2866" s="562">
        <v>3688.9300000000003</v>
      </c>
      <c r="AP2866" s="66"/>
      <c r="AQ2866" s="66"/>
    </row>
    <row r="2867" spans="1:44" s="173" customFormat="1" hidden="1" outlineLevel="1">
      <c r="A2867" s="578">
        <v>370</v>
      </c>
      <c r="B2867" s="568">
        <v>3646</v>
      </c>
      <c r="C2867" s="375" t="s">
        <v>1394</v>
      </c>
      <c r="D2867" s="226"/>
      <c r="E2867" s="23" t="s">
        <v>737</v>
      </c>
      <c r="F2867" s="562"/>
      <c r="G2867" s="562"/>
      <c r="H2867" s="562"/>
      <c r="I2867" s="562"/>
      <c r="J2867" s="562"/>
      <c r="K2867" s="562"/>
      <c r="L2867" s="562"/>
      <c r="M2867" s="562"/>
      <c r="N2867" s="562"/>
      <c r="O2867" s="562"/>
      <c r="P2867" s="562"/>
      <c r="Q2867" s="562"/>
      <c r="R2867" s="562"/>
      <c r="S2867" s="562"/>
      <c r="T2867" s="562"/>
      <c r="U2867" s="562"/>
      <c r="V2867" s="562">
        <v>1006.88</v>
      </c>
      <c r="W2867" s="562">
        <v>966.15000000000009</v>
      </c>
      <c r="X2867" s="562">
        <v>942.31</v>
      </c>
      <c r="Y2867" s="562">
        <v>970.06</v>
      </c>
      <c r="Z2867" s="562">
        <v>987.69</v>
      </c>
      <c r="AA2867" s="562">
        <v>1039.96</v>
      </c>
      <c r="AB2867" s="562">
        <v>1064.48</v>
      </c>
      <c r="AC2867" s="562">
        <v>1118.29</v>
      </c>
      <c r="AD2867" s="562">
        <v>1162.3899999999999</v>
      </c>
      <c r="AE2867" s="562">
        <v>1202.96</v>
      </c>
      <c r="AF2867" s="562">
        <v>1145.27</v>
      </c>
      <c r="AG2867" s="562">
        <v>1139.97</v>
      </c>
      <c r="AH2867" s="562">
        <v>1166.0500000000002</v>
      </c>
      <c r="AI2867" s="562">
        <v>1212.3399999999999</v>
      </c>
      <c r="AJ2867" s="562">
        <v>1235.79</v>
      </c>
      <c r="AK2867" s="562">
        <v>1295.8600000000001</v>
      </c>
      <c r="AL2867" s="569">
        <v>1354.72</v>
      </c>
      <c r="AM2867" s="562">
        <v>1451.49</v>
      </c>
      <c r="AN2867" s="562">
        <v>1463.01</v>
      </c>
      <c r="AO2867" s="562">
        <v>1450.17</v>
      </c>
      <c r="AP2867" s="66"/>
      <c r="AQ2867" s="66"/>
    </row>
    <row r="2868" spans="1:44" s="173" customFormat="1" hidden="1" outlineLevel="1">
      <c r="A2868" s="578">
        <v>230</v>
      </c>
      <c r="B2868" s="568">
        <v>3652</v>
      </c>
      <c r="C2868" s="375" t="s">
        <v>1394</v>
      </c>
      <c r="D2868" s="226"/>
      <c r="E2868" s="23" t="s">
        <v>726</v>
      </c>
      <c r="F2868" s="570"/>
      <c r="G2868" s="570"/>
      <c r="H2868" s="570"/>
      <c r="I2868" s="570"/>
      <c r="J2868" s="570"/>
      <c r="K2868" s="570"/>
      <c r="L2868" s="570"/>
      <c r="M2868" s="570"/>
      <c r="N2868" s="570"/>
      <c r="O2868" s="570"/>
      <c r="P2868" s="570"/>
      <c r="Q2868" s="570"/>
      <c r="R2868" s="570"/>
      <c r="S2868" s="570"/>
      <c r="T2868" s="570"/>
      <c r="U2868" s="570"/>
      <c r="V2868" s="570">
        <v>2253.48</v>
      </c>
      <c r="W2868" s="570">
        <v>2365.6999999999998</v>
      </c>
      <c r="X2868" s="570">
        <v>2456.56</v>
      </c>
      <c r="Y2868" s="570">
        <v>2544.2799999999997</v>
      </c>
      <c r="Z2868" s="570">
        <v>2564.62</v>
      </c>
      <c r="AA2868" s="570">
        <v>2555.7400000000002</v>
      </c>
      <c r="AB2868" s="570">
        <v>2577.38</v>
      </c>
      <c r="AC2868" s="570">
        <v>2614.7799999999997</v>
      </c>
      <c r="AD2868" s="570">
        <v>2613.8999999999996</v>
      </c>
      <c r="AE2868" s="570">
        <v>2697.15</v>
      </c>
      <c r="AF2868" s="570">
        <v>2754.62</v>
      </c>
      <c r="AG2868" s="570">
        <v>2817.16</v>
      </c>
      <c r="AH2868" s="569">
        <v>2906.5600000000004</v>
      </c>
      <c r="AI2868" s="569">
        <v>3066.05</v>
      </c>
      <c r="AJ2868" s="569">
        <v>3142.04</v>
      </c>
      <c r="AK2868" s="569">
        <v>3202.98</v>
      </c>
      <c r="AL2868" s="569">
        <v>3317.01</v>
      </c>
      <c r="AM2868" s="562">
        <v>3405.76</v>
      </c>
      <c r="AN2868" s="562">
        <v>3492.04</v>
      </c>
      <c r="AO2868" s="562">
        <v>3524.5</v>
      </c>
    </row>
    <row r="2869" spans="1:44" s="173" customFormat="1" hidden="1" outlineLevel="1">
      <c r="A2869" s="578">
        <v>40</v>
      </c>
      <c r="B2869" s="568">
        <v>3656</v>
      </c>
      <c r="C2869" s="375" t="s">
        <v>1394</v>
      </c>
      <c r="D2869" s="226"/>
      <c r="E2869" s="23" t="s">
        <v>754</v>
      </c>
      <c r="F2869" s="570"/>
      <c r="G2869" s="570"/>
      <c r="H2869" s="577"/>
      <c r="I2869" s="570"/>
      <c r="J2869" s="570"/>
      <c r="K2869" s="570"/>
      <c r="L2869" s="570"/>
      <c r="M2869" s="570"/>
      <c r="N2869" s="570"/>
      <c r="O2869" s="570"/>
      <c r="P2869" s="570"/>
      <c r="Q2869" s="570"/>
      <c r="R2869" s="570"/>
      <c r="S2869" s="570"/>
      <c r="T2869" s="570"/>
      <c r="U2869" s="570"/>
      <c r="V2869" s="570">
        <v>1590.24</v>
      </c>
      <c r="W2869" s="570">
        <v>1567.85</v>
      </c>
      <c r="X2869" s="570">
        <v>1633.77</v>
      </c>
      <c r="Y2869" s="570">
        <v>1712.6100000000001</v>
      </c>
      <c r="Z2869" s="570">
        <v>1794.14</v>
      </c>
      <c r="AA2869" s="570">
        <v>1865.5700000000002</v>
      </c>
      <c r="AB2869" s="570">
        <v>1915.3000000000002</v>
      </c>
      <c r="AC2869" s="570">
        <v>1990.7</v>
      </c>
      <c r="AD2869" s="570">
        <v>1989.65</v>
      </c>
      <c r="AE2869" s="570">
        <v>2008.58</v>
      </c>
      <c r="AF2869" s="570">
        <v>2060.3000000000002</v>
      </c>
      <c r="AG2869" s="570">
        <v>2228.63</v>
      </c>
      <c r="AH2869" s="569">
        <v>2348.04</v>
      </c>
      <c r="AI2869" s="569">
        <v>2480.87</v>
      </c>
      <c r="AJ2869" s="569">
        <v>2568.5100000000002</v>
      </c>
      <c r="AK2869" s="569">
        <v>2457.83</v>
      </c>
      <c r="AL2869" s="569">
        <v>2632.02</v>
      </c>
      <c r="AM2869" s="569">
        <v>2504.81</v>
      </c>
      <c r="AN2869" s="569">
        <v>2456.52</v>
      </c>
      <c r="AO2869" s="569">
        <v>2464.6</v>
      </c>
    </row>
    <row r="2870" spans="1:44" s="173" customFormat="1" hidden="1" outlineLevel="1">
      <c r="A2870" s="578">
        <v>50</v>
      </c>
      <c r="B2870" s="568">
        <v>3658</v>
      </c>
      <c r="C2870" s="375" t="s">
        <v>1394</v>
      </c>
      <c r="D2870" s="226"/>
      <c r="E2870" s="23" t="s">
        <v>749</v>
      </c>
      <c r="F2870" s="570"/>
      <c r="G2870" s="570"/>
      <c r="H2870" s="570"/>
      <c r="I2870" s="570"/>
      <c r="J2870" s="570"/>
      <c r="K2870" s="570"/>
      <c r="L2870" s="570"/>
      <c r="M2870" s="570"/>
      <c r="N2870" s="570"/>
      <c r="O2870" s="570"/>
      <c r="P2870" s="570"/>
      <c r="Q2870" s="570"/>
      <c r="R2870" s="570"/>
      <c r="S2870" s="570"/>
      <c r="T2870" s="570"/>
      <c r="U2870" s="570"/>
      <c r="V2870" s="570">
        <v>4476.4399999999996</v>
      </c>
      <c r="W2870" s="570">
        <v>4507.1000000000004</v>
      </c>
      <c r="X2870" s="570">
        <v>4604.0200000000004</v>
      </c>
      <c r="Y2870" s="570">
        <v>4717.6499999999996</v>
      </c>
      <c r="Z2870" s="570">
        <v>4898</v>
      </c>
      <c r="AA2870" s="570">
        <v>5032.7299999999996</v>
      </c>
      <c r="AB2870" s="570">
        <v>5073.75</v>
      </c>
      <c r="AC2870" s="570">
        <v>5142.2</v>
      </c>
      <c r="AD2870" s="570">
        <v>5242.92</v>
      </c>
      <c r="AE2870" s="570">
        <v>5345.38</v>
      </c>
      <c r="AF2870" s="570">
        <v>5478.22</v>
      </c>
      <c r="AG2870" s="570">
        <v>5228.6900000000005</v>
      </c>
      <c r="AH2870" s="569">
        <v>5190.45</v>
      </c>
      <c r="AI2870" s="569">
        <v>5328.52</v>
      </c>
      <c r="AJ2870" s="569">
        <v>5330.44</v>
      </c>
      <c r="AK2870" s="569">
        <v>5284.45</v>
      </c>
      <c r="AL2870" s="569">
        <v>5181.7000000000007</v>
      </c>
      <c r="AM2870" s="569">
        <v>5145.63</v>
      </c>
      <c r="AN2870" s="569">
        <v>5159.0200000000004</v>
      </c>
      <c r="AO2870" s="569">
        <v>5219.66</v>
      </c>
    </row>
    <row r="2871" spans="1:44" s="173" customFormat="1" hidden="1" outlineLevel="1">
      <c r="A2871" s="578">
        <v>70</v>
      </c>
      <c r="B2871" s="568">
        <v>3661</v>
      </c>
      <c r="C2871" s="375" t="s">
        <v>1394</v>
      </c>
      <c r="D2871" s="226"/>
      <c r="E2871" s="23" t="s">
        <v>756</v>
      </c>
      <c r="F2871" s="570"/>
      <c r="G2871" s="570"/>
      <c r="H2871" s="570"/>
      <c r="I2871" s="570"/>
      <c r="J2871" s="570"/>
      <c r="K2871" s="570"/>
      <c r="L2871" s="570"/>
      <c r="M2871" s="570"/>
      <c r="N2871" s="570"/>
      <c r="O2871" s="570"/>
      <c r="P2871" s="570"/>
      <c r="Q2871" s="570"/>
      <c r="R2871" s="570"/>
      <c r="S2871" s="570"/>
      <c r="T2871" s="570"/>
      <c r="U2871" s="570"/>
      <c r="V2871" s="570">
        <v>1166.49</v>
      </c>
      <c r="W2871" s="570">
        <v>1220.83</v>
      </c>
      <c r="X2871" s="570">
        <v>1291.1399999999999</v>
      </c>
      <c r="Y2871" s="570">
        <v>1322.54</v>
      </c>
      <c r="Z2871" s="570">
        <v>1302.3399999999999</v>
      </c>
      <c r="AA2871" s="570">
        <v>1408.56</v>
      </c>
      <c r="AB2871" s="570">
        <v>1424.02</v>
      </c>
      <c r="AC2871" s="570">
        <v>1415.54</v>
      </c>
      <c r="AD2871" s="570">
        <v>1445.3200000000002</v>
      </c>
      <c r="AE2871" s="570">
        <v>1466.46</v>
      </c>
      <c r="AF2871" s="570">
        <v>1515.73</v>
      </c>
      <c r="AG2871" s="570">
        <v>1575.88</v>
      </c>
      <c r="AH2871" s="569">
        <v>1567.52</v>
      </c>
      <c r="AI2871" s="569">
        <v>1585.67</v>
      </c>
      <c r="AJ2871" s="569">
        <v>1577.73</v>
      </c>
      <c r="AK2871" s="569">
        <v>1612.97</v>
      </c>
      <c r="AL2871" s="569">
        <v>1649.97</v>
      </c>
      <c r="AM2871" s="569">
        <v>1685.13</v>
      </c>
      <c r="AN2871" s="569">
        <v>1732.45</v>
      </c>
      <c r="AO2871" s="569">
        <v>1759.7</v>
      </c>
    </row>
    <row r="2872" spans="1:44" s="173" customFormat="1" hidden="1" outlineLevel="1">
      <c r="A2872" s="578">
        <v>200</v>
      </c>
      <c r="B2872" s="568">
        <v>3665</v>
      </c>
      <c r="C2872" s="375" t="s">
        <v>1394</v>
      </c>
      <c r="D2872" s="226"/>
      <c r="E2872" s="23" t="s">
        <v>871</v>
      </c>
      <c r="F2872" s="570"/>
      <c r="G2872" s="570"/>
      <c r="H2872" s="570"/>
      <c r="I2872" s="570"/>
      <c r="J2872" s="570"/>
      <c r="K2872" s="570"/>
      <c r="L2872" s="570"/>
      <c r="M2872" s="570"/>
      <c r="N2872" s="570"/>
      <c r="O2872" s="570"/>
      <c r="P2872" s="570"/>
      <c r="Q2872" s="570"/>
      <c r="R2872" s="570"/>
      <c r="S2872" s="570"/>
      <c r="T2872" s="570"/>
      <c r="U2872" s="570"/>
      <c r="V2872" s="570">
        <v>508.35</v>
      </c>
      <c r="W2872" s="570">
        <v>512</v>
      </c>
      <c r="X2872" s="570">
        <v>518.78</v>
      </c>
      <c r="Y2872" s="570">
        <v>539.13</v>
      </c>
      <c r="Z2872" s="570">
        <v>531.66000000000008</v>
      </c>
      <c r="AA2872" s="570">
        <v>550.59</v>
      </c>
      <c r="AB2872" s="570">
        <v>562.18000000000006</v>
      </c>
      <c r="AC2872" s="570">
        <v>557.99</v>
      </c>
      <c r="AD2872" s="570">
        <v>559.37</v>
      </c>
      <c r="AE2872" s="570">
        <v>576.67000000000007</v>
      </c>
      <c r="AF2872" s="570">
        <v>601.96</v>
      </c>
      <c r="AG2872" s="570">
        <v>612.6</v>
      </c>
      <c r="AH2872" s="569">
        <v>606.69000000000005</v>
      </c>
      <c r="AI2872" s="569">
        <v>600.96</v>
      </c>
      <c r="AJ2872" s="569">
        <v>622.05999999999995</v>
      </c>
      <c r="AK2872" s="569">
        <v>662.44</v>
      </c>
      <c r="AL2872" s="569">
        <v>683.84</v>
      </c>
      <c r="AM2872" s="569">
        <v>716.75</v>
      </c>
      <c r="AN2872" s="569">
        <v>734.81</v>
      </c>
      <c r="AO2872" s="569">
        <v>744.24</v>
      </c>
    </row>
    <row r="2873" spans="1:44" s="173" customFormat="1" hidden="1" outlineLevel="1">
      <c r="A2873" s="578">
        <v>190</v>
      </c>
      <c r="B2873" s="568">
        <v>9651</v>
      </c>
      <c r="C2873" s="375" t="s">
        <v>1394</v>
      </c>
      <c r="D2873" s="226"/>
      <c r="E2873" s="23" t="s">
        <v>861</v>
      </c>
      <c r="F2873" s="570"/>
      <c r="G2873" s="570"/>
      <c r="H2873" s="570"/>
      <c r="I2873" s="570"/>
      <c r="J2873" s="570"/>
      <c r="K2873" s="570"/>
      <c r="L2873" s="570"/>
      <c r="M2873" s="570"/>
      <c r="N2873" s="570"/>
      <c r="O2873" s="570"/>
      <c r="P2873" s="570"/>
      <c r="Q2873" s="570"/>
      <c r="R2873" s="570"/>
      <c r="S2873" s="570"/>
      <c r="T2873" s="570"/>
      <c r="U2873" s="570"/>
      <c r="V2873" s="570">
        <v>277.58</v>
      </c>
      <c r="W2873" s="570">
        <v>287</v>
      </c>
      <c r="X2873" s="570">
        <v>305.07</v>
      </c>
      <c r="Y2873" s="570">
        <v>334.52</v>
      </c>
      <c r="Z2873" s="570">
        <v>352.13</v>
      </c>
      <c r="AA2873" s="570">
        <v>367.6</v>
      </c>
      <c r="AB2873" s="570">
        <v>383.59999999999997</v>
      </c>
      <c r="AC2873" s="570">
        <v>397.42</v>
      </c>
      <c r="AD2873" s="570">
        <v>379.60999999999996</v>
      </c>
      <c r="AE2873" s="570">
        <v>398.03999999999996</v>
      </c>
      <c r="AF2873" s="570">
        <v>413.21</v>
      </c>
      <c r="AG2873" s="570">
        <v>433.9</v>
      </c>
      <c r="AH2873" s="569">
        <v>395.44</v>
      </c>
      <c r="AI2873" s="569">
        <v>422.35</v>
      </c>
      <c r="AJ2873" s="569">
        <v>408.76</v>
      </c>
      <c r="AK2873" s="569">
        <v>474.42</v>
      </c>
      <c r="AL2873" s="569">
        <v>450.2</v>
      </c>
      <c r="AM2873" s="569">
        <v>509.27</v>
      </c>
      <c r="AN2873" s="569">
        <v>454.89</v>
      </c>
      <c r="AO2873" s="569">
        <v>453.86</v>
      </c>
      <c r="AR2873" s="66"/>
    </row>
    <row r="2874" spans="1:44" s="66" customFormat="1" hidden="1" outlineLevel="1">
      <c r="A2874" s="578">
        <v>60</v>
      </c>
      <c r="B2874" s="568">
        <v>9741</v>
      </c>
      <c r="C2874" s="375" t="s">
        <v>1394</v>
      </c>
      <c r="D2874" s="226"/>
      <c r="E2874" s="23" t="s">
        <v>755</v>
      </c>
      <c r="F2874" s="570"/>
      <c r="G2874" s="570"/>
      <c r="H2874" s="570"/>
      <c r="I2874" s="570"/>
      <c r="J2874" s="570"/>
      <c r="K2874" s="570"/>
      <c r="L2874" s="570"/>
      <c r="M2874" s="570"/>
      <c r="N2874" s="570"/>
      <c r="O2874" s="570"/>
      <c r="P2874" s="570"/>
      <c r="Q2874" s="570"/>
      <c r="R2874" s="570"/>
      <c r="S2874" s="570"/>
      <c r="T2874" s="570"/>
      <c r="U2874" s="570"/>
      <c r="V2874" s="570">
        <v>733.39</v>
      </c>
      <c r="W2874" s="570">
        <v>767.84</v>
      </c>
      <c r="X2874" s="570">
        <v>820.16000000000008</v>
      </c>
      <c r="Y2874" s="570">
        <v>905.42</v>
      </c>
      <c r="Z2874" s="570">
        <v>967.49</v>
      </c>
      <c r="AA2874" s="570">
        <v>990.94</v>
      </c>
      <c r="AB2874" s="570">
        <v>1032.3699999999999</v>
      </c>
      <c r="AC2874" s="570">
        <v>1109.0500000000002</v>
      </c>
      <c r="AD2874" s="570">
        <v>1070.6300000000001</v>
      </c>
      <c r="AE2874" s="570">
        <v>1207.9699999999998</v>
      </c>
      <c r="AF2874" s="570">
        <v>1275.6500000000001</v>
      </c>
      <c r="AG2874" s="570">
        <v>1430.33</v>
      </c>
      <c r="AH2874" s="569">
        <v>1430.06</v>
      </c>
      <c r="AI2874" s="569">
        <v>1500.62</v>
      </c>
      <c r="AJ2874" s="569">
        <v>1575.3600000000001</v>
      </c>
      <c r="AK2874" s="569">
        <v>1808.23</v>
      </c>
      <c r="AL2874" s="569">
        <v>1929.8600000000001</v>
      </c>
      <c r="AM2874" s="569">
        <v>2095.16</v>
      </c>
      <c r="AN2874" s="569">
        <v>2208.9499999999998</v>
      </c>
      <c r="AO2874" s="569">
        <v>2168.5500000000002</v>
      </c>
      <c r="AP2874" s="173"/>
      <c r="AQ2874" s="173"/>
    </row>
    <row r="2875" spans="1:44" s="66" customFormat="1" hidden="1" outlineLevel="1">
      <c r="A2875" s="578">
        <v>100</v>
      </c>
      <c r="B2875" s="568">
        <v>9930</v>
      </c>
      <c r="C2875" s="375" t="s">
        <v>1394</v>
      </c>
      <c r="D2875" s="226"/>
      <c r="E2875" s="23" t="s">
        <v>1358</v>
      </c>
      <c r="F2875" s="570"/>
      <c r="G2875" s="570"/>
      <c r="H2875" s="570"/>
      <c r="I2875" s="570"/>
      <c r="J2875" s="570"/>
      <c r="K2875" s="570"/>
      <c r="L2875" s="570"/>
      <c r="M2875" s="570"/>
      <c r="N2875" s="570"/>
      <c r="O2875" s="570"/>
      <c r="P2875" s="570"/>
      <c r="Q2875" s="570"/>
      <c r="R2875" s="570"/>
      <c r="S2875" s="570"/>
      <c r="T2875" s="570"/>
      <c r="U2875" s="570"/>
      <c r="V2875" s="570">
        <v>181.88</v>
      </c>
      <c r="W2875" s="570">
        <v>190.07999999999998</v>
      </c>
      <c r="X2875" s="570">
        <v>201.82999999999998</v>
      </c>
      <c r="Y2875" s="570">
        <v>224.22</v>
      </c>
      <c r="Z2875" s="570">
        <v>243.68</v>
      </c>
      <c r="AA2875" s="570">
        <v>266.23</v>
      </c>
      <c r="AB2875" s="570">
        <v>271.22000000000003</v>
      </c>
      <c r="AC2875" s="570">
        <v>277.70999999999998</v>
      </c>
      <c r="AD2875" s="570">
        <v>293.19</v>
      </c>
      <c r="AE2875" s="570">
        <v>294.2</v>
      </c>
      <c r="AF2875" s="570">
        <v>303.74</v>
      </c>
      <c r="AG2875" s="570">
        <v>292.04000000000002</v>
      </c>
      <c r="AH2875" s="569">
        <v>262.73</v>
      </c>
      <c r="AI2875" s="569">
        <v>263.83</v>
      </c>
      <c r="AJ2875" s="569">
        <v>285.63</v>
      </c>
      <c r="AK2875" s="569">
        <v>307.48</v>
      </c>
      <c r="AL2875" s="569">
        <v>327.91</v>
      </c>
      <c r="AM2875" s="569">
        <v>345.98</v>
      </c>
      <c r="AN2875" s="569">
        <v>397.29999999999995</v>
      </c>
      <c r="AO2875" s="569">
        <v>413.78999999999996</v>
      </c>
      <c r="AP2875" s="173"/>
      <c r="AQ2875" s="173"/>
    </row>
    <row r="2876" spans="1:44" s="66" customFormat="1" hidden="1" outlineLevel="1">
      <c r="A2876" s="578">
        <v>110</v>
      </c>
      <c r="B2876" s="568">
        <v>10115</v>
      </c>
      <c r="C2876" s="375" t="s">
        <v>1394</v>
      </c>
      <c r="D2876" s="226"/>
      <c r="E2876" s="23" t="s">
        <v>757</v>
      </c>
      <c r="F2876" s="570"/>
      <c r="G2876" s="570"/>
      <c r="H2876" s="570"/>
      <c r="I2876" s="570"/>
      <c r="J2876" s="570"/>
      <c r="K2876" s="570"/>
      <c r="L2876" s="570"/>
      <c r="M2876" s="570"/>
      <c r="N2876" s="570"/>
      <c r="O2876" s="570"/>
      <c r="P2876" s="570"/>
      <c r="Q2876" s="570"/>
      <c r="R2876" s="570"/>
      <c r="S2876" s="570"/>
      <c r="T2876" s="570"/>
      <c r="U2876" s="570"/>
      <c r="V2876" s="570">
        <v>1080.68</v>
      </c>
      <c r="W2876" s="570">
        <v>1085.77</v>
      </c>
      <c r="X2876" s="570">
        <v>1237.0899999999999</v>
      </c>
      <c r="Y2876" s="570">
        <v>1406.35</v>
      </c>
      <c r="Z2876" s="570">
        <v>1501.92</v>
      </c>
      <c r="AA2876" s="570">
        <v>1653.49</v>
      </c>
      <c r="AB2876" s="570">
        <v>1793.49</v>
      </c>
      <c r="AC2876" s="570">
        <v>1852.9</v>
      </c>
      <c r="AD2876" s="570">
        <v>1926.37</v>
      </c>
      <c r="AE2876" s="570">
        <v>1962.51</v>
      </c>
      <c r="AF2876" s="570">
        <v>2004.87</v>
      </c>
      <c r="AG2876" s="570">
        <v>2068.2200000000003</v>
      </c>
      <c r="AH2876" s="569">
        <v>2094.8000000000002</v>
      </c>
      <c r="AI2876" s="569">
        <v>2099.98</v>
      </c>
      <c r="AJ2876" s="569">
        <v>2136.2600000000002</v>
      </c>
      <c r="AK2876" s="569">
        <v>2143.79</v>
      </c>
      <c r="AL2876" s="569">
        <v>2188.8199999999997</v>
      </c>
      <c r="AM2876" s="569">
        <v>2202.7399999999998</v>
      </c>
      <c r="AN2876" s="569">
        <v>2160.92</v>
      </c>
      <c r="AO2876" s="569">
        <v>2241.06</v>
      </c>
      <c r="AP2876" s="173"/>
      <c r="AQ2876" s="173"/>
    </row>
    <row r="2877" spans="1:44" s="66" customFormat="1" hidden="1" outlineLevel="1">
      <c r="A2877" s="578">
        <v>140</v>
      </c>
      <c r="B2877" s="568">
        <v>10298</v>
      </c>
      <c r="C2877" s="375" t="s">
        <v>1394</v>
      </c>
      <c r="D2877" s="226"/>
      <c r="E2877" s="1060" t="s">
        <v>876</v>
      </c>
      <c r="F2877" s="570"/>
      <c r="G2877" s="570"/>
      <c r="H2877" s="570"/>
      <c r="I2877" s="570"/>
      <c r="J2877" s="570"/>
      <c r="K2877" s="570"/>
      <c r="L2877" s="570"/>
      <c r="M2877" s="570"/>
      <c r="N2877" s="570"/>
      <c r="O2877" s="570"/>
      <c r="P2877" s="570"/>
      <c r="Q2877" s="570"/>
      <c r="R2877" s="570"/>
      <c r="S2877" s="570"/>
      <c r="T2877" s="570"/>
      <c r="U2877" s="570"/>
      <c r="V2877" s="570">
        <v>160.60000000000002</v>
      </c>
      <c r="W2877" s="570">
        <v>167</v>
      </c>
      <c r="X2877" s="570">
        <v>163.9</v>
      </c>
      <c r="Y2877" s="570">
        <v>180.85000000000002</v>
      </c>
      <c r="Z2877" s="570">
        <v>204.82999999999998</v>
      </c>
      <c r="AA2877" s="570">
        <v>213.63</v>
      </c>
      <c r="AB2877" s="570">
        <v>216.49</v>
      </c>
      <c r="AC2877" s="570">
        <v>210.42000000000002</v>
      </c>
      <c r="AD2877" s="570">
        <v>218.15</v>
      </c>
      <c r="AE2877" s="570">
        <v>229.01999999999998</v>
      </c>
      <c r="AF2877" s="570">
        <v>239.91</v>
      </c>
      <c r="AG2877" s="570">
        <v>243.92000000000002</v>
      </c>
      <c r="AH2877" s="569">
        <v>243.99</v>
      </c>
      <c r="AI2877" s="569">
        <v>245.62</v>
      </c>
      <c r="AJ2877" s="569">
        <v>247.23000000000002</v>
      </c>
      <c r="AK2877" s="569">
        <v>257.58</v>
      </c>
      <c r="AL2877" s="569">
        <v>266.89999999999998</v>
      </c>
      <c r="AM2877" s="569">
        <v>274.13</v>
      </c>
      <c r="AN2877" s="569">
        <v>274.08</v>
      </c>
      <c r="AO2877" s="569">
        <v>271.93</v>
      </c>
      <c r="AP2877" s="173"/>
      <c r="AQ2877" s="173"/>
    </row>
    <row r="2878" spans="1:44" s="66" customFormat="1" hidden="1" outlineLevel="1">
      <c r="A2878" s="578">
        <v>170</v>
      </c>
      <c r="B2878" s="568">
        <v>11161</v>
      </c>
      <c r="C2878" s="375" t="s">
        <v>1394</v>
      </c>
      <c r="D2878" s="226"/>
      <c r="E2878" s="23" t="s">
        <v>1211</v>
      </c>
      <c r="F2878" s="570"/>
      <c r="G2878" s="570"/>
      <c r="H2878" s="570"/>
      <c r="I2878" s="570"/>
      <c r="J2878" s="570"/>
      <c r="K2878" s="570"/>
      <c r="L2878" s="570"/>
      <c r="M2878" s="570"/>
      <c r="N2878" s="570"/>
      <c r="O2878" s="570"/>
      <c r="P2878" s="570"/>
      <c r="Q2878" s="570"/>
      <c r="R2878" s="570"/>
      <c r="S2878" s="570"/>
      <c r="T2878" s="570"/>
      <c r="U2878" s="570"/>
      <c r="V2878" s="570">
        <v>548.05000000000007</v>
      </c>
      <c r="W2878" s="570">
        <v>572.23</v>
      </c>
      <c r="X2878" s="570">
        <v>616.89</v>
      </c>
      <c r="Y2878" s="570">
        <v>637.76</v>
      </c>
      <c r="Z2878" s="570">
        <v>623.31000000000006</v>
      </c>
      <c r="AA2878" s="570">
        <v>673.81</v>
      </c>
      <c r="AB2878" s="570">
        <v>686.88000000000011</v>
      </c>
      <c r="AC2878" s="570">
        <v>708.84</v>
      </c>
      <c r="AD2878" s="570">
        <v>725.22</v>
      </c>
      <c r="AE2878" s="570">
        <v>762.42</v>
      </c>
      <c r="AF2878" s="570">
        <v>743.09999999999991</v>
      </c>
      <c r="AG2878" s="570">
        <v>798.11</v>
      </c>
      <c r="AH2878" s="569">
        <v>775.42000000000007</v>
      </c>
      <c r="AI2878" s="569">
        <v>804.66000000000008</v>
      </c>
      <c r="AJ2878" s="569">
        <v>841.65000000000009</v>
      </c>
      <c r="AK2878" s="569">
        <v>833.8</v>
      </c>
      <c r="AL2878" s="569">
        <v>834.08999999999992</v>
      </c>
      <c r="AM2878" s="569">
        <v>659.46</v>
      </c>
      <c r="AN2878" s="569">
        <v>900.52</v>
      </c>
      <c r="AO2878" s="569">
        <v>898.5</v>
      </c>
      <c r="AP2878" s="173"/>
      <c r="AQ2878" s="173"/>
    </row>
    <row r="2879" spans="1:44" s="66" customFormat="1" hidden="1" outlineLevel="1">
      <c r="A2879" s="578">
        <v>120</v>
      </c>
      <c r="B2879" s="568">
        <v>11163</v>
      </c>
      <c r="C2879" s="375" t="s">
        <v>1394</v>
      </c>
      <c r="D2879" s="226"/>
      <c r="E2879" s="23" t="s">
        <v>1359</v>
      </c>
      <c r="F2879" s="570"/>
      <c r="G2879" s="570"/>
      <c r="H2879" s="570"/>
      <c r="I2879" s="570"/>
      <c r="J2879" s="570"/>
      <c r="K2879" s="570"/>
      <c r="L2879" s="570"/>
      <c r="M2879" s="570"/>
      <c r="N2879" s="570"/>
      <c r="O2879" s="570"/>
      <c r="P2879" s="570"/>
      <c r="Q2879" s="570"/>
      <c r="R2879" s="570"/>
      <c r="S2879" s="570"/>
      <c r="T2879" s="570"/>
      <c r="U2879" s="570"/>
      <c r="V2879" s="570">
        <v>373.87</v>
      </c>
      <c r="W2879" s="570">
        <v>378.1</v>
      </c>
      <c r="X2879" s="570">
        <v>403.85</v>
      </c>
      <c r="Y2879" s="570">
        <v>436.18</v>
      </c>
      <c r="Z2879" s="570">
        <v>439.59000000000003</v>
      </c>
      <c r="AA2879" s="570">
        <v>483.52</v>
      </c>
      <c r="AB2879" s="570">
        <v>515.17999999999995</v>
      </c>
      <c r="AC2879" s="570">
        <v>533</v>
      </c>
      <c r="AD2879" s="570">
        <v>541.5</v>
      </c>
      <c r="AE2879" s="570">
        <v>557.76</v>
      </c>
      <c r="AF2879" s="570">
        <v>570.85</v>
      </c>
      <c r="AG2879" s="570">
        <v>575.69000000000005</v>
      </c>
      <c r="AH2879" s="569">
        <v>580.08999999999992</v>
      </c>
      <c r="AI2879" s="569">
        <v>604.09999999999991</v>
      </c>
      <c r="AJ2879" s="569">
        <v>608.54</v>
      </c>
      <c r="AK2879" s="569">
        <v>671.85</v>
      </c>
      <c r="AL2879" s="569">
        <v>677.94</v>
      </c>
      <c r="AM2879" s="569">
        <v>722.4</v>
      </c>
      <c r="AN2879" s="569">
        <v>706.64</v>
      </c>
      <c r="AO2879" s="569">
        <v>700.98</v>
      </c>
      <c r="AP2879" s="173"/>
      <c r="AQ2879" s="173"/>
    </row>
    <row r="2880" spans="1:44" s="66" customFormat="1" hidden="1" outlineLevel="1">
      <c r="A2880" s="578">
        <v>240</v>
      </c>
      <c r="B2880" s="568">
        <v>11711</v>
      </c>
      <c r="C2880" s="375" t="s">
        <v>1394</v>
      </c>
      <c r="D2880" s="226"/>
      <c r="E2880" s="23" t="s">
        <v>1363</v>
      </c>
      <c r="F2880" s="570"/>
      <c r="G2880" s="570"/>
      <c r="H2880" s="570"/>
      <c r="I2880" s="570"/>
      <c r="J2880" s="570"/>
      <c r="K2880" s="570"/>
      <c r="L2880" s="570"/>
      <c r="M2880" s="570"/>
      <c r="N2880" s="570"/>
      <c r="O2880" s="570"/>
      <c r="P2880" s="570"/>
      <c r="Q2880" s="570"/>
      <c r="R2880" s="570"/>
      <c r="S2880" s="570"/>
      <c r="T2880" s="570"/>
      <c r="U2880" s="570"/>
      <c r="V2880" s="570">
        <v>468.64</v>
      </c>
      <c r="W2880" s="570">
        <v>497.14</v>
      </c>
      <c r="X2880" s="570">
        <v>530.44000000000005</v>
      </c>
      <c r="Y2880" s="570">
        <v>542.63</v>
      </c>
      <c r="Z2880" s="570">
        <v>543.07999999999993</v>
      </c>
      <c r="AA2880" s="570">
        <v>562.42999999999995</v>
      </c>
      <c r="AB2880" s="570">
        <v>576.66</v>
      </c>
      <c r="AC2880" s="570">
        <v>588.96</v>
      </c>
      <c r="AD2880" s="570">
        <v>618.87</v>
      </c>
      <c r="AE2880" s="570">
        <v>609.12</v>
      </c>
      <c r="AF2880" s="570">
        <v>615.81999999999994</v>
      </c>
      <c r="AG2880" s="570">
        <v>640.01</v>
      </c>
      <c r="AH2880" s="569">
        <v>635.81999999999994</v>
      </c>
      <c r="AI2880" s="569">
        <v>620.31000000000006</v>
      </c>
      <c r="AJ2880" s="569">
        <v>623.63</v>
      </c>
      <c r="AK2880" s="569">
        <v>670.08</v>
      </c>
      <c r="AL2880" s="569">
        <v>712.6</v>
      </c>
      <c r="AM2880" s="569">
        <v>731.2</v>
      </c>
      <c r="AN2880" s="569">
        <v>714.16</v>
      </c>
      <c r="AO2880" s="569">
        <v>685.01</v>
      </c>
      <c r="AP2880" s="173"/>
      <c r="AQ2880" s="173"/>
    </row>
    <row r="2881" spans="1:44" s="66" customFormat="1" hidden="1" outlineLevel="1">
      <c r="A2881" s="578">
        <v>250</v>
      </c>
      <c r="B2881" s="568">
        <v>12826</v>
      </c>
      <c r="C2881" s="375" t="s">
        <v>1394</v>
      </c>
      <c r="D2881" s="226"/>
      <c r="E2881" s="23" t="s">
        <v>1364</v>
      </c>
      <c r="F2881" s="570"/>
      <c r="G2881" s="570"/>
      <c r="H2881" s="570"/>
      <c r="I2881" s="570"/>
      <c r="J2881" s="570"/>
      <c r="K2881" s="570"/>
      <c r="L2881" s="570"/>
      <c r="M2881" s="570"/>
      <c r="N2881" s="570"/>
      <c r="O2881" s="570"/>
      <c r="P2881" s="570"/>
      <c r="Q2881" s="570"/>
      <c r="R2881" s="570"/>
      <c r="S2881" s="570"/>
      <c r="T2881" s="570"/>
      <c r="U2881" s="570"/>
      <c r="V2881" s="570">
        <v>564.76</v>
      </c>
      <c r="W2881" s="570">
        <v>607.74</v>
      </c>
      <c r="X2881" s="570">
        <v>645.15</v>
      </c>
      <c r="Y2881" s="570">
        <v>689.13000000000011</v>
      </c>
      <c r="Z2881" s="570">
        <v>686.72</v>
      </c>
      <c r="AA2881" s="570">
        <v>721.26</v>
      </c>
      <c r="AB2881" s="570">
        <v>753.08999999999992</v>
      </c>
      <c r="AC2881" s="570">
        <v>750.43</v>
      </c>
      <c r="AD2881" s="570">
        <v>763.04</v>
      </c>
      <c r="AE2881" s="570">
        <v>787.7</v>
      </c>
      <c r="AF2881" s="570">
        <v>791.82999999999993</v>
      </c>
      <c r="AG2881" s="570">
        <v>849.29</v>
      </c>
      <c r="AH2881" s="569">
        <v>852.37</v>
      </c>
      <c r="AI2881" s="569">
        <v>866.54</v>
      </c>
      <c r="AJ2881" s="569">
        <v>854.45</v>
      </c>
      <c r="AK2881" s="569">
        <v>860.42000000000007</v>
      </c>
      <c r="AL2881" s="569">
        <v>891.94</v>
      </c>
      <c r="AM2881" s="569">
        <v>923.95</v>
      </c>
      <c r="AN2881" s="569">
        <v>953.83999999999992</v>
      </c>
      <c r="AO2881" s="569">
        <v>971.64</v>
      </c>
      <c r="AP2881" s="173"/>
      <c r="AQ2881" s="173"/>
    </row>
    <row r="2882" spans="1:44" s="66" customFormat="1" hidden="1" outlineLevel="1">
      <c r="A2882" s="578">
        <v>260</v>
      </c>
      <c r="B2882" s="568">
        <v>13231</v>
      </c>
      <c r="C2882" s="375" t="s">
        <v>1394</v>
      </c>
      <c r="D2882" s="226"/>
      <c r="E2882" s="23" t="s">
        <v>1365</v>
      </c>
      <c r="F2882" s="562"/>
      <c r="G2882" s="562"/>
      <c r="H2882" s="562"/>
      <c r="I2882" s="562"/>
      <c r="J2882" s="562"/>
      <c r="K2882" s="562"/>
      <c r="L2882" s="562"/>
      <c r="M2882" s="562"/>
      <c r="N2882" s="562"/>
      <c r="O2882" s="562"/>
      <c r="P2882" s="562"/>
      <c r="Q2882" s="562"/>
      <c r="R2882" s="562"/>
      <c r="S2882" s="562"/>
      <c r="T2882" s="562"/>
      <c r="U2882" s="562"/>
      <c r="V2882" s="562">
        <v>97.91</v>
      </c>
      <c r="W2882" s="562">
        <v>106.04</v>
      </c>
      <c r="X2882" s="562">
        <v>127.92</v>
      </c>
      <c r="Y2882" s="562">
        <v>144.59</v>
      </c>
      <c r="Z2882" s="562">
        <v>148.69999999999999</v>
      </c>
      <c r="AA2882" s="562">
        <v>157.79999999999998</v>
      </c>
      <c r="AB2882" s="562">
        <v>162.39999999999998</v>
      </c>
      <c r="AC2882" s="562">
        <v>156.15</v>
      </c>
      <c r="AD2882" s="562">
        <v>182.38</v>
      </c>
      <c r="AE2882" s="562">
        <v>206.43</v>
      </c>
      <c r="AF2882" s="562">
        <v>230.45</v>
      </c>
      <c r="AG2882" s="562">
        <v>241</v>
      </c>
      <c r="AH2882" s="562">
        <v>263.94</v>
      </c>
      <c r="AI2882" s="562">
        <v>272.65999999999997</v>
      </c>
      <c r="AJ2882" s="562">
        <v>285.13</v>
      </c>
      <c r="AK2882" s="562">
        <v>298.13</v>
      </c>
      <c r="AL2882" s="569">
        <v>284.60000000000002</v>
      </c>
      <c r="AM2882" s="569">
        <v>285.35000000000002</v>
      </c>
      <c r="AN2882" s="569">
        <v>284.52999999999997</v>
      </c>
      <c r="AO2882" s="569">
        <v>275.36</v>
      </c>
    </row>
    <row r="2883" spans="1:44" s="66" customFormat="1" hidden="1" outlineLevel="1">
      <c r="A2883" s="578">
        <v>220</v>
      </c>
      <c r="B2883" s="568">
        <v>29269</v>
      </c>
      <c r="C2883" s="375" t="s">
        <v>1394</v>
      </c>
      <c r="D2883" s="226"/>
      <c r="E2883" s="23" t="s">
        <v>1362</v>
      </c>
      <c r="F2883" s="570"/>
      <c r="G2883" s="570"/>
      <c r="H2883" s="570"/>
      <c r="I2883" s="570"/>
      <c r="J2883" s="570"/>
      <c r="K2883" s="570"/>
      <c r="L2883" s="570"/>
      <c r="M2883" s="570"/>
      <c r="N2883" s="570"/>
      <c r="O2883" s="570"/>
      <c r="P2883" s="570"/>
      <c r="Q2883" s="570"/>
      <c r="R2883" s="570"/>
      <c r="S2883" s="570"/>
      <c r="T2883" s="570"/>
      <c r="U2883" s="570"/>
      <c r="V2883" s="570">
        <v>77.599999999999994</v>
      </c>
      <c r="W2883" s="570">
        <v>85.34</v>
      </c>
      <c r="X2883" s="570">
        <v>92.75</v>
      </c>
      <c r="Y2883" s="570">
        <v>108.72</v>
      </c>
      <c r="Z2883" s="570">
        <v>111.02000000000001</v>
      </c>
      <c r="AA2883" s="570">
        <v>120.3</v>
      </c>
      <c r="AB2883" s="570">
        <v>118.18</v>
      </c>
      <c r="AC2883" s="570">
        <v>128.06</v>
      </c>
      <c r="AD2883" s="570">
        <v>125.22</v>
      </c>
      <c r="AE2883" s="570">
        <v>135.47</v>
      </c>
      <c r="AF2883" s="570">
        <v>127.22</v>
      </c>
      <c r="AG2883" s="570">
        <v>131.22</v>
      </c>
      <c r="AH2883" s="569">
        <v>142.44</v>
      </c>
      <c r="AI2883" s="569">
        <v>150.82</v>
      </c>
      <c r="AJ2883" s="569">
        <v>159.18</v>
      </c>
      <c r="AK2883" s="569">
        <v>162.88999999999999</v>
      </c>
      <c r="AL2883" s="569">
        <v>170.66</v>
      </c>
      <c r="AM2883" s="562">
        <v>183.05</v>
      </c>
      <c r="AN2883" s="562">
        <v>187.10000000000002</v>
      </c>
      <c r="AO2883" s="562">
        <v>203.35000000000002</v>
      </c>
      <c r="AP2883" s="173"/>
      <c r="AQ2883" s="173"/>
    </row>
    <row r="2884" spans="1:44" s="66" customFormat="1" hidden="1" outlineLevel="1">
      <c r="A2884" s="578">
        <v>90</v>
      </c>
      <c r="B2884" s="568">
        <v>30646</v>
      </c>
      <c r="C2884" s="375" t="s">
        <v>1394</v>
      </c>
      <c r="D2884" s="226"/>
      <c r="E2884" s="23" t="s">
        <v>1357</v>
      </c>
      <c r="F2884" s="570"/>
      <c r="G2884" s="570"/>
      <c r="H2884" s="570"/>
      <c r="I2884" s="570"/>
      <c r="J2884" s="570"/>
      <c r="K2884" s="570"/>
      <c r="L2884" s="570"/>
      <c r="M2884" s="570"/>
      <c r="N2884" s="570"/>
      <c r="O2884" s="570"/>
      <c r="P2884" s="570"/>
      <c r="Q2884" s="570"/>
      <c r="R2884" s="570"/>
      <c r="S2884" s="570"/>
      <c r="T2884" s="570"/>
      <c r="U2884" s="570"/>
      <c r="V2884" s="570">
        <v>220.4</v>
      </c>
      <c r="W2884" s="570">
        <v>351.49</v>
      </c>
      <c r="X2884" s="570">
        <v>362.22</v>
      </c>
      <c r="Y2884" s="570">
        <v>387.57</v>
      </c>
      <c r="Z2884" s="570">
        <v>385.23</v>
      </c>
      <c r="AA2884" s="570">
        <v>410.53</v>
      </c>
      <c r="AB2884" s="570">
        <v>472.4</v>
      </c>
      <c r="AC2884" s="570">
        <v>453.85</v>
      </c>
      <c r="AD2884" s="570">
        <v>558.26</v>
      </c>
      <c r="AE2884" s="570">
        <v>640.49</v>
      </c>
      <c r="AF2884" s="570">
        <v>641.43000000000006</v>
      </c>
      <c r="AG2884" s="570">
        <v>659.25</v>
      </c>
      <c r="AH2884" s="569">
        <v>671.34</v>
      </c>
      <c r="AI2884" s="569">
        <v>670.55</v>
      </c>
      <c r="AJ2884" s="569">
        <v>600.71</v>
      </c>
      <c r="AK2884" s="569">
        <v>644.37</v>
      </c>
      <c r="AL2884" s="569"/>
      <c r="AM2884" s="569"/>
      <c r="AO2884" s="569"/>
      <c r="AP2884" s="173"/>
      <c r="AQ2884" s="173"/>
    </row>
    <row r="2885" spans="1:44" s="66" customFormat="1" hidden="1" outlineLevel="1">
      <c r="A2885" s="578">
        <v>223</v>
      </c>
      <c r="B2885" s="568">
        <v>42295</v>
      </c>
      <c r="C2885" s="375" t="s">
        <v>1394</v>
      </c>
      <c r="D2885" s="226"/>
      <c r="E2885" s="23" t="s">
        <v>1210</v>
      </c>
      <c r="F2885" s="570"/>
      <c r="G2885" s="570"/>
      <c r="H2885" s="570"/>
      <c r="I2885" s="570"/>
      <c r="J2885" s="570"/>
      <c r="K2885" s="570"/>
      <c r="L2885" s="570"/>
      <c r="M2885" s="570"/>
      <c r="N2885" s="570"/>
      <c r="O2885" s="570"/>
      <c r="P2885" s="570"/>
      <c r="Q2885" s="570"/>
      <c r="R2885" s="570"/>
      <c r="S2885" s="570"/>
      <c r="T2885" s="570"/>
      <c r="U2885" s="570"/>
      <c r="V2885" s="570">
        <v>0</v>
      </c>
      <c r="W2885" s="570">
        <v>0</v>
      </c>
      <c r="X2885" s="570">
        <v>0</v>
      </c>
      <c r="Y2885" s="570">
        <v>0</v>
      </c>
      <c r="Z2885" s="570">
        <v>0</v>
      </c>
      <c r="AA2885" s="570">
        <v>0</v>
      </c>
      <c r="AB2885" s="570">
        <v>0</v>
      </c>
      <c r="AC2885" s="570">
        <v>0</v>
      </c>
      <c r="AD2885" s="570">
        <v>0</v>
      </c>
      <c r="AE2885" s="570">
        <v>0</v>
      </c>
      <c r="AF2885" s="570">
        <v>143.26</v>
      </c>
      <c r="AG2885" s="570">
        <v>158.19999999999999</v>
      </c>
      <c r="AH2885" s="569">
        <v>164.35</v>
      </c>
      <c r="AI2885" s="569">
        <v>174.95</v>
      </c>
      <c r="AJ2885" s="569">
        <v>168.35</v>
      </c>
      <c r="AK2885" s="569">
        <v>189.25</v>
      </c>
      <c r="AL2885" s="569">
        <v>205.9</v>
      </c>
      <c r="AM2885" s="569">
        <v>210.9</v>
      </c>
      <c r="AN2885" s="569">
        <v>186.89</v>
      </c>
      <c r="AO2885" s="569">
        <v>192.44</v>
      </c>
      <c r="AP2885" s="173"/>
      <c r="AQ2885" s="173"/>
    </row>
    <row r="2886" spans="1:44" s="66" customFormat="1" hidden="1" outlineLevel="1">
      <c r="A2886" s="578">
        <v>333</v>
      </c>
      <c r="B2886" s="568">
        <v>42421</v>
      </c>
      <c r="C2886" s="375" t="s">
        <v>1394</v>
      </c>
      <c r="D2886" s="226"/>
      <c r="E2886" s="23" t="s">
        <v>1370</v>
      </c>
      <c r="F2886" s="562"/>
      <c r="G2886" s="562"/>
      <c r="H2886" s="562"/>
      <c r="I2886" s="562"/>
      <c r="J2886" s="562"/>
      <c r="K2886" s="562"/>
      <c r="L2886" s="562"/>
      <c r="M2886" s="562"/>
      <c r="N2886" s="562"/>
      <c r="O2886" s="562"/>
      <c r="P2886" s="562"/>
      <c r="Q2886" s="562"/>
      <c r="R2886" s="562"/>
      <c r="S2886" s="562"/>
      <c r="T2886" s="562"/>
      <c r="U2886" s="562"/>
      <c r="V2886" s="562">
        <v>0</v>
      </c>
      <c r="W2886" s="562">
        <v>0</v>
      </c>
      <c r="X2886" s="562">
        <v>0</v>
      </c>
      <c r="Y2886" s="562">
        <v>0</v>
      </c>
      <c r="Z2886" s="562">
        <v>0</v>
      </c>
      <c r="AA2886" s="562">
        <v>0</v>
      </c>
      <c r="AB2886" s="562">
        <v>0</v>
      </c>
      <c r="AC2886" s="562">
        <v>0</v>
      </c>
      <c r="AD2886" s="562">
        <v>0</v>
      </c>
      <c r="AE2886" s="562">
        <v>0</v>
      </c>
      <c r="AF2886" s="562">
        <v>87.69</v>
      </c>
      <c r="AG2886" s="562">
        <v>146.49</v>
      </c>
      <c r="AH2886" s="562">
        <v>107.25</v>
      </c>
      <c r="AI2886" s="562">
        <v>107.28</v>
      </c>
      <c r="AJ2886" s="562">
        <v>109</v>
      </c>
      <c r="AK2886" s="562">
        <v>144.03</v>
      </c>
      <c r="AL2886" s="569">
        <v>193.22</v>
      </c>
      <c r="AM2886" s="562">
        <v>304.55</v>
      </c>
      <c r="AN2886" s="569">
        <v>232.37</v>
      </c>
      <c r="AO2886" s="569">
        <v>257.59000000000003</v>
      </c>
    </row>
    <row r="2887" spans="1:44" s="66" customFormat="1" hidden="1" outlineLevel="1">
      <c r="A2887" s="578">
        <v>226</v>
      </c>
      <c r="B2887" s="787">
        <v>42485</v>
      </c>
      <c r="C2887" s="375" t="s">
        <v>1394</v>
      </c>
      <c r="D2887" s="226"/>
      <c r="E2887" s="23" t="s">
        <v>1213</v>
      </c>
      <c r="F2887" s="570"/>
      <c r="G2887" s="570"/>
      <c r="H2887" s="570"/>
      <c r="I2887" s="570"/>
      <c r="J2887" s="570"/>
      <c r="K2887" s="570"/>
      <c r="L2887" s="570"/>
      <c r="M2887" s="570"/>
      <c r="N2887" s="570"/>
      <c r="O2887" s="570"/>
      <c r="P2887" s="570"/>
      <c r="Q2887" s="570"/>
      <c r="R2887" s="570"/>
      <c r="S2887" s="570"/>
      <c r="T2887" s="570"/>
      <c r="U2887" s="570"/>
      <c r="V2887" s="570">
        <v>0</v>
      </c>
      <c r="W2887" s="570">
        <v>0</v>
      </c>
      <c r="X2887" s="570">
        <v>0</v>
      </c>
      <c r="Y2887" s="570">
        <v>0</v>
      </c>
      <c r="Z2887" s="570">
        <v>0</v>
      </c>
      <c r="AA2887" s="570">
        <v>0</v>
      </c>
      <c r="AB2887" s="570">
        <v>0</v>
      </c>
      <c r="AC2887" s="570">
        <v>0</v>
      </c>
      <c r="AD2887" s="570">
        <v>0</v>
      </c>
      <c r="AE2887" s="570">
        <v>0</v>
      </c>
      <c r="AF2887" s="570">
        <v>197.38</v>
      </c>
      <c r="AG2887" s="570">
        <v>237.8</v>
      </c>
      <c r="AH2887" s="569">
        <v>256.93</v>
      </c>
      <c r="AI2887" s="569">
        <v>278.57000000000005</v>
      </c>
      <c r="AJ2887" s="569">
        <v>277.28999999999996</v>
      </c>
      <c r="AK2887" s="569">
        <v>287.27999999999997</v>
      </c>
      <c r="AL2887" s="569">
        <v>272.02999999999997</v>
      </c>
      <c r="AM2887" s="569">
        <v>375.39</v>
      </c>
      <c r="AN2887" s="562">
        <v>427.79999999999995</v>
      </c>
      <c r="AO2887" s="562">
        <v>461.44</v>
      </c>
      <c r="AP2887" s="173"/>
      <c r="AQ2887" s="173"/>
    </row>
    <row r="2888" spans="1:44" s="66" customFormat="1" hidden="1" outlineLevel="1">
      <c r="B2888" s="571">
        <v>445566</v>
      </c>
      <c r="C2888" s="226" t="s">
        <v>1394</v>
      </c>
      <c r="D2888" s="226"/>
      <c r="E2888" s="226" t="s">
        <v>1398</v>
      </c>
      <c r="F2888" s="576"/>
      <c r="G2888" s="576"/>
      <c r="H2888" s="576"/>
      <c r="I2888" s="576"/>
      <c r="J2888" s="576"/>
      <c r="K2888" s="576"/>
      <c r="L2888" s="576"/>
      <c r="M2888" s="576"/>
      <c r="N2888" s="576"/>
      <c r="O2888" s="576"/>
      <c r="P2888" s="576"/>
      <c r="Q2888" s="576"/>
      <c r="R2888" s="576"/>
      <c r="S2888" s="576"/>
      <c r="T2888" s="576"/>
      <c r="U2888" s="576"/>
      <c r="V2888" s="576">
        <v>33437.520000000004</v>
      </c>
      <c r="W2888" s="576">
        <v>33981.64</v>
      </c>
      <c r="X2888" s="576">
        <v>35302.679999999993</v>
      </c>
      <c r="Y2888" s="576">
        <v>36805.270000000004</v>
      </c>
      <c r="Z2888" s="576">
        <v>37415.189999999995</v>
      </c>
      <c r="AA2888" s="576">
        <v>39370.25</v>
      </c>
      <c r="AB2888" s="576">
        <v>40185.179999999993</v>
      </c>
      <c r="AC2888" s="576">
        <v>40762.03</v>
      </c>
      <c r="AD2888" s="576">
        <v>41312.119999999995</v>
      </c>
      <c r="AE2888" s="576">
        <v>42500.47</v>
      </c>
      <c r="AF2888" s="576">
        <v>43643.06</v>
      </c>
      <c r="AG2888" s="576">
        <v>44622.37000000001</v>
      </c>
      <c r="AH2888" s="576">
        <v>44469.590000000004</v>
      </c>
      <c r="AI2888" s="576">
        <v>45604.790000000015</v>
      </c>
      <c r="AJ2888" s="576">
        <v>46317.250000000007</v>
      </c>
      <c r="AK2888" s="576">
        <f>SUM(AK2849:AK2887)</f>
        <v>47057.470000000008</v>
      </c>
      <c r="AL2888" s="576">
        <f>SUM(AL2849:AL2887)</f>
        <v>47787.540000000008</v>
      </c>
      <c r="AM2888" s="576">
        <f>SUM(AM2849:AM2887)</f>
        <v>48742.44999999999</v>
      </c>
      <c r="AN2888" s="576">
        <f>SUM(AN2849:AN2887)</f>
        <v>49657.85</v>
      </c>
      <c r="AO2888" s="576">
        <f>SUM(AO2849:AO2887)</f>
        <v>50410.320000000007</v>
      </c>
      <c r="AR2888"/>
    </row>
    <row r="2889" spans="1:44" collapsed="1">
      <c r="B2889" s="568"/>
      <c r="C2889" s="25" t="s">
        <v>1619</v>
      </c>
      <c r="D2889" s="25"/>
      <c r="E2889" s="6"/>
      <c r="F2889" s="6"/>
      <c r="G2889" s="6"/>
      <c r="H2889" s="6"/>
      <c r="I2889" s="6"/>
      <c r="J2889" s="6"/>
      <c r="K2889" s="7"/>
      <c r="L2889" s="7"/>
      <c r="M2889" s="7"/>
      <c r="N2889" s="7"/>
      <c r="O2889" s="7"/>
      <c r="P2889" s="7"/>
      <c r="Q2889" s="7"/>
      <c r="R2889" s="7"/>
      <c r="S2889" s="7"/>
      <c r="T2889" s="7"/>
      <c r="U2889" s="7"/>
      <c r="V2889" s="7"/>
      <c r="W2889" s="7"/>
      <c r="X2889" s="7"/>
      <c r="Y2889" s="7"/>
      <c r="Z2889" s="7"/>
      <c r="AA2889" s="7"/>
      <c r="AB2889" s="7"/>
      <c r="AC2889" s="7"/>
      <c r="AD2889" s="7"/>
      <c r="AE2889" s="7"/>
      <c r="AF2889" s="7"/>
      <c r="AG2889" s="7"/>
      <c r="AH2889" s="61"/>
      <c r="AI2889" s="61"/>
      <c r="AJ2889" s="26"/>
      <c r="AK2889" s="26"/>
      <c r="AL2889" s="26"/>
      <c r="AM2889" s="26"/>
      <c r="AN2889" s="26"/>
      <c r="AO2889" s="1069"/>
      <c r="AP2889" s="1044"/>
      <c r="AR2889" s="66"/>
    </row>
    <row r="2890" spans="1:44" s="66" customFormat="1" hidden="1" outlineLevel="1">
      <c r="A2890" s="579">
        <v>390</v>
      </c>
      <c r="B2890" s="568">
        <v>30</v>
      </c>
      <c r="C2890" s="375" t="s">
        <v>1394</v>
      </c>
      <c r="D2890" s="226"/>
      <c r="E2890" s="375" t="s">
        <v>1846</v>
      </c>
      <c r="F2890" s="562"/>
      <c r="G2890" s="562"/>
      <c r="H2890" s="562"/>
      <c r="I2890" s="562"/>
      <c r="J2890" s="562"/>
      <c r="K2890" s="562"/>
      <c r="L2890" s="562"/>
      <c r="M2890" s="562"/>
      <c r="N2890" s="562"/>
      <c r="O2890" s="562"/>
      <c r="P2890" s="562"/>
      <c r="Q2890" s="562"/>
      <c r="R2890" s="562"/>
      <c r="S2890" s="562"/>
      <c r="T2890" s="562"/>
      <c r="U2890" s="562"/>
      <c r="V2890" s="562"/>
      <c r="W2890" s="562">
        <v>1215.2900000000002</v>
      </c>
      <c r="X2890" s="562">
        <v>1267.3</v>
      </c>
      <c r="Y2890" s="562">
        <v>1324.49</v>
      </c>
      <c r="Z2890" s="562">
        <v>1382.69</v>
      </c>
      <c r="AA2890" s="562">
        <v>1488.08</v>
      </c>
      <c r="AB2890" s="562">
        <v>1521.8</v>
      </c>
      <c r="AC2890" s="562">
        <v>1574.98</v>
      </c>
      <c r="AD2890" s="562">
        <v>1669.26</v>
      </c>
      <c r="AE2890" s="562">
        <v>1730.859999999999</v>
      </c>
      <c r="AF2890" s="562">
        <v>1805.8199999999977</v>
      </c>
      <c r="AG2890" s="562">
        <v>1906.9599999999971</v>
      </c>
      <c r="AH2890" s="562">
        <v>1943.829999999997</v>
      </c>
      <c r="AI2890" s="562">
        <v>2005.3</v>
      </c>
      <c r="AJ2890" s="1083">
        <v>2014.9</v>
      </c>
      <c r="AK2890" s="1083">
        <v>2115.5500000000002</v>
      </c>
      <c r="AL2890" s="1083">
        <v>2198.5300000000002</v>
      </c>
      <c r="AM2890" s="1083">
        <v>2228.16</v>
      </c>
      <c r="AN2890" s="1083">
        <v>2360.92</v>
      </c>
      <c r="AO2890" s="1083">
        <v>2634.69</v>
      </c>
    </row>
    <row r="2891" spans="1:44" s="66" customFormat="1" hidden="1" outlineLevel="1">
      <c r="A2891" s="579">
        <v>400</v>
      </c>
      <c r="B2891" s="568">
        <v>104952</v>
      </c>
      <c r="C2891" s="375" t="s">
        <v>1394</v>
      </c>
      <c r="D2891" s="226"/>
      <c r="E2891" s="23" t="s">
        <v>1372</v>
      </c>
      <c r="F2891" s="562"/>
      <c r="G2891" s="562"/>
      <c r="H2891" s="562"/>
      <c r="I2891" s="562"/>
      <c r="J2891" s="562"/>
      <c r="K2891" s="562"/>
      <c r="L2891" s="562"/>
      <c r="M2891" s="562"/>
      <c r="N2891" s="562"/>
      <c r="O2891" s="562"/>
      <c r="P2891" s="562"/>
      <c r="Q2891" s="562"/>
      <c r="R2891" s="562"/>
      <c r="S2891" s="562"/>
      <c r="T2891" s="562"/>
      <c r="U2891" s="562"/>
      <c r="V2891" s="562"/>
      <c r="W2891" s="562">
        <v>1214</v>
      </c>
      <c r="X2891" s="562">
        <v>1181.33</v>
      </c>
      <c r="Y2891" s="562">
        <v>1201.19</v>
      </c>
      <c r="Z2891" s="562">
        <v>1214.8000000000002</v>
      </c>
      <c r="AA2891" s="562">
        <v>1229.1699999999998</v>
      </c>
      <c r="AB2891" s="562">
        <v>1256.26</v>
      </c>
      <c r="AC2891" s="562">
        <v>1238.9100000000001</v>
      </c>
      <c r="AD2891" s="562">
        <v>1234.22</v>
      </c>
      <c r="AE2891" s="562">
        <v>1302.8</v>
      </c>
      <c r="AF2891" s="562">
        <v>1157.02</v>
      </c>
      <c r="AG2891" s="562">
        <v>1168.9499999999998</v>
      </c>
      <c r="AH2891" s="562">
        <v>1185.4999999999993</v>
      </c>
      <c r="AI2891" s="562">
        <v>1176.8699999999999</v>
      </c>
      <c r="AJ2891" s="1083">
        <v>1100.8499999999999</v>
      </c>
      <c r="AK2891" s="1083">
        <v>1113.3900000000001</v>
      </c>
      <c r="AL2891" s="1083">
        <v>1208.93</v>
      </c>
      <c r="AM2891" s="1083">
        <v>1279</v>
      </c>
      <c r="AN2891" s="1083">
        <v>1273.49</v>
      </c>
      <c r="AO2891" s="1083">
        <v>1309.83</v>
      </c>
    </row>
    <row r="2892" spans="1:44" s="66" customFormat="1" hidden="1" outlineLevel="1">
      <c r="A2892" s="579">
        <v>410</v>
      </c>
      <c r="B2892" s="568">
        <v>11618</v>
      </c>
      <c r="C2892" s="375" t="s">
        <v>1394</v>
      </c>
      <c r="D2892" s="226"/>
      <c r="E2892" s="23" t="s">
        <v>1373</v>
      </c>
      <c r="F2892" s="562"/>
      <c r="G2892" s="562"/>
      <c r="H2892" s="562"/>
      <c r="I2892" s="562"/>
      <c r="J2892" s="562"/>
      <c r="K2892" s="562"/>
      <c r="L2892" s="562"/>
      <c r="M2892" s="562"/>
      <c r="N2892" s="562"/>
      <c r="O2892" s="562"/>
      <c r="P2892" s="562"/>
      <c r="Q2892" s="562"/>
      <c r="R2892" s="562"/>
      <c r="S2892" s="562"/>
      <c r="T2892" s="562"/>
      <c r="U2892" s="562"/>
      <c r="V2892" s="562"/>
      <c r="W2892" s="562">
        <v>98.22999999999999</v>
      </c>
      <c r="X2892" s="562">
        <v>106.4</v>
      </c>
      <c r="Y2892" s="562">
        <v>112.5</v>
      </c>
      <c r="Z2892" s="562">
        <v>104.8</v>
      </c>
      <c r="AA2892" s="562">
        <v>98.05</v>
      </c>
      <c r="AB2892" s="562">
        <v>102.98</v>
      </c>
      <c r="AC2892" s="562">
        <v>94.34</v>
      </c>
      <c r="AD2892" s="562">
        <v>88.93</v>
      </c>
      <c r="AE2892" s="562">
        <v>1229.8000000000015</v>
      </c>
      <c r="AF2892" s="562">
        <v>1371.0100000000007</v>
      </c>
      <c r="AG2892" s="562">
        <v>1396.8300000000004</v>
      </c>
      <c r="AH2892" s="562">
        <v>1387.7900000000009</v>
      </c>
      <c r="AI2892" s="562">
        <v>1497.63</v>
      </c>
      <c r="AJ2892" s="1083">
        <v>1625.86</v>
      </c>
      <c r="AK2892" s="1083">
        <v>1748.78</v>
      </c>
      <c r="AL2892" s="1083">
        <v>1845.66</v>
      </c>
      <c r="AM2892" s="1083">
        <v>1926.48</v>
      </c>
      <c r="AN2892" s="1083">
        <v>1992.5</v>
      </c>
      <c r="AO2892" s="1083">
        <v>2021.94</v>
      </c>
    </row>
    <row r="2893" spans="1:44" s="66" customFormat="1" hidden="1" outlineLevel="1">
      <c r="A2893" s="579">
        <v>420</v>
      </c>
      <c r="B2893" s="568">
        <v>40</v>
      </c>
      <c r="C2893" s="375" t="s">
        <v>1394</v>
      </c>
      <c r="D2893" s="226"/>
      <c r="E2893" s="23" t="s">
        <v>1374</v>
      </c>
      <c r="F2893" s="562"/>
      <c r="G2893" s="562"/>
      <c r="H2893" s="562"/>
      <c r="I2893" s="562"/>
      <c r="J2893" s="562"/>
      <c r="K2893" s="562"/>
      <c r="L2893" s="562"/>
      <c r="M2893" s="562"/>
      <c r="N2893" s="562"/>
      <c r="O2893" s="562"/>
      <c r="P2893" s="562"/>
      <c r="Q2893" s="562"/>
      <c r="R2893" s="562"/>
      <c r="S2893" s="562"/>
      <c r="T2893" s="562"/>
      <c r="U2893" s="562"/>
      <c r="V2893" s="562"/>
      <c r="W2893" s="562">
        <v>1187.56</v>
      </c>
      <c r="X2893" s="562">
        <v>1187.72</v>
      </c>
      <c r="Y2893" s="562">
        <v>1183.58</v>
      </c>
      <c r="Z2893" s="562">
        <v>1189.96</v>
      </c>
      <c r="AA2893" s="562">
        <v>1371.5900000000001</v>
      </c>
      <c r="AB2893" s="562">
        <v>1376.2</v>
      </c>
      <c r="AC2893" s="562">
        <v>1412.05</v>
      </c>
      <c r="AD2893" s="562">
        <v>1446.74</v>
      </c>
      <c r="AE2893" s="562">
        <v>1462.6700000000005</v>
      </c>
      <c r="AF2893" s="562">
        <v>1508.9999999999995</v>
      </c>
      <c r="AG2893" s="562">
        <v>1531.7499999999998</v>
      </c>
      <c r="AH2893" s="562">
        <v>1432.1499999999992</v>
      </c>
      <c r="AI2893" s="562">
        <v>1414.1</v>
      </c>
      <c r="AJ2893" s="1083">
        <v>1401.74</v>
      </c>
      <c r="AK2893" s="1083">
        <v>1352.27</v>
      </c>
      <c r="AL2893" s="1083">
        <v>1321.9</v>
      </c>
      <c r="AM2893" s="1083">
        <v>1342.99</v>
      </c>
      <c r="AN2893" s="1083">
        <v>1395.17</v>
      </c>
      <c r="AO2893" s="1083">
        <v>1486.41</v>
      </c>
    </row>
    <row r="2894" spans="1:44" s="66" customFormat="1" hidden="1" outlineLevel="1">
      <c r="A2894" s="579">
        <v>430</v>
      </c>
      <c r="B2894" s="568">
        <v>25554</v>
      </c>
      <c r="C2894" s="375" t="s">
        <v>1394</v>
      </c>
      <c r="D2894" s="226"/>
      <c r="E2894" s="23" t="s">
        <v>1375</v>
      </c>
      <c r="F2894" s="562"/>
      <c r="G2894" s="562"/>
      <c r="H2894" s="562"/>
      <c r="I2894" s="562"/>
      <c r="J2894" s="562"/>
      <c r="K2894" s="562"/>
      <c r="L2894" s="562"/>
      <c r="M2894" s="562"/>
      <c r="N2894" s="562"/>
      <c r="O2894" s="562"/>
      <c r="P2894" s="562"/>
      <c r="Q2894" s="562"/>
      <c r="R2894" s="562"/>
      <c r="S2894" s="562"/>
      <c r="T2894" s="562"/>
      <c r="U2894" s="562"/>
      <c r="V2894" s="562"/>
      <c r="W2894" s="562">
        <v>55.48</v>
      </c>
      <c r="X2894" s="562">
        <v>71.529999999999973</v>
      </c>
      <c r="Y2894" s="562">
        <v>59.81</v>
      </c>
      <c r="Z2894" s="562">
        <v>1232.05</v>
      </c>
      <c r="AA2894" s="562">
        <v>1168.0300000000002</v>
      </c>
      <c r="AB2894" s="562">
        <v>1431.39</v>
      </c>
      <c r="AC2894" s="562">
        <v>1405.72</v>
      </c>
      <c r="AD2894" s="562">
        <v>1440.76</v>
      </c>
      <c r="AE2894" s="562">
        <v>1518.4099999999996</v>
      </c>
      <c r="AF2894" s="562">
        <v>1554.5899999999997</v>
      </c>
      <c r="AG2894" s="562">
        <v>1573.3500000000001</v>
      </c>
      <c r="AH2894" s="562">
        <v>1604.4100000000003</v>
      </c>
      <c r="AI2894" s="562">
        <v>1696.87</v>
      </c>
      <c r="AJ2894" s="1083">
        <v>1717.59</v>
      </c>
      <c r="AK2894" s="1083">
        <v>1726.99</v>
      </c>
      <c r="AL2894" s="1083">
        <v>1766.53</v>
      </c>
      <c r="AM2894" s="1083">
        <v>1790.7</v>
      </c>
      <c r="AN2894" s="1083">
        <v>1792.08</v>
      </c>
      <c r="AO2894" s="1083">
        <v>1841.29</v>
      </c>
    </row>
    <row r="2895" spans="1:44" s="66" customFormat="1" hidden="1" outlineLevel="1">
      <c r="A2895" s="579">
        <v>440</v>
      </c>
      <c r="B2895" s="781">
        <v>42439</v>
      </c>
      <c r="C2895" s="375" t="s">
        <v>1394</v>
      </c>
      <c r="D2895" s="226"/>
      <c r="E2895" s="23" t="s">
        <v>1376</v>
      </c>
      <c r="F2895" s="562"/>
      <c r="G2895" s="562"/>
      <c r="H2895" s="562"/>
      <c r="I2895" s="562"/>
      <c r="J2895" s="562"/>
      <c r="K2895" s="562"/>
      <c r="L2895" s="562"/>
      <c r="M2895" s="562"/>
      <c r="N2895" s="562"/>
      <c r="O2895" s="562"/>
      <c r="P2895" s="562"/>
      <c r="Q2895" s="562"/>
      <c r="R2895" s="562"/>
      <c r="S2895" s="562"/>
      <c r="T2895" s="562"/>
      <c r="U2895" s="562"/>
      <c r="V2895" s="562"/>
      <c r="W2895" s="562">
        <v>968.90000000000009</v>
      </c>
      <c r="X2895" s="562">
        <v>1012.09</v>
      </c>
      <c r="Y2895" s="562">
        <v>1140.32</v>
      </c>
      <c r="Z2895" s="562">
        <v>1129.2399999999998</v>
      </c>
      <c r="AA2895" s="562">
        <v>1162.9499999999998</v>
      </c>
      <c r="AB2895" s="562">
        <v>1160.8900000000001</v>
      </c>
      <c r="AC2895" s="562">
        <v>1151.95</v>
      </c>
      <c r="AD2895" s="562">
        <v>1191.1199999999999</v>
      </c>
      <c r="AE2895" s="562">
        <v>82.03</v>
      </c>
      <c r="AF2895" s="562">
        <v>80.25</v>
      </c>
      <c r="AG2895" s="562">
        <v>81.59</v>
      </c>
      <c r="AH2895" s="562">
        <v>84.839999999999989</v>
      </c>
      <c r="AI2895" s="562">
        <v>90.4</v>
      </c>
      <c r="AJ2895" s="1083">
        <v>93.85</v>
      </c>
      <c r="AK2895" s="1083">
        <v>107.4</v>
      </c>
      <c r="AL2895" s="1083">
        <v>117.79</v>
      </c>
      <c r="AM2895" s="1083">
        <v>131.38999999999999</v>
      </c>
      <c r="AN2895" s="1083">
        <v>131.79</v>
      </c>
      <c r="AO2895" s="1083">
        <v>152</v>
      </c>
    </row>
    <row r="2896" spans="1:44" s="66" customFormat="1" hidden="1" outlineLevel="1">
      <c r="A2896" s="579">
        <v>450</v>
      </c>
      <c r="B2896" s="568">
        <v>89</v>
      </c>
      <c r="C2896" s="375" t="s">
        <v>1394</v>
      </c>
      <c r="D2896" s="226"/>
      <c r="E2896" s="23" t="s">
        <v>1377</v>
      </c>
      <c r="F2896" s="562"/>
      <c r="G2896" s="562"/>
      <c r="H2896" s="562"/>
      <c r="I2896" s="562"/>
      <c r="J2896" s="562"/>
      <c r="K2896" s="562"/>
      <c r="L2896" s="562"/>
      <c r="M2896" s="562"/>
      <c r="N2896" s="562"/>
      <c r="O2896" s="562"/>
      <c r="P2896" s="562"/>
      <c r="Q2896" s="562"/>
      <c r="R2896" s="562"/>
      <c r="S2896" s="562"/>
      <c r="T2896" s="562"/>
      <c r="U2896" s="562"/>
      <c r="V2896" s="562"/>
      <c r="W2896" s="562">
        <v>255.82</v>
      </c>
      <c r="X2896" s="562">
        <v>271.58999999999997</v>
      </c>
      <c r="Y2896" s="562">
        <v>299.61999999999995</v>
      </c>
      <c r="Z2896" s="562">
        <v>302.69000000000005</v>
      </c>
      <c r="AA2896" s="562">
        <v>296.88</v>
      </c>
      <c r="AB2896" s="562">
        <v>281.81</v>
      </c>
      <c r="AC2896" s="562">
        <v>313.5</v>
      </c>
      <c r="AD2896" s="562">
        <v>322.73</v>
      </c>
      <c r="AE2896" s="562">
        <v>343.63999999999976</v>
      </c>
      <c r="AF2896" s="562">
        <v>373.40999999999985</v>
      </c>
      <c r="AG2896" s="562">
        <v>376.51</v>
      </c>
      <c r="AH2896" s="562">
        <v>379.11999999999978</v>
      </c>
      <c r="AI2896" s="562">
        <v>401.96</v>
      </c>
      <c r="AJ2896" s="1083">
        <v>395.88</v>
      </c>
      <c r="AK2896" s="1083">
        <v>445.61</v>
      </c>
      <c r="AL2896" s="1083">
        <v>613.79</v>
      </c>
      <c r="AM2896" s="1083">
        <v>613.38</v>
      </c>
      <c r="AN2896" s="1083">
        <v>642.99</v>
      </c>
      <c r="AO2896" s="1083">
        <v>618.58000000000004</v>
      </c>
    </row>
    <row r="2897" spans="1:44" s="66" customFormat="1" hidden="1" outlineLevel="1">
      <c r="A2897" s="579">
        <v>460</v>
      </c>
      <c r="B2897" s="568">
        <v>130</v>
      </c>
      <c r="C2897" s="375" t="s">
        <v>1394</v>
      </c>
      <c r="D2897" s="226"/>
      <c r="E2897" s="375" t="s">
        <v>1845</v>
      </c>
      <c r="F2897" s="562"/>
      <c r="G2897" s="562"/>
      <c r="H2897" s="562"/>
      <c r="I2897" s="562"/>
      <c r="J2897" s="562"/>
      <c r="K2897" s="562"/>
      <c r="L2897" s="562"/>
      <c r="M2897" s="562"/>
      <c r="N2897" s="562"/>
      <c r="O2897" s="562"/>
      <c r="P2897" s="562"/>
      <c r="Q2897" s="562"/>
      <c r="R2897" s="562"/>
      <c r="S2897" s="562"/>
      <c r="T2897" s="562"/>
      <c r="U2897" s="562"/>
      <c r="V2897" s="562"/>
      <c r="W2897" s="562">
        <v>259.46999999999997</v>
      </c>
      <c r="X2897" s="562">
        <v>272.37</v>
      </c>
      <c r="Y2897" s="562">
        <v>263.81</v>
      </c>
      <c r="Z2897" s="562">
        <v>262</v>
      </c>
      <c r="AA2897" s="562">
        <v>277.26000000000005</v>
      </c>
      <c r="AB2897" s="562">
        <v>345.23</v>
      </c>
      <c r="AC2897" s="562">
        <v>368.09</v>
      </c>
      <c r="AD2897" s="562">
        <v>370.63</v>
      </c>
      <c r="AE2897" s="562">
        <v>387.41000000000014</v>
      </c>
      <c r="AF2897" s="562">
        <v>436.13000000000005</v>
      </c>
      <c r="AG2897" s="562">
        <v>405.23999999999995</v>
      </c>
      <c r="AH2897" s="562">
        <v>423.7</v>
      </c>
      <c r="AI2897" s="562">
        <v>467.99</v>
      </c>
      <c r="AJ2897" s="1083">
        <v>393.71</v>
      </c>
      <c r="AK2897" s="1083">
        <v>515.75</v>
      </c>
      <c r="AL2897" s="1083">
        <v>484</v>
      </c>
      <c r="AM2897" s="1083">
        <v>417.99</v>
      </c>
      <c r="AN2897" s="1083">
        <v>377</v>
      </c>
      <c r="AO2897" s="1083">
        <v>356.98</v>
      </c>
    </row>
    <row r="2898" spans="1:44" s="66" customFormat="1" hidden="1" outlineLevel="1">
      <c r="A2898" s="579">
        <v>470</v>
      </c>
      <c r="B2898" s="568">
        <v>412</v>
      </c>
      <c r="C2898" s="375" t="s">
        <v>1394</v>
      </c>
      <c r="D2898" s="226"/>
      <c r="E2898" s="23" t="s">
        <v>942</v>
      </c>
      <c r="F2898" s="562"/>
      <c r="G2898" s="562"/>
      <c r="H2898" s="562"/>
      <c r="I2898" s="562"/>
      <c r="J2898" s="562"/>
      <c r="K2898" s="562"/>
      <c r="L2898" s="562"/>
      <c r="M2898" s="562"/>
      <c r="N2898" s="562"/>
      <c r="O2898" s="562"/>
      <c r="P2898" s="562"/>
      <c r="Q2898" s="562"/>
      <c r="R2898" s="562"/>
      <c r="S2898" s="562"/>
      <c r="T2898" s="562"/>
      <c r="U2898" s="562"/>
      <c r="V2898" s="562"/>
      <c r="W2898" s="562">
        <v>645.24</v>
      </c>
      <c r="X2898" s="562">
        <v>666.5200000000001</v>
      </c>
      <c r="Y2898" s="562">
        <v>668.47</v>
      </c>
      <c r="Z2898" s="562">
        <v>644.62999999999988</v>
      </c>
      <c r="AA2898" s="562">
        <v>682.02999999999986</v>
      </c>
      <c r="AB2898" s="562">
        <v>702.44</v>
      </c>
      <c r="AC2898" s="562">
        <v>761.9</v>
      </c>
      <c r="AD2898" s="562">
        <v>780.11</v>
      </c>
      <c r="AE2898" s="562">
        <v>778.88000000000022</v>
      </c>
      <c r="AF2898" s="562">
        <v>887.24000000000024</v>
      </c>
      <c r="AG2898" s="562">
        <v>903.1900000000004</v>
      </c>
      <c r="AH2898" s="562">
        <v>928.80000000000041</v>
      </c>
      <c r="AI2898" s="562">
        <v>915.79</v>
      </c>
      <c r="AJ2898" s="1083">
        <v>666.29</v>
      </c>
      <c r="AK2898" s="1083">
        <v>722.28</v>
      </c>
      <c r="AL2898" s="1083">
        <v>767.3</v>
      </c>
      <c r="AM2898" s="1083">
        <v>762.67</v>
      </c>
      <c r="AN2898" s="1083">
        <v>784.17</v>
      </c>
      <c r="AO2898" s="1083">
        <v>787.81</v>
      </c>
    </row>
    <row r="2899" spans="1:44" s="66" customFormat="1" hidden="1" outlineLevel="1">
      <c r="A2899" s="579">
        <v>480</v>
      </c>
      <c r="B2899" s="781">
        <v>862</v>
      </c>
      <c r="C2899" s="375" t="s">
        <v>1394</v>
      </c>
      <c r="D2899" s="226"/>
      <c r="E2899" s="375" t="s">
        <v>1403</v>
      </c>
      <c r="F2899" s="562"/>
      <c r="G2899" s="562"/>
      <c r="H2899" s="562"/>
      <c r="I2899" s="562"/>
      <c r="J2899" s="562"/>
      <c r="K2899" s="562"/>
      <c r="L2899" s="562"/>
      <c r="M2899" s="562"/>
      <c r="N2899" s="562"/>
      <c r="O2899" s="562"/>
      <c r="P2899" s="562"/>
      <c r="Q2899" s="562"/>
      <c r="R2899" s="562"/>
      <c r="S2899" s="562"/>
      <c r="T2899" s="562"/>
      <c r="U2899" s="562"/>
      <c r="V2899" s="562"/>
      <c r="W2899" s="562"/>
      <c r="X2899" s="562"/>
      <c r="Y2899" s="562"/>
      <c r="Z2899" s="562"/>
      <c r="AA2899" s="562"/>
      <c r="AB2899" s="562"/>
      <c r="AC2899" s="562"/>
      <c r="AD2899" s="562"/>
      <c r="AE2899" s="562"/>
      <c r="AF2899" s="562"/>
      <c r="AG2899" s="562"/>
      <c r="AH2899" s="562"/>
      <c r="AI2899" s="562"/>
      <c r="AJ2899" s="1083">
        <v>272.41000000000003</v>
      </c>
      <c r="AK2899" s="1083">
        <v>273.11</v>
      </c>
      <c r="AL2899" s="1083">
        <v>279.36</v>
      </c>
      <c r="AM2899" s="1083">
        <v>280.64</v>
      </c>
      <c r="AN2899" s="1083">
        <v>295.2</v>
      </c>
      <c r="AO2899" s="1083">
        <v>304.49</v>
      </c>
    </row>
    <row r="2900" spans="1:44" s="66" customFormat="1" hidden="1" outlineLevel="1">
      <c r="A2900" s="578">
        <v>500</v>
      </c>
      <c r="B2900" s="781">
        <v>203658</v>
      </c>
      <c r="C2900" s="1049" t="s">
        <v>1394</v>
      </c>
      <c r="D2900" s="226"/>
      <c r="E2900" s="1049" t="s">
        <v>1843</v>
      </c>
      <c r="F2900" s="562"/>
      <c r="G2900" s="562"/>
      <c r="H2900" s="562"/>
      <c r="I2900" s="562"/>
      <c r="J2900" s="562"/>
      <c r="K2900" s="562"/>
      <c r="L2900" s="562"/>
      <c r="M2900" s="562"/>
      <c r="N2900" s="562"/>
      <c r="O2900" s="562"/>
      <c r="P2900" s="562"/>
      <c r="Q2900" s="562"/>
      <c r="R2900" s="562"/>
      <c r="S2900" s="562"/>
      <c r="T2900" s="562"/>
      <c r="U2900" s="562"/>
      <c r="V2900" s="562"/>
      <c r="W2900" s="562"/>
      <c r="X2900" s="562"/>
      <c r="Y2900" s="562"/>
      <c r="Z2900" s="562"/>
      <c r="AA2900" s="562"/>
      <c r="AB2900" s="562"/>
      <c r="AC2900" s="562"/>
      <c r="AD2900" s="562"/>
      <c r="AE2900" s="562"/>
      <c r="AF2900" s="562"/>
      <c r="AG2900" s="562"/>
      <c r="AH2900" s="562"/>
      <c r="AI2900" s="562"/>
      <c r="AJ2900" s="1083"/>
      <c r="AK2900" s="1083"/>
      <c r="AL2900" s="1083">
        <v>48.41</v>
      </c>
      <c r="AM2900" s="1083">
        <v>88.85</v>
      </c>
      <c r="AN2900" s="1083">
        <v>135.38</v>
      </c>
      <c r="AO2900" s="1083">
        <v>205.53</v>
      </c>
    </row>
    <row r="2901" spans="1:44" s="66" customFormat="1" hidden="1" outlineLevel="1">
      <c r="A2901" s="578">
        <v>510</v>
      </c>
      <c r="B2901" s="781">
        <v>203599</v>
      </c>
      <c r="C2901" s="375" t="s">
        <v>1394</v>
      </c>
      <c r="D2901" s="226"/>
      <c r="E2901" s="375" t="s">
        <v>1688</v>
      </c>
      <c r="F2901" s="562"/>
      <c r="G2901" s="562"/>
      <c r="H2901" s="562"/>
      <c r="I2901" s="562"/>
      <c r="J2901" s="562"/>
      <c r="K2901" s="562"/>
      <c r="L2901" s="562"/>
      <c r="M2901" s="562"/>
      <c r="N2901" s="562"/>
      <c r="O2901" s="562"/>
      <c r="P2901" s="562"/>
      <c r="Q2901" s="562"/>
      <c r="R2901" s="562"/>
      <c r="S2901" s="562"/>
      <c r="T2901" s="562"/>
      <c r="U2901" s="562"/>
      <c r="V2901" s="562"/>
      <c r="W2901" s="562"/>
      <c r="X2901" s="562"/>
      <c r="Y2901" s="562"/>
      <c r="Z2901" s="562"/>
      <c r="AA2901" s="562"/>
      <c r="AB2901" s="562"/>
      <c r="AC2901" s="562"/>
      <c r="AD2901" s="562"/>
      <c r="AE2901" s="562"/>
      <c r="AF2901" s="562"/>
      <c r="AG2901" s="562"/>
      <c r="AH2901" s="562"/>
      <c r="AI2901" s="562"/>
      <c r="AJ2901" s="1083"/>
      <c r="AK2901" s="1083"/>
      <c r="AL2901" s="1083">
        <v>86.63</v>
      </c>
      <c r="AM2901" s="1083">
        <v>86.15</v>
      </c>
      <c r="AN2901" s="1083">
        <v>109.05</v>
      </c>
      <c r="AO2901" s="1083">
        <v>118.35</v>
      </c>
    </row>
    <row r="2902" spans="1:44" s="66" customFormat="1" hidden="1" outlineLevel="1">
      <c r="B2902" s="575">
        <v>445566</v>
      </c>
      <c r="C2902" s="226" t="s">
        <v>1394</v>
      </c>
      <c r="D2902" s="226"/>
      <c r="E2902" s="226" t="s">
        <v>1399</v>
      </c>
      <c r="F2902" s="576"/>
      <c r="G2902" s="576"/>
      <c r="H2902" s="576"/>
      <c r="I2902" s="576"/>
      <c r="J2902" s="576"/>
      <c r="K2902" s="576"/>
      <c r="L2902" s="576"/>
      <c r="M2902" s="576"/>
      <c r="N2902" s="576"/>
      <c r="O2902" s="576"/>
      <c r="P2902" s="576"/>
      <c r="Q2902" s="576"/>
      <c r="R2902" s="576"/>
      <c r="S2902" s="576"/>
      <c r="T2902" s="576"/>
      <c r="U2902" s="576"/>
      <c r="V2902" s="576"/>
      <c r="W2902" s="576">
        <v>5899.9900000000007</v>
      </c>
      <c r="X2902" s="576">
        <v>6036.85</v>
      </c>
      <c r="Y2902" s="576">
        <v>6253.79</v>
      </c>
      <c r="Z2902" s="576">
        <v>7462.86</v>
      </c>
      <c r="AA2902" s="576">
        <v>7774.04</v>
      </c>
      <c r="AB2902" s="576">
        <v>8179.0000000000018</v>
      </c>
      <c r="AC2902" s="576">
        <v>8321.44</v>
      </c>
      <c r="AD2902" s="576">
        <v>8544.5</v>
      </c>
      <c r="AE2902" s="576">
        <v>8836.5</v>
      </c>
      <c r="AF2902" s="576">
        <v>9174.4699999999975</v>
      </c>
      <c r="AG2902" s="576">
        <v>9344.369999999999</v>
      </c>
      <c r="AH2902" s="576">
        <v>9370.1399999999976</v>
      </c>
      <c r="AI2902" s="576">
        <v>9666.91</v>
      </c>
      <c r="AJ2902" s="1084">
        <v>9683.08</v>
      </c>
      <c r="AK2902" s="1084">
        <v>10121.129999999999</v>
      </c>
      <c r="AL2902" s="1084">
        <f>SUM(AL2890:AL2901)</f>
        <v>10738.83</v>
      </c>
      <c r="AM2902" s="1084">
        <f>SUM(AM2890:AM2901)</f>
        <v>10948.399999999998</v>
      </c>
      <c r="AN2902" s="1084">
        <f>SUM(AN2890:AN2901)</f>
        <v>11289.74</v>
      </c>
      <c r="AO2902" s="1084">
        <f>SUM(AO2890:AO2901)</f>
        <v>11837.9</v>
      </c>
      <c r="AR2902"/>
    </row>
    <row r="2903" spans="1:44" collapsed="1">
      <c r="B2903" s="568"/>
      <c r="C2903" s="25" t="s">
        <v>1625</v>
      </c>
      <c r="D2903" s="25"/>
      <c r="E2903" s="6"/>
      <c r="F2903" s="6"/>
      <c r="G2903" s="6"/>
      <c r="H2903" s="6"/>
      <c r="I2903" s="6"/>
      <c r="J2903" s="6"/>
      <c r="K2903" s="7"/>
      <c r="L2903" s="7"/>
      <c r="M2903" s="7"/>
      <c r="N2903" s="7"/>
      <c r="O2903" s="7"/>
      <c r="P2903" s="7"/>
      <c r="Q2903" s="7"/>
      <c r="R2903" s="7"/>
      <c r="S2903" s="7"/>
      <c r="T2903" s="7"/>
      <c r="U2903" s="7"/>
      <c r="V2903" s="7"/>
      <c r="W2903" s="7"/>
      <c r="X2903" s="7"/>
      <c r="Y2903" s="7"/>
      <c r="Z2903" s="7"/>
      <c r="AA2903" s="7"/>
      <c r="AB2903" s="7"/>
      <c r="AC2903" s="7"/>
      <c r="AD2903" s="7"/>
      <c r="AE2903" s="7"/>
      <c r="AF2903" s="7"/>
      <c r="AG2903" s="7"/>
      <c r="AH2903" s="61"/>
      <c r="AI2903" s="61"/>
      <c r="AJ2903" s="26"/>
      <c r="AK2903" s="26"/>
      <c r="AL2903" s="26"/>
      <c r="AM2903" s="26"/>
      <c r="AN2903" s="26"/>
      <c r="AO2903" s="1069"/>
      <c r="AP2903" s="1044"/>
      <c r="AR2903" s="66"/>
    </row>
    <row r="2904" spans="1:44" s="66" customFormat="1" hidden="1" outlineLevel="1">
      <c r="A2904" s="579">
        <v>520</v>
      </c>
      <c r="B2904" s="568">
        <v>9225</v>
      </c>
      <c r="C2904" s="375" t="s">
        <v>1394</v>
      </c>
      <c r="D2904" s="226"/>
      <c r="E2904" s="23" t="s">
        <v>1379</v>
      </c>
      <c r="F2904" s="27"/>
      <c r="G2904" s="27"/>
      <c r="H2904" s="27"/>
      <c r="I2904" s="27"/>
      <c r="J2904" s="562"/>
      <c r="K2904" s="562"/>
      <c r="L2904" s="562"/>
      <c r="M2904" s="562"/>
      <c r="N2904" s="562"/>
      <c r="O2904" s="562"/>
      <c r="P2904" s="562"/>
      <c r="Q2904" s="562"/>
      <c r="R2904" s="562"/>
      <c r="S2904" s="562"/>
      <c r="T2904" s="562"/>
      <c r="U2904" s="562"/>
      <c r="V2904" s="562"/>
      <c r="W2904" s="562">
        <v>151.5</v>
      </c>
      <c r="X2904" s="562">
        <v>190.5</v>
      </c>
      <c r="Y2904" s="562">
        <v>193.98</v>
      </c>
      <c r="Z2904" s="562">
        <v>167.65</v>
      </c>
      <c r="AA2904" s="562">
        <v>180.76</v>
      </c>
      <c r="AB2904" s="562">
        <v>149.29</v>
      </c>
      <c r="AC2904" s="562">
        <v>145.44</v>
      </c>
      <c r="AD2904" s="562">
        <v>146.75</v>
      </c>
      <c r="AE2904" s="562">
        <v>153.44999999999999</v>
      </c>
      <c r="AF2904" s="562">
        <v>157.19</v>
      </c>
      <c r="AG2904" s="562">
        <v>147.30000000000001</v>
      </c>
      <c r="AH2904" s="562">
        <v>147.46</v>
      </c>
      <c r="AI2904" s="562">
        <v>146.16999999999999</v>
      </c>
      <c r="AJ2904" s="562">
        <v>152.83500000000001</v>
      </c>
      <c r="AK2904" s="562">
        <v>148.97999999999999</v>
      </c>
      <c r="AL2904" s="562">
        <v>137.69999999999999</v>
      </c>
      <c r="AM2904" s="562">
        <v>144.22</v>
      </c>
      <c r="AN2904" s="562">
        <v>148.9</v>
      </c>
      <c r="AO2904" s="562">
        <v>141.05000000000001</v>
      </c>
    </row>
    <row r="2905" spans="1:44" s="66" customFormat="1" hidden="1" outlineLevel="1">
      <c r="A2905" s="579">
        <v>540</v>
      </c>
      <c r="B2905" s="568">
        <v>33965</v>
      </c>
      <c r="C2905" s="375" t="s">
        <v>1394</v>
      </c>
      <c r="D2905" s="226"/>
      <c r="E2905" s="23" t="s">
        <v>1380</v>
      </c>
      <c r="F2905" s="27"/>
      <c r="G2905" s="27"/>
      <c r="H2905" s="27"/>
      <c r="I2905" s="27"/>
      <c r="J2905" s="562"/>
      <c r="K2905" s="562"/>
      <c r="L2905" s="562"/>
      <c r="M2905" s="562"/>
      <c r="N2905" s="562"/>
      <c r="O2905" s="562"/>
      <c r="P2905" s="562"/>
      <c r="Q2905" s="562"/>
      <c r="R2905" s="562"/>
      <c r="S2905" s="562"/>
      <c r="T2905" s="562"/>
      <c r="U2905" s="562"/>
      <c r="V2905" s="562"/>
      <c r="W2905" s="562">
        <v>38.25</v>
      </c>
      <c r="X2905" s="562">
        <v>48.5</v>
      </c>
      <c r="Y2905" s="562">
        <v>47</v>
      </c>
      <c r="Z2905" s="562">
        <v>40.22</v>
      </c>
      <c r="AA2905" s="562">
        <v>36.700000000000003</v>
      </c>
      <c r="AB2905" s="562">
        <v>30.37</v>
      </c>
      <c r="AC2905" s="562">
        <v>32.659999999999997</v>
      </c>
      <c r="AD2905" s="562">
        <v>35.26</v>
      </c>
      <c r="AE2905" s="562">
        <v>35.479999999999997</v>
      </c>
      <c r="AF2905" s="562">
        <v>38.840000000000003</v>
      </c>
      <c r="AG2905" s="562">
        <v>39.19</v>
      </c>
      <c r="AH2905" s="562">
        <v>36.78</v>
      </c>
      <c r="AI2905" s="562">
        <v>38.01</v>
      </c>
      <c r="AJ2905" s="562">
        <v>38.375</v>
      </c>
      <c r="AK2905" s="562">
        <v>46.4</v>
      </c>
      <c r="AL2905" s="562">
        <v>55.21</v>
      </c>
      <c r="AM2905" s="562">
        <v>43.37</v>
      </c>
      <c r="AN2905" s="562">
        <v>38.369999999999997</v>
      </c>
      <c r="AO2905" s="562">
        <v>32.42</v>
      </c>
    </row>
    <row r="2906" spans="1:44" s="66" customFormat="1" hidden="1" outlineLevel="1">
      <c r="A2906" s="579">
        <v>550</v>
      </c>
      <c r="B2906" s="568">
        <v>3634</v>
      </c>
      <c r="C2906" s="375" t="s">
        <v>1394</v>
      </c>
      <c r="D2906" s="226"/>
      <c r="E2906" s="23" t="s">
        <v>1381</v>
      </c>
      <c r="F2906" s="27"/>
      <c r="G2906" s="27"/>
      <c r="H2906" s="27"/>
      <c r="I2906" s="27"/>
      <c r="J2906" s="562"/>
      <c r="K2906" s="562"/>
      <c r="L2906" s="562"/>
      <c r="M2906" s="562"/>
      <c r="N2906" s="562"/>
      <c r="O2906" s="562"/>
      <c r="P2906" s="562"/>
      <c r="Q2906" s="562"/>
      <c r="R2906" s="562"/>
      <c r="S2906" s="562"/>
      <c r="T2906" s="562"/>
      <c r="U2906" s="562"/>
      <c r="V2906" s="562"/>
      <c r="W2906" s="562">
        <v>237.5</v>
      </c>
      <c r="X2906" s="562">
        <v>270.5</v>
      </c>
      <c r="Y2906" s="562">
        <v>264.5</v>
      </c>
      <c r="Z2906" s="562">
        <v>257.52</v>
      </c>
      <c r="AA2906" s="562">
        <v>243.91</v>
      </c>
      <c r="AB2906" s="562">
        <v>220.7</v>
      </c>
      <c r="AC2906" s="562">
        <v>223.32</v>
      </c>
      <c r="AD2906" s="562">
        <v>228.14</v>
      </c>
      <c r="AE2906" s="562">
        <v>238.76</v>
      </c>
      <c r="AF2906" s="562">
        <v>259.22000000000003</v>
      </c>
      <c r="AG2906" s="562">
        <v>240.69</v>
      </c>
      <c r="AH2906" s="562">
        <v>230.2</v>
      </c>
      <c r="AI2906" s="562">
        <v>228.71</v>
      </c>
      <c r="AJ2906" s="562">
        <v>219.49499999999995</v>
      </c>
      <c r="AK2906" s="562">
        <v>219.83</v>
      </c>
      <c r="AL2906" s="562">
        <v>220.19</v>
      </c>
      <c r="AM2906" s="562">
        <v>223.31</v>
      </c>
      <c r="AN2906" s="562">
        <v>216.44</v>
      </c>
      <c r="AO2906" s="562">
        <v>202.5</v>
      </c>
    </row>
    <row r="2907" spans="1:44" s="66" customFormat="1" hidden="1" outlineLevel="1">
      <c r="A2907" s="579">
        <v>530</v>
      </c>
      <c r="B2907" s="568">
        <v>9932</v>
      </c>
      <c r="C2907" s="375" t="s">
        <v>1394</v>
      </c>
      <c r="D2907" s="226"/>
      <c r="E2907" s="375" t="s">
        <v>1470</v>
      </c>
      <c r="F2907" s="27"/>
      <c r="G2907" s="27"/>
      <c r="H2907" s="27"/>
      <c r="I2907" s="27"/>
      <c r="J2907" s="562"/>
      <c r="K2907" s="562"/>
      <c r="L2907" s="562"/>
      <c r="M2907" s="562"/>
      <c r="N2907" s="562"/>
      <c r="O2907" s="562"/>
      <c r="P2907" s="562"/>
      <c r="Q2907" s="562"/>
      <c r="R2907" s="562"/>
      <c r="S2907" s="562"/>
      <c r="T2907" s="562"/>
      <c r="U2907" s="562"/>
      <c r="V2907" s="562"/>
      <c r="W2907" s="562">
        <v>109.25</v>
      </c>
      <c r="X2907" s="562">
        <v>147.5</v>
      </c>
      <c r="Y2907" s="562">
        <v>131.5</v>
      </c>
      <c r="Z2907" s="562">
        <v>116.54</v>
      </c>
      <c r="AA2907" s="562">
        <v>111.41</v>
      </c>
      <c r="AB2907" s="562">
        <v>97.94</v>
      </c>
      <c r="AC2907" s="562">
        <v>93.33</v>
      </c>
      <c r="AD2907" s="562">
        <v>89.45</v>
      </c>
      <c r="AE2907" s="562">
        <v>93.13</v>
      </c>
      <c r="AF2907" s="562">
        <v>76.61</v>
      </c>
      <c r="AG2907" s="562">
        <v>70.48</v>
      </c>
      <c r="AH2907" s="562">
        <v>66.66</v>
      </c>
      <c r="AI2907" s="562">
        <v>59.86</v>
      </c>
      <c r="AJ2907" s="562">
        <v>67.870000000000033</v>
      </c>
      <c r="AK2907" s="562">
        <v>64.98</v>
      </c>
      <c r="AL2907" s="562">
        <v>58.16</v>
      </c>
      <c r="AM2907" s="562">
        <v>64.16</v>
      </c>
      <c r="AN2907" s="562">
        <v>68.34</v>
      </c>
      <c r="AO2907" s="562">
        <v>72.400000000000006</v>
      </c>
    </row>
    <row r="2908" spans="1:44" s="66" customFormat="1" hidden="1" outlineLevel="1">
      <c r="A2908" s="1080">
        <v>552</v>
      </c>
      <c r="B2908" s="1081">
        <v>133965</v>
      </c>
      <c r="C2908" s="1049" t="s">
        <v>1394</v>
      </c>
      <c r="D2908" s="226"/>
      <c r="E2908" s="1079" t="s">
        <v>1923</v>
      </c>
      <c r="F2908" s="968"/>
      <c r="G2908" s="968"/>
      <c r="H2908" s="968"/>
      <c r="I2908" s="968"/>
      <c r="J2908" s="562"/>
      <c r="K2908" s="562"/>
      <c r="L2908" s="562"/>
      <c r="M2908" s="562"/>
      <c r="N2908" s="562"/>
      <c r="O2908" s="562"/>
      <c r="P2908" s="562"/>
      <c r="Q2908" s="562"/>
      <c r="R2908" s="562"/>
      <c r="S2908" s="562"/>
      <c r="T2908" s="562"/>
      <c r="U2908" s="562"/>
      <c r="V2908" s="562"/>
      <c r="W2908" s="562"/>
      <c r="X2908" s="562"/>
      <c r="Y2908" s="562"/>
      <c r="Z2908" s="562"/>
      <c r="AA2908" s="562"/>
      <c r="AB2908" s="562"/>
      <c r="AC2908" s="562"/>
      <c r="AD2908" s="562"/>
      <c r="AE2908" s="562"/>
      <c r="AF2908" s="562"/>
      <c r="AG2908" s="562"/>
      <c r="AH2908" s="562"/>
      <c r="AI2908" s="562"/>
      <c r="AJ2908" s="562"/>
      <c r="AK2908" s="562"/>
      <c r="AL2908" s="562"/>
      <c r="AM2908" s="562">
        <v>16.84</v>
      </c>
      <c r="AN2908" s="562">
        <v>19.420000000000002</v>
      </c>
      <c r="AO2908" s="562">
        <v>17.71</v>
      </c>
    </row>
    <row r="2909" spans="1:44" s="66" customFormat="1" hidden="1" outlineLevel="1">
      <c r="A2909" s="1080">
        <v>553</v>
      </c>
      <c r="B2909" s="1081">
        <v>203634</v>
      </c>
      <c r="C2909" s="1049" t="s">
        <v>1394</v>
      </c>
      <c r="D2909" s="226"/>
      <c r="E2909" s="1078" t="s">
        <v>1924</v>
      </c>
      <c r="F2909" s="968"/>
      <c r="G2909" s="968"/>
      <c r="H2909" s="968"/>
      <c r="I2909" s="968"/>
      <c r="J2909" s="562"/>
      <c r="K2909" s="562"/>
      <c r="L2909" s="562"/>
      <c r="M2909" s="562"/>
      <c r="N2909" s="562"/>
      <c r="O2909" s="562"/>
      <c r="P2909" s="562"/>
      <c r="Q2909" s="562"/>
      <c r="R2909" s="562"/>
      <c r="S2909" s="562"/>
      <c r="T2909" s="562"/>
      <c r="U2909" s="562"/>
      <c r="V2909" s="562"/>
      <c r="W2909" s="562"/>
      <c r="X2909" s="562"/>
      <c r="Y2909" s="562"/>
      <c r="Z2909" s="562"/>
      <c r="AA2909" s="562"/>
      <c r="AB2909" s="562"/>
      <c r="AC2909" s="562"/>
      <c r="AD2909" s="562"/>
      <c r="AE2909" s="562"/>
      <c r="AF2909" s="562"/>
      <c r="AG2909" s="562"/>
      <c r="AH2909" s="562"/>
      <c r="AI2909" s="562"/>
      <c r="AJ2909" s="562"/>
      <c r="AK2909" s="562"/>
      <c r="AL2909" s="562"/>
      <c r="AM2909" s="562">
        <v>15.81</v>
      </c>
      <c r="AN2909" s="562">
        <v>24.47</v>
      </c>
      <c r="AO2909" s="562">
        <v>24.65</v>
      </c>
    </row>
    <row r="2910" spans="1:44" s="66" customFormat="1" hidden="1" outlineLevel="1">
      <c r="B2910" s="575">
        <v>445566</v>
      </c>
      <c r="C2910" s="226" t="s">
        <v>1394</v>
      </c>
      <c r="D2910" s="226"/>
      <c r="E2910" s="226" t="s">
        <v>1400</v>
      </c>
      <c r="F2910" s="27"/>
      <c r="G2910" s="27"/>
      <c r="H2910" s="27"/>
      <c r="I2910" s="27"/>
      <c r="J2910" s="576"/>
      <c r="K2910" s="576"/>
      <c r="L2910" s="576"/>
      <c r="M2910" s="576"/>
      <c r="N2910" s="576"/>
      <c r="O2910" s="576"/>
      <c r="P2910" s="576"/>
      <c r="Q2910" s="576"/>
      <c r="R2910" s="576"/>
      <c r="S2910" s="576"/>
      <c r="T2910" s="576"/>
      <c r="U2910" s="576"/>
      <c r="V2910" s="576"/>
      <c r="W2910" s="576">
        <v>536.5</v>
      </c>
      <c r="X2910" s="576">
        <v>657</v>
      </c>
      <c r="Y2910" s="576">
        <v>636.98</v>
      </c>
      <c r="Z2910" s="576">
        <v>581.92999999999995</v>
      </c>
      <c r="AA2910" s="576">
        <v>572.78</v>
      </c>
      <c r="AB2910" s="576">
        <v>498.3</v>
      </c>
      <c r="AC2910" s="576">
        <v>494.74999999999994</v>
      </c>
      <c r="AD2910" s="576">
        <v>499.59999999999997</v>
      </c>
      <c r="AE2910" s="576">
        <v>520.81999999999994</v>
      </c>
      <c r="AF2910" s="576">
        <v>531.86</v>
      </c>
      <c r="AG2910" s="576">
        <v>497.66</v>
      </c>
      <c r="AH2910" s="576">
        <v>481.1</v>
      </c>
      <c r="AI2910" s="576">
        <v>472.75</v>
      </c>
      <c r="AJ2910" s="576">
        <v>478.57499999999993</v>
      </c>
      <c r="AK2910" s="576">
        <f>SUM(AK2904:AK2907)</f>
        <v>480.19000000000005</v>
      </c>
      <c r="AL2910" s="576">
        <f>SUM(AL2904:AL2907)</f>
        <v>471.26</v>
      </c>
      <c r="AM2910" s="576">
        <f>SUM(AM2904:AM2909)</f>
        <v>507.70999999999992</v>
      </c>
      <c r="AN2910" s="576">
        <f>SUM(AN2904:AN2909)</f>
        <v>515.94000000000005</v>
      </c>
      <c r="AO2910" s="576">
        <f>SUM(AO2904:AO2909)</f>
        <v>490.72999999999996</v>
      </c>
      <c r="AR2910"/>
    </row>
    <row r="2911" spans="1:44" collapsed="1">
      <c r="B2911" s="568"/>
      <c r="C2911" s="25" t="s">
        <v>1626</v>
      </c>
      <c r="D2911" s="25"/>
      <c r="E2911" s="6"/>
      <c r="F2911" s="6"/>
      <c r="G2911" s="6"/>
      <c r="H2911" s="6"/>
      <c r="I2911" s="6"/>
      <c r="J2911" s="61"/>
      <c r="K2911" s="61"/>
      <c r="L2911" s="61"/>
      <c r="M2911" s="61"/>
      <c r="N2911" s="61"/>
      <c r="O2911" s="61"/>
      <c r="P2911" s="61"/>
      <c r="Q2911" s="61"/>
      <c r="R2911" s="61"/>
      <c r="S2911" s="61"/>
      <c r="T2911" s="61"/>
      <c r="U2911" s="61"/>
      <c r="V2911" s="61"/>
      <c r="W2911" s="61"/>
      <c r="X2911" s="61"/>
      <c r="Y2911" s="61"/>
      <c r="Z2911" s="61"/>
      <c r="AA2911" s="61"/>
      <c r="AB2911" s="61"/>
      <c r="AC2911" s="61"/>
      <c r="AD2911" s="61"/>
      <c r="AE2911" s="61"/>
      <c r="AF2911" s="61"/>
      <c r="AG2911" s="61"/>
      <c r="AH2911" s="61"/>
      <c r="AI2911" s="61"/>
      <c r="AJ2911" s="61"/>
      <c r="AK2911" s="61"/>
      <c r="AL2911" s="61"/>
      <c r="AM2911" s="61"/>
      <c r="AN2911" s="26"/>
      <c r="AO2911" s="1107"/>
      <c r="AP2911" s="1044"/>
      <c r="AR2911" s="66"/>
    </row>
    <row r="2912" spans="1:44" s="66" customFormat="1" hidden="1" outlineLevel="1">
      <c r="A2912" s="579">
        <v>490</v>
      </c>
      <c r="B2912" s="568">
        <v>36273</v>
      </c>
      <c r="C2912" s="375" t="s">
        <v>1394</v>
      </c>
      <c r="D2912" s="226"/>
      <c r="E2912" s="23" t="s">
        <v>739</v>
      </c>
      <c r="F2912" s="27"/>
      <c r="G2912" s="27"/>
      <c r="H2912" s="27"/>
      <c r="I2912" s="27"/>
      <c r="J2912" s="562"/>
      <c r="K2912" s="562"/>
      <c r="L2912" s="562"/>
      <c r="M2912" s="562"/>
      <c r="N2912" s="562"/>
      <c r="O2912" s="562"/>
      <c r="P2912" s="562"/>
      <c r="Q2912" s="562"/>
      <c r="R2912" s="562"/>
      <c r="S2912" s="562"/>
      <c r="T2912" s="562"/>
      <c r="U2912" s="562"/>
      <c r="V2912" s="562"/>
      <c r="W2912" s="562">
        <v>95.72</v>
      </c>
      <c r="X2912" s="562">
        <v>102.26</v>
      </c>
      <c r="Y2912" s="562">
        <v>104.25</v>
      </c>
      <c r="Z2912" s="562">
        <v>104.66</v>
      </c>
      <c r="AA2912" s="562">
        <v>108.2</v>
      </c>
      <c r="AB2912" s="562">
        <v>108.08</v>
      </c>
      <c r="AC2912" s="562">
        <v>102.55</v>
      </c>
      <c r="AD2912" s="562">
        <v>113.62</v>
      </c>
      <c r="AE2912" s="562">
        <v>117.75</v>
      </c>
      <c r="AF2912" s="562">
        <v>128.79</v>
      </c>
      <c r="AG2912" s="562">
        <v>128.74</v>
      </c>
      <c r="AH2912" s="562">
        <v>120.05</v>
      </c>
      <c r="AI2912" s="562">
        <v>112.58</v>
      </c>
      <c r="AJ2912" s="562">
        <v>112.25</v>
      </c>
      <c r="AK2912" s="562">
        <v>115.18</v>
      </c>
      <c r="AL2912" s="562">
        <v>118.6</v>
      </c>
      <c r="AM2912" s="562">
        <v>118.12</v>
      </c>
      <c r="AN2912" s="562">
        <v>105.5</v>
      </c>
      <c r="AO2912" s="562">
        <v>99.48</v>
      </c>
    </row>
    <row r="2913" spans="1:44" s="66" customFormat="1" hidden="1" outlineLevel="1">
      <c r="A2913" s="579">
        <v>500</v>
      </c>
      <c r="B2913" s="568">
        <v>23582</v>
      </c>
      <c r="C2913" s="375" t="s">
        <v>1394</v>
      </c>
      <c r="D2913" s="226"/>
      <c r="E2913" s="23" t="s">
        <v>1382</v>
      </c>
      <c r="F2913" s="27"/>
      <c r="G2913" s="27"/>
      <c r="H2913" s="27"/>
      <c r="I2913" s="27"/>
      <c r="J2913" s="562"/>
      <c r="K2913" s="562"/>
      <c r="L2913" s="562"/>
      <c r="M2913" s="562"/>
      <c r="N2913" s="562"/>
      <c r="O2913" s="562"/>
      <c r="P2913" s="562"/>
      <c r="Q2913" s="562"/>
      <c r="R2913" s="562"/>
      <c r="S2913" s="562"/>
      <c r="T2913" s="562"/>
      <c r="U2913" s="562"/>
      <c r="V2913" s="562"/>
      <c r="W2913" s="562">
        <v>64.010000000000005</v>
      </c>
      <c r="X2913" s="562">
        <v>69.150000000000006</v>
      </c>
      <c r="Y2913" s="562">
        <v>63.91</v>
      </c>
      <c r="Z2913" s="562">
        <v>63.38</v>
      </c>
      <c r="AA2913" s="562">
        <v>66.77</v>
      </c>
      <c r="AB2913" s="562">
        <v>63.08</v>
      </c>
      <c r="AC2913" s="562">
        <v>65.09</v>
      </c>
      <c r="AD2913" s="562">
        <v>62.45</v>
      </c>
      <c r="AE2913" s="562">
        <v>66.290000000000006</v>
      </c>
      <c r="AF2913" s="562">
        <v>67.900000000000006</v>
      </c>
      <c r="AG2913" s="562">
        <v>72.86</v>
      </c>
      <c r="AH2913" s="562">
        <v>73.39</v>
      </c>
      <c r="AI2913" s="562">
        <v>72.959999999999994</v>
      </c>
      <c r="AJ2913" s="562">
        <v>72.98</v>
      </c>
      <c r="AK2913" s="562">
        <v>71.7</v>
      </c>
      <c r="AL2913" s="562">
        <v>72.14</v>
      </c>
      <c r="AM2913" s="562">
        <v>76.91</v>
      </c>
      <c r="AN2913" s="562">
        <v>71.430000000000007</v>
      </c>
      <c r="AO2913" s="562">
        <v>73.349999999999994</v>
      </c>
    </row>
    <row r="2914" spans="1:44" s="66" customFormat="1" hidden="1" outlineLevel="1">
      <c r="A2914" s="579">
        <v>510</v>
      </c>
      <c r="B2914" s="568">
        <v>23485</v>
      </c>
      <c r="C2914" s="375" t="s">
        <v>1394</v>
      </c>
      <c r="D2914" s="226"/>
      <c r="E2914" s="23" t="s">
        <v>1383</v>
      </c>
      <c r="F2914" s="27"/>
      <c r="G2914" s="27"/>
      <c r="H2914" s="27"/>
      <c r="I2914" s="27"/>
      <c r="J2914" s="562"/>
      <c r="K2914" s="562"/>
      <c r="L2914" s="562"/>
      <c r="M2914" s="562"/>
      <c r="N2914" s="562"/>
      <c r="O2914" s="562"/>
      <c r="P2914" s="562"/>
      <c r="Q2914" s="562"/>
      <c r="R2914" s="562"/>
      <c r="S2914" s="562"/>
      <c r="T2914" s="562"/>
      <c r="U2914" s="562"/>
      <c r="V2914" s="562"/>
      <c r="W2914" s="562">
        <v>95.05</v>
      </c>
      <c r="X2914" s="562">
        <v>96.34</v>
      </c>
      <c r="Y2914" s="562">
        <v>91.78</v>
      </c>
      <c r="Z2914" s="562">
        <v>88.5</v>
      </c>
      <c r="AA2914" s="562">
        <v>92.42</v>
      </c>
      <c r="AB2914" s="562">
        <v>84.53</v>
      </c>
      <c r="AC2914" s="562">
        <v>91.04</v>
      </c>
      <c r="AD2914" s="562">
        <v>86.26</v>
      </c>
      <c r="AE2914" s="562">
        <v>83.05</v>
      </c>
      <c r="AF2914" s="562">
        <v>82.75</v>
      </c>
      <c r="AG2914" s="562">
        <v>83.39</v>
      </c>
      <c r="AH2914" s="562">
        <v>82.52</v>
      </c>
      <c r="AI2914" s="562">
        <v>88.35</v>
      </c>
      <c r="AJ2914" s="562">
        <v>88.11</v>
      </c>
      <c r="AK2914" s="562">
        <v>75.86</v>
      </c>
      <c r="AL2914" s="562">
        <v>72.569999999999993</v>
      </c>
      <c r="AM2914" s="562">
        <v>74.400000000000006</v>
      </c>
      <c r="AN2914" s="562">
        <v>74.849999999999994</v>
      </c>
      <c r="AO2914" s="562">
        <v>79.680000000000007</v>
      </c>
    </row>
    <row r="2915" spans="1:44" s="66" customFormat="1" hidden="1" outlineLevel="1">
      <c r="B2915" s="575">
        <v>445566</v>
      </c>
      <c r="C2915" s="226" t="s">
        <v>1394</v>
      </c>
      <c r="D2915" s="226"/>
      <c r="E2915" s="226" t="s">
        <v>1401</v>
      </c>
      <c r="F2915" s="27"/>
      <c r="G2915" s="27"/>
      <c r="H2915" s="27"/>
      <c r="I2915" s="27"/>
      <c r="J2915" s="576"/>
      <c r="K2915" s="576"/>
      <c r="L2915" s="576"/>
      <c r="M2915" s="576"/>
      <c r="N2915" s="576"/>
      <c r="O2915" s="576"/>
      <c r="P2915" s="576"/>
      <c r="Q2915" s="576"/>
      <c r="R2915" s="576"/>
      <c r="S2915" s="576"/>
      <c r="T2915" s="576"/>
      <c r="U2915" s="576"/>
      <c r="V2915" s="576"/>
      <c r="W2915" s="576">
        <v>254.78000000000003</v>
      </c>
      <c r="X2915" s="576">
        <v>267.75</v>
      </c>
      <c r="Y2915" s="576">
        <v>259.94</v>
      </c>
      <c r="Z2915" s="576">
        <v>256.53999999999996</v>
      </c>
      <c r="AA2915" s="576">
        <v>267.39</v>
      </c>
      <c r="AB2915" s="576">
        <v>255.69</v>
      </c>
      <c r="AC2915" s="576">
        <v>258.68</v>
      </c>
      <c r="AD2915" s="576">
        <v>262.33</v>
      </c>
      <c r="AE2915" s="576">
        <v>267.09000000000003</v>
      </c>
      <c r="AF2915" s="576">
        <v>279.44</v>
      </c>
      <c r="AG2915" s="576">
        <v>284.99</v>
      </c>
      <c r="AH2915" s="576">
        <v>275.95999999999998</v>
      </c>
      <c r="AI2915" s="576">
        <v>273.89</v>
      </c>
      <c r="AJ2915" s="576">
        <v>273.34000000000003</v>
      </c>
      <c r="AK2915" s="576">
        <f>SUM(AK2912:AK2914)</f>
        <v>262.74</v>
      </c>
      <c r="AL2915" s="576">
        <f>SUM(AL2912:AL2914)</f>
        <v>263.31</v>
      </c>
      <c r="AM2915" s="576">
        <f>SUM(AM2912:AM2914)</f>
        <v>269.43</v>
      </c>
      <c r="AN2915" s="576">
        <f>SUM(AN2912:AN2914)</f>
        <v>251.78</v>
      </c>
      <c r="AO2915" s="576">
        <f>SUM(AO2912:AO2914)</f>
        <v>252.51</v>
      </c>
      <c r="AR2915"/>
    </row>
    <row r="2916" spans="1:44" collapsed="1">
      <c r="B2916" s="568"/>
      <c r="C2916" s="25" t="s">
        <v>1616</v>
      </c>
      <c r="D2916" s="25"/>
      <c r="E2916" s="6"/>
      <c r="F2916" s="6"/>
      <c r="G2916" s="6"/>
      <c r="H2916" s="6"/>
      <c r="I2916" s="6"/>
      <c r="J2916" s="6"/>
      <c r="K2916" s="7"/>
      <c r="L2916" s="7"/>
      <c r="M2916" s="7"/>
      <c r="N2916" s="7"/>
      <c r="O2916" s="7"/>
      <c r="P2916" s="7"/>
      <c r="Q2916" s="7"/>
      <c r="R2916" s="7"/>
      <c r="S2916" s="7"/>
      <c r="T2916" s="7"/>
      <c r="U2916" s="7"/>
      <c r="V2916" s="7"/>
      <c r="W2916" s="7"/>
      <c r="X2916" s="7"/>
      <c r="Y2916" s="7"/>
      <c r="Z2916" s="7"/>
      <c r="AA2916" s="7"/>
      <c r="AB2916" s="7"/>
      <c r="AC2916" s="7"/>
      <c r="AD2916" s="7"/>
      <c r="AE2916" s="7"/>
      <c r="AF2916" s="7"/>
      <c r="AG2916" s="7"/>
      <c r="AH2916" s="61"/>
      <c r="AI2916" s="61"/>
      <c r="AJ2916" s="26"/>
      <c r="AK2916" s="26"/>
      <c r="AL2916" s="26"/>
      <c r="AM2916" s="26"/>
      <c r="AN2916" s="26"/>
      <c r="AO2916" s="1069"/>
      <c r="AP2916" s="1044"/>
      <c r="AR2916" s="173"/>
    </row>
    <row r="2917" spans="1:44" s="173" customFormat="1" hidden="1" outlineLevel="1">
      <c r="A2917" s="578">
        <v>40</v>
      </c>
      <c r="B2917" s="568">
        <v>3656</v>
      </c>
      <c r="C2917" s="375" t="s">
        <v>1420</v>
      </c>
      <c r="D2917" s="226"/>
      <c r="E2917" s="23" t="s">
        <v>754</v>
      </c>
      <c r="F2917" s="580"/>
      <c r="G2917" s="580"/>
      <c r="H2917" s="580"/>
      <c r="I2917" s="580"/>
      <c r="J2917" s="580"/>
      <c r="K2917" s="580">
        <v>3225</v>
      </c>
      <c r="L2917" s="580">
        <v>3614</v>
      </c>
      <c r="M2917" s="580">
        <v>3646</v>
      </c>
      <c r="N2917" s="580">
        <v>3798</v>
      </c>
      <c r="O2917" s="580">
        <v>4133</v>
      </c>
      <c r="P2917" s="580">
        <v>4115</v>
      </c>
      <c r="Q2917" s="580">
        <v>4160</v>
      </c>
      <c r="R2917" s="580">
        <v>4122</v>
      </c>
      <c r="S2917" s="580">
        <v>3986</v>
      </c>
      <c r="T2917" s="580">
        <v>3962</v>
      </c>
      <c r="U2917" s="580">
        <v>4047</v>
      </c>
      <c r="V2917" s="580">
        <v>3866</v>
      </c>
      <c r="W2917" s="580">
        <v>3972</v>
      </c>
      <c r="X2917" s="580">
        <v>4033</v>
      </c>
      <c r="Y2917" s="580">
        <v>4578</v>
      </c>
      <c r="Z2917" s="580">
        <v>5151</v>
      </c>
      <c r="AA2917" s="580">
        <v>5337</v>
      </c>
      <c r="AB2917" s="580">
        <v>5625</v>
      </c>
      <c r="AC2917" s="580">
        <v>5770</v>
      </c>
      <c r="AD2917" s="580">
        <v>5824</v>
      </c>
      <c r="AE2917" s="580">
        <v>5965</v>
      </c>
      <c r="AF2917" s="580">
        <v>6242</v>
      </c>
      <c r="AG2917" s="580">
        <v>7718</v>
      </c>
      <c r="AH2917" s="580">
        <v>9307</v>
      </c>
      <c r="AI2917" s="580">
        <v>9643</v>
      </c>
      <c r="AJ2917" s="580">
        <v>9647</v>
      </c>
      <c r="AK2917" s="580">
        <v>10715</v>
      </c>
      <c r="AL2917" s="580">
        <v>11740</v>
      </c>
      <c r="AM2917" s="580">
        <v>13084</v>
      </c>
      <c r="AN2917" s="580">
        <v>14107</v>
      </c>
      <c r="AO2917" s="580" t="s">
        <v>2011</v>
      </c>
    </row>
    <row r="2918" spans="1:44" s="173" customFormat="1" hidden="1" outlineLevel="1">
      <c r="A2918" s="578">
        <v>50</v>
      </c>
      <c r="B2918" s="568">
        <v>3658</v>
      </c>
      <c r="C2918" s="375" t="s">
        <v>1420</v>
      </c>
      <c r="D2918" s="226"/>
      <c r="E2918" s="23" t="s">
        <v>749</v>
      </c>
      <c r="F2918" s="580"/>
      <c r="G2918" s="580"/>
      <c r="H2918" s="580"/>
      <c r="I2918" s="580"/>
      <c r="J2918" s="580"/>
      <c r="K2918" s="580">
        <v>10027</v>
      </c>
      <c r="L2918" s="580">
        <v>10522</v>
      </c>
      <c r="M2918" s="580">
        <v>10894</v>
      </c>
      <c r="N2918" s="580">
        <v>11282</v>
      </c>
      <c r="O2918" s="580">
        <v>11508</v>
      </c>
      <c r="P2918" s="580">
        <v>11256</v>
      </c>
      <c r="Q2918" s="580">
        <v>11101</v>
      </c>
      <c r="R2918" s="580">
        <v>11090</v>
      </c>
      <c r="S2918" s="580">
        <v>11063</v>
      </c>
      <c r="T2918" s="580">
        <v>11747</v>
      </c>
      <c r="U2918" s="580">
        <v>11747</v>
      </c>
      <c r="V2918" s="580">
        <v>11572</v>
      </c>
      <c r="W2918" s="580">
        <v>11488</v>
      </c>
      <c r="X2918" s="580">
        <v>11879</v>
      </c>
      <c r="Y2918" s="580">
        <v>12377</v>
      </c>
      <c r="Z2918" s="580">
        <v>13065</v>
      </c>
      <c r="AA2918" s="580">
        <v>13032</v>
      </c>
      <c r="AB2918" s="580">
        <v>13149</v>
      </c>
      <c r="AC2918" s="580">
        <v>12693</v>
      </c>
      <c r="AD2918" s="580">
        <v>13087</v>
      </c>
      <c r="AE2918" s="580">
        <v>12858</v>
      </c>
      <c r="AF2918" s="580">
        <v>13215</v>
      </c>
      <c r="AG2918" s="580">
        <v>13365</v>
      </c>
      <c r="AH2918" s="580">
        <v>13337</v>
      </c>
      <c r="AI2918" s="580">
        <v>13616</v>
      </c>
      <c r="AJ2918" s="580">
        <v>13981</v>
      </c>
      <c r="AK2918" s="580">
        <v>13887</v>
      </c>
      <c r="AL2918" s="580">
        <v>14675</v>
      </c>
      <c r="AM2918" s="580">
        <v>14132</v>
      </c>
      <c r="AN2918" s="580">
        <v>14247</v>
      </c>
      <c r="AO2918" s="580">
        <v>14371</v>
      </c>
    </row>
    <row r="2919" spans="1:44" s="173" customFormat="1" hidden="1" outlineLevel="1">
      <c r="A2919" s="578">
        <v>60</v>
      </c>
      <c r="B2919" s="568">
        <v>9741</v>
      </c>
      <c r="C2919" s="375" t="s">
        <v>1420</v>
      </c>
      <c r="D2919" s="226"/>
      <c r="E2919" s="23" t="s">
        <v>755</v>
      </c>
      <c r="F2919" s="580"/>
      <c r="G2919" s="580"/>
      <c r="H2919" s="580"/>
      <c r="I2919" s="580"/>
      <c r="J2919" s="580"/>
      <c r="K2919" s="580">
        <v>1638</v>
      </c>
      <c r="L2919" s="580">
        <v>1675</v>
      </c>
      <c r="M2919" s="580">
        <v>1760</v>
      </c>
      <c r="N2919" s="580">
        <v>1868</v>
      </c>
      <c r="O2919" s="580">
        <v>2020</v>
      </c>
      <c r="P2919" s="580">
        <v>1964</v>
      </c>
      <c r="Q2919" s="580">
        <v>1739</v>
      </c>
      <c r="R2919" s="580">
        <v>1704</v>
      </c>
      <c r="S2919" s="580">
        <v>1995</v>
      </c>
      <c r="T2919" s="580">
        <v>2189</v>
      </c>
      <c r="U2919" s="580">
        <v>2214</v>
      </c>
      <c r="V2919" s="580">
        <v>2444</v>
      </c>
      <c r="W2919" s="580">
        <v>2584</v>
      </c>
      <c r="X2919" s="580">
        <v>2767</v>
      </c>
      <c r="Y2919" s="580">
        <v>2974</v>
      </c>
      <c r="Z2919" s="580">
        <v>3240</v>
      </c>
      <c r="AA2919" s="580">
        <v>3498</v>
      </c>
      <c r="AB2919" s="580">
        <v>3651</v>
      </c>
      <c r="AC2919" s="580">
        <v>3788</v>
      </c>
      <c r="AD2919" s="580">
        <v>3873</v>
      </c>
      <c r="AE2919" s="580">
        <v>3940</v>
      </c>
      <c r="AF2919" s="580">
        <v>4363</v>
      </c>
      <c r="AG2919" s="580">
        <v>4492</v>
      </c>
      <c r="AH2919" s="580">
        <v>4913</v>
      </c>
      <c r="AI2919" s="580">
        <v>5608</v>
      </c>
      <c r="AJ2919" s="580">
        <v>5986</v>
      </c>
      <c r="AK2919" s="580">
        <v>6376</v>
      </c>
      <c r="AL2919" s="580">
        <v>6796</v>
      </c>
      <c r="AM2919" s="580">
        <v>7082</v>
      </c>
      <c r="AN2919" s="580">
        <v>8256</v>
      </c>
      <c r="AO2919" s="580">
        <v>8168</v>
      </c>
    </row>
    <row r="2920" spans="1:44" s="173" customFormat="1" hidden="1" outlineLevel="1">
      <c r="A2920" s="578">
        <v>70</v>
      </c>
      <c r="B2920" s="568">
        <v>3661</v>
      </c>
      <c r="C2920" s="375" t="s">
        <v>1420</v>
      </c>
      <c r="D2920" s="226"/>
      <c r="E2920" s="23" t="s">
        <v>756</v>
      </c>
      <c r="F2920" s="580"/>
      <c r="G2920" s="580"/>
      <c r="H2920" s="580"/>
      <c r="I2920" s="580"/>
      <c r="J2920" s="580"/>
      <c r="K2920" s="580">
        <v>1591</v>
      </c>
      <c r="L2920" s="580">
        <v>1635</v>
      </c>
      <c r="M2920" s="580">
        <v>2025</v>
      </c>
      <c r="N2920" s="580">
        <v>1718</v>
      </c>
      <c r="O2920" s="580">
        <v>1856</v>
      </c>
      <c r="P2920" s="580">
        <v>1967</v>
      </c>
      <c r="Q2920" s="580">
        <v>2145</v>
      </c>
      <c r="R2920" s="580">
        <v>2100</v>
      </c>
      <c r="S2920" s="580">
        <v>2148</v>
      </c>
      <c r="T2920" s="580">
        <v>2015</v>
      </c>
      <c r="U2920" s="580">
        <v>2200</v>
      </c>
      <c r="V2920" s="580">
        <v>2131</v>
      </c>
      <c r="W2920" s="580">
        <v>2128</v>
      </c>
      <c r="X2920" s="580">
        <v>2185</v>
      </c>
      <c r="Y2920" s="580">
        <v>2406</v>
      </c>
      <c r="Z2920" s="580">
        <v>2438</v>
      </c>
      <c r="AA2920" s="580">
        <v>2757</v>
      </c>
      <c r="AB2920" s="580">
        <v>2884</v>
      </c>
      <c r="AC2920" s="580">
        <v>3171</v>
      </c>
      <c r="AD2920" s="580">
        <v>3529</v>
      </c>
      <c r="AE2920" s="580">
        <v>3838</v>
      </c>
      <c r="AF2920" s="580">
        <v>3978</v>
      </c>
      <c r="AG2920" s="580">
        <v>4168</v>
      </c>
      <c r="AH2920" s="580">
        <v>4350</v>
      </c>
      <c r="AI2920" s="580">
        <v>4385</v>
      </c>
      <c r="AJ2920" s="580">
        <v>4368</v>
      </c>
      <c r="AK2920" s="580">
        <v>4440</v>
      </c>
      <c r="AL2920" s="580">
        <v>4544</v>
      </c>
      <c r="AM2920" s="580">
        <v>4533</v>
      </c>
      <c r="AN2920" s="580">
        <v>4868</v>
      </c>
      <c r="AO2920" s="580">
        <v>5079</v>
      </c>
    </row>
    <row r="2921" spans="1:44" s="173" customFormat="1" hidden="1" outlineLevel="1">
      <c r="A2921" s="578"/>
      <c r="B2921" s="568">
        <v>3599</v>
      </c>
      <c r="C2921" s="375" t="s">
        <v>1420</v>
      </c>
      <c r="D2921" s="226"/>
      <c r="E2921" s="375" t="s">
        <v>1667</v>
      </c>
      <c r="F2921" s="580"/>
      <c r="G2921" s="580"/>
      <c r="H2921" s="580"/>
      <c r="I2921" s="580"/>
      <c r="J2921" s="580"/>
      <c r="K2921" s="580"/>
      <c r="L2921" s="580"/>
      <c r="M2921" s="580"/>
      <c r="N2921" s="580"/>
      <c r="O2921" s="580"/>
      <c r="P2921" s="580"/>
      <c r="Q2921" s="580"/>
      <c r="R2921" s="580"/>
      <c r="S2921" s="580"/>
      <c r="T2921" s="580"/>
      <c r="U2921" s="580"/>
      <c r="V2921" s="580"/>
      <c r="W2921" s="580"/>
      <c r="X2921" s="580"/>
      <c r="Y2921" s="580"/>
      <c r="Z2921" s="580"/>
      <c r="AA2921" s="580"/>
      <c r="AB2921" s="580"/>
      <c r="AC2921" s="580"/>
      <c r="AD2921" s="580"/>
      <c r="AE2921" s="580"/>
      <c r="AF2921" s="580"/>
      <c r="AG2921" s="580"/>
      <c r="AH2921" s="580"/>
      <c r="AI2921" s="580"/>
      <c r="AJ2921" s="580"/>
      <c r="AK2921" s="580"/>
      <c r="AL2921" s="580">
        <v>5431</v>
      </c>
      <c r="AM2921" s="580">
        <v>5279</v>
      </c>
      <c r="AN2921" s="580">
        <v>5346</v>
      </c>
      <c r="AO2921" s="580">
        <v>5876</v>
      </c>
    </row>
    <row r="2922" spans="1:44" s="173" customFormat="1" hidden="1" outlineLevel="1">
      <c r="A2922" s="578">
        <v>80</v>
      </c>
      <c r="B2922" s="568">
        <v>3599</v>
      </c>
      <c r="C2922" s="375" t="s">
        <v>1420</v>
      </c>
      <c r="D2922" s="226"/>
      <c r="E2922" s="23" t="s">
        <v>1356</v>
      </c>
      <c r="F2922" s="580"/>
      <c r="G2922" s="580"/>
      <c r="H2922" s="580"/>
      <c r="I2922" s="580"/>
      <c r="J2922" s="580"/>
      <c r="K2922" s="580">
        <v>878</v>
      </c>
      <c r="L2922" s="580">
        <v>1049</v>
      </c>
      <c r="M2922" s="580">
        <v>1102</v>
      </c>
      <c r="N2922" s="580">
        <v>1036</v>
      </c>
      <c r="O2922" s="580">
        <v>1022</v>
      </c>
      <c r="P2922" s="580">
        <v>1155</v>
      </c>
      <c r="Q2922" s="580">
        <v>1347</v>
      </c>
      <c r="R2922" s="580">
        <v>1426</v>
      </c>
      <c r="S2922" s="580">
        <v>1476</v>
      </c>
      <c r="T2922" s="580">
        <v>1617</v>
      </c>
      <c r="U2922" s="580">
        <v>1654</v>
      </c>
      <c r="V2922" s="580">
        <v>1780</v>
      </c>
      <c r="W2922" s="580">
        <v>1798</v>
      </c>
      <c r="X2922" s="580">
        <v>2037</v>
      </c>
      <c r="Y2922" s="580">
        <v>2021</v>
      </c>
      <c r="Z2922" s="580">
        <v>2394</v>
      </c>
      <c r="AA2922" s="580">
        <v>2524</v>
      </c>
      <c r="AB2922" s="580">
        <v>2871</v>
      </c>
      <c r="AC2922" s="580">
        <v>3027</v>
      </c>
      <c r="AD2922" s="580">
        <v>3098</v>
      </c>
      <c r="AE2922" s="580">
        <v>3468</v>
      </c>
      <c r="AF2922" s="580">
        <v>3272</v>
      </c>
      <c r="AG2922" s="580">
        <v>3486</v>
      </c>
      <c r="AH2922" s="580">
        <v>3165</v>
      </c>
      <c r="AI2922" s="580">
        <v>3566</v>
      </c>
      <c r="AJ2922" s="580">
        <v>3549</v>
      </c>
      <c r="AK2922" s="580">
        <v>4130</v>
      </c>
      <c r="AL2922" s="580"/>
      <c r="AM2922" s="580"/>
      <c r="AN2922" s="580"/>
      <c r="AO2922" s="580"/>
    </row>
    <row r="2923" spans="1:44" s="173" customFormat="1" hidden="1" outlineLevel="1">
      <c r="A2923" s="578">
        <v>90</v>
      </c>
      <c r="B2923" s="568">
        <v>30646</v>
      </c>
      <c r="C2923" s="375" t="s">
        <v>1420</v>
      </c>
      <c r="D2923" s="226"/>
      <c r="E2923" s="23" t="s">
        <v>1357</v>
      </c>
      <c r="F2923" s="580"/>
      <c r="G2923" s="580"/>
      <c r="H2923" s="580"/>
      <c r="I2923" s="580"/>
      <c r="J2923" s="580"/>
      <c r="K2923" s="580">
        <v>233</v>
      </c>
      <c r="L2923" s="580">
        <v>309</v>
      </c>
      <c r="M2923" s="580">
        <v>306</v>
      </c>
      <c r="N2923" s="580">
        <v>255</v>
      </c>
      <c r="O2923" s="580">
        <v>321</v>
      </c>
      <c r="P2923" s="580">
        <v>329</v>
      </c>
      <c r="Q2923" s="580">
        <v>449</v>
      </c>
      <c r="R2923" s="580">
        <v>523</v>
      </c>
      <c r="S2923" s="580">
        <v>556</v>
      </c>
      <c r="T2923" s="580">
        <v>638</v>
      </c>
      <c r="U2923" s="580">
        <v>661</v>
      </c>
      <c r="V2923" s="580">
        <v>626</v>
      </c>
      <c r="W2923" s="580">
        <v>689</v>
      </c>
      <c r="X2923" s="580">
        <v>766</v>
      </c>
      <c r="Y2923" s="580">
        <v>768</v>
      </c>
      <c r="Z2923" s="580">
        <v>850</v>
      </c>
      <c r="AA2923" s="580">
        <v>870</v>
      </c>
      <c r="AB2923" s="580">
        <v>942</v>
      </c>
      <c r="AC2923" s="580">
        <v>1110</v>
      </c>
      <c r="AD2923" s="580">
        <v>1052</v>
      </c>
      <c r="AE2923" s="580">
        <v>1208</v>
      </c>
      <c r="AF2923" s="580">
        <v>1253</v>
      </c>
      <c r="AG2923" s="580">
        <v>1286</v>
      </c>
      <c r="AH2923" s="580">
        <v>1391</v>
      </c>
      <c r="AI2923" s="580">
        <v>1282</v>
      </c>
      <c r="AJ2923" s="580">
        <v>1347</v>
      </c>
      <c r="AK2923" s="580">
        <v>1452</v>
      </c>
      <c r="AL2923" s="580"/>
      <c r="AM2923" s="12"/>
      <c r="AN2923" s="1070"/>
      <c r="AO2923" s="1070"/>
    </row>
    <row r="2924" spans="1:44" s="173" customFormat="1" hidden="1" outlineLevel="1">
      <c r="A2924" s="578">
        <v>100</v>
      </c>
      <c r="B2924" s="568">
        <v>9930</v>
      </c>
      <c r="C2924" s="375" t="s">
        <v>1420</v>
      </c>
      <c r="D2924" s="226"/>
      <c r="E2924" s="23" t="s">
        <v>1358</v>
      </c>
      <c r="F2924" s="580"/>
      <c r="G2924" s="580"/>
      <c r="H2924" s="580"/>
      <c r="I2924" s="580"/>
      <c r="J2924" s="580"/>
      <c r="K2924" s="580">
        <v>355</v>
      </c>
      <c r="L2924" s="580">
        <v>374</v>
      </c>
      <c r="M2924" s="580">
        <v>376</v>
      </c>
      <c r="N2924" s="580">
        <v>402</v>
      </c>
      <c r="O2924" s="580">
        <v>428</v>
      </c>
      <c r="P2924" s="580">
        <v>460</v>
      </c>
      <c r="Q2924" s="580">
        <v>403</v>
      </c>
      <c r="R2924" s="580">
        <v>428</v>
      </c>
      <c r="S2924" s="580">
        <v>415</v>
      </c>
      <c r="T2924" s="580">
        <v>424</v>
      </c>
      <c r="U2924" s="580">
        <v>428</v>
      </c>
      <c r="V2924" s="580">
        <v>426</v>
      </c>
      <c r="W2924" s="580">
        <v>416</v>
      </c>
      <c r="X2924" s="580">
        <v>485</v>
      </c>
      <c r="Y2924" s="580">
        <v>446</v>
      </c>
      <c r="Z2924" s="580">
        <v>552</v>
      </c>
      <c r="AA2924" s="580">
        <v>564</v>
      </c>
      <c r="AB2924" s="580">
        <v>612</v>
      </c>
      <c r="AC2924" s="580">
        <v>628</v>
      </c>
      <c r="AD2924" s="580">
        <v>627</v>
      </c>
      <c r="AE2924" s="580">
        <v>733</v>
      </c>
      <c r="AF2924" s="580">
        <v>682</v>
      </c>
      <c r="AG2924" s="580">
        <v>692</v>
      </c>
      <c r="AH2924" s="580">
        <v>698</v>
      </c>
      <c r="AI2924" s="580">
        <v>749</v>
      </c>
      <c r="AJ2924" s="580">
        <v>839</v>
      </c>
      <c r="AK2924" s="580">
        <v>969</v>
      </c>
      <c r="AL2924" s="580">
        <v>967</v>
      </c>
      <c r="AM2924" s="580">
        <v>1018</v>
      </c>
      <c r="AN2924" s="580">
        <v>1138</v>
      </c>
      <c r="AO2924" s="580">
        <v>1375</v>
      </c>
    </row>
    <row r="2925" spans="1:44" s="173" customFormat="1" hidden="1" outlineLevel="1">
      <c r="A2925" s="578">
        <v>110</v>
      </c>
      <c r="B2925" s="568">
        <v>10115</v>
      </c>
      <c r="C2925" s="375" t="s">
        <v>1420</v>
      </c>
      <c r="D2925" s="226"/>
      <c r="E2925" s="23" t="s">
        <v>757</v>
      </c>
      <c r="F2925" s="580"/>
      <c r="G2925" s="580"/>
      <c r="H2925" s="580"/>
      <c r="I2925" s="580"/>
      <c r="J2925" s="580"/>
      <c r="K2925" s="580">
        <v>1686</v>
      </c>
      <c r="L2925" s="580">
        <v>1862</v>
      </c>
      <c r="M2925" s="580">
        <v>2044</v>
      </c>
      <c r="N2925" s="580">
        <v>2011</v>
      </c>
      <c r="O2925" s="580">
        <v>2289</v>
      </c>
      <c r="P2925" s="580">
        <v>2471</v>
      </c>
      <c r="Q2925" s="580">
        <v>2639</v>
      </c>
      <c r="R2925" s="580">
        <v>2883</v>
      </c>
      <c r="S2925" s="580">
        <v>2785</v>
      </c>
      <c r="T2925" s="580">
        <v>2727</v>
      </c>
      <c r="U2925" s="580">
        <v>2736</v>
      </c>
      <c r="V2925" s="580">
        <v>3107</v>
      </c>
      <c r="W2925" s="580">
        <v>3164</v>
      </c>
      <c r="X2925" s="580">
        <v>3325</v>
      </c>
      <c r="Y2925" s="580">
        <v>3520</v>
      </c>
      <c r="Z2925" s="580">
        <v>3686</v>
      </c>
      <c r="AA2925" s="580">
        <v>4181</v>
      </c>
      <c r="AB2925" s="580">
        <v>4388</v>
      </c>
      <c r="AC2925" s="580">
        <v>4607</v>
      </c>
      <c r="AD2925" s="580">
        <v>4591</v>
      </c>
      <c r="AE2925" s="580">
        <v>4806</v>
      </c>
      <c r="AF2925" s="580">
        <v>4939</v>
      </c>
      <c r="AG2925" s="580">
        <v>5223</v>
      </c>
      <c r="AH2925" s="580">
        <v>5491</v>
      </c>
      <c r="AI2925" s="580">
        <v>5856</v>
      </c>
      <c r="AJ2925" s="580">
        <v>5837</v>
      </c>
      <c r="AK2925" s="580">
        <v>5943</v>
      </c>
      <c r="AL2925" s="580">
        <v>5961</v>
      </c>
      <c r="AM2925" s="580">
        <v>6060</v>
      </c>
      <c r="AN2925" s="580">
        <v>6307</v>
      </c>
      <c r="AO2925" s="580">
        <v>7045</v>
      </c>
    </row>
    <row r="2926" spans="1:44" s="173" customFormat="1" hidden="1" outlineLevel="1">
      <c r="A2926" s="578">
        <v>120</v>
      </c>
      <c r="B2926" s="568">
        <v>11163</v>
      </c>
      <c r="C2926" s="375" t="s">
        <v>1420</v>
      </c>
      <c r="D2926" s="226"/>
      <c r="E2926" s="23" t="s">
        <v>1359</v>
      </c>
      <c r="F2926" s="580"/>
      <c r="G2926" s="580"/>
      <c r="H2926" s="580"/>
      <c r="I2926" s="580"/>
      <c r="J2926" s="580"/>
      <c r="K2926" s="580">
        <v>797</v>
      </c>
      <c r="L2926" s="580">
        <v>868</v>
      </c>
      <c r="M2926" s="580">
        <v>1023</v>
      </c>
      <c r="N2926" s="580">
        <v>834</v>
      </c>
      <c r="O2926" s="580">
        <v>780</v>
      </c>
      <c r="P2926" s="580">
        <v>904</v>
      </c>
      <c r="Q2926" s="580">
        <v>887</v>
      </c>
      <c r="R2926" s="580">
        <v>862</v>
      </c>
      <c r="S2926" s="580">
        <v>807</v>
      </c>
      <c r="T2926" s="580">
        <v>851</v>
      </c>
      <c r="U2926" s="580">
        <v>902</v>
      </c>
      <c r="V2926" s="580">
        <v>871</v>
      </c>
      <c r="W2926" s="580">
        <v>865</v>
      </c>
      <c r="X2926" s="580">
        <v>805</v>
      </c>
      <c r="Y2926" s="580">
        <v>803</v>
      </c>
      <c r="Z2926" s="580">
        <v>916</v>
      </c>
      <c r="AA2926" s="580">
        <v>1015</v>
      </c>
      <c r="AB2926" s="580">
        <v>1121</v>
      </c>
      <c r="AC2926" s="580">
        <v>1175</v>
      </c>
      <c r="AD2926" s="580">
        <v>1211</v>
      </c>
      <c r="AE2926" s="580">
        <v>1460</v>
      </c>
      <c r="AF2926" s="580">
        <v>1509</v>
      </c>
      <c r="AG2926" s="580">
        <v>1640</v>
      </c>
      <c r="AH2926" s="580">
        <v>1630</v>
      </c>
      <c r="AI2926" s="580">
        <v>1775</v>
      </c>
      <c r="AJ2926" s="580">
        <v>1648</v>
      </c>
      <c r="AK2926" s="580">
        <v>1925</v>
      </c>
      <c r="AL2926" s="580">
        <v>2246</v>
      </c>
      <c r="AM2926" s="580">
        <v>2478</v>
      </c>
      <c r="AN2926" s="580">
        <v>2802</v>
      </c>
      <c r="AO2926" s="580">
        <v>2964</v>
      </c>
    </row>
    <row r="2927" spans="1:44" s="173" customFormat="1" hidden="1" outlineLevel="1">
      <c r="A2927" s="578">
        <v>130</v>
      </c>
      <c r="B2927" s="568">
        <v>3632</v>
      </c>
      <c r="C2927" s="375" t="s">
        <v>1420</v>
      </c>
      <c r="D2927" s="226"/>
      <c r="E2927" s="23" t="s">
        <v>751</v>
      </c>
      <c r="F2927" s="580"/>
      <c r="G2927" s="580"/>
      <c r="H2927" s="580"/>
      <c r="I2927" s="580"/>
      <c r="J2927" s="580"/>
      <c r="K2927" s="580">
        <v>7316</v>
      </c>
      <c r="L2927" s="580">
        <v>7720</v>
      </c>
      <c r="M2927" s="580">
        <v>8352</v>
      </c>
      <c r="N2927" s="580">
        <v>8205</v>
      </c>
      <c r="O2927" s="580">
        <v>8302</v>
      </c>
      <c r="P2927" s="580">
        <v>8617</v>
      </c>
      <c r="Q2927" s="580">
        <v>8533</v>
      </c>
      <c r="R2927" s="580">
        <v>8349</v>
      </c>
      <c r="S2927" s="580">
        <v>8558</v>
      </c>
      <c r="T2927" s="580">
        <v>8682</v>
      </c>
      <c r="U2927" s="580">
        <v>8599</v>
      </c>
      <c r="V2927" s="580">
        <v>9508</v>
      </c>
      <c r="W2927" s="580">
        <v>9637</v>
      </c>
      <c r="X2927" s="580">
        <v>9967</v>
      </c>
      <c r="Y2927" s="580">
        <v>10569</v>
      </c>
      <c r="Z2927" s="580">
        <v>10372</v>
      </c>
      <c r="AA2927" s="580">
        <v>10311</v>
      </c>
      <c r="AB2927" s="580">
        <v>10584</v>
      </c>
      <c r="AC2927" s="580">
        <v>10627</v>
      </c>
      <c r="AD2927" s="580">
        <v>10771</v>
      </c>
      <c r="AE2927" s="580">
        <v>11042</v>
      </c>
      <c r="AF2927" s="580">
        <v>11205</v>
      </c>
      <c r="AG2927" s="580">
        <v>11718</v>
      </c>
      <c r="AH2927" s="580">
        <v>11932</v>
      </c>
      <c r="AI2927" s="580">
        <v>12337</v>
      </c>
      <c r="AJ2927" s="580">
        <v>12708</v>
      </c>
      <c r="AK2927" s="580">
        <v>13297</v>
      </c>
      <c r="AL2927" s="580">
        <v>13953</v>
      </c>
      <c r="AM2927" s="580">
        <v>15104</v>
      </c>
      <c r="AN2927" s="580">
        <v>15974</v>
      </c>
      <c r="AO2927" s="580">
        <v>16352</v>
      </c>
    </row>
    <row r="2928" spans="1:44" s="173" customFormat="1" hidden="1" outlineLevel="1">
      <c r="A2928" s="578">
        <v>140</v>
      </c>
      <c r="B2928" s="568">
        <v>10298</v>
      </c>
      <c r="C2928" s="375" t="s">
        <v>1420</v>
      </c>
      <c r="D2928" s="226"/>
      <c r="E2928" s="23" t="s">
        <v>876</v>
      </c>
      <c r="F2928" s="580"/>
      <c r="G2928" s="580"/>
      <c r="H2928" s="580"/>
      <c r="I2928" s="580"/>
      <c r="J2928" s="580"/>
      <c r="K2928" s="580">
        <v>74</v>
      </c>
      <c r="L2928" s="580">
        <v>74</v>
      </c>
      <c r="M2928" s="580">
        <v>80</v>
      </c>
      <c r="N2928" s="580">
        <v>125</v>
      </c>
      <c r="O2928" s="580">
        <v>142</v>
      </c>
      <c r="P2928" s="580">
        <v>216</v>
      </c>
      <c r="Q2928" s="580">
        <v>205</v>
      </c>
      <c r="R2928" s="580">
        <v>179</v>
      </c>
      <c r="S2928" s="580">
        <v>190</v>
      </c>
      <c r="T2928" s="580">
        <v>232</v>
      </c>
      <c r="U2928" s="580">
        <v>187</v>
      </c>
      <c r="V2928" s="580">
        <v>196</v>
      </c>
      <c r="W2928" s="580">
        <v>178</v>
      </c>
      <c r="X2928" s="580">
        <v>152</v>
      </c>
      <c r="Y2928" s="580">
        <v>189</v>
      </c>
      <c r="Z2928" s="580">
        <v>235</v>
      </c>
      <c r="AA2928" s="580">
        <v>257</v>
      </c>
      <c r="AB2928" s="580">
        <v>258</v>
      </c>
      <c r="AC2928" s="580">
        <v>258</v>
      </c>
      <c r="AD2928" s="580">
        <v>263</v>
      </c>
      <c r="AE2928" s="580">
        <v>250</v>
      </c>
      <c r="AF2928" s="580">
        <v>274</v>
      </c>
      <c r="AG2928" s="580">
        <v>259</v>
      </c>
      <c r="AH2928" s="580">
        <v>328</v>
      </c>
      <c r="AI2928" s="580">
        <v>328</v>
      </c>
      <c r="AJ2928" s="580">
        <v>353</v>
      </c>
      <c r="AK2928" s="580">
        <v>411</v>
      </c>
      <c r="AL2928" s="580">
        <v>452</v>
      </c>
      <c r="AM2928" s="580">
        <v>466</v>
      </c>
      <c r="AN2928" s="580">
        <v>526</v>
      </c>
      <c r="AO2928" s="580">
        <v>458</v>
      </c>
    </row>
    <row r="2929" spans="1:44" s="173" customFormat="1" hidden="1" outlineLevel="1">
      <c r="A2929" s="578">
        <v>150</v>
      </c>
      <c r="B2929" s="568">
        <v>3630</v>
      </c>
      <c r="C2929" s="375" t="s">
        <v>1420</v>
      </c>
      <c r="D2929" s="226"/>
      <c r="E2929" s="23" t="s">
        <v>1360</v>
      </c>
      <c r="F2929" s="580"/>
      <c r="G2929" s="580"/>
      <c r="H2929" s="580"/>
      <c r="I2929" s="580"/>
      <c r="J2929" s="580"/>
      <c r="K2929" s="580">
        <v>698</v>
      </c>
      <c r="L2929" s="580">
        <v>665</v>
      </c>
      <c r="M2929" s="580">
        <v>707</v>
      </c>
      <c r="N2929" s="580">
        <v>809</v>
      </c>
      <c r="O2929" s="580">
        <v>855</v>
      </c>
      <c r="P2929" s="580">
        <v>808</v>
      </c>
      <c r="Q2929" s="580">
        <v>833</v>
      </c>
      <c r="R2929" s="580">
        <v>954</v>
      </c>
      <c r="S2929" s="580">
        <v>997</v>
      </c>
      <c r="T2929" s="580">
        <v>1110</v>
      </c>
      <c r="U2929" s="580">
        <v>1081</v>
      </c>
      <c r="V2929" s="580">
        <v>1072</v>
      </c>
      <c r="W2929" s="580">
        <v>1117</v>
      </c>
      <c r="X2929" s="580">
        <v>1163</v>
      </c>
      <c r="Y2929" s="580">
        <v>1212</v>
      </c>
      <c r="Z2929" s="580">
        <v>1406</v>
      </c>
      <c r="AA2929" s="580">
        <v>1473</v>
      </c>
      <c r="AB2929" s="580">
        <v>1617</v>
      </c>
      <c r="AC2929" s="580">
        <v>1608</v>
      </c>
      <c r="AD2929" s="580">
        <v>1552</v>
      </c>
      <c r="AE2929" s="580">
        <v>1577</v>
      </c>
      <c r="AF2929" s="580">
        <v>1439</v>
      </c>
      <c r="AG2929" s="580">
        <v>1453</v>
      </c>
      <c r="AH2929" s="580">
        <v>1488</v>
      </c>
      <c r="AI2929" s="580">
        <v>1449</v>
      </c>
      <c r="AJ2929" s="580">
        <v>1484</v>
      </c>
      <c r="AK2929" s="580">
        <v>1616</v>
      </c>
      <c r="AL2929" s="580">
        <v>1480</v>
      </c>
      <c r="AM2929" s="580">
        <v>1592</v>
      </c>
      <c r="AN2929" s="580">
        <v>1490</v>
      </c>
      <c r="AO2929" s="580">
        <v>1541</v>
      </c>
    </row>
    <row r="2930" spans="1:44" s="173" customFormat="1" hidden="1" outlineLevel="1">
      <c r="A2930" s="578">
        <v>160</v>
      </c>
      <c r="B2930" s="568">
        <v>3631</v>
      </c>
      <c r="C2930" s="375" t="s">
        <v>1420</v>
      </c>
      <c r="D2930" s="226"/>
      <c r="E2930" s="23" t="s">
        <v>1209</v>
      </c>
      <c r="F2930" s="580"/>
      <c r="G2930" s="580"/>
      <c r="H2930" s="580"/>
      <c r="I2930" s="580"/>
      <c r="J2930" s="580"/>
      <c r="K2930" s="580">
        <v>772</v>
      </c>
      <c r="L2930" s="580">
        <v>880</v>
      </c>
      <c r="M2930" s="580">
        <v>1022</v>
      </c>
      <c r="N2930" s="580">
        <v>1073</v>
      </c>
      <c r="O2930" s="580">
        <v>1143</v>
      </c>
      <c r="P2930" s="580">
        <v>1116</v>
      </c>
      <c r="Q2930" s="580">
        <v>1176</v>
      </c>
      <c r="R2930" s="580">
        <v>1123</v>
      </c>
      <c r="S2930" s="580">
        <v>1162</v>
      </c>
      <c r="T2930" s="580">
        <v>1171</v>
      </c>
      <c r="U2930" s="580">
        <v>1225</v>
      </c>
      <c r="V2930" s="580">
        <v>1585</v>
      </c>
      <c r="W2930" s="580">
        <v>1594</v>
      </c>
      <c r="X2930" s="580">
        <v>1569</v>
      </c>
      <c r="Y2930" s="580">
        <v>1563</v>
      </c>
      <c r="Z2930" s="580">
        <v>1737</v>
      </c>
      <c r="AA2930" s="580">
        <v>1830</v>
      </c>
      <c r="AB2930" s="580">
        <v>1893</v>
      </c>
      <c r="AC2930" s="580">
        <v>1948</v>
      </c>
      <c r="AD2930" s="580">
        <v>2192</v>
      </c>
      <c r="AE2930" s="580">
        <v>2152</v>
      </c>
      <c r="AF2930" s="580">
        <v>1760</v>
      </c>
      <c r="AG2930" s="580">
        <v>1877</v>
      </c>
      <c r="AH2930" s="580">
        <v>2098</v>
      </c>
      <c r="AI2930" s="580">
        <v>2311</v>
      </c>
      <c r="AJ2930" s="580">
        <v>2474</v>
      </c>
      <c r="AK2930" s="580">
        <v>2583</v>
      </c>
      <c r="AL2930" s="580">
        <v>2895</v>
      </c>
      <c r="AM2930" s="580">
        <v>3037</v>
      </c>
      <c r="AN2930" s="580">
        <v>3140</v>
      </c>
      <c r="AO2930" s="580">
        <v>3221</v>
      </c>
    </row>
    <row r="2931" spans="1:44" s="173" customFormat="1" hidden="1" outlineLevel="1">
      <c r="A2931" s="578">
        <v>170</v>
      </c>
      <c r="B2931" s="568">
        <v>11161</v>
      </c>
      <c r="C2931" s="375" t="s">
        <v>1420</v>
      </c>
      <c r="D2931" s="226"/>
      <c r="E2931" s="23" t="s">
        <v>1211</v>
      </c>
      <c r="F2931" s="580"/>
      <c r="G2931" s="580"/>
      <c r="H2931" s="580"/>
      <c r="I2931" s="580"/>
      <c r="J2931" s="580"/>
      <c r="K2931" s="580">
        <v>886</v>
      </c>
      <c r="L2931" s="580">
        <v>986</v>
      </c>
      <c r="M2931" s="580">
        <v>971</v>
      </c>
      <c r="N2931" s="580">
        <v>900</v>
      </c>
      <c r="O2931" s="580">
        <v>1021</v>
      </c>
      <c r="P2931" s="580">
        <v>1168</v>
      </c>
      <c r="Q2931" s="580">
        <v>1141</v>
      </c>
      <c r="R2931" s="580">
        <v>1187</v>
      </c>
      <c r="S2931" s="580">
        <v>1175</v>
      </c>
      <c r="T2931" s="580">
        <v>1178</v>
      </c>
      <c r="U2931" s="580">
        <v>1304</v>
      </c>
      <c r="V2931" s="580">
        <v>1309</v>
      </c>
      <c r="W2931" s="580">
        <v>1283</v>
      </c>
      <c r="X2931" s="580">
        <v>1312</v>
      </c>
      <c r="Y2931" s="580">
        <v>1497</v>
      </c>
      <c r="Z2931" s="580">
        <v>1515</v>
      </c>
      <c r="AA2931" s="580">
        <v>1530</v>
      </c>
      <c r="AB2931" s="580">
        <v>1571</v>
      </c>
      <c r="AC2931" s="580">
        <v>1737</v>
      </c>
      <c r="AD2931" s="580">
        <v>1772</v>
      </c>
      <c r="AE2931" s="580">
        <v>1920</v>
      </c>
      <c r="AF2931" s="580">
        <v>1801</v>
      </c>
      <c r="AG2931" s="580">
        <v>1877</v>
      </c>
      <c r="AH2931" s="580">
        <v>2071</v>
      </c>
      <c r="AI2931" s="580">
        <v>1939</v>
      </c>
      <c r="AJ2931" s="580">
        <v>1998</v>
      </c>
      <c r="AK2931" s="580">
        <v>1997</v>
      </c>
      <c r="AL2931" s="580">
        <v>2188</v>
      </c>
      <c r="AM2931" s="580">
        <v>2386</v>
      </c>
      <c r="AN2931" s="580">
        <v>2365</v>
      </c>
      <c r="AO2931" s="580">
        <v>2484</v>
      </c>
    </row>
    <row r="2932" spans="1:44" s="173" customFormat="1" hidden="1" outlineLevel="1">
      <c r="A2932" s="578">
        <v>180</v>
      </c>
      <c r="B2932" s="568">
        <v>3639</v>
      </c>
      <c r="C2932" s="375" t="s">
        <v>1420</v>
      </c>
      <c r="D2932" s="226"/>
      <c r="E2932" s="23" t="s">
        <v>1212</v>
      </c>
      <c r="F2932" s="580"/>
      <c r="G2932" s="580"/>
      <c r="H2932" s="580"/>
      <c r="I2932" s="580"/>
      <c r="J2932" s="580"/>
      <c r="K2932" s="580">
        <v>879</v>
      </c>
      <c r="L2932" s="580">
        <v>976</v>
      </c>
      <c r="M2932" s="580">
        <v>1018</v>
      </c>
      <c r="N2932" s="580">
        <v>821</v>
      </c>
      <c r="O2932" s="580">
        <v>838</v>
      </c>
      <c r="P2932" s="580">
        <v>939</v>
      </c>
      <c r="Q2932" s="580">
        <v>1005</v>
      </c>
      <c r="R2932" s="580">
        <v>934</v>
      </c>
      <c r="S2932" s="580">
        <v>975</v>
      </c>
      <c r="T2932" s="580">
        <v>969</v>
      </c>
      <c r="U2932" s="580">
        <v>277</v>
      </c>
      <c r="V2932" s="580">
        <v>1040</v>
      </c>
      <c r="W2932" s="580">
        <v>1007</v>
      </c>
      <c r="X2932" s="580">
        <v>1056</v>
      </c>
      <c r="Y2932" s="580">
        <v>1020</v>
      </c>
      <c r="Z2932" s="580">
        <v>1186</v>
      </c>
      <c r="AA2932" s="580">
        <v>1428</v>
      </c>
      <c r="AB2932" s="580">
        <v>1447</v>
      </c>
      <c r="AC2932" s="580">
        <v>1545</v>
      </c>
      <c r="AD2932" s="580">
        <v>1473</v>
      </c>
      <c r="AE2932" s="580">
        <v>1507</v>
      </c>
      <c r="AF2932" s="580">
        <v>1075</v>
      </c>
      <c r="AG2932" s="580">
        <v>1224</v>
      </c>
      <c r="AH2932" s="580">
        <v>1283</v>
      </c>
      <c r="AI2932" s="580">
        <v>1459</v>
      </c>
      <c r="AJ2932" s="580">
        <v>1518</v>
      </c>
      <c r="AK2932" s="580">
        <v>1903</v>
      </c>
      <c r="AL2932" s="580">
        <v>2254</v>
      </c>
      <c r="AM2932" s="580">
        <v>2239</v>
      </c>
      <c r="AN2932" s="580">
        <v>1923</v>
      </c>
      <c r="AO2932" s="580">
        <v>1808</v>
      </c>
    </row>
    <row r="2933" spans="1:44" s="173" customFormat="1" hidden="1" outlineLevel="1">
      <c r="A2933" s="578">
        <v>190</v>
      </c>
      <c r="B2933" s="568">
        <v>9651</v>
      </c>
      <c r="C2933" s="375" t="s">
        <v>1420</v>
      </c>
      <c r="D2933" s="226"/>
      <c r="E2933" s="23" t="s">
        <v>861</v>
      </c>
      <c r="F2933" s="580"/>
      <c r="G2933" s="580"/>
      <c r="H2933" s="580"/>
      <c r="I2933" s="580"/>
      <c r="J2933" s="580"/>
      <c r="K2933" s="580">
        <v>218</v>
      </c>
      <c r="L2933" s="580">
        <v>242</v>
      </c>
      <c r="M2933" s="580">
        <v>289</v>
      </c>
      <c r="N2933" s="580">
        <v>255</v>
      </c>
      <c r="O2933" s="580">
        <v>338</v>
      </c>
      <c r="P2933" s="580">
        <v>351</v>
      </c>
      <c r="Q2933" s="580">
        <v>408</v>
      </c>
      <c r="R2933" s="580">
        <v>480</v>
      </c>
      <c r="S2933" s="580">
        <v>458</v>
      </c>
      <c r="T2933" s="580">
        <v>496</v>
      </c>
      <c r="U2933" s="580">
        <v>621</v>
      </c>
      <c r="V2933" s="580">
        <v>558</v>
      </c>
      <c r="W2933" s="580">
        <v>551</v>
      </c>
      <c r="X2933" s="580">
        <v>595</v>
      </c>
      <c r="Y2933" s="580">
        <v>503</v>
      </c>
      <c r="Z2933" s="580">
        <v>829</v>
      </c>
      <c r="AA2933" s="580">
        <v>819</v>
      </c>
      <c r="AB2933" s="580">
        <v>893</v>
      </c>
      <c r="AC2933" s="580">
        <v>973</v>
      </c>
      <c r="AD2933" s="580">
        <v>1021</v>
      </c>
      <c r="AE2933" s="580">
        <v>1020</v>
      </c>
      <c r="AF2933" s="580">
        <v>1105</v>
      </c>
      <c r="AG2933" s="580">
        <v>1029</v>
      </c>
      <c r="AH2933" s="580">
        <v>1058</v>
      </c>
      <c r="AI2933" s="580">
        <v>1110</v>
      </c>
      <c r="AJ2933" s="580">
        <v>1212</v>
      </c>
      <c r="AK2933" s="580">
        <v>1292</v>
      </c>
      <c r="AL2933" s="580">
        <v>1389</v>
      </c>
      <c r="AM2933" s="580">
        <v>1349</v>
      </c>
      <c r="AN2933" s="580">
        <v>1455</v>
      </c>
      <c r="AO2933" s="580">
        <v>1530</v>
      </c>
    </row>
    <row r="2934" spans="1:44" s="173" customFormat="1" hidden="1" outlineLevel="1">
      <c r="A2934" s="578">
        <v>200</v>
      </c>
      <c r="B2934" s="568">
        <v>3665</v>
      </c>
      <c r="C2934" s="375" t="s">
        <v>1420</v>
      </c>
      <c r="D2934" s="226"/>
      <c r="E2934" s="23" t="s">
        <v>871</v>
      </c>
      <c r="F2934" s="580"/>
      <c r="G2934" s="580"/>
      <c r="H2934" s="580"/>
      <c r="I2934" s="580"/>
      <c r="J2934" s="580"/>
      <c r="K2934" s="580">
        <v>999</v>
      </c>
      <c r="L2934" s="580">
        <v>1016</v>
      </c>
      <c r="M2934" s="580">
        <v>1059</v>
      </c>
      <c r="N2934" s="580">
        <v>1030</v>
      </c>
      <c r="O2934" s="580">
        <v>1092</v>
      </c>
      <c r="P2934" s="580">
        <v>1147</v>
      </c>
      <c r="Q2934" s="580">
        <v>1104</v>
      </c>
      <c r="R2934" s="580">
        <v>1209</v>
      </c>
      <c r="S2934" s="580">
        <v>1185</v>
      </c>
      <c r="T2934" s="580">
        <v>1149</v>
      </c>
      <c r="U2934" s="580">
        <v>1156</v>
      </c>
      <c r="V2934" s="580">
        <v>1120</v>
      </c>
      <c r="W2934" s="580">
        <v>1230</v>
      </c>
      <c r="X2934" s="580">
        <v>1269</v>
      </c>
      <c r="Y2934" s="580">
        <v>1269</v>
      </c>
      <c r="Z2934" s="580">
        <v>1254</v>
      </c>
      <c r="AA2934" s="580">
        <v>1377</v>
      </c>
      <c r="AB2934" s="580">
        <v>1407</v>
      </c>
      <c r="AC2934" s="580">
        <v>1463</v>
      </c>
      <c r="AD2934" s="580">
        <v>1631</v>
      </c>
      <c r="AE2934" s="580">
        <v>1554</v>
      </c>
      <c r="AF2934" s="580">
        <v>1598</v>
      </c>
      <c r="AG2934" s="580">
        <v>1615</v>
      </c>
      <c r="AH2934" s="580">
        <v>1601</v>
      </c>
      <c r="AI2934" s="580">
        <v>1760</v>
      </c>
      <c r="AJ2934" s="580">
        <v>1847</v>
      </c>
      <c r="AK2934" s="580">
        <v>1928</v>
      </c>
      <c r="AL2934" s="580">
        <v>2103</v>
      </c>
      <c r="AM2934" s="580">
        <v>2269</v>
      </c>
      <c r="AN2934" s="580">
        <v>2411</v>
      </c>
      <c r="AO2934" s="580">
        <v>2601</v>
      </c>
    </row>
    <row r="2935" spans="1:44" s="173" customFormat="1" hidden="1" outlineLevel="1">
      <c r="A2935" s="578">
        <v>210</v>
      </c>
      <c r="B2935" s="568">
        <v>3565</v>
      </c>
      <c r="C2935" s="375" t="s">
        <v>1420</v>
      </c>
      <c r="D2935" s="226"/>
      <c r="E2935" s="23" t="s">
        <v>1361</v>
      </c>
      <c r="F2935" s="580"/>
      <c r="G2935" s="580"/>
      <c r="H2935" s="580"/>
      <c r="I2935" s="580"/>
      <c r="J2935" s="580"/>
      <c r="K2935" s="580">
        <v>1311</v>
      </c>
      <c r="L2935" s="580">
        <v>1483</v>
      </c>
      <c r="M2935" s="580">
        <v>1642</v>
      </c>
      <c r="N2935" s="580">
        <v>1340</v>
      </c>
      <c r="O2935" s="580">
        <v>1544</v>
      </c>
      <c r="P2935" s="580">
        <v>1598</v>
      </c>
      <c r="Q2935" s="580">
        <v>1640</v>
      </c>
      <c r="R2935" s="580">
        <v>1646</v>
      </c>
      <c r="S2935" s="580">
        <v>1574</v>
      </c>
      <c r="T2935" s="580">
        <v>1528</v>
      </c>
      <c r="U2935" s="580">
        <v>1665</v>
      </c>
      <c r="V2935" s="580">
        <v>1662</v>
      </c>
      <c r="W2935" s="580">
        <v>1620</v>
      </c>
      <c r="X2935" s="580">
        <v>1642</v>
      </c>
      <c r="Y2935" s="580">
        <v>1846</v>
      </c>
      <c r="Z2935" s="580">
        <v>1965</v>
      </c>
      <c r="AA2935" s="580">
        <v>2057</v>
      </c>
      <c r="AB2935" s="580">
        <v>2206</v>
      </c>
      <c r="AC2935" s="580">
        <v>2229</v>
      </c>
      <c r="AD2935" s="580">
        <v>2329</v>
      </c>
      <c r="AE2935" s="580">
        <v>2322</v>
      </c>
      <c r="AF2935" s="580">
        <v>2266</v>
      </c>
      <c r="AG2935" s="580">
        <v>2560</v>
      </c>
      <c r="AH2935" s="580">
        <v>2944</v>
      </c>
      <c r="AI2935" s="580">
        <v>3259</v>
      </c>
      <c r="AJ2935" s="580">
        <v>3079</v>
      </c>
      <c r="AK2935" s="580">
        <v>2976</v>
      </c>
      <c r="AL2935" s="580">
        <v>3296</v>
      </c>
      <c r="AM2935" s="580">
        <v>3416</v>
      </c>
      <c r="AN2935" s="580">
        <v>3373</v>
      </c>
      <c r="AO2935" s="580">
        <v>3353</v>
      </c>
    </row>
    <row r="2936" spans="1:44" s="173" customFormat="1" hidden="1" outlineLevel="1">
      <c r="A2936" s="578">
        <v>220</v>
      </c>
      <c r="B2936" s="568">
        <v>29269</v>
      </c>
      <c r="C2936" s="375" t="s">
        <v>1420</v>
      </c>
      <c r="D2936" s="226"/>
      <c r="E2936" s="23" t="s">
        <v>1362</v>
      </c>
      <c r="F2936" s="580"/>
      <c r="G2936" s="580"/>
      <c r="H2936" s="580"/>
      <c r="I2936" s="580"/>
      <c r="J2936" s="580"/>
      <c r="K2936" s="580">
        <v>273</v>
      </c>
      <c r="L2936" s="580">
        <v>318</v>
      </c>
      <c r="M2936" s="580">
        <v>347</v>
      </c>
      <c r="N2936" s="580">
        <v>282</v>
      </c>
      <c r="O2936" s="580">
        <v>339</v>
      </c>
      <c r="P2936" s="580">
        <v>328</v>
      </c>
      <c r="Q2936" s="580">
        <v>312</v>
      </c>
      <c r="R2936" s="580">
        <v>288</v>
      </c>
      <c r="S2936" s="580">
        <v>307</v>
      </c>
      <c r="T2936" s="580">
        <v>262</v>
      </c>
      <c r="U2936" s="580">
        <v>955</v>
      </c>
      <c r="V2936" s="580">
        <v>308</v>
      </c>
      <c r="W2936" s="580">
        <v>353</v>
      </c>
      <c r="X2936" s="580">
        <v>358</v>
      </c>
      <c r="Y2936" s="580">
        <v>392</v>
      </c>
      <c r="Z2936" s="580">
        <v>452</v>
      </c>
      <c r="AA2936" s="580">
        <v>483</v>
      </c>
      <c r="AB2936" s="580">
        <v>533</v>
      </c>
      <c r="AC2936" s="580">
        <v>500</v>
      </c>
      <c r="AD2936" s="580">
        <v>593</v>
      </c>
      <c r="AE2936" s="580">
        <v>588</v>
      </c>
      <c r="AF2936" s="580">
        <v>534</v>
      </c>
      <c r="AG2936" s="580">
        <v>499</v>
      </c>
      <c r="AH2936" s="580">
        <v>497</v>
      </c>
      <c r="AI2936" s="580">
        <v>522</v>
      </c>
      <c r="AJ2936" s="580">
        <v>495</v>
      </c>
      <c r="AK2936" s="580">
        <v>489</v>
      </c>
      <c r="AL2936" s="580">
        <v>479</v>
      </c>
      <c r="AM2936" s="580">
        <v>486</v>
      </c>
      <c r="AN2936" s="580">
        <v>498</v>
      </c>
      <c r="AO2936" s="580">
        <v>529</v>
      </c>
    </row>
    <row r="2937" spans="1:44" s="173" customFormat="1" hidden="1" outlineLevel="1">
      <c r="A2937" s="578">
        <v>223</v>
      </c>
      <c r="B2937" s="568">
        <v>42295</v>
      </c>
      <c r="C2937" s="375" t="s">
        <v>1420</v>
      </c>
      <c r="D2937" s="226"/>
      <c r="E2937" s="23" t="s">
        <v>1210</v>
      </c>
      <c r="F2937" s="580"/>
      <c r="G2937" s="580"/>
      <c r="H2937" s="580"/>
      <c r="I2937" s="580"/>
      <c r="J2937" s="580"/>
      <c r="K2937" s="580"/>
      <c r="L2937" s="580"/>
      <c r="M2937" s="580"/>
      <c r="N2937" s="580"/>
      <c r="O2937" s="580"/>
      <c r="P2937" s="580"/>
      <c r="Q2937" s="580"/>
      <c r="R2937" s="580"/>
      <c r="S2937" s="580"/>
      <c r="T2937" s="580"/>
      <c r="U2937" s="580"/>
      <c r="V2937" s="580"/>
      <c r="W2937" s="580"/>
      <c r="X2937" s="580"/>
      <c r="Y2937" s="580"/>
      <c r="Z2937" s="580"/>
      <c r="AA2937" s="580"/>
      <c r="AB2937" s="580"/>
      <c r="AC2937" s="580"/>
      <c r="AD2937" s="580"/>
      <c r="AE2937" s="580"/>
      <c r="AF2937" s="580">
        <v>692</v>
      </c>
      <c r="AG2937" s="580">
        <v>683</v>
      </c>
      <c r="AH2937" s="580">
        <v>655</v>
      </c>
      <c r="AI2937" s="580">
        <v>695</v>
      </c>
      <c r="AJ2937" s="580">
        <v>708</v>
      </c>
      <c r="AK2937" s="580">
        <v>666</v>
      </c>
      <c r="AL2937" s="580">
        <v>753</v>
      </c>
      <c r="AM2937" s="580">
        <v>754</v>
      </c>
      <c r="AN2937" s="580">
        <v>827</v>
      </c>
      <c r="AO2937" s="580">
        <v>791</v>
      </c>
    </row>
    <row r="2938" spans="1:44" s="173" customFormat="1" hidden="1" outlineLevel="1">
      <c r="A2938" s="578">
        <v>226</v>
      </c>
      <c r="B2938" s="568">
        <v>42485</v>
      </c>
      <c r="C2938" s="375" t="s">
        <v>1420</v>
      </c>
      <c r="D2938" s="226"/>
      <c r="E2938" s="23" t="s">
        <v>1213</v>
      </c>
      <c r="F2938" s="580"/>
      <c r="G2938" s="580"/>
      <c r="H2938" s="580"/>
      <c r="I2938" s="580"/>
      <c r="J2938" s="580"/>
      <c r="K2938" s="580"/>
      <c r="L2938" s="580"/>
      <c r="M2938" s="580"/>
      <c r="N2938" s="580"/>
      <c r="O2938" s="580"/>
      <c r="P2938" s="580"/>
      <c r="Q2938" s="580"/>
      <c r="R2938" s="580"/>
      <c r="S2938" s="580"/>
      <c r="T2938" s="580"/>
      <c r="U2938" s="580"/>
      <c r="V2938" s="580"/>
      <c r="W2938" s="580"/>
      <c r="X2938" s="580"/>
      <c r="Y2938" s="580"/>
      <c r="Z2938" s="580"/>
      <c r="AA2938" s="580"/>
      <c r="AB2938" s="580"/>
      <c r="AC2938" s="580"/>
      <c r="AD2938" s="580"/>
      <c r="AE2938" s="580"/>
      <c r="AF2938" s="580">
        <v>628</v>
      </c>
      <c r="AG2938" s="580">
        <v>807</v>
      </c>
      <c r="AH2938" s="580">
        <v>888</v>
      </c>
      <c r="AI2938" s="580">
        <v>1047</v>
      </c>
      <c r="AJ2938" s="580">
        <v>1152</v>
      </c>
      <c r="AK2938" s="580">
        <v>1316</v>
      </c>
      <c r="AL2938" s="580">
        <v>1319</v>
      </c>
      <c r="AM2938" s="580">
        <v>1396</v>
      </c>
      <c r="AN2938" s="580">
        <v>1476</v>
      </c>
      <c r="AO2938" s="580">
        <v>1634</v>
      </c>
    </row>
    <row r="2939" spans="1:44" s="173" customFormat="1" hidden="1" outlineLevel="1">
      <c r="A2939" s="578">
        <v>230</v>
      </c>
      <c r="B2939" s="568">
        <v>3652</v>
      </c>
      <c r="C2939" s="375" t="s">
        <v>1420</v>
      </c>
      <c r="D2939" s="226"/>
      <c r="E2939" s="23" t="s">
        <v>726</v>
      </c>
      <c r="F2939" s="580"/>
      <c r="G2939" s="580"/>
      <c r="H2939" s="580"/>
      <c r="I2939" s="580"/>
      <c r="J2939" s="580"/>
      <c r="K2939" s="580">
        <v>4314</v>
      </c>
      <c r="L2939" s="580">
        <v>4500</v>
      </c>
      <c r="M2939" s="580">
        <v>5087</v>
      </c>
      <c r="N2939" s="580">
        <v>5310</v>
      </c>
      <c r="O2939" s="580">
        <v>5661</v>
      </c>
      <c r="P2939" s="580">
        <v>5734</v>
      </c>
      <c r="Q2939" s="580">
        <v>5625</v>
      </c>
      <c r="R2939" s="580">
        <v>5517</v>
      </c>
      <c r="S2939" s="580">
        <v>5494</v>
      </c>
      <c r="T2939" s="580">
        <v>5327</v>
      </c>
      <c r="U2939" s="580">
        <v>6854</v>
      </c>
      <c r="V2939" s="580">
        <v>5602</v>
      </c>
      <c r="W2939" s="580">
        <v>5486</v>
      </c>
      <c r="X2939" s="580">
        <v>5761</v>
      </c>
      <c r="Y2939" s="580">
        <v>6273</v>
      </c>
      <c r="Z2939" s="580">
        <v>6547</v>
      </c>
      <c r="AA2939" s="580">
        <v>6835</v>
      </c>
      <c r="AB2939" s="580">
        <v>6733</v>
      </c>
      <c r="AC2939" s="580">
        <v>6961</v>
      </c>
      <c r="AD2939" s="580">
        <v>7016</v>
      </c>
      <c r="AE2939" s="580">
        <v>7181</v>
      </c>
      <c r="AF2939" s="580">
        <v>7230</v>
      </c>
      <c r="AG2939" s="580">
        <v>7835</v>
      </c>
      <c r="AH2939" s="580">
        <v>8242</v>
      </c>
      <c r="AI2939" s="580">
        <v>8590</v>
      </c>
      <c r="AJ2939" s="580">
        <v>475</v>
      </c>
      <c r="AK2939" s="580">
        <v>9160</v>
      </c>
      <c r="AL2939" s="580">
        <v>9655</v>
      </c>
      <c r="AM2939" s="580">
        <v>9485</v>
      </c>
      <c r="AN2939" s="580">
        <v>10312</v>
      </c>
      <c r="AO2939" s="580">
        <v>10610</v>
      </c>
    </row>
    <row r="2940" spans="1:44" s="173" customFormat="1" hidden="1" outlineLevel="1">
      <c r="A2940" s="578">
        <v>240</v>
      </c>
      <c r="B2940" s="568">
        <v>11711</v>
      </c>
      <c r="C2940" s="375" t="s">
        <v>1420</v>
      </c>
      <c r="D2940" s="226"/>
      <c r="E2940" s="23" t="s">
        <v>1363</v>
      </c>
      <c r="F2940" s="580"/>
      <c r="G2940" s="580"/>
      <c r="H2940" s="580"/>
      <c r="I2940" s="580"/>
      <c r="J2940" s="580"/>
      <c r="K2940" s="580">
        <v>1521</v>
      </c>
      <c r="L2940" s="580">
        <v>1630</v>
      </c>
      <c r="M2940" s="580">
        <v>1696</v>
      </c>
      <c r="N2940" s="580">
        <v>1566</v>
      </c>
      <c r="O2940" s="580">
        <v>1666</v>
      </c>
      <c r="P2940" s="580">
        <v>1708</v>
      </c>
      <c r="Q2940" s="580">
        <v>1717</v>
      </c>
      <c r="R2940" s="580">
        <v>1808</v>
      </c>
      <c r="S2940" s="580">
        <v>1790</v>
      </c>
      <c r="T2940" s="580">
        <v>1764</v>
      </c>
      <c r="U2940" s="580">
        <v>1723</v>
      </c>
      <c r="V2940" s="580">
        <v>1817</v>
      </c>
      <c r="W2940" s="580">
        <v>1880</v>
      </c>
      <c r="X2940" s="580">
        <v>1984</v>
      </c>
      <c r="Y2940" s="580">
        <v>2009</v>
      </c>
      <c r="Z2940" s="580">
        <v>2004</v>
      </c>
      <c r="AA2940" s="580">
        <v>2132</v>
      </c>
      <c r="AB2940" s="580">
        <v>2152</v>
      </c>
      <c r="AC2940" s="580">
        <v>2171</v>
      </c>
      <c r="AD2940" s="580">
        <v>2124</v>
      </c>
      <c r="AE2940" s="580">
        <v>2335</v>
      </c>
      <c r="AF2940" s="580">
        <v>2167</v>
      </c>
      <c r="AG2940" s="580">
        <v>2302</v>
      </c>
      <c r="AH2940" s="580">
        <v>2325</v>
      </c>
      <c r="AI2940" s="580">
        <v>2332</v>
      </c>
      <c r="AJ2940" s="580">
        <v>2318</v>
      </c>
      <c r="AK2940" s="580">
        <v>2608</v>
      </c>
      <c r="AL2940" s="580">
        <v>2545</v>
      </c>
      <c r="AM2940" s="580">
        <v>2564</v>
      </c>
      <c r="AN2940" s="580">
        <v>2458</v>
      </c>
      <c r="AO2940" s="580">
        <v>2381</v>
      </c>
    </row>
    <row r="2941" spans="1:44" s="173" customFormat="1" hidden="1" outlineLevel="1">
      <c r="A2941" s="578">
        <v>250</v>
      </c>
      <c r="B2941" s="568">
        <v>12826</v>
      </c>
      <c r="C2941" s="375" t="s">
        <v>1420</v>
      </c>
      <c r="D2941" s="226"/>
      <c r="E2941" s="23" t="s">
        <v>1364</v>
      </c>
      <c r="F2941" s="580"/>
      <c r="G2941" s="580"/>
      <c r="H2941" s="580"/>
      <c r="I2941" s="580"/>
      <c r="J2941" s="580"/>
      <c r="K2941" s="580">
        <v>456</v>
      </c>
      <c r="L2941" s="580">
        <v>520</v>
      </c>
      <c r="M2941" s="580">
        <v>518</v>
      </c>
      <c r="N2941" s="580">
        <v>577</v>
      </c>
      <c r="O2941" s="580">
        <v>569</v>
      </c>
      <c r="P2941" s="580">
        <v>656</v>
      </c>
      <c r="Q2941" s="580">
        <v>709</v>
      </c>
      <c r="R2941" s="580">
        <v>724</v>
      </c>
      <c r="S2941" s="580">
        <v>806</v>
      </c>
      <c r="T2941" s="580">
        <v>900</v>
      </c>
      <c r="U2941" s="580">
        <v>1074</v>
      </c>
      <c r="V2941" s="580">
        <v>1159</v>
      </c>
      <c r="W2941" s="580">
        <v>1280</v>
      </c>
      <c r="X2941" s="580">
        <v>1321</v>
      </c>
      <c r="Y2941" s="580">
        <v>1447</v>
      </c>
      <c r="Z2941" s="580">
        <v>1605</v>
      </c>
      <c r="AA2941" s="580">
        <v>1698</v>
      </c>
      <c r="AB2941" s="580">
        <v>1931</v>
      </c>
      <c r="AC2941" s="580">
        <v>1975</v>
      </c>
      <c r="AD2941" s="580">
        <v>2095</v>
      </c>
      <c r="AE2941" s="580">
        <v>2207</v>
      </c>
      <c r="AF2941" s="580">
        <v>2403</v>
      </c>
      <c r="AG2941" s="580">
        <v>2480</v>
      </c>
      <c r="AH2941" s="580">
        <v>2407</v>
      </c>
      <c r="AI2941" s="580">
        <v>2396</v>
      </c>
      <c r="AJ2941" s="580">
        <v>2420</v>
      </c>
      <c r="AK2941" s="580">
        <v>2573</v>
      </c>
      <c r="AL2941" s="580">
        <v>2973</v>
      </c>
      <c r="AM2941" s="580">
        <v>3289</v>
      </c>
      <c r="AN2941" s="580">
        <v>3679</v>
      </c>
      <c r="AO2941" s="580">
        <v>3963</v>
      </c>
      <c r="AR2941" s="66"/>
    </row>
    <row r="2942" spans="1:44" s="66" customFormat="1" hidden="1" outlineLevel="1">
      <c r="A2942" s="578">
        <v>260</v>
      </c>
      <c r="B2942" s="568">
        <v>13231</v>
      </c>
      <c r="C2942" s="375" t="s">
        <v>1420</v>
      </c>
      <c r="D2942" s="226"/>
      <c r="E2942" s="23" t="s">
        <v>1365</v>
      </c>
      <c r="F2942" s="12"/>
      <c r="G2942" s="12"/>
      <c r="H2942" s="12"/>
      <c r="I2942" s="12"/>
      <c r="J2942" s="12"/>
      <c r="K2942" s="12">
        <v>213</v>
      </c>
      <c r="L2942" s="12">
        <v>270</v>
      </c>
      <c r="M2942" s="12">
        <v>298</v>
      </c>
      <c r="N2942" s="12">
        <v>181</v>
      </c>
      <c r="O2942" s="12">
        <v>285</v>
      </c>
      <c r="P2942" s="12">
        <v>271</v>
      </c>
      <c r="Q2942" s="12">
        <v>283</v>
      </c>
      <c r="R2942" s="12">
        <v>364</v>
      </c>
      <c r="S2942" s="12">
        <v>325</v>
      </c>
      <c r="T2942" s="12">
        <v>338</v>
      </c>
      <c r="U2942" s="12">
        <v>347</v>
      </c>
      <c r="V2942" s="12">
        <v>351</v>
      </c>
      <c r="W2942" s="12">
        <v>381</v>
      </c>
      <c r="X2942" s="12">
        <v>470</v>
      </c>
      <c r="Y2942" s="12">
        <v>488</v>
      </c>
      <c r="Z2942" s="12">
        <v>535</v>
      </c>
      <c r="AA2942" s="12">
        <v>646</v>
      </c>
      <c r="AB2942" s="12">
        <v>665</v>
      </c>
      <c r="AC2942" s="12">
        <v>628</v>
      </c>
      <c r="AD2942" s="12">
        <v>704</v>
      </c>
      <c r="AE2942" s="12">
        <v>801</v>
      </c>
      <c r="AF2942" s="12">
        <v>868</v>
      </c>
      <c r="AG2942" s="12">
        <v>1025</v>
      </c>
      <c r="AH2942" s="12">
        <v>1051</v>
      </c>
      <c r="AI2942" s="12">
        <v>1168</v>
      </c>
      <c r="AJ2942" s="12">
        <v>1062</v>
      </c>
      <c r="AK2942" s="12">
        <v>1064</v>
      </c>
      <c r="AL2942" s="580">
        <v>975</v>
      </c>
      <c r="AM2942" s="580">
        <v>976</v>
      </c>
      <c r="AN2942" s="580">
        <v>1030</v>
      </c>
      <c r="AO2942" s="580">
        <v>988</v>
      </c>
    </row>
    <row r="2943" spans="1:44" s="66" customFormat="1" hidden="1" outlineLevel="1">
      <c r="A2943" s="578">
        <v>270</v>
      </c>
      <c r="B2943" s="568">
        <v>3581</v>
      </c>
      <c r="C2943" s="375" t="s">
        <v>1420</v>
      </c>
      <c r="D2943" s="226"/>
      <c r="E2943" s="23" t="s">
        <v>1366</v>
      </c>
      <c r="F2943" s="12"/>
      <c r="G2943" s="12"/>
      <c r="H2943" s="12"/>
      <c r="I2943" s="12"/>
      <c r="J2943" s="12"/>
      <c r="K2943" s="12">
        <v>1620</v>
      </c>
      <c r="L2943" s="12">
        <v>1788</v>
      </c>
      <c r="M2943" s="12">
        <v>1464</v>
      </c>
      <c r="N2943" s="12">
        <v>1121</v>
      </c>
      <c r="O2943" s="12">
        <v>1285</v>
      </c>
      <c r="P2943" s="12">
        <v>1285</v>
      </c>
      <c r="Q2943" s="12">
        <v>1269</v>
      </c>
      <c r="R2943" s="12">
        <v>1225</v>
      </c>
      <c r="S2943" s="12">
        <v>1182</v>
      </c>
      <c r="T2943" s="12">
        <v>1159</v>
      </c>
      <c r="U2943" s="12">
        <v>1186</v>
      </c>
      <c r="V2943" s="12">
        <v>1254</v>
      </c>
      <c r="W2943" s="12">
        <v>1304</v>
      </c>
      <c r="X2943" s="12">
        <v>1346</v>
      </c>
      <c r="Y2943" s="12">
        <v>1514</v>
      </c>
      <c r="Z2943" s="12">
        <v>1574</v>
      </c>
      <c r="AA2943" s="12">
        <v>1732</v>
      </c>
      <c r="AB2943" s="12">
        <v>1610</v>
      </c>
      <c r="AC2943" s="12">
        <v>1663</v>
      </c>
      <c r="AD2943" s="12">
        <v>1746</v>
      </c>
      <c r="AE2943" s="12">
        <v>2840</v>
      </c>
      <c r="AF2943" s="12">
        <v>4104</v>
      </c>
      <c r="AG2943" s="12">
        <v>3685</v>
      </c>
      <c r="AH2943" s="12">
        <v>3010</v>
      </c>
      <c r="AI2943" s="12">
        <v>3501</v>
      </c>
      <c r="AJ2943" s="12">
        <v>3417</v>
      </c>
      <c r="AK2943" s="12">
        <v>3819</v>
      </c>
      <c r="AL2943" s="580">
        <v>4077</v>
      </c>
      <c r="AM2943" s="12">
        <v>4108</v>
      </c>
      <c r="AN2943" s="1070">
        <v>4811</v>
      </c>
      <c r="AO2943" s="1070">
        <v>4797</v>
      </c>
    </row>
    <row r="2944" spans="1:44" s="66" customFormat="1" hidden="1" outlineLevel="1">
      <c r="A2944" s="578">
        <v>280</v>
      </c>
      <c r="B2944" s="568">
        <v>3606</v>
      </c>
      <c r="C2944" s="375" t="s">
        <v>1420</v>
      </c>
      <c r="D2944" s="226"/>
      <c r="E2944" s="23" t="s">
        <v>1367</v>
      </c>
      <c r="F2944" s="12"/>
      <c r="G2944" s="12"/>
      <c r="H2944" s="12"/>
      <c r="I2944" s="12"/>
      <c r="J2944" s="12"/>
      <c r="K2944" s="12">
        <v>1810</v>
      </c>
      <c r="L2944" s="12">
        <v>1987</v>
      </c>
      <c r="M2944" s="12">
        <v>2282</v>
      </c>
      <c r="N2944" s="12">
        <v>1977</v>
      </c>
      <c r="O2944" s="12">
        <v>2168</v>
      </c>
      <c r="P2944" s="12">
        <v>2311</v>
      </c>
      <c r="Q2944" s="12">
        <v>2361</v>
      </c>
      <c r="R2944" s="12">
        <v>2302</v>
      </c>
      <c r="S2944" s="12">
        <v>2275</v>
      </c>
      <c r="T2944" s="12">
        <v>2359</v>
      </c>
      <c r="U2944" s="12">
        <v>2332</v>
      </c>
      <c r="V2944" s="12">
        <v>2420</v>
      </c>
      <c r="W2944" s="12">
        <v>2389</v>
      </c>
      <c r="X2944" s="12">
        <v>2629</v>
      </c>
      <c r="Y2944" s="12">
        <v>2529</v>
      </c>
      <c r="Z2944" s="12">
        <v>2760</v>
      </c>
      <c r="AA2944" s="12">
        <v>2826</v>
      </c>
      <c r="AB2944" s="12">
        <v>3143</v>
      </c>
      <c r="AC2944" s="12">
        <v>3230</v>
      </c>
      <c r="AD2944" s="12">
        <v>3443</v>
      </c>
      <c r="AE2944" s="12">
        <v>3978</v>
      </c>
      <c r="AF2944" s="12">
        <v>4032</v>
      </c>
      <c r="AG2944" s="12">
        <v>3931</v>
      </c>
      <c r="AH2944" s="12">
        <v>3925</v>
      </c>
      <c r="AI2944" s="12">
        <v>4171</v>
      </c>
      <c r="AJ2944" s="12">
        <v>4218</v>
      </c>
      <c r="AK2944" s="12">
        <v>4445</v>
      </c>
      <c r="AL2944" s="580">
        <v>4503</v>
      </c>
      <c r="AM2944" s="12">
        <v>4729</v>
      </c>
      <c r="AN2944" s="1070">
        <v>4810</v>
      </c>
      <c r="AO2944" s="1070">
        <v>5180</v>
      </c>
    </row>
    <row r="2945" spans="1:44" s="66" customFormat="1" hidden="1" outlineLevel="1">
      <c r="A2945" s="578">
        <v>290</v>
      </c>
      <c r="B2945" s="568">
        <v>3615</v>
      </c>
      <c r="C2945" s="375" t="s">
        <v>1420</v>
      </c>
      <c r="D2945" s="226"/>
      <c r="E2945" s="375" t="s">
        <v>1094</v>
      </c>
      <c r="F2945" s="12"/>
      <c r="G2945" s="12"/>
      <c r="H2945" s="12"/>
      <c r="I2945" s="12"/>
      <c r="J2945" s="12"/>
      <c r="K2945" s="12">
        <v>3112</v>
      </c>
      <c r="L2945" s="12">
        <v>3159</v>
      </c>
      <c r="M2945" s="12">
        <v>3237</v>
      </c>
      <c r="N2945" s="12">
        <v>3224</v>
      </c>
      <c r="O2945" s="12">
        <v>3526</v>
      </c>
      <c r="P2945" s="12">
        <v>3631</v>
      </c>
      <c r="Q2945" s="12">
        <v>3630</v>
      </c>
      <c r="R2945" s="12">
        <v>3752</v>
      </c>
      <c r="S2945" s="12">
        <v>4036</v>
      </c>
      <c r="T2945" s="12">
        <v>3977</v>
      </c>
      <c r="U2945" s="12">
        <v>4174</v>
      </c>
      <c r="V2945" s="12">
        <v>4196</v>
      </c>
      <c r="W2945" s="12">
        <v>4328</v>
      </c>
      <c r="X2945" s="12">
        <v>4610</v>
      </c>
      <c r="Y2945" s="12">
        <v>4998</v>
      </c>
      <c r="Z2945" s="12">
        <v>5186</v>
      </c>
      <c r="AA2945" s="12">
        <v>5511</v>
      </c>
      <c r="AB2945" s="12">
        <v>5639</v>
      </c>
      <c r="AC2945" s="12">
        <v>5854</v>
      </c>
      <c r="AD2945" s="12">
        <v>6218</v>
      </c>
      <c r="AE2945" s="12">
        <v>6461</v>
      </c>
      <c r="AF2945" s="12">
        <v>6609</v>
      </c>
      <c r="AG2945" s="12">
        <v>6809</v>
      </c>
      <c r="AH2945" s="12">
        <v>7042</v>
      </c>
      <c r="AI2945" s="12">
        <v>7531</v>
      </c>
      <c r="AJ2945" s="12">
        <v>7528</v>
      </c>
      <c r="AK2945" s="12">
        <v>7864</v>
      </c>
      <c r="AL2945" s="580">
        <v>8129</v>
      </c>
      <c r="AM2945" s="12">
        <v>8649</v>
      </c>
      <c r="AN2945" s="1070">
        <v>8674</v>
      </c>
      <c r="AO2945" s="1070">
        <v>8922</v>
      </c>
    </row>
    <row r="2946" spans="1:44" s="66" customFormat="1" hidden="1" outlineLevel="1">
      <c r="A2946" s="578">
        <v>300</v>
      </c>
      <c r="B2946" s="568">
        <v>20</v>
      </c>
      <c r="C2946" s="375" t="s">
        <v>1420</v>
      </c>
      <c r="D2946" s="226"/>
      <c r="E2946" s="23" t="s">
        <v>1368</v>
      </c>
      <c r="F2946" s="12"/>
      <c r="G2946" s="12"/>
      <c r="H2946" s="12"/>
      <c r="I2946" s="12"/>
      <c r="J2946" s="12"/>
      <c r="K2946" s="12">
        <v>64</v>
      </c>
      <c r="L2946" s="12">
        <v>72</v>
      </c>
      <c r="M2946" s="12">
        <v>60</v>
      </c>
      <c r="N2946" s="12">
        <v>119</v>
      </c>
      <c r="O2946" s="12">
        <v>117</v>
      </c>
      <c r="P2946" s="12">
        <v>120</v>
      </c>
      <c r="Q2946" s="12">
        <v>154</v>
      </c>
      <c r="R2946" s="12">
        <v>121</v>
      </c>
      <c r="S2946" s="12">
        <v>175</v>
      </c>
      <c r="T2946" s="12">
        <v>181</v>
      </c>
      <c r="U2946" s="12">
        <v>215</v>
      </c>
      <c r="V2946" s="12">
        <v>226</v>
      </c>
      <c r="W2946" s="12">
        <v>181</v>
      </c>
      <c r="X2946" s="12">
        <v>190</v>
      </c>
      <c r="Y2946" s="12">
        <v>238</v>
      </c>
      <c r="Z2946" s="12">
        <v>232</v>
      </c>
      <c r="AA2946" s="12">
        <v>254</v>
      </c>
      <c r="AB2946" s="12">
        <v>219</v>
      </c>
      <c r="AC2946" s="12">
        <v>198</v>
      </c>
      <c r="AD2946" s="12">
        <v>191</v>
      </c>
      <c r="AE2946" s="12">
        <v>232</v>
      </c>
      <c r="AF2946" s="12">
        <v>223</v>
      </c>
      <c r="AG2946" s="12">
        <v>199</v>
      </c>
      <c r="AH2946" s="12">
        <v>231</v>
      </c>
      <c r="AI2946" s="12">
        <v>194</v>
      </c>
      <c r="AJ2946" s="12">
        <v>157</v>
      </c>
      <c r="AK2946" s="12">
        <v>210</v>
      </c>
      <c r="AL2946" s="580">
        <v>215</v>
      </c>
      <c r="AM2946" s="12">
        <v>197</v>
      </c>
      <c r="AN2946" s="1070">
        <v>244</v>
      </c>
      <c r="AO2946" s="1070">
        <v>209</v>
      </c>
    </row>
    <row r="2947" spans="1:44" s="66" customFormat="1" hidden="1" outlineLevel="1">
      <c r="A2947" s="578">
        <v>301</v>
      </c>
      <c r="B2947" s="568">
        <v>3625</v>
      </c>
      <c r="C2947" s="375" t="s">
        <v>1420</v>
      </c>
      <c r="D2947" s="226"/>
      <c r="E2947" s="23" t="s">
        <v>1369</v>
      </c>
      <c r="F2947" s="12"/>
      <c r="G2947" s="12"/>
      <c r="H2947" s="12"/>
      <c r="I2947" s="12"/>
      <c r="J2947" s="12"/>
      <c r="K2947" s="12">
        <v>346</v>
      </c>
      <c r="L2947" s="12">
        <v>358</v>
      </c>
      <c r="M2947" s="12">
        <v>355</v>
      </c>
      <c r="N2947" s="12">
        <v>355</v>
      </c>
      <c r="O2947" s="12">
        <v>396</v>
      </c>
      <c r="P2947" s="12">
        <v>502</v>
      </c>
      <c r="Q2947" s="12">
        <v>464</v>
      </c>
      <c r="R2947" s="12">
        <v>471</v>
      </c>
      <c r="S2947" s="12">
        <v>467</v>
      </c>
      <c r="T2947" s="12">
        <v>444</v>
      </c>
      <c r="U2947" s="12">
        <v>420</v>
      </c>
      <c r="V2947" s="12">
        <v>394</v>
      </c>
      <c r="W2947" s="12">
        <v>381</v>
      </c>
      <c r="X2947" s="12">
        <v>365</v>
      </c>
      <c r="Y2947" s="12">
        <v>357</v>
      </c>
      <c r="Z2947" s="12">
        <v>268</v>
      </c>
      <c r="AA2947" s="12">
        <v>381</v>
      </c>
      <c r="AB2947" s="12">
        <v>286</v>
      </c>
      <c r="AC2947" s="12">
        <v>333</v>
      </c>
      <c r="AD2947" s="12">
        <v>382</v>
      </c>
      <c r="AE2947" s="12">
        <v>384</v>
      </c>
      <c r="AF2947" s="12">
        <v>377</v>
      </c>
      <c r="AG2947" s="12">
        <v>379</v>
      </c>
      <c r="AH2947" s="12">
        <v>378</v>
      </c>
      <c r="AI2947" s="12">
        <v>363</v>
      </c>
      <c r="AJ2947" s="12">
        <v>341</v>
      </c>
      <c r="AK2947" s="12">
        <v>385</v>
      </c>
      <c r="AL2947" s="580">
        <v>387</v>
      </c>
      <c r="AM2947" s="12">
        <v>408</v>
      </c>
      <c r="AN2947" s="1070">
        <v>408</v>
      </c>
      <c r="AO2947" s="1070">
        <v>373</v>
      </c>
    </row>
    <row r="2948" spans="1:44" s="66" customFormat="1" hidden="1" outlineLevel="1">
      <c r="A2948" s="578">
        <v>310</v>
      </c>
      <c r="B2948" s="568">
        <v>3644</v>
      </c>
      <c r="C2948" s="375" t="s">
        <v>1420</v>
      </c>
      <c r="D2948" s="226"/>
      <c r="E2948" s="23" t="s">
        <v>735</v>
      </c>
      <c r="F2948" s="12"/>
      <c r="G2948" s="12"/>
      <c r="H2948" s="12"/>
      <c r="I2948" s="12"/>
      <c r="J2948" s="12"/>
      <c r="K2948" s="12">
        <v>3680</v>
      </c>
      <c r="L2948" s="12">
        <v>4068</v>
      </c>
      <c r="M2948" s="12">
        <v>4100</v>
      </c>
      <c r="N2948" s="12">
        <v>4061</v>
      </c>
      <c r="O2948" s="12">
        <v>4448</v>
      </c>
      <c r="P2948" s="12">
        <v>4471</v>
      </c>
      <c r="Q2948" s="12">
        <v>4223</v>
      </c>
      <c r="R2948" s="12">
        <v>4142</v>
      </c>
      <c r="S2948" s="12">
        <v>4301</v>
      </c>
      <c r="T2948" s="12">
        <v>4655</v>
      </c>
      <c r="U2948" s="12">
        <v>4576</v>
      </c>
      <c r="V2948" s="12">
        <v>4807</v>
      </c>
      <c r="W2948" s="12">
        <v>4803</v>
      </c>
      <c r="X2948" s="12">
        <v>4721</v>
      </c>
      <c r="Y2948" s="12">
        <v>4836</v>
      </c>
      <c r="Z2948" s="12">
        <v>5348</v>
      </c>
      <c r="AA2948" s="12">
        <v>5860</v>
      </c>
      <c r="AB2948" s="12">
        <v>5923</v>
      </c>
      <c r="AC2948" s="12">
        <v>6144</v>
      </c>
      <c r="AD2948" s="12">
        <v>6328</v>
      </c>
      <c r="AE2948" s="12">
        <v>5902</v>
      </c>
      <c r="AF2948" s="12">
        <v>6151</v>
      </c>
      <c r="AG2948" s="12">
        <v>6378</v>
      </c>
      <c r="AH2948" s="12">
        <v>7023</v>
      </c>
      <c r="AI2948" s="12">
        <v>7115</v>
      </c>
      <c r="AJ2948" s="12">
        <v>7066</v>
      </c>
      <c r="AK2948" s="12">
        <v>7310</v>
      </c>
      <c r="AL2948" s="580">
        <v>7402</v>
      </c>
      <c r="AM2948" s="12">
        <v>7800</v>
      </c>
      <c r="AN2948" s="1070">
        <v>8446</v>
      </c>
      <c r="AO2948" s="1070">
        <v>8489</v>
      </c>
    </row>
    <row r="2949" spans="1:44" s="66" customFormat="1" hidden="1" outlineLevel="1">
      <c r="A2949" s="578">
        <v>320</v>
      </c>
      <c r="B2949" s="568">
        <v>3541</v>
      </c>
      <c r="C2949" s="375" t="s">
        <v>1420</v>
      </c>
      <c r="D2949" s="226"/>
      <c r="E2949" s="23" t="s">
        <v>855</v>
      </c>
      <c r="F2949" s="12"/>
      <c r="G2949" s="12"/>
      <c r="H2949" s="12"/>
      <c r="I2949" s="12"/>
      <c r="J2949" s="12"/>
      <c r="K2949" s="12">
        <v>834</v>
      </c>
      <c r="L2949" s="12">
        <v>824</v>
      </c>
      <c r="M2949" s="12">
        <v>962</v>
      </c>
      <c r="N2949" s="12">
        <v>1012</v>
      </c>
      <c r="O2949" s="12">
        <v>1009</v>
      </c>
      <c r="P2949" s="12">
        <v>1043</v>
      </c>
      <c r="Q2949" s="12">
        <v>1007</v>
      </c>
      <c r="R2949" s="12">
        <v>1062</v>
      </c>
      <c r="S2949" s="12">
        <v>992</v>
      </c>
      <c r="T2949" s="12">
        <v>1051</v>
      </c>
      <c r="U2949" s="12">
        <v>1043</v>
      </c>
      <c r="V2949" s="12">
        <v>964</v>
      </c>
      <c r="W2949" s="12">
        <v>1002</v>
      </c>
      <c r="X2949" s="12">
        <v>1042</v>
      </c>
      <c r="Y2949" s="12">
        <v>1066</v>
      </c>
      <c r="Z2949" s="12">
        <v>1043</v>
      </c>
      <c r="AA2949" s="12">
        <v>1046</v>
      </c>
      <c r="AB2949" s="12">
        <v>1039</v>
      </c>
      <c r="AC2949" s="12">
        <v>969</v>
      </c>
      <c r="AD2949" s="12">
        <v>998</v>
      </c>
      <c r="AE2949" s="12">
        <v>1049</v>
      </c>
      <c r="AF2949" s="12">
        <v>1098</v>
      </c>
      <c r="AG2949" s="12">
        <v>1147</v>
      </c>
      <c r="AH2949" s="12">
        <v>1343</v>
      </c>
      <c r="AI2949" s="12">
        <v>1399</v>
      </c>
      <c r="AJ2949" s="12">
        <v>1374</v>
      </c>
      <c r="AK2949" s="12">
        <v>1381</v>
      </c>
      <c r="AL2949" s="580">
        <v>1307</v>
      </c>
      <c r="AM2949" s="12">
        <v>1509</v>
      </c>
      <c r="AN2949" s="1070">
        <v>1571</v>
      </c>
      <c r="AO2949" s="1070">
        <v>1680</v>
      </c>
    </row>
    <row r="2950" spans="1:44" s="66" customFormat="1" hidden="1" outlineLevel="1">
      <c r="A2950" s="578">
        <v>330</v>
      </c>
      <c r="B2950" s="568">
        <v>3594</v>
      </c>
      <c r="C2950" s="375" t="s">
        <v>1420</v>
      </c>
      <c r="D2950" s="226"/>
      <c r="E2950" s="23" t="s">
        <v>731</v>
      </c>
      <c r="F2950" s="12"/>
      <c r="G2950" s="12"/>
      <c r="H2950" s="12"/>
      <c r="I2950" s="12"/>
      <c r="J2950" s="12"/>
      <c r="K2950" s="12">
        <v>3675</v>
      </c>
      <c r="L2950" s="12">
        <v>4115</v>
      </c>
      <c r="M2950" s="12">
        <v>4612</v>
      </c>
      <c r="N2950" s="12">
        <v>4513</v>
      </c>
      <c r="O2950" s="12">
        <v>4820</v>
      </c>
      <c r="P2950" s="12">
        <v>4919</v>
      </c>
      <c r="Q2950" s="12">
        <v>4875</v>
      </c>
      <c r="R2950" s="12">
        <v>4653</v>
      </c>
      <c r="S2950" s="12">
        <v>4598</v>
      </c>
      <c r="T2950" s="12">
        <v>4664</v>
      </c>
      <c r="U2950" s="12">
        <v>4620</v>
      </c>
      <c r="V2950" s="12">
        <v>4776</v>
      </c>
      <c r="W2950" s="12">
        <v>4937</v>
      </c>
      <c r="X2950" s="12">
        <v>5109</v>
      </c>
      <c r="Y2950" s="12">
        <v>5279</v>
      </c>
      <c r="Z2950" s="12">
        <v>5912</v>
      </c>
      <c r="AA2950" s="12">
        <v>5972</v>
      </c>
      <c r="AB2950" s="12">
        <v>6236</v>
      </c>
      <c r="AC2950" s="12">
        <v>6648</v>
      </c>
      <c r="AD2950" s="12">
        <v>7070</v>
      </c>
      <c r="AE2950" s="12">
        <v>7756</v>
      </c>
      <c r="AF2950" s="12">
        <v>7946</v>
      </c>
      <c r="AG2950" s="12">
        <v>8657</v>
      </c>
      <c r="AH2950" s="12">
        <v>8563</v>
      </c>
      <c r="AI2950" s="12">
        <v>8316</v>
      </c>
      <c r="AJ2950" s="12">
        <v>9238</v>
      </c>
      <c r="AK2950" s="12">
        <v>8114</v>
      </c>
      <c r="AL2950" s="580">
        <v>8605</v>
      </c>
      <c r="AM2950" s="12">
        <v>9037</v>
      </c>
      <c r="AN2950" s="1070">
        <v>9337</v>
      </c>
      <c r="AO2950" s="1070">
        <v>9473</v>
      </c>
    </row>
    <row r="2951" spans="1:44" s="66" customFormat="1" hidden="1" outlineLevel="1">
      <c r="A2951" s="578">
        <v>333</v>
      </c>
      <c r="B2951" s="568">
        <v>42421</v>
      </c>
      <c r="C2951" s="375" t="s">
        <v>1420</v>
      </c>
      <c r="D2951" s="226"/>
      <c r="E2951" s="23" t="s">
        <v>1370</v>
      </c>
      <c r="F2951" s="12"/>
      <c r="G2951" s="12"/>
      <c r="H2951" s="12"/>
      <c r="I2951" s="12"/>
      <c r="J2951" s="12"/>
      <c r="K2951" s="12"/>
      <c r="L2951" s="12"/>
      <c r="M2951" s="12"/>
      <c r="N2951" s="12"/>
      <c r="O2951" s="12"/>
      <c r="P2951" s="12"/>
      <c r="Q2951" s="12"/>
      <c r="R2951" s="12"/>
      <c r="S2951" s="12"/>
      <c r="T2951" s="12"/>
      <c r="U2951" s="12"/>
      <c r="V2951" s="12"/>
      <c r="W2951" s="12"/>
      <c r="X2951" s="12"/>
      <c r="Y2951" s="12"/>
      <c r="Z2951" s="12"/>
      <c r="AA2951" s="12"/>
      <c r="AB2951" s="12"/>
      <c r="AC2951" s="12"/>
      <c r="AD2951" s="12"/>
      <c r="AE2951" s="12"/>
      <c r="AF2951" s="12"/>
      <c r="AG2951" s="12"/>
      <c r="AH2951" s="12"/>
      <c r="AI2951" s="12"/>
      <c r="AJ2951" s="12">
        <v>8064</v>
      </c>
      <c r="AK2951" s="12">
        <v>475</v>
      </c>
      <c r="AL2951" s="580">
        <v>567</v>
      </c>
      <c r="AM2951" s="12">
        <v>600</v>
      </c>
      <c r="AN2951" s="1070">
        <v>808</v>
      </c>
      <c r="AO2951" s="1070">
        <v>840</v>
      </c>
    </row>
    <row r="2952" spans="1:44" s="66" customFormat="1" hidden="1" outlineLevel="1">
      <c r="A2952" s="578">
        <v>340</v>
      </c>
      <c r="B2952" s="568">
        <v>3592</v>
      </c>
      <c r="C2952" s="375" t="s">
        <v>1420</v>
      </c>
      <c r="D2952" s="226"/>
      <c r="E2952" s="23" t="s">
        <v>730</v>
      </c>
      <c r="F2952" s="12"/>
      <c r="G2952" s="12"/>
      <c r="H2952" s="12"/>
      <c r="I2952" s="12"/>
      <c r="J2952" s="12"/>
      <c r="K2952" s="12">
        <v>754</v>
      </c>
      <c r="L2952" s="12">
        <v>812</v>
      </c>
      <c r="M2952" s="12">
        <v>673</v>
      </c>
      <c r="N2952" s="12">
        <v>710</v>
      </c>
      <c r="O2952" s="12">
        <v>744</v>
      </c>
      <c r="P2952" s="12">
        <v>911</v>
      </c>
      <c r="Q2952" s="12">
        <v>828</v>
      </c>
      <c r="R2952" s="12">
        <v>910</v>
      </c>
      <c r="S2952" s="12">
        <v>1016</v>
      </c>
      <c r="T2952" s="12">
        <v>911</v>
      </c>
      <c r="U2952" s="12">
        <v>932</v>
      </c>
      <c r="V2952" s="12">
        <v>835</v>
      </c>
      <c r="W2952" s="12">
        <v>921</v>
      </c>
      <c r="X2952" s="12">
        <v>983</v>
      </c>
      <c r="Y2952" s="12">
        <v>991</v>
      </c>
      <c r="Z2952" s="12">
        <v>1088</v>
      </c>
      <c r="AA2952" s="12">
        <v>1167</v>
      </c>
      <c r="AB2952" s="12">
        <v>1179</v>
      </c>
      <c r="AC2952" s="12">
        <v>1147</v>
      </c>
      <c r="AD2952" s="12">
        <v>1131</v>
      </c>
      <c r="AE2952" s="12">
        <v>1220</v>
      </c>
      <c r="AF2952" s="12">
        <v>1226</v>
      </c>
      <c r="AG2952" s="12">
        <v>1280</v>
      </c>
      <c r="AH2952" s="12">
        <v>1339</v>
      </c>
      <c r="AI2952" s="12">
        <v>1303</v>
      </c>
      <c r="AJ2952" s="12">
        <v>1270</v>
      </c>
      <c r="AK2952" s="12">
        <v>1216</v>
      </c>
      <c r="AL2952" s="580">
        <v>1260</v>
      </c>
      <c r="AM2952" s="12">
        <v>1309</v>
      </c>
      <c r="AN2952" s="1070">
        <v>1409</v>
      </c>
      <c r="AO2952" s="1070">
        <v>1452</v>
      </c>
    </row>
    <row r="2953" spans="1:44" s="66" customFormat="1" hidden="1" outlineLevel="1">
      <c r="A2953" s="578">
        <v>350</v>
      </c>
      <c r="B2953" s="568">
        <v>3624</v>
      </c>
      <c r="C2953" s="375" t="s">
        <v>1420</v>
      </c>
      <c r="D2953" s="226"/>
      <c r="E2953" s="23" t="s">
        <v>858</v>
      </c>
      <c r="F2953" s="12"/>
      <c r="G2953" s="12"/>
      <c r="H2953" s="12"/>
      <c r="I2953" s="12"/>
      <c r="J2953" s="12"/>
      <c r="K2953" s="12">
        <v>2218</v>
      </c>
      <c r="L2953" s="12">
        <v>2202</v>
      </c>
      <c r="M2953" s="12">
        <v>2327</v>
      </c>
      <c r="N2953" s="12">
        <v>2401</v>
      </c>
      <c r="O2953" s="12">
        <v>2497</v>
      </c>
      <c r="P2953" s="12">
        <v>2403</v>
      </c>
      <c r="Q2953" s="12">
        <v>2369</v>
      </c>
      <c r="R2953" s="12">
        <v>2211</v>
      </c>
      <c r="S2953" s="12">
        <v>2212</v>
      </c>
      <c r="T2953" s="12">
        <v>2162</v>
      </c>
      <c r="U2953" s="12">
        <v>2212</v>
      </c>
      <c r="V2953" s="12">
        <v>2150</v>
      </c>
      <c r="W2953" s="12">
        <v>2099</v>
      </c>
      <c r="X2953" s="12">
        <v>2213</v>
      </c>
      <c r="Y2953" s="12">
        <v>2096</v>
      </c>
      <c r="Z2953" s="12">
        <v>2165</v>
      </c>
      <c r="AA2953" s="12">
        <v>2271</v>
      </c>
      <c r="AB2953" s="12">
        <v>2165</v>
      </c>
      <c r="AC2953" s="12">
        <v>2207</v>
      </c>
      <c r="AD2953" s="12">
        <v>2274</v>
      </c>
      <c r="AE2953" s="12">
        <v>2196</v>
      </c>
      <c r="AF2953" s="12">
        <v>2321</v>
      </c>
      <c r="AG2953" s="12">
        <v>2328</v>
      </c>
      <c r="AH2953" s="12">
        <v>2471</v>
      </c>
      <c r="AI2953" s="12">
        <v>2602</v>
      </c>
      <c r="AJ2953" s="12">
        <v>2602</v>
      </c>
      <c r="AK2953" s="12">
        <v>2690</v>
      </c>
      <c r="AL2953" s="580">
        <v>2703</v>
      </c>
      <c r="AM2953" s="12">
        <v>2768</v>
      </c>
      <c r="AN2953" s="1070">
        <v>2740</v>
      </c>
      <c r="AO2953" s="1070">
        <v>2877</v>
      </c>
    </row>
    <row r="2954" spans="1:44" s="66" customFormat="1" hidden="1" outlineLevel="1">
      <c r="A2954" s="578">
        <v>360</v>
      </c>
      <c r="B2954" s="568">
        <v>3642</v>
      </c>
      <c r="C2954" s="375" t="s">
        <v>1420</v>
      </c>
      <c r="D2954" s="226"/>
      <c r="E2954" s="23" t="s">
        <v>733</v>
      </c>
      <c r="F2954" s="12"/>
      <c r="G2954" s="12"/>
      <c r="H2954" s="12"/>
      <c r="I2954" s="12"/>
      <c r="J2954" s="12"/>
      <c r="K2954" s="12">
        <v>704</v>
      </c>
      <c r="L2954" s="12">
        <v>832</v>
      </c>
      <c r="M2954" s="12">
        <v>883</v>
      </c>
      <c r="N2954" s="12">
        <v>833</v>
      </c>
      <c r="O2954" s="12">
        <v>989</v>
      </c>
      <c r="P2954" s="12">
        <v>1027</v>
      </c>
      <c r="Q2954" s="12">
        <v>961</v>
      </c>
      <c r="R2954" s="12">
        <v>1071</v>
      </c>
      <c r="S2954" s="12">
        <v>1068</v>
      </c>
      <c r="T2954" s="12">
        <v>1072</v>
      </c>
      <c r="U2954" s="12">
        <v>993</v>
      </c>
      <c r="V2954" s="12">
        <v>909</v>
      </c>
      <c r="W2954" s="12">
        <v>896</v>
      </c>
      <c r="X2954" s="12">
        <v>925</v>
      </c>
      <c r="Y2954" s="12">
        <v>860</v>
      </c>
      <c r="Z2954" s="12">
        <v>918</v>
      </c>
      <c r="AA2954" s="12">
        <v>970</v>
      </c>
      <c r="AB2954" s="12">
        <v>1092</v>
      </c>
      <c r="AC2954" s="12">
        <v>1291</v>
      </c>
      <c r="AD2954" s="12">
        <v>1355</v>
      </c>
      <c r="AE2954" s="12">
        <v>1404</v>
      </c>
      <c r="AF2954" s="12">
        <v>1229</v>
      </c>
      <c r="AG2954" s="12">
        <v>1277</v>
      </c>
      <c r="AH2954" s="12">
        <v>1328</v>
      </c>
      <c r="AI2954" s="12">
        <v>1411</v>
      </c>
      <c r="AJ2954" s="12">
        <v>1558</v>
      </c>
      <c r="AK2954" s="12">
        <v>1535</v>
      </c>
      <c r="AL2954" s="580">
        <v>1557</v>
      </c>
      <c r="AM2954" s="12">
        <v>1645</v>
      </c>
      <c r="AN2954" s="1070">
        <v>1664</v>
      </c>
      <c r="AO2954" s="1070">
        <v>1711</v>
      </c>
    </row>
    <row r="2955" spans="1:44" s="66" customFormat="1" hidden="1" outlineLevel="1">
      <c r="A2955" s="578">
        <v>370</v>
      </c>
      <c r="B2955" s="568">
        <v>3646</v>
      </c>
      <c r="C2955" s="375" t="s">
        <v>1420</v>
      </c>
      <c r="D2955" s="226"/>
      <c r="E2955" s="23" t="s">
        <v>737</v>
      </c>
      <c r="F2955" s="12"/>
      <c r="G2955" s="12"/>
      <c r="H2955" s="12"/>
      <c r="I2955" s="12"/>
      <c r="J2955" s="12"/>
      <c r="K2955" s="12">
        <v>1480</v>
      </c>
      <c r="L2955" s="12">
        <v>1635</v>
      </c>
      <c r="M2955" s="12">
        <v>1935</v>
      </c>
      <c r="N2955" s="12">
        <v>1928</v>
      </c>
      <c r="O2955" s="12">
        <v>1950</v>
      </c>
      <c r="P2955" s="12">
        <v>2012</v>
      </c>
      <c r="Q2955" s="12">
        <v>2050</v>
      </c>
      <c r="R2955" s="12">
        <v>2094</v>
      </c>
      <c r="S2955" s="12">
        <v>2058</v>
      </c>
      <c r="T2955" s="12">
        <v>2021</v>
      </c>
      <c r="U2955" s="12">
        <v>2008</v>
      </c>
      <c r="V2955" s="12">
        <v>1929</v>
      </c>
      <c r="W2955" s="12">
        <v>2012</v>
      </c>
      <c r="X2955" s="12">
        <v>1818</v>
      </c>
      <c r="Y2955" s="12">
        <v>1455</v>
      </c>
      <c r="Z2955" s="12">
        <v>1914</v>
      </c>
      <c r="AA2955" s="12">
        <v>2331</v>
      </c>
      <c r="AB2955" s="12">
        <v>2538</v>
      </c>
      <c r="AC2955" s="12">
        <v>2748</v>
      </c>
      <c r="AD2955" s="12">
        <v>3141</v>
      </c>
      <c r="AE2955" s="12">
        <v>3148</v>
      </c>
      <c r="AF2955" s="12">
        <v>3449</v>
      </c>
      <c r="AG2955" s="12">
        <v>3555</v>
      </c>
      <c r="AH2955" s="12">
        <v>3731</v>
      </c>
      <c r="AI2955" s="12">
        <v>3907</v>
      </c>
      <c r="AJ2955" s="12">
        <v>3978</v>
      </c>
      <c r="AK2955" s="12">
        <v>3887</v>
      </c>
      <c r="AL2955" s="580">
        <v>3852</v>
      </c>
      <c r="AM2955" s="12">
        <v>3990</v>
      </c>
      <c r="AN2955" s="1070">
        <v>3929</v>
      </c>
      <c r="AO2955" s="1070">
        <v>3944</v>
      </c>
    </row>
    <row r="2956" spans="1:44" s="66" customFormat="1" hidden="1" outlineLevel="1">
      <c r="B2956" s="571">
        <v>445566</v>
      </c>
      <c r="C2956" s="226" t="s">
        <v>1420</v>
      </c>
      <c r="D2956" s="226"/>
      <c r="E2956" s="226" t="s">
        <v>1395</v>
      </c>
      <c r="F2956" s="34"/>
      <c r="G2956" s="34"/>
      <c r="H2956" s="34"/>
      <c r="I2956" s="34"/>
      <c r="J2956" s="34"/>
      <c r="K2956" s="34">
        <v>60657</v>
      </c>
      <c r="L2956" s="34">
        <v>65040</v>
      </c>
      <c r="M2956" s="34">
        <v>69152</v>
      </c>
      <c r="N2956" s="34">
        <v>67932</v>
      </c>
      <c r="O2956" s="34">
        <v>72101</v>
      </c>
      <c r="P2956" s="34">
        <v>73913</v>
      </c>
      <c r="Q2956" s="34">
        <v>73752</v>
      </c>
      <c r="R2956" s="34">
        <v>73914</v>
      </c>
      <c r="S2956" s="34">
        <v>74607</v>
      </c>
      <c r="T2956" s="34">
        <v>75932</v>
      </c>
      <c r="U2956" s="34">
        <v>78368</v>
      </c>
      <c r="V2956" s="34">
        <v>78970</v>
      </c>
      <c r="W2956" s="34">
        <v>79954</v>
      </c>
      <c r="X2956" s="34">
        <v>82852</v>
      </c>
      <c r="Y2956" s="34">
        <v>86389</v>
      </c>
      <c r="Z2956" s="34">
        <v>92342</v>
      </c>
      <c r="AA2956" s="34">
        <v>96975</v>
      </c>
      <c r="AB2956" s="34">
        <v>100202</v>
      </c>
      <c r="AC2956" s="34">
        <v>103024</v>
      </c>
      <c r="AD2956" s="34">
        <v>106705</v>
      </c>
      <c r="AE2956" s="34">
        <v>111302</v>
      </c>
      <c r="AF2956" s="34">
        <v>115263</v>
      </c>
      <c r="AG2956" s="34">
        <v>120938</v>
      </c>
      <c r="AH2956" s="34">
        <v>125534</v>
      </c>
      <c r="AI2956" s="34">
        <v>130995</v>
      </c>
      <c r="AJ2956" s="34">
        <v>133316</v>
      </c>
      <c r="AK2956" s="34">
        <f>SUM(AK2917:AK2955)</f>
        <v>139047</v>
      </c>
      <c r="AL2956" s="34">
        <f>SUM(AL2917:AL2955)</f>
        <v>145633</v>
      </c>
      <c r="AM2956" s="1073">
        <f>SUM(AM2917:AM2955)</f>
        <v>151223</v>
      </c>
      <c r="AN2956" s="1073">
        <f>SUM(AN2917:AN2955)</f>
        <v>158859</v>
      </c>
      <c r="AO2956" s="1073">
        <f>SUM(AO2917:AO2955)</f>
        <v>149069</v>
      </c>
      <c r="AR2956"/>
    </row>
    <row r="2957" spans="1:44" collapsed="1">
      <c r="B2957" s="568"/>
      <c r="C2957" s="25" t="s">
        <v>1620</v>
      </c>
      <c r="D2957" s="25"/>
      <c r="E2957" s="6"/>
      <c r="F2957" s="6"/>
      <c r="G2957" s="6"/>
      <c r="H2957" s="6"/>
      <c r="I2957" s="6"/>
      <c r="J2957" s="6"/>
      <c r="K2957" s="7"/>
      <c r="L2957" s="7"/>
      <c r="M2957" s="7"/>
      <c r="N2957" s="7"/>
      <c r="O2957" s="7"/>
      <c r="P2957" s="7"/>
      <c r="Q2957" s="7"/>
      <c r="R2957" s="7"/>
      <c r="S2957" s="7"/>
      <c r="T2957" s="7"/>
      <c r="U2957" s="7"/>
      <c r="V2957" s="7"/>
      <c r="W2957" s="7"/>
      <c r="X2957" s="7"/>
      <c r="Y2957" s="7"/>
      <c r="Z2957" s="7"/>
      <c r="AA2957" s="7"/>
      <c r="AB2957" s="7"/>
      <c r="AC2957" s="7"/>
      <c r="AD2957" s="7"/>
      <c r="AE2957" s="7"/>
      <c r="AF2957" s="7"/>
      <c r="AG2957" s="7"/>
      <c r="AH2957" s="61"/>
      <c r="AI2957" s="61"/>
      <c r="AJ2957" s="26"/>
      <c r="AK2957" s="26"/>
      <c r="AL2957" s="26"/>
      <c r="AM2957" s="26"/>
      <c r="AN2957" s="26"/>
      <c r="AO2957" s="1069"/>
      <c r="AP2957" s="1044"/>
      <c r="AR2957" s="66"/>
    </row>
    <row r="2958" spans="1:44" s="66" customFormat="1" hidden="1" outlineLevel="1">
      <c r="A2958" s="579">
        <v>390</v>
      </c>
      <c r="B2958" s="568">
        <v>30</v>
      </c>
      <c r="C2958" s="375" t="s">
        <v>1420</v>
      </c>
      <c r="D2958" s="226"/>
      <c r="E2958" s="375" t="s">
        <v>1846</v>
      </c>
      <c r="F2958" s="12"/>
      <c r="G2958" s="12"/>
      <c r="H2958" s="12"/>
      <c r="I2958" s="12"/>
      <c r="J2958" s="12"/>
      <c r="K2958" s="12">
        <v>368</v>
      </c>
      <c r="L2958" s="12">
        <v>379</v>
      </c>
      <c r="M2958" s="12">
        <v>372</v>
      </c>
      <c r="N2958" s="12">
        <v>407</v>
      </c>
      <c r="O2958" s="12">
        <v>416</v>
      </c>
      <c r="P2958" s="12">
        <v>421</v>
      </c>
      <c r="Q2958" s="12">
        <v>429</v>
      </c>
      <c r="R2958" s="12">
        <v>437</v>
      </c>
      <c r="S2958" s="12">
        <v>469</v>
      </c>
      <c r="T2958" s="12">
        <v>453</v>
      </c>
      <c r="U2958" s="12">
        <v>424</v>
      </c>
      <c r="V2958" s="12">
        <v>394</v>
      </c>
      <c r="W2958" s="12">
        <v>416</v>
      </c>
      <c r="X2958" s="12">
        <v>405</v>
      </c>
      <c r="Y2958" s="12">
        <v>349</v>
      </c>
      <c r="Z2958" s="12">
        <v>413</v>
      </c>
      <c r="AA2958" s="12">
        <v>426</v>
      </c>
      <c r="AB2958" s="12">
        <v>489</v>
      </c>
      <c r="AC2958" s="12">
        <v>609</v>
      </c>
      <c r="AD2958" s="12">
        <v>588</v>
      </c>
      <c r="AE2958" s="12">
        <v>520</v>
      </c>
      <c r="AF2958" s="12">
        <v>634</v>
      </c>
      <c r="AG2958" s="12">
        <v>636</v>
      </c>
      <c r="AH2958" s="12">
        <v>673</v>
      </c>
      <c r="AI2958" s="12">
        <v>669</v>
      </c>
      <c r="AJ2958" s="12">
        <v>650</v>
      </c>
      <c r="AK2958" s="12">
        <v>666</v>
      </c>
      <c r="AL2958" s="12">
        <v>647</v>
      </c>
      <c r="AM2958" s="12">
        <v>628</v>
      </c>
      <c r="AN2958" s="1070">
        <v>640</v>
      </c>
      <c r="AO2958" s="1070">
        <v>604</v>
      </c>
    </row>
    <row r="2959" spans="1:44" s="66" customFormat="1" hidden="1" outlineLevel="1">
      <c r="A2959" s="579">
        <v>400</v>
      </c>
      <c r="B2959" s="568">
        <v>104952</v>
      </c>
      <c r="C2959" s="375" t="s">
        <v>1420</v>
      </c>
      <c r="D2959" s="226"/>
      <c r="E2959" s="23" t="s">
        <v>1372</v>
      </c>
      <c r="F2959" s="12"/>
      <c r="G2959" s="12"/>
      <c r="H2959" s="12"/>
      <c r="I2959" s="12"/>
      <c r="J2959" s="12"/>
      <c r="K2959" s="12">
        <v>491</v>
      </c>
      <c r="L2959" s="12">
        <v>483</v>
      </c>
      <c r="M2959" s="12">
        <v>501</v>
      </c>
      <c r="N2959" s="12">
        <v>514</v>
      </c>
      <c r="O2959" s="12">
        <v>613</v>
      </c>
      <c r="P2959" s="12">
        <v>698</v>
      </c>
      <c r="Q2959" s="12">
        <v>803</v>
      </c>
      <c r="R2959" s="12">
        <v>804</v>
      </c>
      <c r="S2959" s="12">
        <v>717</v>
      </c>
      <c r="T2959" s="12">
        <v>718</v>
      </c>
      <c r="U2959" s="12">
        <v>690</v>
      </c>
      <c r="V2959" s="12">
        <v>667</v>
      </c>
      <c r="W2959" s="12">
        <v>628</v>
      </c>
      <c r="X2959" s="12">
        <v>607</v>
      </c>
      <c r="Y2959" s="12">
        <v>545</v>
      </c>
      <c r="Z2959" s="12">
        <v>582</v>
      </c>
      <c r="AA2959" s="12">
        <v>602</v>
      </c>
      <c r="AB2959" s="12">
        <v>628</v>
      </c>
      <c r="AC2959" s="12">
        <v>621</v>
      </c>
      <c r="AD2959" s="12">
        <v>723</v>
      </c>
      <c r="AE2959" s="12">
        <v>737</v>
      </c>
      <c r="AF2959" s="12">
        <v>841</v>
      </c>
      <c r="AG2959" s="12">
        <v>824</v>
      </c>
      <c r="AH2959" s="12">
        <v>1076</v>
      </c>
      <c r="AI2959" s="12">
        <v>1101</v>
      </c>
      <c r="AJ2959" s="12">
        <v>1143</v>
      </c>
      <c r="AK2959" s="12">
        <v>1195</v>
      </c>
      <c r="AL2959" s="12">
        <v>1305</v>
      </c>
      <c r="AM2959" s="12">
        <v>1189</v>
      </c>
      <c r="AN2959" s="1070">
        <v>1224</v>
      </c>
      <c r="AO2959" s="1070">
        <v>1254</v>
      </c>
    </row>
    <row r="2960" spans="1:44" s="66" customFormat="1" hidden="1" outlineLevel="1">
      <c r="A2960" s="579">
        <v>410</v>
      </c>
      <c r="B2960" s="568">
        <v>11618</v>
      </c>
      <c r="C2960" s="375" t="s">
        <v>1420</v>
      </c>
      <c r="D2960" s="226"/>
      <c r="E2960" s="23" t="s">
        <v>1373</v>
      </c>
      <c r="F2960" s="12"/>
      <c r="G2960" s="12"/>
      <c r="H2960" s="12"/>
      <c r="I2960" s="12"/>
      <c r="J2960" s="12"/>
      <c r="K2960" s="12">
        <v>780</v>
      </c>
      <c r="L2960" s="12">
        <v>785</v>
      </c>
      <c r="M2960" s="12">
        <v>828</v>
      </c>
      <c r="N2960" s="12">
        <v>820</v>
      </c>
      <c r="O2960" s="12">
        <v>884</v>
      </c>
      <c r="P2960" s="12">
        <v>914</v>
      </c>
      <c r="Q2960" s="12">
        <v>912</v>
      </c>
      <c r="R2960" s="12">
        <v>810</v>
      </c>
      <c r="S2960" s="12">
        <v>777</v>
      </c>
      <c r="T2960" s="12">
        <v>775</v>
      </c>
      <c r="U2960" s="12">
        <v>790</v>
      </c>
      <c r="V2960" s="12">
        <v>779</v>
      </c>
      <c r="W2960" s="12">
        <v>790</v>
      </c>
      <c r="X2960" s="12">
        <v>819</v>
      </c>
      <c r="Y2960" s="12">
        <v>793</v>
      </c>
      <c r="Z2960" s="12">
        <v>907</v>
      </c>
      <c r="AA2960" s="12">
        <v>946</v>
      </c>
      <c r="AB2960" s="12">
        <v>948</v>
      </c>
      <c r="AC2960" s="12">
        <v>958</v>
      </c>
      <c r="AD2960" s="12">
        <v>947</v>
      </c>
      <c r="AE2960" s="12">
        <v>1013</v>
      </c>
      <c r="AF2960" s="12">
        <v>1025</v>
      </c>
      <c r="AG2960" s="12">
        <v>1272</v>
      </c>
      <c r="AH2960" s="12">
        <v>1416</v>
      </c>
      <c r="AI2960" s="12">
        <v>1379</v>
      </c>
      <c r="AJ2960" s="12">
        <v>1496</v>
      </c>
      <c r="AK2960" s="12">
        <v>1398</v>
      </c>
      <c r="AL2960" s="12">
        <v>1482</v>
      </c>
      <c r="AM2960" s="12">
        <v>1518</v>
      </c>
      <c r="AN2960" s="1070">
        <v>1717</v>
      </c>
      <c r="AO2960" s="1070">
        <v>1756</v>
      </c>
    </row>
    <row r="2961" spans="1:44" s="66" customFormat="1" hidden="1" outlineLevel="1">
      <c r="A2961" s="579">
        <v>420</v>
      </c>
      <c r="B2961" s="568">
        <v>40</v>
      </c>
      <c r="C2961" s="375" t="s">
        <v>1420</v>
      </c>
      <c r="D2961" s="226"/>
      <c r="E2961" s="23" t="s">
        <v>1374</v>
      </c>
      <c r="F2961" s="12"/>
      <c r="G2961" s="12"/>
      <c r="H2961" s="12"/>
      <c r="I2961" s="12"/>
      <c r="J2961" s="12"/>
      <c r="K2961" s="12">
        <v>625</v>
      </c>
      <c r="L2961" s="12">
        <v>639</v>
      </c>
      <c r="M2961" s="12">
        <v>695</v>
      </c>
      <c r="N2961" s="12">
        <v>758</v>
      </c>
      <c r="O2961" s="12">
        <v>774</v>
      </c>
      <c r="P2961" s="12">
        <v>827</v>
      </c>
      <c r="Q2961" s="12">
        <v>769</v>
      </c>
      <c r="R2961" s="12">
        <v>929</v>
      </c>
      <c r="S2961" s="12">
        <v>835</v>
      </c>
      <c r="T2961" s="12">
        <v>816</v>
      </c>
      <c r="U2961" s="12">
        <v>868</v>
      </c>
      <c r="V2961" s="12">
        <v>872</v>
      </c>
      <c r="W2961" s="12">
        <v>899</v>
      </c>
      <c r="X2961" s="12">
        <v>911</v>
      </c>
      <c r="Y2961" s="12">
        <v>961</v>
      </c>
      <c r="Z2961" s="12">
        <v>914</v>
      </c>
      <c r="AA2961" s="12">
        <v>974</v>
      </c>
      <c r="AB2961" s="12">
        <v>911</v>
      </c>
      <c r="AC2961" s="12">
        <v>1058</v>
      </c>
      <c r="AD2961" s="12">
        <v>1044</v>
      </c>
      <c r="AE2961" s="12">
        <v>1110</v>
      </c>
      <c r="AF2961" s="12">
        <v>1211</v>
      </c>
      <c r="AG2961" s="12">
        <v>1180</v>
      </c>
      <c r="AH2961" s="12">
        <v>1234</v>
      </c>
      <c r="AI2961" s="12">
        <v>1327</v>
      </c>
      <c r="AJ2961" s="12">
        <v>1246</v>
      </c>
      <c r="AK2961" s="12">
        <v>1288</v>
      </c>
      <c r="AL2961" s="12">
        <v>1268</v>
      </c>
      <c r="AM2961" s="12">
        <v>1394</v>
      </c>
      <c r="AN2961" s="1070">
        <v>1448</v>
      </c>
      <c r="AO2961" s="1070">
        <v>1318</v>
      </c>
    </row>
    <row r="2962" spans="1:44" s="66" customFormat="1" hidden="1" outlineLevel="1">
      <c r="A2962" s="579">
        <v>430</v>
      </c>
      <c r="B2962" s="568">
        <v>25554</v>
      </c>
      <c r="C2962" s="375" t="s">
        <v>1420</v>
      </c>
      <c r="D2962" s="226"/>
      <c r="E2962" s="23" t="s">
        <v>1375</v>
      </c>
      <c r="F2962" s="12"/>
      <c r="G2962" s="12"/>
      <c r="H2962" s="12"/>
      <c r="I2962" s="12"/>
      <c r="J2962" s="12"/>
      <c r="K2962" s="12">
        <v>0</v>
      </c>
      <c r="L2962" s="12">
        <v>0</v>
      </c>
      <c r="M2962" s="12">
        <v>0</v>
      </c>
      <c r="N2962" s="12">
        <v>0</v>
      </c>
      <c r="O2962" s="12">
        <v>0</v>
      </c>
      <c r="P2962" s="12">
        <v>0</v>
      </c>
      <c r="Q2962" s="12">
        <v>0</v>
      </c>
      <c r="R2962" s="12">
        <v>0</v>
      </c>
      <c r="S2962" s="12">
        <v>0</v>
      </c>
      <c r="T2962" s="12">
        <v>0</v>
      </c>
      <c r="U2962" s="12">
        <v>0</v>
      </c>
      <c r="V2962" s="12">
        <v>0</v>
      </c>
      <c r="W2962" s="12">
        <v>39</v>
      </c>
      <c r="X2962" s="12">
        <v>44</v>
      </c>
      <c r="Y2962" s="12">
        <v>52</v>
      </c>
      <c r="Z2962" s="12">
        <v>75</v>
      </c>
      <c r="AA2962" s="12">
        <v>64</v>
      </c>
      <c r="AB2962" s="12">
        <v>63</v>
      </c>
      <c r="AC2962" s="12">
        <v>82</v>
      </c>
      <c r="AD2962" s="12">
        <v>110</v>
      </c>
      <c r="AE2962" s="12">
        <v>123</v>
      </c>
      <c r="AF2962" s="12">
        <v>110</v>
      </c>
      <c r="AG2962" s="12">
        <v>112</v>
      </c>
      <c r="AH2962" s="12">
        <v>141</v>
      </c>
      <c r="AI2962" s="12">
        <v>149</v>
      </c>
      <c r="AJ2962" s="12">
        <v>142</v>
      </c>
      <c r="AK2962" s="12">
        <v>136</v>
      </c>
      <c r="AL2962" s="12">
        <v>148</v>
      </c>
      <c r="AM2962" s="12">
        <v>154</v>
      </c>
      <c r="AN2962" s="1070">
        <v>169</v>
      </c>
      <c r="AO2962" s="1070">
        <v>173</v>
      </c>
    </row>
    <row r="2963" spans="1:44" s="66" customFormat="1" hidden="1" outlineLevel="1">
      <c r="A2963" s="579">
        <v>440</v>
      </c>
      <c r="B2963" s="781">
        <v>42439</v>
      </c>
      <c r="C2963" s="375" t="s">
        <v>1420</v>
      </c>
      <c r="D2963" s="226"/>
      <c r="E2963" s="23" t="s">
        <v>1376</v>
      </c>
      <c r="F2963" s="12"/>
      <c r="G2963" s="12"/>
      <c r="H2963" s="12"/>
      <c r="I2963" s="12"/>
      <c r="J2963" s="12"/>
      <c r="K2963" s="12"/>
      <c r="L2963" s="12"/>
      <c r="M2963" s="12"/>
      <c r="N2963" s="12"/>
      <c r="O2963" s="12"/>
      <c r="P2963" s="12"/>
      <c r="Q2963" s="12"/>
      <c r="R2963" s="12"/>
      <c r="S2963" s="12"/>
      <c r="T2963" s="12"/>
      <c r="U2963" s="12"/>
      <c r="V2963" s="12"/>
      <c r="W2963" s="12"/>
      <c r="X2963" s="12"/>
      <c r="Y2963" s="12"/>
      <c r="Z2963" s="12"/>
      <c r="AA2963" s="12"/>
      <c r="AB2963" s="12"/>
      <c r="AC2963" s="12"/>
      <c r="AD2963" s="12"/>
      <c r="AE2963" s="12"/>
      <c r="AF2963" s="12"/>
      <c r="AG2963" s="12"/>
      <c r="AH2963" s="12"/>
      <c r="AI2963" s="12"/>
      <c r="AJ2963" s="12">
        <v>3</v>
      </c>
      <c r="AK2963" s="12">
        <v>11</v>
      </c>
      <c r="AL2963" s="12">
        <v>7</v>
      </c>
      <c r="AM2963" s="12">
        <v>6</v>
      </c>
      <c r="AN2963" s="1070">
        <v>0</v>
      </c>
      <c r="AO2963" s="1070">
        <v>23</v>
      </c>
    </row>
    <row r="2964" spans="1:44" s="66" customFormat="1" hidden="1" outlineLevel="1">
      <c r="A2964" s="579">
        <v>450</v>
      </c>
      <c r="B2964" s="568">
        <v>89</v>
      </c>
      <c r="C2964" s="375" t="s">
        <v>1420</v>
      </c>
      <c r="D2964" s="226"/>
      <c r="E2964" s="23" t="s">
        <v>1377</v>
      </c>
      <c r="F2964" s="12"/>
      <c r="G2964" s="12"/>
      <c r="H2964" s="12"/>
      <c r="I2964" s="12"/>
      <c r="J2964" s="12"/>
      <c r="K2964" s="12">
        <v>54</v>
      </c>
      <c r="L2964" s="12">
        <v>56</v>
      </c>
      <c r="M2964" s="12">
        <v>50</v>
      </c>
      <c r="N2964" s="12">
        <v>45</v>
      </c>
      <c r="O2964" s="12">
        <v>55</v>
      </c>
      <c r="P2964" s="12">
        <v>55</v>
      </c>
      <c r="Q2964" s="12">
        <v>49</v>
      </c>
      <c r="R2964" s="12">
        <v>199</v>
      </c>
      <c r="S2964" s="12">
        <v>194</v>
      </c>
      <c r="T2964" s="12">
        <v>165</v>
      </c>
      <c r="U2964" s="12">
        <v>213</v>
      </c>
      <c r="V2964" s="12">
        <v>242</v>
      </c>
      <c r="W2964" s="12">
        <v>254</v>
      </c>
      <c r="X2964" s="12">
        <v>279</v>
      </c>
      <c r="Y2964" s="12">
        <v>311</v>
      </c>
      <c r="Z2964" s="12">
        <v>295</v>
      </c>
      <c r="AA2964" s="12">
        <v>321</v>
      </c>
      <c r="AB2964" s="12">
        <v>293</v>
      </c>
      <c r="AC2964" s="12">
        <v>394</v>
      </c>
      <c r="AD2964" s="12">
        <v>342</v>
      </c>
      <c r="AE2964" s="12">
        <v>370</v>
      </c>
      <c r="AF2964" s="12">
        <v>508</v>
      </c>
      <c r="AG2964" s="12">
        <v>538</v>
      </c>
      <c r="AH2964" s="12">
        <v>565</v>
      </c>
      <c r="AI2964" s="12">
        <v>627</v>
      </c>
      <c r="AJ2964" s="12">
        <v>739</v>
      </c>
      <c r="AK2964" s="12">
        <v>756</v>
      </c>
      <c r="AL2964" s="12">
        <v>793</v>
      </c>
      <c r="AM2964" s="12">
        <v>828</v>
      </c>
      <c r="AN2964" s="1070">
        <v>894</v>
      </c>
      <c r="AO2964" s="1070">
        <v>1012</v>
      </c>
    </row>
    <row r="2965" spans="1:44" s="66" customFormat="1" hidden="1" outlineLevel="1">
      <c r="A2965" s="579">
        <v>460</v>
      </c>
      <c r="B2965" s="568">
        <v>130</v>
      </c>
      <c r="C2965" s="375" t="s">
        <v>1420</v>
      </c>
      <c r="D2965" s="226"/>
      <c r="E2965" s="375" t="s">
        <v>1845</v>
      </c>
      <c r="F2965" s="12"/>
      <c r="G2965" s="12"/>
      <c r="H2965" s="12"/>
      <c r="I2965" s="12"/>
      <c r="J2965" s="12"/>
      <c r="K2965" s="12">
        <v>102</v>
      </c>
      <c r="L2965" s="12">
        <v>87</v>
      </c>
      <c r="M2965" s="12">
        <v>89</v>
      </c>
      <c r="N2965" s="12">
        <v>72</v>
      </c>
      <c r="O2965" s="12">
        <v>90</v>
      </c>
      <c r="P2965" s="12">
        <v>93</v>
      </c>
      <c r="Q2965" s="12">
        <v>120</v>
      </c>
      <c r="R2965" s="12">
        <v>110</v>
      </c>
      <c r="S2965" s="12">
        <v>111</v>
      </c>
      <c r="T2965" s="12">
        <v>144</v>
      </c>
      <c r="U2965" s="12">
        <v>117</v>
      </c>
      <c r="V2965" s="12">
        <v>157</v>
      </c>
      <c r="W2965" s="12">
        <v>192</v>
      </c>
      <c r="X2965" s="12">
        <v>197</v>
      </c>
      <c r="Y2965" s="12">
        <v>204</v>
      </c>
      <c r="Z2965" s="12">
        <v>271</v>
      </c>
      <c r="AA2965" s="12">
        <v>236</v>
      </c>
      <c r="AB2965" s="12">
        <v>283</v>
      </c>
      <c r="AC2965" s="12">
        <v>288</v>
      </c>
      <c r="AD2965" s="12">
        <v>321</v>
      </c>
      <c r="AE2965" s="12">
        <v>334</v>
      </c>
      <c r="AF2965" s="12">
        <v>390</v>
      </c>
      <c r="AG2965" s="12">
        <v>458</v>
      </c>
      <c r="AH2965" s="12">
        <v>504</v>
      </c>
      <c r="AI2965" s="12">
        <v>582</v>
      </c>
      <c r="AJ2965" s="12">
        <v>442</v>
      </c>
      <c r="AK2965" s="12">
        <v>663</v>
      </c>
      <c r="AL2965" s="12">
        <v>712</v>
      </c>
      <c r="AM2965" s="12">
        <v>766</v>
      </c>
      <c r="AN2965" s="1070">
        <v>790</v>
      </c>
      <c r="AO2965" s="1070">
        <v>749</v>
      </c>
    </row>
    <row r="2966" spans="1:44" s="66" customFormat="1" hidden="1" outlineLevel="1">
      <c r="A2966" s="579">
        <v>470</v>
      </c>
      <c r="B2966" s="568">
        <v>412</v>
      </c>
      <c r="C2966" s="375" t="s">
        <v>1420</v>
      </c>
      <c r="D2966" s="226"/>
      <c r="E2966" s="23" t="s">
        <v>942</v>
      </c>
      <c r="F2966" s="12"/>
      <c r="G2966" s="12"/>
      <c r="H2966" s="12"/>
      <c r="I2966" s="12"/>
      <c r="J2966" s="12"/>
      <c r="K2966" s="12">
        <v>204</v>
      </c>
      <c r="L2966" s="12">
        <v>213</v>
      </c>
      <c r="M2966" s="12">
        <v>221</v>
      </c>
      <c r="N2966" s="12">
        <v>216</v>
      </c>
      <c r="O2966" s="12">
        <v>246</v>
      </c>
      <c r="P2966" s="12">
        <v>364</v>
      </c>
      <c r="Q2966" s="12">
        <v>332</v>
      </c>
      <c r="R2966" s="12">
        <v>286</v>
      </c>
      <c r="S2966" s="12">
        <v>381</v>
      </c>
      <c r="T2966" s="12">
        <v>458</v>
      </c>
      <c r="U2966" s="12">
        <v>431</v>
      </c>
      <c r="V2966" s="12">
        <v>446</v>
      </c>
      <c r="W2966" s="12">
        <v>478</v>
      </c>
      <c r="X2966" s="12">
        <v>559</v>
      </c>
      <c r="Y2966" s="12">
        <v>565</v>
      </c>
      <c r="Z2966" s="12">
        <v>709</v>
      </c>
      <c r="AA2966" s="12">
        <v>808</v>
      </c>
      <c r="AB2966" s="12">
        <v>900</v>
      </c>
      <c r="AC2966" s="12">
        <v>987</v>
      </c>
      <c r="AD2966" s="12">
        <v>1010</v>
      </c>
      <c r="AE2966" s="12">
        <v>1096</v>
      </c>
      <c r="AF2966" s="12">
        <v>1202</v>
      </c>
      <c r="AG2966" s="12">
        <v>1391</v>
      </c>
      <c r="AH2966" s="12">
        <v>1607</v>
      </c>
      <c r="AI2966" s="12">
        <v>1801</v>
      </c>
      <c r="AJ2966" s="12">
        <v>1834</v>
      </c>
      <c r="AK2966" s="12">
        <v>1952</v>
      </c>
      <c r="AL2966" s="12">
        <v>1957</v>
      </c>
      <c r="AM2966" s="12">
        <v>2153</v>
      </c>
      <c r="AN2966" s="1070">
        <v>2182</v>
      </c>
      <c r="AO2966" s="1070">
        <v>2271</v>
      </c>
    </row>
    <row r="2967" spans="1:44" s="66" customFormat="1" hidden="1" outlineLevel="1">
      <c r="A2967" s="579">
        <v>480</v>
      </c>
      <c r="B2967" s="781">
        <v>862</v>
      </c>
      <c r="C2967" s="375" t="s">
        <v>1420</v>
      </c>
      <c r="D2967" s="226"/>
      <c r="E2967" s="375" t="s">
        <v>1403</v>
      </c>
      <c r="F2967" s="12"/>
      <c r="G2967" s="12"/>
      <c r="H2967" s="12"/>
      <c r="I2967" s="12"/>
      <c r="J2967" s="12"/>
      <c r="K2967" s="12"/>
      <c r="L2967" s="12"/>
      <c r="M2967" s="12"/>
      <c r="N2967" s="12"/>
      <c r="O2967" s="12"/>
      <c r="P2967" s="12"/>
      <c r="Q2967" s="12"/>
      <c r="R2967" s="12"/>
      <c r="S2967" s="12"/>
      <c r="T2967" s="12"/>
      <c r="U2967" s="12"/>
      <c r="V2967" s="12"/>
      <c r="W2967" s="12"/>
      <c r="X2967" s="12"/>
      <c r="Y2967" s="12"/>
      <c r="Z2967" s="12"/>
      <c r="AA2967" s="12"/>
      <c r="AB2967" s="12"/>
      <c r="AC2967" s="12"/>
      <c r="AD2967" s="12"/>
      <c r="AE2967" s="12"/>
      <c r="AF2967" s="12"/>
      <c r="AG2967" s="12"/>
      <c r="AH2967" s="12"/>
      <c r="AI2967" s="12"/>
      <c r="AJ2967" s="12"/>
      <c r="AK2967" s="12"/>
      <c r="AL2967" s="12">
        <v>157</v>
      </c>
      <c r="AM2967" s="12">
        <v>205</v>
      </c>
      <c r="AN2967" s="1070">
        <v>238</v>
      </c>
      <c r="AO2967" s="1070">
        <v>263</v>
      </c>
    </row>
    <row r="2968" spans="1:44" s="66" customFormat="1" hidden="1" outlineLevel="1">
      <c r="A2968" s="578">
        <v>500</v>
      </c>
      <c r="B2968" s="781">
        <v>203658</v>
      </c>
      <c r="C2968" s="1049" t="s">
        <v>1420</v>
      </c>
      <c r="D2968" s="226"/>
      <c r="E2968" s="1049" t="s">
        <v>1843</v>
      </c>
      <c r="F2968" s="1070"/>
      <c r="G2968" s="1070"/>
      <c r="H2968" s="1070"/>
      <c r="I2968" s="1070"/>
      <c r="J2968" s="1070"/>
      <c r="K2968" s="1070"/>
      <c r="L2968" s="1070"/>
      <c r="M2968" s="1070"/>
      <c r="N2968" s="1070"/>
      <c r="O2968" s="1070"/>
      <c r="P2968" s="1070"/>
      <c r="Q2968" s="1070"/>
      <c r="R2968" s="1070"/>
      <c r="S2968" s="1070"/>
      <c r="T2968" s="1070"/>
      <c r="U2968" s="1070"/>
      <c r="V2968" s="1070"/>
      <c r="W2968" s="1070"/>
      <c r="X2968" s="1070"/>
      <c r="Y2968" s="1070"/>
      <c r="Z2968" s="1070"/>
      <c r="AA2968" s="1070"/>
      <c r="AB2968" s="1070"/>
      <c r="AC2968" s="1070"/>
      <c r="AD2968" s="1070"/>
      <c r="AE2968" s="1070"/>
      <c r="AF2968" s="1070"/>
      <c r="AG2968" s="1070"/>
      <c r="AH2968" s="1070"/>
      <c r="AI2968" s="1070"/>
      <c r="AJ2968" s="1070"/>
      <c r="AK2968" s="1070"/>
      <c r="AL2968" s="1070"/>
      <c r="AM2968" s="1070"/>
      <c r="AN2968" s="1070"/>
      <c r="AO2968" s="1070"/>
    </row>
    <row r="2969" spans="1:44" s="66" customFormat="1" hidden="1" outlineLevel="1">
      <c r="A2969" s="578">
        <v>510</v>
      </c>
      <c r="B2969" s="781">
        <v>203599</v>
      </c>
      <c r="C2969" s="375" t="s">
        <v>1420</v>
      </c>
      <c r="D2969" s="226"/>
      <c r="E2969" s="375" t="s">
        <v>1688</v>
      </c>
      <c r="F2969" s="12"/>
      <c r="G2969" s="12"/>
      <c r="H2969" s="12"/>
      <c r="I2969" s="12"/>
      <c r="J2969" s="12"/>
      <c r="K2969" s="12"/>
      <c r="L2969" s="12"/>
      <c r="M2969" s="12"/>
      <c r="N2969" s="12"/>
      <c r="O2969" s="12"/>
      <c r="P2969" s="12"/>
      <c r="Q2969" s="12"/>
      <c r="R2969" s="12"/>
      <c r="S2969" s="12"/>
      <c r="T2969" s="12"/>
      <c r="U2969" s="12"/>
      <c r="V2969" s="12"/>
      <c r="W2969" s="12"/>
      <c r="X2969" s="12"/>
      <c r="Y2969" s="12"/>
      <c r="Z2969" s="12"/>
      <c r="AA2969" s="12"/>
      <c r="AB2969" s="12"/>
      <c r="AC2969" s="12"/>
      <c r="AD2969" s="12"/>
      <c r="AE2969" s="12"/>
      <c r="AF2969" s="12"/>
      <c r="AG2969" s="12"/>
      <c r="AH2969" s="12"/>
      <c r="AI2969" s="12"/>
      <c r="AJ2969" s="12"/>
      <c r="AK2969" s="12"/>
      <c r="AL2969" s="12"/>
      <c r="AM2969" s="12"/>
      <c r="AN2969" s="1070"/>
      <c r="AO2969" s="1070"/>
    </row>
    <row r="2970" spans="1:44" s="66" customFormat="1" hidden="1" outlineLevel="1">
      <c r="B2970" s="575">
        <v>445566</v>
      </c>
      <c r="C2970" s="226" t="s">
        <v>1420</v>
      </c>
      <c r="D2970" s="226"/>
      <c r="E2970" s="226" t="s">
        <v>1396</v>
      </c>
      <c r="F2970" s="34"/>
      <c r="G2970" s="34"/>
      <c r="H2970" s="34"/>
      <c r="I2970" s="34"/>
      <c r="J2970" s="34"/>
      <c r="K2970" s="34">
        <v>2624</v>
      </c>
      <c r="L2970" s="34">
        <v>2642</v>
      </c>
      <c r="M2970" s="34">
        <v>2756</v>
      </c>
      <c r="N2970" s="34">
        <v>2832</v>
      </c>
      <c r="O2970" s="34">
        <v>3078</v>
      </c>
      <c r="P2970" s="34">
        <v>3372</v>
      </c>
      <c r="Q2970" s="34">
        <v>3414</v>
      </c>
      <c r="R2970" s="34">
        <v>3575</v>
      </c>
      <c r="S2970" s="34">
        <v>3484</v>
      </c>
      <c r="T2970" s="34">
        <v>3529</v>
      </c>
      <c r="U2970" s="34">
        <v>3533</v>
      </c>
      <c r="V2970" s="34">
        <v>3557</v>
      </c>
      <c r="W2970" s="34">
        <v>3696</v>
      </c>
      <c r="X2970" s="34">
        <v>3821</v>
      </c>
      <c r="Y2970" s="34">
        <v>3780</v>
      </c>
      <c r="Z2970" s="34">
        <v>4166</v>
      </c>
      <c r="AA2970" s="34">
        <v>4377</v>
      </c>
      <c r="AB2970" s="34">
        <v>4515</v>
      </c>
      <c r="AC2970" s="34">
        <v>4997</v>
      </c>
      <c r="AD2970" s="34">
        <v>5085</v>
      </c>
      <c r="AE2970" s="34">
        <v>5303</v>
      </c>
      <c r="AF2970" s="34">
        <v>5921</v>
      </c>
      <c r="AG2970" s="34">
        <v>6411</v>
      </c>
      <c r="AH2970" s="34">
        <v>7216</v>
      </c>
      <c r="AI2970" s="34">
        <v>7635</v>
      </c>
      <c r="AJ2970" s="34">
        <v>7695</v>
      </c>
      <c r="AK2970" s="34">
        <f>SUM(AK2958:AK2967)</f>
        <v>8065</v>
      </c>
      <c r="AL2970" s="34">
        <f>SUM(AL2958:AL2969)</f>
        <v>8476</v>
      </c>
      <c r="AM2970" s="1073">
        <f>SUM(AM2958:AM2969)</f>
        <v>8841</v>
      </c>
      <c r="AN2970" s="1073">
        <f>SUM(AN2958:AN2969)</f>
        <v>9302</v>
      </c>
      <c r="AO2970" s="1073">
        <f>SUM(AO2958:AO2969)</f>
        <v>9423</v>
      </c>
      <c r="AR2970"/>
    </row>
    <row r="2971" spans="1:44" collapsed="1">
      <c r="B2971" s="568"/>
      <c r="C2971" s="25" t="s">
        <v>1627</v>
      </c>
      <c r="D2971" s="25"/>
      <c r="E2971" s="6"/>
      <c r="F2971" s="61"/>
      <c r="G2971" s="61"/>
      <c r="H2971" s="61"/>
      <c r="I2971" s="61"/>
      <c r="J2971" s="61"/>
      <c r="K2971" s="61"/>
      <c r="L2971" s="61"/>
      <c r="M2971" s="61"/>
      <c r="N2971" s="61"/>
      <c r="O2971" s="61"/>
      <c r="P2971" s="61"/>
      <c r="Q2971" s="61"/>
      <c r="R2971" s="61"/>
      <c r="S2971" s="61"/>
      <c r="T2971" s="61"/>
      <c r="U2971" s="61"/>
      <c r="V2971" s="61"/>
      <c r="W2971" s="61"/>
      <c r="X2971" s="61"/>
      <c r="Y2971" s="61"/>
      <c r="Z2971" s="61"/>
      <c r="AA2971" s="61"/>
      <c r="AB2971" s="61"/>
      <c r="AC2971" s="61"/>
      <c r="AD2971" s="61"/>
      <c r="AE2971" s="61"/>
      <c r="AF2971" s="61"/>
      <c r="AG2971" s="61"/>
      <c r="AH2971" s="61"/>
      <c r="AI2971" s="61"/>
      <c r="AJ2971" s="26"/>
      <c r="AK2971" s="26"/>
      <c r="AL2971" s="26"/>
      <c r="AM2971" s="26"/>
      <c r="AN2971" s="26"/>
      <c r="AO2971" s="1069"/>
      <c r="AP2971" s="1044"/>
      <c r="AR2971" s="66"/>
    </row>
    <row r="2972" spans="1:44" s="66" customFormat="1" hidden="1" outlineLevel="1">
      <c r="A2972" s="579">
        <v>520</v>
      </c>
      <c r="B2972" s="568">
        <v>9225</v>
      </c>
      <c r="C2972" s="375" t="s">
        <v>1420</v>
      </c>
      <c r="D2972" s="226"/>
      <c r="E2972" s="23" t="s">
        <v>1379</v>
      </c>
      <c r="F2972" s="12"/>
      <c r="G2972" s="12"/>
      <c r="H2972" s="12"/>
      <c r="I2972" s="12"/>
      <c r="J2972" s="12">
        <v>810</v>
      </c>
      <c r="K2972" s="12">
        <v>766</v>
      </c>
      <c r="L2972" s="12">
        <v>792</v>
      </c>
      <c r="M2972" s="12">
        <v>812</v>
      </c>
      <c r="N2972" s="12">
        <v>837</v>
      </c>
      <c r="O2972" s="12">
        <v>865</v>
      </c>
      <c r="P2972" s="12">
        <v>561</v>
      </c>
      <c r="Q2972" s="12">
        <v>580</v>
      </c>
      <c r="R2972" s="12">
        <v>538</v>
      </c>
      <c r="S2972" s="12">
        <v>538</v>
      </c>
      <c r="T2972" s="12">
        <v>604</v>
      </c>
      <c r="U2972" s="12">
        <v>603</v>
      </c>
      <c r="V2972" s="12">
        <v>587</v>
      </c>
      <c r="W2972" s="12">
        <v>502</v>
      </c>
      <c r="X2972" s="12">
        <v>488</v>
      </c>
      <c r="Y2972" s="12">
        <v>491</v>
      </c>
      <c r="Z2972" s="12">
        <v>534</v>
      </c>
      <c r="AA2972" s="12">
        <v>559</v>
      </c>
      <c r="AB2972" s="12">
        <v>509</v>
      </c>
      <c r="AC2972" s="12">
        <v>454</v>
      </c>
      <c r="AD2972" s="12">
        <v>469</v>
      </c>
      <c r="AE2972" s="12">
        <v>473</v>
      </c>
      <c r="AF2972" s="12">
        <v>483</v>
      </c>
      <c r="AG2972" s="12">
        <v>618</v>
      </c>
      <c r="AH2972" s="12">
        <v>679</v>
      </c>
      <c r="AI2972" s="12">
        <v>682</v>
      </c>
      <c r="AJ2972" s="12">
        <v>821</v>
      </c>
      <c r="AK2972" s="12">
        <v>871</v>
      </c>
      <c r="AL2972" s="12">
        <v>861</v>
      </c>
      <c r="AM2972" s="12">
        <v>925</v>
      </c>
      <c r="AN2972" s="1070">
        <v>946</v>
      </c>
      <c r="AO2972" s="1070">
        <v>194</v>
      </c>
    </row>
    <row r="2973" spans="1:44" s="66" customFormat="1" hidden="1" outlineLevel="1">
      <c r="A2973" s="579">
        <v>540</v>
      </c>
      <c r="B2973" s="568">
        <v>33965</v>
      </c>
      <c r="C2973" s="375" t="s">
        <v>1420</v>
      </c>
      <c r="D2973" s="226"/>
      <c r="E2973" s="23" t="s">
        <v>1380</v>
      </c>
      <c r="F2973" s="12"/>
      <c r="G2973" s="12"/>
      <c r="H2973" s="12"/>
      <c r="I2973" s="12"/>
      <c r="J2973" s="12"/>
      <c r="K2973" s="12"/>
      <c r="L2973" s="12"/>
      <c r="M2973" s="12"/>
      <c r="N2973" s="12"/>
      <c r="O2973" s="12"/>
      <c r="P2973" s="12"/>
      <c r="Q2973" s="12"/>
      <c r="R2973" s="12"/>
      <c r="S2973" s="12"/>
      <c r="T2973" s="12"/>
      <c r="U2973" s="12"/>
      <c r="V2973" s="12">
        <v>110</v>
      </c>
      <c r="W2973" s="12">
        <v>111</v>
      </c>
      <c r="X2973" s="12">
        <v>107</v>
      </c>
      <c r="Y2973" s="12">
        <v>91</v>
      </c>
      <c r="Z2973" s="12">
        <v>125</v>
      </c>
      <c r="AA2973" s="12">
        <v>105</v>
      </c>
      <c r="AB2973" s="12">
        <v>121</v>
      </c>
      <c r="AC2973" s="12">
        <v>100</v>
      </c>
      <c r="AD2973" s="12">
        <v>126</v>
      </c>
      <c r="AE2973" s="12">
        <v>146</v>
      </c>
      <c r="AF2973" s="12">
        <v>185</v>
      </c>
      <c r="AG2973" s="12">
        <v>215</v>
      </c>
      <c r="AH2973" s="12">
        <v>201</v>
      </c>
      <c r="AI2973" s="12">
        <v>169</v>
      </c>
      <c r="AJ2973" s="12">
        <v>171</v>
      </c>
      <c r="AK2973" s="12">
        <v>159</v>
      </c>
      <c r="AL2973" s="12">
        <v>154</v>
      </c>
      <c r="AM2973" s="12">
        <v>170</v>
      </c>
      <c r="AN2973" s="1070">
        <v>201</v>
      </c>
      <c r="AO2973" s="1070">
        <v>895</v>
      </c>
    </row>
    <row r="2974" spans="1:44" s="66" customFormat="1" hidden="1" outlineLevel="1">
      <c r="A2974" s="579">
        <v>550</v>
      </c>
      <c r="B2974" s="568">
        <v>3634</v>
      </c>
      <c r="C2974" s="375" t="s">
        <v>1420</v>
      </c>
      <c r="D2974" s="226"/>
      <c r="E2974" s="23" t="s">
        <v>1381</v>
      </c>
      <c r="F2974" s="12"/>
      <c r="G2974" s="12"/>
      <c r="H2974" s="12"/>
      <c r="I2974" s="12"/>
      <c r="J2974" s="12">
        <v>1558</v>
      </c>
      <c r="K2974" s="12">
        <v>1407</v>
      </c>
      <c r="L2974" s="12">
        <v>1219</v>
      </c>
      <c r="M2974" s="12">
        <v>1220</v>
      </c>
      <c r="N2974" s="12">
        <v>1177</v>
      </c>
      <c r="O2974" s="12">
        <v>1042</v>
      </c>
      <c r="P2974" s="12">
        <v>947</v>
      </c>
      <c r="Q2974" s="12">
        <v>887</v>
      </c>
      <c r="R2974" s="12">
        <v>851</v>
      </c>
      <c r="S2974" s="12">
        <v>853</v>
      </c>
      <c r="T2974" s="12">
        <v>905</v>
      </c>
      <c r="U2974" s="12">
        <v>957</v>
      </c>
      <c r="V2974" s="12">
        <v>961</v>
      </c>
      <c r="W2974" s="12">
        <v>843</v>
      </c>
      <c r="X2974" s="12">
        <v>967</v>
      </c>
      <c r="Y2974" s="12">
        <v>927</v>
      </c>
      <c r="Z2974" s="12">
        <v>1061</v>
      </c>
      <c r="AA2974" s="12">
        <v>913</v>
      </c>
      <c r="AB2974" s="12">
        <v>986</v>
      </c>
      <c r="AC2974" s="12">
        <v>1051</v>
      </c>
      <c r="AD2974" s="12">
        <v>910</v>
      </c>
      <c r="AE2974" s="12">
        <v>1010</v>
      </c>
      <c r="AF2974" s="12">
        <v>1081</v>
      </c>
      <c r="AG2974" s="12">
        <v>1098</v>
      </c>
      <c r="AH2974" s="12">
        <v>1266</v>
      </c>
      <c r="AI2974" s="12">
        <v>1219</v>
      </c>
      <c r="AJ2974" s="12">
        <v>1147</v>
      </c>
      <c r="AK2974" s="12">
        <v>1235</v>
      </c>
      <c r="AL2974" s="12">
        <v>1259</v>
      </c>
      <c r="AM2974" s="12">
        <v>1417</v>
      </c>
      <c r="AN2974" s="1070">
        <v>1393</v>
      </c>
      <c r="AO2974" s="1070">
        <v>157</v>
      </c>
    </row>
    <row r="2975" spans="1:44" s="66" customFormat="1" hidden="1" outlineLevel="1">
      <c r="A2975" s="579">
        <v>530</v>
      </c>
      <c r="B2975" s="568">
        <v>9932</v>
      </c>
      <c r="C2975" s="375" t="s">
        <v>1420</v>
      </c>
      <c r="D2975" s="226"/>
      <c r="E2975" s="375" t="s">
        <v>1470</v>
      </c>
      <c r="F2975" s="12"/>
      <c r="G2975" s="12"/>
      <c r="H2975" s="12"/>
      <c r="I2975" s="12"/>
      <c r="J2975" s="12">
        <v>254</v>
      </c>
      <c r="K2975" s="12">
        <v>243</v>
      </c>
      <c r="L2975" s="12">
        <v>319</v>
      </c>
      <c r="M2975" s="12">
        <v>396</v>
      </c>
      <c r="N2975" s="12">
        <v>327</v>
      </c>
      <c r="O2975" s="12">
        <v>333</v>
      </c>
      <c r="P2975" s="12">
        <v>356</v>
      </c>
      <c r="Q2975" s="12">
        <v>404</v>
      </c>
      <c r="R2975" s="12">
        <v>355</v>
      </c>
      <c r="S2975" s="12">
        <v>324</v>
      </c>
      <c r="T2975" s="12">
        <v>343</v>
      </c>
      <c r="U2975" s="12">
        <v>400</v>
      </c>
      <c r="V2975" s="12">
        <v>411</v>
      </c>
      <c r="W2975" s="12">
        <v>414</v>
      </c>
      <c r="X2975" s="12">
        <v>435</v>
      </c>
      <c r="Y2975" s="12">
        <v>461</v>
      </c>
      <c r="Z2975" s="12">
        <v>417</v>
      </c>
      <c r="AA2975" s="12">
        <v>423</v>
      </c>
      <c r="AB2975" s="12">
        <v>387</v>
      </c>
      <c r="AC2975" s="12">
        <v>421</v>
      </c>
      <c r="AD2975" s="12">
        <v>409</v>
      </c>
      <c r="AE2975" s="12">
        <v>371</v>
      </c>
      <c r="AF2975" s="12">
        <v>341</v>
      </c>
      <c r="AG2975" s="12">
        <v>354</v>
      </c>
      <c r="AH2975" s="12">
        <v>333</v>
      </c>
      <c r="AI2975" s="12">
        <v>328</v>
      </c>
      <c r="AJ2975" s="12">
        <v>402</v>
      </c>
      <c r="AK2975" s="12">
        <v>396</v>
      </c>
      <c r="AL2975" s="12">
        <v>390</v>
      </c>
      <c r="AM2975" s="12">
        <v>374</v>
      </c>
      <c r="AN2975" s="1070">
        <v>369</v>
      </c>
      <c r="AO2975" s="1070">
        <v>114</v>
      </c>
    </row>
    <row r="2976" spans="1:44" s="66" customFormat="1" hidden="1" outlineLevel="1">
      <c r="A2976" s="1080">
        <v>552</v>
      </c>
      <c r="B2976" s="1081">
        <v>133965</v>
      </c>
      <c r="C2976" s="1049"/>
      <c r="D2976" s="226"/>
      <c r="E2976" s="1079" t="s">
        <v>1923</v>
      </c>
      <c r="F2976" s="1070"/>
      <c r="G2976" s="1070"/>
      <c r="H2976" s="1070"/>
      <c r="I2976" s="1070"/>
      <c r="J2976" s="1070"/>
      <c r="K2976" s="1070"/>
      <c r="L2976" s="1070"/>
      <c r="M2976" s="1070"/>
      <c r="N2976" s="1070"/>
      <c r="O2976" s="1070"/>
      <c r="P2976" s="1070"/>
      <c r="Q2976" s="1070"/>
      <c r="R2976" s="1070"/>
      <c r="S2976" s="1070"/>
      <c r="T2976" s="1070"/>
      <c r="U2976" s="1070"/>
      <c r="V2976" s="1070"/>
      <c r="W2976" s="1070"/>
      <c r="X2976" s="1070"/>
      <c r="Y2976" s="1070"/>
      <c r="Z2976" s="1070"/>
      <c r="AA2976" s="1070"/>
      <c r="AB2976" s="1070"/>
      <c r="AC2976" s="1070"/>
      <c r="AD2976" s="1070"/>
      <c r="AE2976" s="1070"/>
      <c r="AF2976" s="1070"/>
      <c r="AG2976" s="1070"/>
      <c r="AH2976" s="1070"/>
      <c r="AI2976" s="1070"/>
      <c r="AJ2976" s="1070"/>
      <c r="AK2976" s="1070"/>
      <c r="AL2976" s="1070"/>
      <c r="AM2976" s="1070">
        <v>64</v>
      </c>
      <c r="AN2976" s="1070">
        <v>85</v>
      </c>
      <c r="AO2976" s="1070">
        <v>1560</v>
      </c>
    </row>
    <row r="2977" spans="1:44" s="66" customFormat="1" hidden="1" outlineLevel="1">
      <c r="A2977" s="1080">
        <v>553</v>
      </c>
      <c r="B2977" s="1081">
        <v>203634</v>
      </c>
      <c r="C2977" s="1049"/>
      <c r="D2977" s="226"/>
      <c r="E2977" s="1078" t="s">
        <v>1924</v>
      </c>
      <c r="F2977" s="1070"/>
      <c r="G2977" s="1070"/>
      <c r="H2977" s="1070"/>
      <c r="I2977" s="1070"/>
      <c r="J2977" s="1070"/>
      <c r="K2977" s="1070"/>
      <c r="L2977" s="1070"/>
      <c r="M2977" s="1070"/>
      <c r="N2977" s="1070"/>
      <c r="O2977" s="1070"/>
      <c r="P2977" s="1070"/>
      <c r="Q2977" s="1070"/>
      <c r="R2977" s="1070"/>
      <c r="S2977" s="1070"/>
      <c r="T2977" s="1070"/>
      <c r="U2977" s="1070"/>
      <c r="V2977" s="1070"/>
      <c r="W2977" s="1070"/>
      <c r="X2977" s="1070"/>
      <c r="Y2977" s="1070"/>
      <c r="Z2977" s="1070"/>
      <c r="AA2977" s="1070"/>
      <c r="AB2977" s="1070"/>
      <c r="AC2977" s="1070"/>
      <c r="AD2977" s="1070"/>
      <c r="AE2977" s="1070"/>
      <c r="AF2977" s="1070"/>
      <c r="AG2977" s="1070"/>
      <c r="AH2977" s="1070"/>
      <c r="AI2977" s="1070"/>
      <c r="AJ2977" s="1070"/>
      <c r="AK2977" s="1070"/>
      <c r="AL2977" s="1070"/>
      <c r="AM2977" s="1070">
        <v>87</v>
      </c>
      <c r="AN2977" s="1070">
        <v>132</v>
      </c>
      <c r="AO2977" s="1070">
        <v>397</v>
      </c>
    </row>
    <row r="2978" spans="1:44" s="66" customFormat="1" hidden="1" outlineLevel="1">
      <c r="B2978" s="575">
        <v>445566</v>
      </c>
      <c r="C2978" s="226" t="s">
        <v>1420</v>
      </c>
      <c r="D2978" s="226"/>
      <c r="E2978" s="226" t="s">
        <v>1397</v>
      </c>
      <c r="F2978" s="576"/>
      <c r="G2978" s="576"/>
      <c r="H2978" s="576"/>
      <c r="I2978" s="576"/>
      <c r="J2978" s="34">
        <f t="shared" ref="J2978:AJ2978" si="486">SUM(J2972:J2975)</f>
        <v>2622</v>
      </c>
      <c r="K2978" s="34">
        <f t="shared" si="486"/>
        <v>2416</v>
      </c>
      <c r="L2978" s="34">
        <f t="shared" si="486"/>
        <v>2330</v>
      </c>
      <c r="M2978" s="34">
        <f t="shared" si="486"/>
        <v>2428</v>
      </c>
      <c r="N2978" s="34">
        <f t="shared" si="486"/>
        <v>2341</v>
      </c>
      <c r="O2978" s="34">
        <f t="shared" si="486"/>
        <v>2240</v>
      </c>
      <c r="P2978" s="34">
        <f t="shared" si="486"/>
        <v>1864</v>
      </c>
      <c r="Q2978" s="34">
        <f t="shared" si="486"/>
        <v>1871</v>
      </c>
      <c r="R2978" s="34">
        <f t="shared" si="486"/>
        <v>1744</v>
      </c>
      <c r="S2978" s="34">
        <f t="shared" si="486"/>
        <v>1715</v>
      </c>
      <c r="T2978" s="34">
        <f t="shared" si="486"/>
        <v>1852</v>
      </c>
      <c r="U2978" s="34">
        <f t="shared" si="486"/>
        <v>1960</v>
      </c>
      <c r="V2978" s="34">
        <f t="shared" si="486"/>
        <v>2069</v>
      </c>
      <c r="W2978" s="34">
        <f t="shared" si="486"/>
        <v>1870</v>
      </c>
      <c r="X2978" s="34">
        <f t="shared" si="486"/>
        <v>1997</v>
      </c>
      <c r="Y2978" s="34">
        <f t="shared" si="486"/>
        <v>1970</v>
      </c>
      <c r="Z2978" s="34">
        <f t="shared" si="486"/>
        <v>2137</v>
      </c>
      <c r="AA2978" s="34">
        <f t="shared" si="486"/>
        <v>2000</v>
      </c>
      <c r="AB2978" s="34">
        <f t="shared" si="486"/>
        <v>2003</v>
      </c>
      <c r="AC2978" s="34">
        <f t="shared" si="486"/>
        <v>2026</v>
      </c>
      <c r="AD2978" s="34">
        <f t="shared" si="486"/>
        <v>1914</v>
      </c>
      <c r="AE2978" s="34">
        <f t="shared" si="486"/>
        <v>2000</v>
      </c>
      <c r="AF2978" s="34">
        <f t="shared" si="486"/>
        <v>2090</v>
      </c>
      <c r="AG2978" s="34">
        <f t="shared" si="486"/>
        <v>2285</v>
      </c>
      <c r="AH2978" s="34">
        <f t="shared" si="486"/>
        <v>2479</v>
      </c>
      <c r="AI2978" s="34">
        <f t="shared" si="486"/>
        <v>2398</v>
      </c>
      <c r="AJ2978" s="34">
        <f t="shared" si="486"/>
        <v>2541</v>
      </c>
      <c r="AK2978" s="34">
        <f>SUM(AK2972:AK2975)</f>
        <v>2661</v>
      </c>
      <c r="AL2978" s="34">
        <f>SUM(AL2972:AL2977)</f>
        <v>2664</v>
      </c>
      <c r="AM2978" s="1073">
        <f>SUM(AM2972:AM2977)</f>
        <v>3037</v>
      </c>
      <c r="AN2978" s="1073">
        <f>SUM(AN2972:AN2977)</f>
        <v>3126</v>
      </c>
      <c r="AO2978" s="1073">
        <f>SUM(AO2972:AO2977)</f>
        <v>3317</v>
      </c>
      <c r="AR2978"/>
    </row>
    <row r="2979" spans="1:44" collapsed="1">
      <c r="B2979" s="568"/>
      <c r="C2979" s="25" t="s">
        <v>1628</v>
      </c>
      <c r="D2979" s="25"/>
      <c r="E2979" s="6"/>
      <c r="F2979" s="61"/>
      <c r="G2979" s="61"/>
      <c r="H2979" s="61"/>
      <c r="I2979" s="61"/>
      <c r="J2979" s="61"/>
      <c r="K2979" s="61"/>
      <c r="L2979" s="61"/>
      <c r="M2979" s="61"/>
      <c r="N2979" s="61"/>
      <c r="O2979" s="61"/>
      <c r="P2979" s="61"/>
      <c r="Q2979" s="61"/>
      <c r="R2979" s="61"/>
      <c r="S2979" s="61"/>
      <c r="T2979" s="61"/>
      <c r="U2979" s="61"/>
      <c r="V2979" s="61"/>
      <c r="W2979" s="61"/>
      <c r="X2979" s="61"/>
      <c r="Y2979" s="61"/>
      <c r="Z2979" s="61"/>
      <c r="AA2979" s="61"/>
      <c r="AB2979" s="61"/>
      <c r="AC2979" s="61"/>
      <c r="AD2979" s="61"/>
      <c r="AE2979" s="61"/>
      <c r="AF2979" s="61"/>
      <c r="AG2979" s="61"/>
      <c r="AH2979" s="61"/>
      <c r="AI2979" s="61"/>
      <c r="AJ2979" s="61"/>
      <c r="AK2979" s="61"/>
      <c r="AL2979" s="61"/>
      <c r="AM2979" s="61"/>
      <c r="AN2979" s="61"/>
      <c r="AO2979" s="1107"/>
      <c r="AP2979" s="1044"/>
      <c r="AR2979" s="66"/>
    </row>
    <row r="2980" spans="1:44" s="66" customFormat="1" hidden="1" outlineLevel="1">
      <c r="A2980" s="579">
        <v>490</v>
      </c>
      <c r="B2980" s="568">
        <v>36273</v>
      </c>
      <c r="C2980" s="375" t="s">
        <v>1420</v>
      </c>
      <c r="D2980" s="226"/>
      <c r="E2980" s="23" t="s">
        <v>739</v>
      </c>
      <c r="F2980" s="12"/>
      <c r="G2980" s="12"/>
      <c r="H2980" s="12"/>
      <c r="I2980" s="12"/>
      <c r="J2980" s="12"/>
      <c r="K2980" s="12"/>
      <c r="L2980" s="12"/>
      <c r="M2980" s="12">
        <v>320</v>
      </c>
      <c r="N2980" s="12">
        <v>302</v>
      </c>
      <c r="O2980" s="12">
        <v>292</v>
      </c>
      <c r="P2980" s="12">
        <v>317</v>
      </c>
      <c r="Q2980" s="12">
        <v>389</v>
      </c>
      <c r="R2980" s="12">
        <v>248</v>
      </c>
      <c r="S2980" s="12">
        <v>277</v>
      </c>
      <c r="T2980" s="12">
        <v>383</v>
      </c>
      <c r="U2980" s="12">
        <v>437</v>
      </c>
      <c r="V2980" s="12">
        <v>489</v>
      </c>
      <c r="W2980" s="12">
        <v>515</v>
      </c>
      <c r="X2980" s="12">
        <v>505</v>
      </c>
      <c r="Y2980" s="12">
        <v>514</v>
      </c>
      <c r="Z2980" s="12">
        <v>531</v>
      </c>
      <c r="AA2980" s="12">
        <v>543</v>
      </c>
      <c r="AB2980" s="12">
        <v>547</v>
      </c>
      <c r="AC2980" s="12">
        <v>542</v>
      </c>
      <c r="AD2980" s="12">
        <v>487</v>
      </c>
      <c r="AE2980" s="12">
        <v>504</v>
      </c>
      <c r="AF2980" s="12">
        <v>547</v>
      </c>
      <c r="AG2980" s="12">
        <v>545</v>
      </c>
      <c r="AH2980" s="12">
        <v>534</v>
      </c>
      <c r="AI2980" s="12">
        <v>538</v>
      </c>
      <c r="AJ2980" s="12">
        <v>527</v>
      </c>
      <c r="AK2980" s="12">
        <v>511</v>
      </c>
      <c r="AL2980" s="12">
        <v>599</v>
      </c>
      <c r="AM2980" s="12">
        <v>704</v>
      </c>
      <c r="AN2980" s="1070">
        <v>672</v>
      </c>
      <c r="AO2980" s="1070">
        <v>696</v>
      </c>
    </row>
    <row r="2981" spans="1:44" s="66" customFormat="1" hidden="1" outlineLevel="1">
      <c r="A2981" s="579">
        <v>500</v>
      </c>
      <c r="B2981" s="568">
        <v>23582</v>
      </c>
      <c r="C2981" s="375" t="s">
        <v>1420</v>
      </c>
      <c r="D2981" s="226"/>
      <c r="E2981" s="23" t="s">
        <v>1382</v>
      </c>
      <c r="F2981" s="12"/>
      <c r="G2981" s="12"/>
      <c r="H2981" s="12"/>
      <c r="I2981" s="12"/>
      <c r="J2981" s="12">
        <v>104</v>
      </c>
      <c r="K2981" s="12">
        <v>66</v>
      </c>
      <c r="L2981" s="12">
        <v>106</v>
      </c>
      <c r="M2981" s="12">
        <v>99</v>
      </c>
      <c r="N2981" s="12">
        <v>93</v>
      </c>
      <c r="O2981" s="12">
        <v>211</v>
      </c>
      <c r="P2981" s="12">
        <v>190</v>
      </c>
      <c r="Q2981" s="12">
        <v>190</v>
      </c>
      <c r="R2981" s="12">
        <v>198</v>
      </c>
      <c r="S2981" s="12">
        <v>185</v>
      </c>
      <c r="T2981" s="12">
        <v>192</v>
      </c>
      <c r="U2981" s="12">
        <v>195</v>
      </c>
      <c r="V2981" s="12">
        <v>211</v>
      </c>
      <c r="W2981" s="12">
        <v>223</v>
      </c>
      <c r="X2981" s="12">
        <v>247</v>
      </c>
      <c r="Y2981" s="12">
        <v>239</v>
      </c>
      <c r="Z2981" s="12">
        <v>263</v>
      </c>
      <c r="AA2981" s="12">
        <v>294</v>
      </c>
      <c r="AB2981" s="12">
        <v>309</v>
      </c>
      <c r="AC2981" s="12">
        <v>345</v>
      </c>
      <c r="AD2981" s="12">
        <v>368</v>
      </c>
      <c r="AE2981" s="12">
        <v>407</v>
      </c>
      <c r="AF2981" s="12">
        <v>434</v>
      </c>
      <c r="AG2981" s="12">
        <v>478</v>
      </c>
      <c r="AH2981" s="12">
        <v>465</v>
      </c>
      <c r="AI2981" s="12">
        <v>486</v>
      </c>
      <c r="AJ2981" s="12">
        <v>499</v>
      </c>
      <c r="AK2981" s="12">
        <v>490</v>
      </c>
      <c r="AL2981" s="12">
        <v>301</v>
      </c>
      <c r="AM2981" s="12">
        <v>538</v>
      </c>
      <c r="AN2981" s="1070">
        <v>431</v>
      </c>
      <c r="AO2981" s="1070">
        <v>488</v>
      </c>
    </row>
    <row r="2982" spans="1:44" s="66" customFormat="1" hidden="1" outlineLevel="1">
      <c r="A2982" s="579">
        <v>510</v>
      </c>
      <c r="B2982" s="568">
        <v>23485</v>
      </c>
      <c r="C2982" s="375" t="s">
        <v>1420</v>
      </c>
      <c r="D2982" s="226"/>
      <c r="E2982" s="23" t="s">
        <v>1383</v>
      </c>
      <c r="F2982" s="12"/>
      <c r="G2982" s="12"/>
      <c r="H2982" s="12"/>
      <c r="I2982" s="12"/>
      <c r="J2982" s="12">
        <v>162</v>
      </c>
      <c r="K2982" s="12">
        <v>140</v>
      </c>
      <c r="L2982" s="12">
        <v>225</v>
      </c>
      <c r="M2982" s="12">
        <v>275</v>
      </c>
      <c r="N2982" s="12">
        <v>259</v>
      </c>
      <c r="O2982" s="12">
        <v>257</v>
      </c>
      <c r="P2982" s="12">
        <v>316</v>
      </c>
      <c r="Q2982" s="12">
        <v>310</v>
      </c>
      <c r="R2982" s="12">
        <v>251</v>
      </c>
      <c r="S2982" s="12">
        <v>317</v>
      </c>
      <c r="T2982" s="12">
        <v>320</v>
      </c>
      <c r="U2982" s="12">
        <v>360</v>
      </c>
      <c r="V2982" s="12">
        <v>389</v>
      </c>
      <c r="W2982" s="12">
        <v>385</v>
      </c>
      <c r="X2982" s="12">
        <v>405</v>
      </c>
      <c r="Y2982" s="12">
        <v>419</v>
      </c>
      <c r="Z2982" s="12">
        <v>410</v>
      </c>
      <c r="AA2982" s="12">
        <v>431</v>
      </c>
      <c r="AB2982" s="12">
        <v>380</v>
      </c>
      <c r="AC2982" s="12">
        <v>393</v>
      </c>
      <c r="AD2982" s="12">
        <v>373</v>
      </c>
      <c r="AE2982" s="12">
        <v>296</v>
      </c>
      <c r="AF2982" s="12">
        <v>357</v>
      </c>
      <c r="AG2982" s="12">
        <v>427</v>
      </c>
      <c r="AH2982" s="12">
        <v>517</v>
      </c>
      <c r="AI2982" s="12">
        <v>640</v>
      </c>
      <c r="AJ2982" s="12">
        <v>965</v>
      </c>
      <c r="AK2982" s="12">
        <v>669</v>
      </c>
      <c r="AL2982" s="12">
        <v>459</v>
      </c>
      <c r="AM2982" s="12">
        <v>481</v>
      </c>
      <c r="AN2982" s="1070">
        <v>457</v>
      </c>
      <c r="AO2982" s="1070">
        <v>451</v>
      </c>
    </row>
    <row r="2983" spans="1:44" s="66" customFormat="1" hidden="1" outlineLevel="1">
      <c r="B2983" s="575">
        <v>445566</v>
      </c>
      <c r="C2983" s="226" t="s">
        <v>1420</v>
      </c>
      <c r="D2983" s="226"/>
      <c r="E2983" s="226" t="s">
        <v>1418</v>
      </c>
      <c r="F2983" s="34"/>
      <c r="G2983" s="34"/>
      <c r="H2983" s="34"/>
      <c r="I2983" s="34"/>
      <c r="J2983" s="34">
        <f t="shared" ref="J2983:AJ2983" si="487">SUM(J2980:J2982)</f>
        <v>266</v>
      </c>
      <c r="K2983" s="34">
        <f t="shared" si="487"/>
        <v>206</v>
      </c>
      <c r="L2983" s="34">
        <f t="shared" si="487"/>
        <v>331</v>
      </c>
      <c r="M2983" s="34">
        <f t="shared" si="487"/>
        <v>694</v>
      </c>
      <c r="N2983" s="34">
        <f t="shared" si="487"/>
        <v>654</v>
      </c>
      <c r="O2983" s="34">
        <f t="shared" si="487"/>
        <v>760</v>
      </c>
      <c r="P2983" s="34">
        <f t="shared" si="487"/>
        <v>823</v>
      </c>
      <c r="Q2983" s="34">
        <f t="shared" si="487"/>
        <v>889</v>
      </c>
      <c r="R2983" s="34">
        <f t="shared" si="487"/>
        <v>697</v>
      </c>
      <c r="S2983" s="34">
        <f t="shared" si="487"/>
        <v>779</v>
      </c>
      <c r="T2983" s="34">
        <f t="shared" si="487"/>
        <v>895</v>
      </c>
      <c r="U2983" s="34">
        <f t="shared" si="487"/>
        <v>992</v>
      </c>
      <c r="V2983" s="34">
        <f t="shared" si="487"/>
        <v>1089</v>
      </c>
      <c r="W2983" s="34">
        <f t="shared" si="487"/>
        <v>1123</v>
      </c>
      <c r="X2983" s="34">
        <f t="shared" si="487"/>
        <v>1157</v>
      </c>
      <c r="Y2983" s="34">
        <f t="shared" si="487"/>
        <v>1172</v>
      </c>
      <c r="Z2983" s="34">
        <f t="shared" si="487"/>
        <v>1204</v>
      </c>
      <c r="AA2983" s="34">
        <f t="shared" si="487"/>
        <v>1268</v>
      </c>
      <c r="AB2983" s="34">
        <f t="shared" si="487"/>
        <v>1236</v>
      </c>
      <c r="AC2983" s="34">
        <f t="shared" si="487"/>
        <v>1280</v>
      </c>
      <c r="AD2983" s="34">
        <f t="shared" si="487"/>
        <v>1228</v>
      </c>
      <c r="AE2983" s="34">
        <f t="shared" si="487"/>
        <v>1207</v>
      </c>
      <c r="AF2983" s="34">
        <f t="shared" si="487"/>
        <v>1338</v>
      </c>
      <c r="AG2983" s="34">
        <f t="shared" si="487"/>
        <v>1450</v>
      </c>
      <c r="AH2983" s="34">
        <f t="shared" si="487"/>
        <v>1516</v>
      </c>
      <c r="AI2983" s="34">
        <f t="shared" si="487"/>
        <v>1664</v>
      </c>
      <c r="AJ2983" s="34">
        <f t="shared" si="487"/>
        <v>1991</v>
      </c>
      <c r="AK2983" s="34">
        <f>SUM(AK2980:AK2982)</f>
        <v>1670</v>
      </c>
      <c r="AL2983" s="34">
        <f>SUM(AL2980:AL2982)</f>
        <v>1359</v>
      </c>
      <c r="AM2983" s="1073">
        <f>SUM(AM2980:AM2982)</f>
        <v>1723</v>
      </c>
      <c r="AN2983" s="1073">
        <f>SUM(AN2980:AN2982)</f>
        <v>1560</v>
      </c>
      <c r="AO2983" s="1073">
        <f>SUM(AO2980:AO2982)</f>
        <v>1635</v>
      </c>
      <c r="AR2983"/>
    </row>
    <row r="2984" spans="1:44" hidden="1" outlineLevel="1">
      <c r="B2984" s="568"/>
      <c r="C2984" s="25" t="s">
        <v>1631</v>
      </c>
      <c r="D2984" s="25"/>
      <c r="E2984" s="6"/>
      <c r="F2984" s="6"/>
      <c r="G2984" s="6"/>
      <c r="H2984" s="6"/>
      <c r="I2984" s="6"/>
      <c r="J2984" s="6"/>
      <c r="K2984" s="7"/>
      <c r="L2984" s="7"/>
      <c r="M2984" s="7"/>
      <c r="N2984" s="7"/>
      <c r="O2984" s="7"/>
      <c r="P2984" s="7"/>
      <c r="Q2984" s="7"/>
      <c r="R2984" s="7"/>
      <c r="S2984" s="7"/>
      <c r="T2984" s="7"/>
      <c r="U2984" s="7"/>
      <c r="V2984" s="7"/>
      <c r="W2984" s="7"/>
      <c r="X2984" s="7"/>
      <c r="Y2984" s="7"/>
      <c r="Z2984" s="7"/>
      <c r="AA2984" s="7"/>
      <c r="AB2984" s="7"/>
      <c r="AC2984" s="7"/>
      <c r="AD2984" s="7"/>
      <c r="AE2984" s="7"/>
      <c r="AF2984" s="7"/>
      <c r="AG2984" s="7"/>
      <c r="AH2984" s="61"/>
      <c r="AI2984" s="61"/>
      <c r="AJ2984" s="26"/>
      <c r="AK2984" s="26"/>
      <c r="AL2984" s="26"/>
      <c r="AM2984" s="26"/>
      <c r="AN2984" s="26"/>
      <c r="AO2984" s="1069"/>
      <c r="AP2984" s="1044"/>
      <c r="AR2984" s="330"/>
    </row>
    <row r="2985" spans="1:44" s="330" customFormat="1" hidden="1" outlineLevel="1">
      <c r="B2985" s="581">
        <v>3539</v>
      </c>
      <c r="C2985" s="375" t="s">
        <v>1420</v>
      </c>
      <c r="D2985" s="226"/>
      <c r="E2985" s="375" t="s">
        <v>102</v>
      </c>
      <c r="F2985" s="580"/>
      <c r="G2985" s="580"/>
      <c r="H2985" s="580"/>
      <c r="I2985" s="580"/>
      <c r="J2985" s="580">
        <v>711</v>
      </c>
      <c r="K2985" s="580">
        <v>711</v>
      </c>
      <c r="L2985" s="580">
        <v>760</v>
      </c>
      <c r="M2985" s="580">
        <v>732</v>
      </c>
      <c r="N2985" s="580">
        <v>743</v>
      </c>
      <c r="O2985" s="580">
        <v>843</v>
      </c>
      <c r="P2985" s="580">
        <v>702</v>
      </c>
      <c r="Q2985" s="580">
        <v>640</v>
      </c>
      <c r="R2985" s="580">
        <v>808</v>
      </c>
      <c r="S2985" s="580">
        <v>800</v>
      </c>
      <c r="T2985" s="580">
        <v>702</v>
      </c>
      <c r="U2985" s="580">
        <v>571</v>
      </c>
      <c r="V2985" s="580">
        <v>502</v>
      </c>
      <c r="W2985" s="580">
        <v>565</v>
      </c>
      <c r="X2985" s="580">
        <v>665</v>
      </c>
      <c r="Y2985" s="580">
        <v>713</v>
      </c>
      <c r="Z2985" s="580">
        <v>687</v>
      </c>
      <c r="AA2985" s="580">
        <v>687</v>
      </c>
      <c r="AB2985" s="580">
        <v>628</v>
      </c>
      <c r="AC2985" s="580">
        <v>845</v>
      </c>
      <c r="AD2985" s="580">
        <v>766</v>
      </c>
      <c r="AE2985" s="580">
        <v>813</v>
      </c>
      <c r="AF2985" s="580">
        <v>835</v>
      </c>
      <c r="AG2985" s="580">
        <v>934</v>
      </c>
      <c r="AH2985" s="580">
        <v>915</v>
      </c>
      <c r="AI2985" s="580">
        <v>916</v>
      </c>
      <c r="AJ2985" s="580">
        <v>1014</v>
      </c>
      <c r="AK2985" s="580">
        <v>1109</v>
      </c>
      <c r="AL2985" s="580">
        <v>1238</v>
      </c>
      <c r="AM2985" s="580">
        <v>1194</v>
      </c>
      <c r="AN2985" s="580">
        <v>1232</v>
      </c>
      <c r="AO2985" s="580">
        <v>1237</v>
      </c>
    </row>
    <row r="2986" spans="1:44" s="330" customFormat="1" hidden="1" outlineLevel="1">
      <c r="B2986" s="581">
        <v>3540</v>
      </c>
      <c r="C2986" s="375" t="s">
        <v>1420</v>
      </c>
      <c r="D2986" s="226"/>
      <c r="E2986" s="375" t="s">
        <v>103</v>
      </c>
      <c r="F2986" s="580"/>
      <c r="G2986" s="580"/>
      <c r="H2986" s="580"/>
      <c r="I2986" s="580"/>
      <c r="J2986" s="580">
        <v>895</v>
      </c>
      <c r="K2986" s="580">
        <v>642</v>
      </c>
      <c r="L2986" s="580">
        <v>762</v>
      </c>
      <c r="M2986" s="580">
        <v>813</v>
      </c>
      <c r="N2986" s="580">
        <v>897</v>
      </c>
      <c r="O2986" s="580">
        <v>960</v>
      </c>
      <c r="P2986" s="580">
        <v>898</v>
      </c>
      <c r="Q2986" s="580">
        <v>1008</v>
      </c>
      <c r="R2986" s="580">
        <v>1021</v>
      </c>
      <c r="S2986" s="580">
        <v>910</v>
      </c>
      <c r="T2986" s="580">
        <v>832</v>
      </c>
      <c r="U2986" s="580">
        <v>876</v>
      </c>
      <c r="V2986" s="580">
        <v>946</v>
      </c>
      <c r="W2986" s="580">
        <v>973</v>
      </c>
      <c r="X2986" s="580">
        <v>893</v>
      </c>
      <c r="Y2986" s="580">
        <v>989</v>
      </c>
      <c r="Z2986" s="580">
        <v>1050</v>
      </c>
      <c r="AA2986" s="580">
        <v>1174</v>
      </c>
      <c r="AB2986" s="580">
        <v>1162</v>
      </c>
      <c r="AC2986" s="580">
        <v>1188</v>
      </c>
      <c r="AD2986" s="580">
        <v>1227</v>
      </c>
      <c r="AE2986" s="580">
        <v>1077</v>
      </c>
      <c r="AF2986" s="580">
        <v>1266</v>
      </c>
      <c r="AG2986" s="580">
        <v>1677</v>
      </c>
      <c r="AH2986" s="580">
        <v>1698</v>
      </c>
      <c r="AI2986" s="580">
        <v>1619</v>
      </c>
      <c r="AJ2986" s="580">
        <v>1574</v>
      </c>
      <c r="AK2986" s="580">
        <v>1829</v>
      </c>
      <c r="AL2986" s="580">
        <v>1717</v>
      </c>
      <c r="AM2986" s="580">
        <v>2190</v>
      </c>
      <c r="AN2986" s="580">
        <v>2134</v>
      </c>
      <c r="AO2986" s="580">
        <v>2460</v>
      </c>
    </row>
    <row r="2987" spans="1:44" s="330" customFormat="1" hidden="1" outlineLevel="1">
      <c r="B2987" s="581">
        <v>3546</v>
      </c>
      <c r="C2987" s="375" t="s">
        <v>1420</v>
      </c>
      <c r="D2987" s="226"/>
      <c r="E2987" s="375" t="s">
        <v>167</v>
      </c>
      <c r="F2987" s="580"/>
      <c r="G2987" s="580"/>
      <c r="H2987" s="580"/>
      <c r="I2987" s="580"/>
      <c r="J2987" s="580">
        <v>497</v>
      </c>
      <c r="K2987" s="580">
        <v>546</v>
      </c>
      <c r="L2987" s="580">
        <v>522</v>
      </c>
      <c r="M2987" s="580">
        <v>520</v>
      </c>
      <c r="N2987" s="580">
        <v>415</v>
      </c>
      <c r="O2987" s="580">
        <v>435</v>
      </c>
      <c r="P2987" s="580">
        <v>610</v>
      </c>
      <c r="Q2987" s="580">
        <v>572</v>
      </c>
      <c r="R2987" s="580">
        <v>567</v>
      </c>
      <c r="S2987" s="580">
        <v>581</v>
      </c>
      <c r="T2987" s="580">
        <v>538</v>
      </c>
      <c r="U2987" s="580">
        <v>575</v>
      </c>
      <c r="V2987" s="580">
        <v>564</v>
      </c>
      <c r="W2987" s="580">
        <v>559</v>
      </c>
      <c r="X2987" s="580">
        <v>583</v>
      </c>
      <c r="Y2987" s="580">
        <v>616</v>
      </c>
      <c r="Z2987" s="580">
        <v>662</v>
      </c>
      <c r="AA2987" s="580">
        <v>644</v>
      </c>
      <c r="AB2987" s="580">
        <v>501</v>
      </c>
      <c r="AC2987" s="580">
        <v>500</v>
      </c>
      <c r="AD2987" s="580">
        <v>509</v>
      </c>
      <c r="AE2987" s="580">
        <v>643</v>
      </c>
      <c r="AF2987" s="580">
        <v>691</v>
      </c>
      <c r="AG2987" s="580">
        <v>736</v>
      </c>
      <c r="AH2987" s="580">
        <v>805</v>
      </c>
      <c r="AI2987" s="580">
        <v>869</v>
      </c>
      <c r="AJ2987" s="580">
        <v>733</v>
      </c>
      <c r="AK2987" s="580">
        <v>664</v>
      </c>
      <c r="AL2987" s="580">
        <v>620</v>
      </c>
      <c r="AM2987" s="580">
        <v>821</v>
      </c>
      <c r="AN2987" s="580">
        <v>887</v>
      </c>
      <c r="AO2987" s="580">
        <v>822</v>
      </c>
    </row>
    <row r="2988" spans="1:44" s="330" customFormat="1" hidden="1" outlineLevel="1">
      <c r="B2988" s="581">
        <v>3549</v>
      </c>
      <c r="C2988" s="375" t="s">
        <v>1420</v>
      </c>
      <c r="D2988" s="226"/>
      <c r="E2988" s="375" t="s">
        <v>106</v>
      </c>
      <c r="F2988" s="580"/>
      <c r="G2988" s="580"/>
      <c r="H2988" s="580"/>
      <c r="I2988" s="580"/>
      <c r="J2988" s="580">
        <v>315</v>
      </c>
      <c r="K2988" s="580">
        <v>283</v>
      </c>
      <c r="L2988" s="580">
        <v>384</v>
      </c>
      <c r="M2988" s="580">
        <v>381</v>
      </c>
      <c r="N2988" s="580">
        <v>509</v>
      </c>
      <c r="O2988" s="580">
        <v>453</v>
      </c>
      <c r="P2988" s="580">
        <v>387</v>
      </c>
      <c r="Q2988" s="580">
        <v>381</v>
      </c>
      <c r="R2988" s="580">
        <v>477</v>
      </c>
      <c r="S2988" s="580">
        <v>501</v>
      </c>
      <c r="T2988" s="580">
        <v>593</v>
      </c>
      <c r="U2988" s="580">
        <v>629</v>
      </c>
      <c r="V2988" s="580">
        <v>645</v>
      </c>
      <c r="W2988" s="580">
        <v>633</v>
      </c>
      <c r="X2988" s="580">
        <v>624</v>
      </c>
      <c r="Y2988" s="580">
        <v>886</v>
      </c>
      <c r="Z2988" s="580">
        <v>623</v>
      </c>
      <c r="AA2988" s="580">
        <v>898</v>
      </c>
      <c r="AB2988" s="580">
        <v>939</v>
      </c>
      <c r="AC2988" s="580">
        <v>1036</v>
      </c>
      <c r="AD2988" s="580">
        <v>1093</v>
      </c>
      <c r="AE2988" s="580">
        <v>1254</v>
      </c>
      <c r="AF2988" s="580">
        <v>1124</v>
      </c>
      <c r="AG2988" s="580">
        <v>1261</v>
      </c>
      <c r="AH2988" s="580">
        <v>1195</v>
      </c>
      <c r="AI2988" s="580">
        <v>1227</v>
      </c>
      <c r="AJ2988" s="580">
        <v>1577</v>
      </c>
      <c r="AK2988" s="580">
        <v>1585</v>
      </c>
      <c r="AL2988" s="580">
        <v>1375</v>
      </c>
      <c r="AM2988" s="580">
        <v>2496</v>
      </c>
      <c r="AN2988" s="580">
        <v>2292</v>
      </c>
      <c r="AO2988" s="580">
        <v>1688</v>
      </c>
    </row>
    <row r="2989" spans="1:44" s="330" customFormat="1" hidden="1" outlineLevel="1">
      <c r="B2989" s="581">
        <v>3553</v>
      </c>
      <c r="C2989" s="375" t="s">
        <v>1420</v>
      </c>
      <c r="D2989" s="226"/>
      <c r="E2989" s="375" t="s">
        <v>1404</v>
      </c>
      <c r="F2989" s="580"/>
      <c r="G2989" s="580"/>
      <c r="H2989" s="580"/>
      <c r="I2989" s="580"/>
      <c r="J2989" s="580">
        <v>214</v>
      </c>
      <c r="K2989" s="580">
        <v>250</v>
      </c>
      <c r="L2989" s="580">
        <v>134</v>
      </c>
      <c r="M2989" s="580">
        <v>184</v>
      </c>
      <c r="N2989" s="580">
        <v>259</v>
      </c>
      <c r="O2989" s="580">
        <v>242</v>
      </c>
      <c r="P2989" s="580">
        <v>237</v>
      </c>
      <c r="Q2989" s="580">
        <v>282</v>
      </c>
      <c r="R2989" s="580">
        <v>210</v>
      </c>
      <c r="S2989" s="580">
        <v>267</v>
      </c>
      <c r="T2989" s="580">
        <v>260</v>
      </c>
      <c r="U2989" s="580">
        <v>300</v>
      </c>
      <c r="V2989" s="580">
        <v>325</v>
      </c>
      <c r="W2989" s="580">
        <v>296</v>
      </c>
      <c r="X2989" s="580">
        <v>304</v>
      </c>
      <c r="Y2989" s="580">
        <v>372</v>
      </c>
      <c r="Z2989" s="580">
        <v>372</v>
      </c>
      <c r="AA2989" s="580">
        <v>386</v>
      </c>
      <c r="AB2989" s="580">
        <v>432</v>
      </c>
      <c r="AC2989" s="580">
        <v>420</v>
      </c>
      <c r="AD2989" s="580">
        <v>418</v>
      </c>
      <c r="AE2989" s="580">
        <v>442</v>
      </c>
      <c r="AF2989" s="580">
        <v>416</v>
      </c>
      <c r="AG2989" s="580">
        <v>449</v>
      </c>
      <c r="AH2989" s="580">
        <v>627</v>
      </c>
      <c r="AI2989" s="580">
        <v>523</v>
      </c>
      <c r="AJ2989" s="580">
        <v>612</v>
      </c>
      <c r="AK2989" s="580">
        <v>578</v>
      </c>
      <c r="AL2989" s="580">
        <v>636</v>
      </c>
      <c r="AM2989" s="580">
        <v>625</v>
      </c>
      <c r="AN2989" s="580">
        <v>693</v>
      </c>
      <c r="AO2989" s="580">
        <v>735</v>
      </c>
    </row>
    <row r="2990" spans="1:44" s="330" customFormat="1" hidden="1" outlineLevel="1">
      <c r="B2990" s="581">
        <v>3554</v>
      </c>
      <c r="C2990" s="375" t="s">
        <v>1420</v>
      </c>
      <c r="D2990" s="226"/>
      <c r="E2990" s="375" t="s">
        <v>110</v>
      </c>
      <c r="F2990" s="580"/>
      <c r="G2990" s="580"/>
      <c r="H2990" s="580"/>
      <c r="I2990" s="580"/>
      <c r="J2990" s="580">
        <v>187</v>
      </c>
      <c r="K2990" s="580">
        <v>213</v>
      </c>
      <c r="L2990" s="580">
        <v>192</v>
      </c>
      <c r="M2990" s="580">
        <v>169</v>
      </c>
      <c r="N2990" s="580">
        <v>154</v>
      </c>
      <c r="O2990" s="580">
        <v>149</v>
      </c>
      <c r="P2990" s="580">
        <v>151</v>
      </c>
      <c r="Q2990" s="580">
        <v>135</v>
      </c>
      <c r="R2990" s="580">
        <v>143</v>
      </c>
      <c r="S2990" s="580">
        <v>149</v>
      </c>
      <c r="T2990" s="580">
        <v>112</v>
      </c>
      <c r="U2990" s="580">
        <v>120</v>
      </c>
      <c r="V2990" s="580">
        <v>113</v>
      </c>
      <c r="W2990" s="580">
        <v>95</v>
      </c>
      <c r="X2990" s="580">
        <v>98</v>
      </c>
      <c r="Y2990" s="580">
        <v>123</v>
      </c>
      <c r="Z2990" s="580">
        <v>115</v>
      </c>
      <c r="AA2990" s="580">
        <v>134</v>
      </c>
      <c r="AB2990" s="580">
        <v>201</v>
      </c>
      <c r="AC2990" s="580">
        <v>240</v>
      </c>
      <c r="AD2990" s="580">
        <v>225</v>
      </c>
      <c r="AE2990" s="580">
        <v>176</v>
      </c>
      <c r="AF2990" s="580">
        <v>205</v>
      </c>
      <c r="AG2990" s="580">
        <v>223</v>
      </c>
      <c r="AH2990" s="580">
        <v>223</v>
      </c>
      <c r="AI2990" s="580">
        <v>238</v>
      </c>
      <c r="AJ2990" s="580">
        <v>198</v>
      </c>
      <c r="AK2990" s="580">
        <v>268</v>
      </c>
      <c r="AL2990" s="580">
        <v>257</v>
      </c>
      <c r="AM2990" s="580">
        <v>283</v>
      </c>
      <c r="AN2990" s="580">
        <v>301</v>
      </c>
      <c r="AO2990" s="580">
        <v>342</v>
      </c>
    </row>
    <row r="2991" spans="1:44" s="330" customFormat="1" hidden="1" outlineLevel="1">
      <c r="B2991" s="581">
        <v>3558</v>
      </c>
      <c r="C2991" s="375" t="s">
        <v>1420</v>
      </c>
      <c r="D2991" s="226"/>
      <c r="E2991" s="375" t="s">
        <v>1405</v>
      </c>
      <c r="F2991" s="580"/>
      <c r="G2991" s="580"/>
      <c r="H2991" s="580"/>
      <c r="I2991" s="580"/>
      <c r="J2991" s="580">
        <v>220</v>
      </c>
      <c r="K2991" s="580">
        <v>258</v>
      </c>
      <c r="L2991" s="580">
        <v>224</v>
      </c>
      <c r="M2991" s="580">
        <v>266</v>
      </c>
      <c r="N2991" s="580">
        <v>291</v>
      </c>
      <c r="O2991" s="580">
        <v>306</v>
      </c>
      <c r="P2991" s="580">
        <v>361</v>
      </c>
      <c r="Q2991" s="580">
        <v>415</v>
      </c>
      <c r="R2991" s="580">
        <v>373</v>
      </c>
      <c r="S2991" s="580">
        <v>426</v>
      </c>
      <c r="T2991" s="580">
        <v>359</v>
      </c>
      <c r="U2991" s="580">
        <v>366</v>
      </c>
      <c r="V2991" s="580">
        <v>340</v>
      </c>
      <c r="W2991" s="580">
        <v>405</v>
      </c>
      <c r="X2991" s="580">
        <v>479</v>
      </c>
      <c r="Y2991" s="580">
        <v>443</v>
      </c>
      <c r="Z2991" s="580">
        <v>597</v>
      </c>
      <c r="AA2991" s="580">
        <v>521</v>
      </c>
      <c r="AB2991" s="580">
        <v>516</v>
      </c>
      <c r="AC2991" s="580">
        <v>577</v>
      </c>
      <c r="AD2991" s="580">
        <v>558</v>
      </c>
      <c r="AE2991" s="580">
        <v>599</v>
      </c>
      <c r="AF2991" s="580">
        <v>718</v>
      </c>
      <c r="AG2991" s="580">
        <v>782</v>
      </c>
      <c r="AH2991" s="580">
        <v>868</v>
      </c>
      <c r="AI2991" s="580">
        <v>1086</v>
      </c>
      <c r="AJ2991" s="580">
        <v>1052</v>
      </c>
      <c r="AK2991" s="580">
        <v>1146</v>
      </c>
      <c r="AL2991" s="580">
        <v>1084</v>
      </c>
      <c r="AM2991" s="580">
        <v>990</v>
      </c>
      <c r="AN2991" s="580">
        <v>1106</v>
      </c>
      <c r="AO2991" s="580">
        <v>1178</v>
      </c>
    </row>
    <row r="2992" spans="1:44" s="330" customFormat="1" hidden="1" outlineLevel="1">
      <c r="B2992" s="582">
        <v>3563</v>
      </c>
      <c r="C2992" s="375" t="s">
        <v>1420</v>
      </c>
      <c r="D2992" s="226"/>
      <c r="E2992" s="375" t="s">
        <v>114</v>
      </c>
      <c r="F2992" s="580"/>
      <c r="G2992" s="580"/>
      <c r="H2992" s="580"/>
      <c r="I2992" s="580"/>
      <c r="J2992" s="580">
        <v>873</v>
      </c>
      <c r="K2992" s="580">
        <v>787</v>
      </c>
      <c r="L2992" s="580">
        <v>747</v>
      </c>
      <c r="M2992" s="580">
        <v>650</v>
      </c>
      <c r="N2992" s="580">
        <v>823</v>
      </c>
      <c r="O2992" s="580">
        <v>1003</v>
      </c>
      <c r="P2992" s="580">
        <v>999</v>
      </c>
      <c r="Q2992" s="580">
        <v>997</v>
      </c>
      <c r="R2992" s="580">
        <v>963</v>
      </c>
      <c r="S2992" s="580">
        <v>987</v>
      </c>
      <c r="T2992" s="580">
        <v>1049</v>
      </c>
      <c r="U2992" s="580">
        <v>962</v>
      </c>
      <c r="V2992" s="580">
        <v>1021</v>
      </c>
      <c r="W2992" s="580">
        <v>1069</v>
      </c>
      <c r="X2992" s="580">
        <v>1125</v>
      </c>
      <c r="Y2992" s="580">
        <v>1184</v>
      </c>
      <c r="Z2992" s="580">
        <v>1246</v>
      </c>
      <c r="AA2992" s="580">
        <v>1315</v>
      </c>
      <c r="AB2992" s="580">
        <v>1456</v>
      </c>
      <c r="AC2992" s="580">
        <v>1303</v>
      </c>
      <c r="AD2992" s="580">
        <v>1330</v>
      </c>
      <c r="AE2992" s="580">
        <v>1532</v>
      </c>
      <c r="AF2992" s="580">
        <v>1487</v>
      </c>
      <c r="AG2992" s="580">
        <v>1572</v>
      </c>
      <c r="AH2992" s="580">
        <v>1455</v>
      </c>
      <c r="AI2992" s="580">
        <v>1640</v>
      </c>
      <c r="AJ2992" s="580">
        <v>1445</v>
      </c>
      <c r="AK2992" s="580">
        <v>1419</v>
      </c>
      <c r="AL2992" s="580">
        <v>1538</v>
      </c>
      <c r="AM2992" s="580">
        <v>1797</v>
      </c>
      <c r="AN2992" s="580">
        <v>2027</v>
      </c>
      <c r="AO2992" s="580">
        <v>1848</v>
      </c>
    </row>
    <row r="2993" spans="2:41" s="330" customFormat="1" hidden="1" outlineLevel="1">
      <c r="B2993" s="582">
        <v>3568</v>
      </c>
      <c r="C2993" s="375" t="s">
        <v>1420</v>
      </c>
      <c r="D2993" s="226"/>
      <c r="E2993" s="375" t="s">
        <v>116</v>
      </c>
      <c r="F2993" s="580"/>
      <c r="G2993" s="580"/>
      <c r="H2993" s="580"/>
      <c r="I2993" s="580"/>
      <c r="J2993" s="580">
        <v>128</v>
      </c>
      <c r="K2993" s="580">
        <v>105</v>
      </c>
      <c r="L2993" s="580">
        <v>127</v>
      </c>
      <c r="M2993" s="580">
        <v>98</v>
      </c>
      <c r="N2993" s="580">
        <v>130</v>
      </c>
      <c r="O2993" s="580">
        <v>205</v>
      </c>
      <c r="P2993" s="580">
        <v>207</v>
      </c>
      <c r="Q2993" s="580">
        <v>159</v>
      </c>
      <c r="R2993" s="580">
        <v>119</v>
      </c>
      <c r="S2993" s="580">
        <v>155</v>
      </c>
      <c r="T2993" s="580">
        <v>200</v>
      </c>
      <c r="U2993" s="580">
        <v>180</v>
      </c>
      <c r="V2993" s="580">
        <v>157</v>
      </c>
      <c r="W2993" s="580">
        <v>173</v>
      </c>
      <c r="X2993" s="580">
        <v>218</v>
      </c>
      <c r="Y2993" s="580">
        <v>195</v>
      </c>
      <c r="Z2993" s="580">
        <v>177</v>
      </c>
      <c r="AA2993" s="580">
        <v>193</v>
      </c>
      <c r="AB2993" s="580">
        <v>189</v>
      </c>
      <c r="AC2993" s="580">
        <v>125</v>
      </c>
      <c r="AD2993" s="580">
        <v>151</v>
      </c>
      <c r="AE2993" s="580">
        <v>152</v>
      </c>
      <c r="AF2993" s="580">
        <v>138</v>
      </c>
      <c r="AG2993" s="580">
        <v>137</v>
      </c>
      <c r="AH2993" s="580">
        <v>135</v>
      </c>
      <c r="AI2993" s="580">
        <v>141</v>
      </c>
      <c r="AJ2993" s="580">
        <v>161</v>
      </c>
      <c r="AK2993" s="580">
        <v>184</v>
      </c>
      <c r="AL2993" s="580">
        <v>186</v>
      </c>
      <c r="AM2993" s="580">
        <v>194</v>
      </c>
      <c r="AN2993" s="580">
        <v>180</v>
      </c>
      <c r="AO2993" s="580">
        <v>221</v>
      </c>
    </row>
    <row r="2994" spans="2:41" s="330" customFormat="1" hidden="1" outlineLevel="1">
      <c r="B2994" s="582">
        <v>3570</v>
      </c>
      <c r="C2994" s="375" t="s">
        <v>1420</v>
      </c>
      <c r="D2994" s="226"/>
      <c r="E2994" s="375" t="s">
        <v>1406</v>
      </c>
      <c r="F2994" s="580"/>
      <c r="G2994" s="580"/>
      <c r="H2994" s="580"/>
      <c r="I2994" s="580"/>
      <c r="J2994" s="580">
        <v>403</v>
      </c>
      <c r="K2994" s="580">
        <v>433</v>
      </c>
      <c r="L2994" s="580">
        <v>472</v>
      </c>
      <c r="M2994" s="580">
        <v>447</v>
      </c>
      <c r="N2994" s="580">
        <v>456</v>
      </c>
      <c r="O2994" s="580">
        <v>582</v>
      </c>
      <c r="P2994" s="580">
        <v>634</v>
      </c>
      <c r="Q2994" s="580">
        <v>590</v>
      </c>
      <c r="R2994" s="580">
        <v>667</v>
      </c>
      <c r="S2994" s="580">
        <v>645</v>
      </c>
      <c r="T2994" s="580">
        <v>613</v>
      </c>
      <c r="U2994" s="580">
        <v>530</v>
      </c>
      <c r="V2994" s="580">
        <v>631</v>
      </c>
      <c r="W2994" s="580">
        <v>587</v>
      </c>
      <c r="X2994" s="580">
        <v>659</v>
      </c>
      <c r="Y2994" s="580">
        <v>712</v>
      </c>
      <c r="Z2994" s="580">
        <v>670</v>
      </c>
      <c r="AA2994" s="580">
        <v>769</v>
      </c>
      <c r="AB2994" s="580">
        <v>651</v>
      </c>
      <c r="AC2994" s="580">
        <v>531</v>
      </c>
      <c r="AD2994" s="580">
        <v>714</v>
      </c>
      <c r="AE2994" s="580">
        <v>739</v>
      </c>
      <c r="AF2994" s="580">
        <v>794</v>
      </c>
      <c r="AG2994" s="580">
        <v>942</v>
      </c>
      <c r="AH2994" s="580">
        <v>985</v>
      </c>
      <c r="AI2994" s="580">
        <v>952</v>
      </c>
      <c r="AJ2994" s="580">
        <v>1048</v>
      </c>
      <c r="AK2994" s="580">
        <v>843</v>
      </c>
      <c r="AL2994" s="580">
        <v>908</v>
      </c>
      <c r="AM2994" s="580">
        <v>932</v>
      </c>
      <c r="AN2994" s="580">
        <v>901</v>
      </c>
      <c r="AO2994" s="580">
        <v>1144</v>
      </c>
    </row>
    <row r="2995" spans="2:41" s="330" customFormat="1" hidden="1" outlineLevel="1">
      <c r="B2995" s="582">
        <v>3572</v>
      </c>
      <c r="C2995" s="375" t="s">
        <v>1420</v>
      </c>
      <c r="D2995" s="226"/>
      <c r="E2995" s="375" t="s">
        <v>143</v>
      </c>
      <c r="F2995" s="580"/>
      <c r="G2995" s="580"/>
      <c r="H2995" s="580"/>
      <c r="I2995" s="580"/>
      <c r="J2995" s="580">
        <v>708</v>
      </c>
      <c r="K2995" s="580">
        <v>734</v>
      </c>
      <c r="L2995" s="580">
        <v>749</v>
      </c>
      <c r="M2995" s="580">
        <v>805</v>
      </c>
      <c r="N2995" s="580">
        <v>880</v>
      </c>
      <c r="O2995" s="580">
        <v>887</v>
      </c>
      <c r="P2995" s="580">
        <v>979</v>
      </c>
      <c r="Q2995" s="580">
        <v>986</v>
      </c>
      <c r="R2995" s="580">
        <v>879</v>
      </c>
      <c r="S2995" s="580">
        <v>1112</v>
      </c>
      <c r="T2995" s="580">
        <v>1108</v>
      </c>
      <c r="U2995" s="580">
        <v>1001</v>
      </c>
      <c r="V2995" s="580">
        <v>1026</v>
      </c>
      <c r="W2995" s="580">
        <v>1128</v>
      </c>
      <c r="X2995" s="580">
        <v>1129</v>
      </c>
      <c r="Y2995" s="580">
        <v>1294</v>
      </c>
      <c r="Z2995" s="580">
        <v>1298</v>
      </c>
      <c r="AA2995" s="580">
        <v>1370</v>
      </c>
      <c r="AB2995" s="580">
        <v>1315</v>
      </c>
      <c r="AC2995" s="580">
        <v>1348</v>
      </c>
      <c r="AD2995" s="580">
        <v>1308</v>
      </c>
      <c r="AE2995" s="580">
        <v>1376</v>
      </c>
      <c r="AF2995" s="580">
        <v>1311</v>
      </c>
      <c r="AG2995" s="580">
        <v>1534</v>
      </c>
      <c r="AH2995" s="580">
        <v>1541</v>
      </c>
      <c r="AI2995" s="580">
        <v>1593</v>
      </c>
      <c r="AJ2995" s="580">
        <v>1709</v>
      </c>
      <c r="AK2995" s="580">
        <v>1781</v>
      </c>
      <c r="AL2995" s="580">
        <v>1697</v>
      </c>
      <c r="AM2995" s="580">
        <v>1800</v>
      </c>
      <c r="AN2995" s="580">
        <v>1908</v>
      </c>
      <c r="AO2995" s="580">
        <v>1962</v>
      </c>
    </row>
    <row r="2996" spans="2:41" s="330" customFormat="1" hidden="1" outlineLevel="1">
      <c r="B2996" s="582">
        <v>3573</v>
      </c>
      <c r="C2996" s="375" t="s">
        <v>1420</v>
      </c>
      <c r="D2996" s="226"/>
      <c r="E2996" s="375" t="s">
        <v>119</v>
      </c>
      <c r="F2996" s="580"/>
      <c r="G2996" s="580"/>
      <c r="H2996" s="580"/>
      <c r="I2996" s="580"/>
      <c r="J2996" s="580">
        <v>136</v>
      </c>
      <c r="K2996" s="580">
        <v>135</v>
      </c>
      <c r="L2996" s="580">
        <v>155</v>
      </c>
      <c r="M2996" s="580">
        <v>173</v>
      </c>
      <c r="N2996" s="580">
        <v>192</v>
      </c>
      <c r="O2996" s="580">
        <v>205</v>
      </c>
      <c r="P2996" s="580">
        <v>193</v>
      </c>
      <c r="Q2996" s="580">
        <v>254</v>
      </c>
      <c r="R2996" s="580">
        <v>276</v>
      </c>
      <c r="S2996" s="580">
        <v>327</v>
      </c>
      <c r="T2996" s="580">
        <v>300</v>
      </c>
      <c r="U2996" s="580">
        <v>286</v>
      </c>
      <c r="V2996" s="580">
        <v>280</v>
      </c>
      <c r="W2996" s="580">
        <v>266</v>
      </c>
      <c r="X2996" s="580">
        <v>380</v>
      </c>
      <c r="Y2996" s="580">
        <v>474</v>
      </c>
      <c r="Z2996" s="580">
        <v>671</v>
      </c>
      <c r="AA2996" s="580">
        <v>567</v>
      </c>
      <c r="AB2996" s="580">
        <v>422</v>
      </c>
      <c r="AC2996" s="580">
        <v>490</v>
      </c>
      <c r="AD2996" s="580">
        <v>449</v>
      </c>
      <c r="AE2996" s="580">
        <v>504</v>
      </c>
      <c r="AF2996" s="580">
        <v>545</v>
      </c>
      <c r="AG2996" s="580">
        <v>747</v>
      </c>
      <c r="AH2996" s="580">
        <v>995</v>
      </c>
      <c r="AI2996" s="580">
        <v>661</v>
      </c>
      <c r="AJ2996" s="580">
        <v>667</v>
      </c>
      <c r="AK2996" s="580">
        <v>575</v>
      </c>
      <c r="AL2996" s="580">
        <v>804</v>
      </c>
      <c r="AM2996" s="580">
        <v>689</v>
      </c>
      <c r="AN2996" s="580">
        <v>701</v>
      </c>
      <c r="AO2996" s="580">
        <v>788</v>
      </c>
    </row>
    <row r="2997" spans="2:41" s="330" customFormat="1" hidden="1" outlineLevel="1">
      <c r="B2997" s="582">
        <v>3580</v>
      </c>
      <c r="C2997" s="375" t="s">
        <v>1420</v>
      </c>
      <c r="D2997" s="226"/>
      <c r="E2997" s="375" t="s">
        <v>122</v>
      </c>
      <c r="F2997" s="580"/>
      <c r="G2997" s="580"/>
      <c r="H2997" s="580"/>
      <c r="I2997" s="580"/>
      <c r="J2997" s="580">
        <v>428</v>
      </c>
      <c r="K2997" s="580">
        <v>355</v>
      </c>
      <c r="L2997" s="580">
        <v>429</v>
      </c>
      <c r="M2997" s="580">
        <v>311</v>
      </c>
      <c r="N2997" s="580">
        <v>385</v>
      </c>
      <c r="O2997" s="580">
        <v>1004</v>
      </c>
      <c r="P2997" s="580">
        <v>848</v>
      </c>
      <c r="Q2997" s="580">
        <v>964</v>
      </c>
      <c r="R2997" s="580">
        <v>915</v>
      </c>
      <c r="S2997" s="580">
        <v>808</v>
      </c>
      <c r="T2997" s="580">
        <v>730</v>
      </c>
      <c r="U2997" s="580">
        <v>717</v>
      </c>
      <c r="V2997" s="580">
        <v>764</v>
      </c>
      <c r="W2997" s="580">
        <v>652</v>
      </c>
      <c r="X2997" s="580">
        <v>791</v>
      </c>
      <c r="Y2997" s="580">
        <v>959</v>
      </c>
      <c r="Z2997" s="580">
        <v>902</v>
      </c>
      <c r="AA2997" s="580">
        <v>1125</v>
      </c>
      <c r="AB2997" s="580">
        <v>897</v>
      </c>
      <c r="AC2997" s="580">
        <v>1037</v>
      </c>
      <c r="AD2997" s="580">
        <v>1113</v>
      </c>
      <c r="AE2997" s="580">
        <v>1177</v>
      </c>
      <c r="AF2997" s="580">
        <v>1291</v>
      </c>
      <c r="AG2997" s="580">
        <v>1406</v>
      </c>
      <c r="AH2997" s="580">
        <v>1473</v>
      </c>
      <c r="AI2997" s="580">
        <v>1467</v>
      </c>
      <c r="AJ2997" s="580">
        <v>1449</v>
      </c>
      <c r="AK2997" s="580">
        <v>1436</v>
      </c>
      <c r="AL2997" s="580">
        <v>1333</v>
      </c>
      <c r="AM2997" s="580">
        <v>1152</v>
      </c>
      <c r="AN2997" s="580">
        <v>1018</v>
      </c>
      <c r="AO2997" s="580">
        <v>1278</v>
      </c>
    </row>
    <row r="2998" spans="2:41" s="330" customFormat="1" hidden="1" outlineLevel="1">
      <c r="B2998" s="582">
        <v>3582</v>
      </c>
      <c r="C2998" s="375" t="s">
        <v>1420</v>
      </c>
      <c r="D2998" s="226"/>
      <c r="E2998" s="375" t="s">
        <v>123</v>
      </c>
      <c r="F2998" s="580"/>
      <c r="G2998" s="580"/>
      <c r="H2998" s="580"/>
      <c r="I2998" s="580"/>
      <c r="J2998" s="580">
        <v>383</v>
      </c>
      <c r="K2998" s="580">
        <v>369</v>
      </c>
      <c r="L2998" s="580">
        <v>352</v>
      </c>
      <c r="M2998" s="580">
        <v>378</v>
      </c>
      <c r="N2998" s="580">
        <v>438</v>
      </c>
      <c r="O2998" s="580">
        <v>495</v>
      </c>
      <c r="P2998" s="580">
        <v>577</v>
      </c>
      <c r="Q2998" s="580">
        <v>569</v>
      </c>
      <c r="R2998" s="580">
        <v>587</v>
      </c>
      <c r="S2998" s="580">
        <v>650</v>
      </c>
      <c r="T2998" s="580">
        <v>616</v>
      </c>
      <c r="U2998" s="580">
        <v>659</v>
      </c>
      <c r="V2998" s="580">
        <v>696</v>
      </c>
      <c r="W2998" s="580">
        <v>708</v>
      </c>
      <c r="X2998" s="580">
        <v>848</v>
      </c>
      <c r="Y2998" s="580">
        <v>853</v>
      </c>
      <c r="Z2998" s="580">
        <v>872</v>
      </c>
      <c r="AA2998" s="580">
        <v>772</v>
      </c>
      <c r="AB2998" s="580">
        <v>857</v>
      </c>
      <c r="AC2998" s="580">
        <v>868</v>
      </c>
      <c r="AD2998" s="580">
        <v>925</v>
      </c>
      <c r="AE2998" s="580">
        <v>930</v>
      </c>
      <c r="AF2998" s="580">
        <v>926</v>
      </c>
      <c r="AG2998" s="580">
        <v>1160</v>
      </c>
      <c r="AH2998" s="580">
        <v>1293</v>
      </c>
      <c r="AI2998" s="580">
        <v>1630</v>
      </c>
      <c r="AJ2998" s="580">
        <v>1437</v>
      </c>
      <c r="AK2998" s="580">
        <v>1632</v>
      </c>
      <c r="AL2998" s="580">
        <v>1690</v>
      </c>
      <c r="AM2998" s="580">
        <v>1683</v>
      </c>
      <c r="AN2998" s="580">
        <v>2041</v>
      </c>
      <c r="AO2998" s="580">
        <v>1861</v>
      </c>
    </row>
    <row r="2999" spans="2:41" s="330" customFormat="1" hidden="1" outlineLevel="1">
      <c r="B2999" s="582">
        <v>3583</v>
      </c>
      <c r="C2999" s="375" t="s">
        <v>1420</v>
      </c>
      <c r="D2999" s="226"/>
      <c r="E2999" s="375" t="s">
        <v>174</v>
      </c>
      <c r="F2999" s="580"/>
      <c r="G2999" s="580"/>
      <c r="H2999" s="580"/>
      <c r="I2999" s="580"/>
      <c r="J2999" s="580">
        <v>682</v>
      </c>
      <c r="K2999" s="580">
        <v>429</v>
      </c>
      <c r="L2999" s="580">
        <v>718</v>
      </c>
      <c r="M2999" s="580">
        <v>769</v>
      </c>
      <c r="N2999" s="580">
        <v>778</v>
      </c>
      <c r="O2999" s="580">
        <v>1007</v>
      </c>
      <c r="P2999" s="580">
        <v>1079</v>
      </c>
      <c r="Q2999" s="580">
        <v>903</v>
      </c>
      <c r="R2999" s="580">
        <v>1032</v>
      </c>
      <c r="S2999" s="580">
        <v>1243</v>
      </c>
      <c r="T2999" s="580">
        <v>1496</v>
      </c>
      <c r="U2999" s="580">
        <v>1392</v>
      </c>
      <c r="V2999" s="580">
        <v>1124</v>
      </c>
      <c r="W2999" s="580">
        <v>1157</v>
      </c>
      <c r="X2999" s="580">
        <v>1148</v>
      </c>
      <c r="Y2999" s="580">
        <v>1258</v>
      </c>
      <c r="Z2999" s="580">
        <v>1268</v>
      </c>
      <c r="AA2999" s="580">
        <v>1368</v>
      </c>
      <c r="AB2999" s="580">
        <v>1128</v>
      </c>
      <c r="AC2999" s="580">
        <v>1246</v>
      </c>
      <c r="AD2999" s="580">
        <v>1361</v>
      </c>
      <c r="AE2999" s="580">
        <v>1416</v>
      </c>
      <c r="AF2999" s="580">
        <v>1650</v>
      </c>
      <c r="AG2999" s="580">
        <v>1692</v>
      </c>
      <c r="AH2999" s="580">
        <v>1324</v>
      </c>
      <c r="AI2999" s="580">
        <v>1793</v>
      </c>
      <c r="AJ2999" s="580">
        <v>1636</v>
      </c>
      <c r="AK2999" s="580">
        <v>1713</v>
      </c>
      <c r="AL2999" s="580">
        <v>2123</v>
      </c>
      <c r="AM2999" s="580">
        <v>2590</v>
      </c>
      <c r="AN2999" s="580">
        <v>3259</v>
      </c>
      <c r="AO2999" s="580">
        <v>3211</v>
      </c>
    </row>
    <row r="3000" spans="2:41" s="330" customFormat="1" hidden="1" outlineLevel="1">
      <c r="B3000" s="582">
        <v>3590</v>
      </c>
      <c r="C3000" s="375" t="s">
        <v>1420</v>
      </c>
      <c r="D3000" s="226"/>
      <c r="E3000" s="375" t="s">
        <v>126</v>
      </c>
      <c r="F3000" s="580"/>
      <c r="G3000" s="580"/>
      <c r="H3000" s="580"/>
      <c r="I3000" s="580"/>
      <c r="J3000" s="580">
        <v>0</v>
      </c>
      <c r="K3000" s="580">
        <v>581</v>
      </c>
      <c r="L3000" s="580">
        <v>532</v>
      </c>
      <c r="M3000" s="580">
        <v>522</v>
      </c>
      <c r="N3000" s="580">
        <v>616</v>
      </c>
      <c r="O3000" s="580">
        <v>652</v>
      </c>
      <c r="P3000" s="580">
        <v>646</v>
      </c>
      <c r="Q3000" s="580">
        <v>694</v>
      </c>
      <c r="R3000" s="580">
        <v>724</v>
      </c>
      <c r="S3000" s="580">
        <v>625</v>
      </c>
      <c r="T3000" s="580">
        <v>689</v>
      </c>
      <c r="U3000" s="580">
        <v>656</v>
      </c>
      <c r="V3000" s="580">
        <v>651</v>
      </c>
      <c r="W3000" s="580">
        <v>624</v>
      </c>
      <c r="X3000" s="580">
        <v>683</v>
      </c>
      <c r="Y3000" s="580">
        <v>720</v>
      </c>
      <c r="Z3000" s="580">
        <v>675</v>
      </c>
      <c r="AA3000" s="580">
        <v>736</v>
      </c>
      <c r="AB3000" s="580">
        <v>825</v>
      </c>
      <c r="AC3000" s="580">
        <v>840</v>
      </c>
      <c r="AD3000" s="580">
        <v>793</v>
      </c>
      <c r="AE3000" s="580">
        <v>850</v>
      </c>
      <c r="AF3000" s="580">
        <v>887</v>
      </c>
      <c r="AG3000" s="580">
        <v>1135</v>
      </c>
      <c r="AH3000" s="580">
        <v>1120</v>
      </c>
      <c r="AI3000" s="580">
        <v>1479</v>
      </c>
      <c r="AJ3000" s="580">
        <v>1388</v>
      </c>
      <c r="AK3000" s="580">
        <v>1555</v>
      </c>
      <c r="AL3000" s="580">
        <v>1613</v>
      </c>
      <c r="AM3000" s="580">
        <v>1625</v>
      </c>
      <c r="AN3000" s="580">
        <v>1628</v>
      </c>
      <c r="AO3000" s="580">
        <v>1743</v>
      </c>
    </row>
    <row r="3001" spans="2:41" s="330" customFormat="1" hidden="1" outlineLevel="1">
      <c r="B3001" s="582">
        <v>3593</v>
      </c>
      <c r="C3001" s="375" t="s">
        <v>1420</v>
      </c>
      <c r="D3001" s="226"/>
      <c r="E3001" s="375" t="s">
        <v>128</v>
      </c>
      <c r="F3001" s="580"/>
      <c r="G3001" s="580"/>
      <c r="H3001" s="580"/>
      <c r="I3001" s="580"/>
      <c r="J3001" s="580">
        <v>0</v>
      </c>
      <c r="K3001" s="580">
        <v>211</v>
      </c>
      <c r="L3001" s="580">
        <v>261</v>
      </c>
      <c r="M3001" s="580">
        <v>265</v>
      </c>
      <c r="N3001" s="580">
        <v>266</v>
      </c>
      <c r="O3001" s="580">
        <v>300</v>
      </c>
      <c r="P3001" s="580">
        <v>249</v>
      </c>
      <c r="Q3001" s="580">
        <v>334</v>
      </c>
      <c r="R3001" s="580">
        <v>410</v>
      </c>
      <c r="S3001" s="580">
        <v>519</v>
      </c>
      <c r="T3001" s="580">
        <v>493</v>
      </c>
      <c r="U3001" s="580">
        <v>466</v>
      </c>
      <c r="V3001" s="580">
        <v>554</v>
      </c>
      <c r="W3001" s="580">
        <v>451</v>
      </c>
      <c r="X3001" s="580">
        <v>559</v>
      </c>
      <c r="Y3001" s="580">
        <v>682</v>
      </c>
      <c r="Z3001" s="580">
        <v>659</v>
      </c>
      <c r="AA3001" s="580">
        <v>735</v>
      </c>
      <c r="AB3001" s="580">
        <v>758</v>
      </c>
      <c r="AC3001" s="580">
        <v>859</v>
      </c>
      <c r="AD3001" s="580">
        <v>808</v>
      </c>
      <c r="AE3001" s="580">
        <v>978</v>
      </c>
      <c r="AF3001" s="580">
        <v>1205</v>
      </c>
      <c r="AG3001" s="580">
        <v>1127</v>
      </c>
      <c r="AH3001" s="580">
        <v>1305</v>
      </c>
      <c r="AI3001" s="580">
        <v>1604</v>
      </c>
      <c r="AJ3001" s="580">
        <v>2086</v>
      </c>
      <c r="AK3001" s="580">
        <v>1393</v>
      </c>
      <c r="AL3001" s="580">
        <v>1365</v>
      </c>
      <c r="AM3001" s="580">
        <v>1433</v>
      </c>
      <c r="AN3001" s="580">
        <v>1545</v>
      </c>
      <c r="AO3001" s="580">
        <v>1557</v>
      </c>
    </row>
    <row r="3002" spans="2:41" s="330" customFormat="1" hidden="1" outlineLevel="1">
      <c r="B3002" s="582">
        <v>3596</v>
      </c>
      <c r="C3002" s="375" t="s">
        <v>1420</v>
      </c>
      <c r="D3002" s="226"/>
      <c r="E3002" s="375" t="s">
        <v>131</v>
      </c>
      <c r="F3002" s="580"/>
      <c r="G3002" s="580"/>
      <c r="H3002" s="580"/>
      <c r="I3002" s="580"/>
      <c r="J3002" s="580">
        <v>262</v>
      </c>
      <c r="K3002" s="580">
        <v>349</v>
      </c>
      <c r="L3002" s="580">
        <v>300</v>
      </c>
      <c r="M3002" s="580">
        <v>388</v>
      </c>
      <c r="N3002" s="580">
        <v>504</v>
      </c>
      <c r="O3002" s="580">
        <v>588</v>
      </c>
      <c r="P3002" s="580">
        <v>630</v>
      </c>
      <c r="Q3002" s="580">
        <v>567</v>
      </c>
      <c r="R3002" s="580">
        <v>367</v>
      </c>
      <c r="S3002" s="580">
        <v>462</v>
      </c>
      <c r="T3002" s="580">
        <v>509</v>
      </c>
      <c r="U3002" s="580">
        <v>513</v>
      </c>
      <c r="V3002" s="580">
        <v>552</v>
      </c>
      <c r="W3002" s="580">
        <v>423</v>
      </c>
      <c r="X3002" s="580">
        <v>434</v>
      </c>
      <c r="Y3002" s="580">
        <v>571</v>
      </c>
      <c r="Z3002" s="580">
        <v>653</v>
      </c>
      <c r="AA3002" s="580">
        <v>582</v>
      </c>
      <c r="AB3002" s="580">
        <v>595</v>
      </c>
      <c r="AC3002" s="580">
        <v>525</v>
      </c>
      <c r="AD3002" s="580">
        <v>523</v>
      </c>
      <c r="AE3002" s="580">
        <v>522</v>
      </c>
      <c r="AF3002" s="580">
        <v>603</v>
      </c>
      <c r="AG3002" s="580">
        <v>612</v>
      </c>
      <c r="AH3002" s="580">
        <v>606</v>
      </c>
      <c r="AI3002" s="580">
        <v>725</v>
      </c>
      <c r="AJ3002" s="580">
        <v>893</v>
      </c>
      <c r="AK3002" s="580">
        <v>978</v>
      </c>
      <c r="AL3002" s="580">
        <v>1191</v>
      </c>
      <c r="AM3002" s="580">
        <v>1257</v>
      </c>
      <c r="AN3002" s="580">
        <v>1245</v>
      </c>
      <c r="AO3002" s="580">
        <v>1578</v>
      </c>
    </row>
    <row r="3003" spans="2:41" s="330" customFormat="1" hidden="1" outlineLevel="1">
      <c r="B3003" s="582">
        <v>3600</v>
      </c>
      <c r="C3003" s="375" t="s">
        <v>1420</v>
      </c>
      <c r="D3003" s="226"/>
      <c r="E3003" s="375" t="s">
        <v>132</v>
      </c>
      <c r="F3003" s="580"/>
      <c r="G3003" s="580"/>
      <c r="H3003" s="580"/>
      <c r="I3003" s="580"/>
      <c r="J3003" s="580">
        <v>94</v>
      </c>
      <c r="K3003" s="580">
        <v>92</v>
      </c>
      <c r="L3003" s="580">
        <v>85</v>
      </c>
      <c r="M3003" s="580">
        <v>94</v>
      </c>
      <c r="N3003" s="580">
        <v>234</v>
      </c>
      <c r="O3003" s="580">
        <v>180</v>
      </c>
      <c r="P3003" s="580">
        <v>299</v>
      </c>
      <c r="Q3003" s="580">
        <v>255</v>
      </c>
      <c r="R3003" s="580">
        <v>262</v>
      </c>
      <c r="S3003" s="580">
        <v>286</v>
      </c>
      <c r="T3003" s="580">
        <v>284</v>
      </c>
      <c r="U3003" s="580">
        <v>279</v>
      </c>
      <c r="V3003" s="580">
        <v>304</v>
      </c>
      <c r="W3003" s="580">
        <v>260</v>
      </c>
      <c r="X3003" s="580">
        <v>279</v>
      </c>
      <c r="Y3003" s="580">
        <v>279</v>
      </c>
      <c r="Z3003" s="580">
        <v>278</v>
      </c>
      <c r="AA3003" s="580">
        <v>319</v>
      </c>
      <c r="AB3003" s="580">
        <v>287</v>
      </c>
      <c r="AC3003" s="580">
        <v>336</v>
      </c>
      <c r="AD3003" s="580">
        <v>370</v>
      </c>
      <c r="AE3003" s="580">
        <v>378</v>
      </c>
      <c r="AF3003" s="580">
        <v>404</v>
      </c>
      <c r="AG3003" s="580">
        <v>398</v>
      </c>
      <c r="AH3003" s="580">
        <v>447</v>
      </c>
      <c r="AI3003" s="580">
        <v>544</v>
      </c>
      <c r="AJ3003" s="580">
        <v>693</v>
      </c>
      <c r="AK3003" s="580">
        <v>601</v>
      </c>
      <c r="AL3003" s="580">
        <v>673</v>
      </c>
      <c r="AM3003" s="580">
        <v>705</v>
      </c>
      <c r="AN3003" s="580">
        <v>606</v>
      </c>
      <c r="AO3003" s="580">
        <v>683</v>
      </c>
    </row>
    <row r="3004" spans="2:41" s="330" customFormat="1" hidden="1" outlineLevel="1">
      <c r="B3004" s="582">
        <v>3601</v>
      </c>
      <c r="C3004" s="375" t="s">
        <v>1420</v>
      </c>
      <c r="D3004" s="226"/>
      <c r="E3004" s="375" t="s">
        <v>133</v>
      </c>
      <c r="F3004" s="580"/>
      <c r="G3004" s="580"/>
      <c r="H3004" s="580"/>
      <c r="I3004" s="580"/>
      <c r="J3004" s="580">
        <v>369</v>
      </c>
      <c r="K3004" s="580">
        <v>371</v>
      </c>
      <c r="L3004" s="580">
        <v>362</v>
      </c>
      <c r="M3004" s="580">
        <v>303</v>
      </c>
      <c r="N3004" s="580">
        <v>312</v>
      </c>
      <c r="O3004" s="580">
        <v>326</v>
      </c>
      <c r="P3004" s="580">
        <v>336</v>
      </c>
      <c r="Q3004" s="580">
        <v>330</v>
      </c>
      <c r="R3004" s="580">
        <v>289</v>
      </c>
      <c r="S3004" s="580">
        <v>288</v>
      </c>
      <c r="T3004" s="580">
        <v>248</v>
      </c>
      <c r="U3004" s="580">
        <v>314</v>
      </c>
      <c r="V3004" s="580">
        <v>332</v>
      </c>
      <c r="W3004" s="580">
        <v>287</v>
      </c>
      <c r="X3004" s="580">
        <v>314</v>
      </c>
      <c r="Y3004" s="580">
        <v>426</v>
      </c>
      <c r="Z3004" s="580">
        <v>484</v>
      </c>
      <c r="AA3004" s="580">
        <v>471</v>
      </c>
      <c r="AB3004" s="580">
        <v>484</v>
      </c>
      <c r="AC3004" s="580">
        <v>554</v>
      </c>
      <c r="AD3004" s="580">
        <v>564</v>
      </c>
      <c r="AE3004" s="580">
        <v>691</v>
      </c>
      <c r="AF3004" s="580">
        <v>710</v>
      </c>
      <c r="AG3004" s="580">
        <v>885</v>
      </c>
      <c r="AH3004" s="580">
        <v>893</v>
      </c>
      <c r="AI3004" s="580">
        <v>964</v>
      </c>
      <c r="AJ3004" s="580">
        <v>986</v>
      </c>
      <c r="AK3004" s="580">
        <v>1029</v>
      </c>
      <c r="AL3004" s="580">
        <v>1134</v>
      </c>
      <c r="AM3004" s="580">
        <v>925</v>
      </c>
      <c r="AN3004" s="580">
        <v>848</v>
      </c>
      <c r="AO3004" s="580">
        <v>874</v>
      </c>
    </row>
    <row r="3005" spans="2:41" s="330" customFormat="1" hidden="1" outlineLevel="1">
      <c r="B3005" s="582">
        <v>3603</v>
      </c>
      <c r="C3005" s="375" t="s">
        <v>1420</v>
      </c>
      <c r="D3005" s="226"/>
      <c r="E3005" s="375" t="s">
        <v>134</v>
      </c>
      <c r="F3005" s="580"/>
      <c r="G3005" s="580"/>
      <c r="H3005" s="580"/>
      <c r="I3005" s="580"/>
      <c r="J3005" s="580">
        <v>35</v>
      </c>
      <c r="K3005" s="580">
        <v>24</v>
      </c>
      <c r="L3005" s="580">
        <v>29</v>
      </c>
      <c r="M3005" s="580">
        <v>33</v>
      </c>
      <c r="N3005" s="580">
        <v>162</v>
      </c>
      <c r="O3005" s="580">
        <v>174</v>
      </c>
      <c r="P3005" s="580">
        <v>164</v>
      </c>
      <c r="Q3005" s="580">
        <v>178</v>
      </c>
      <c r="R3005" s="580">
        <v>134</v>
      </c>
      <c r="S3005" s="580">
        <v>161</v>
      </c>
      <c r="T3005" s="580">
        <v>130</v>
      </c>
      <c r="U3005" s="580">
        <v>131</v>
      </c>
      <c r="V3005" s="580">
        <v>150</v>
      </c>
      <c r="W3005" s="580">
        <v>121</v>
      </c>
      <c r="X3005" s="580">
        <v>124</v>
      </c>
      <c r="Y3005" s="580">
        <v>121</v>
      </c>
      <c r="Z3005" s="580">
        <v>133</v>
      </c>
      <c r="AA3005" s="580">
        <v>132</v>
      </c>
      <c r="AB3005" s="580">
        <v>132</v>
      </c>
      <c r="AC3005" s="580">
        <v>140</v>
      </c>
      <c r="AD3005" s="580">
        <v>127</v>
      </c>
      <c r="AE3005" s="580">
        <v>116</v>
      </c>
      <c r="AF3005" s="580">
        <v>125</v>
      </c>
      <c r="AG3005" s="580">
        <v>152</v>
      </c>
      <c r="AH3005" s="580">
        <v>151</v>
      </c>
      <c r="AI3005" s="580">
        <v>228</v>
      </c>
      <c r="AJ3005" s="580">
        <v>200</v>
      </c>
      <c r="AK3005" s="580">
        <v>231</v>
      </c>
      <c r="AL3005" s="580">
        <v>260</v>
      </c>
      <c r="AM3005" s="580">
        <v>294</v>
      </c>
      <c r="AN3005" s="580">
        <v>371</v>
      </c>
      <c r="AO3005" s="580">
        <v>419</v>
      </c>
    </row>
    <row r="3006" spans="2:41" s="330" customFormat="1" hidden="1" outlineLevel="1">
      <c r="B3006" s="582">
        <v>3607</v>
      </c>
      <c r="C3006" s="375" t="s">
        <v>1420</v>
      </c>
      <c r="D3006" s="226"/>
      <c r="E3006" s="375" t="s">
        <v>1407</v>
      </c>
      <c r="F3006" s="580"/>
      <c r="G3006" s="580"/>
      <c r="H3006" s="580"/>
      <c r="I3006" s="580"/>
      <c r="J3006" s="580">
        <v>1618</v>
      </c>
      <c r="K3006" s="580">
        <v>1579</v>
      </c>
      <c r="L3006" s="580">
        <v>1795</v>
      </c>
      <c r="M3006" s="580">
        <v>1496</v>
      </c>
      <c r="N3006" s="580">
        <v>1595</v>
      </c>
      <c r="O3006" s="580">
        <v>1613</v>
      </c>
      <c r="P3006" s="580">
        <v>1666</v>
      </c>
      <c r="Q3006" s="580">
        <v>1688</v>
      </c>
      <c r="R3006" s="580">
        <v>1785</v>
      </c>
      <c r="S3006" s="580">
        <v>1842</v>
      </c>
      <c r="T3006" s="580">
        <v>1794</v>
      </c>
      <c r="U3006" s="580">
        <v>2028</v>
      </c>
      <c r="V3006" s="580">
        <v>2121</v>
      </c>
      <c r="W3006" s="580">
        <v>2283</v>
      </c>
      <c r="X3006" s="580">
        <v>2399</v>
      </c>
      <c r="Y3006" s="580">
        <v>2508</v>
      </c>
      <c r="Z3006" s="580">
        <v>3156</v>
      </c>
      <c r="AA3006" s="580">
        <v>3752</v>
      </c>
      <c r="AB3006" s="580">
        <v>4139</v>
      </c>
      <c r="AC3006" s="580">
        <v>4259</v>
      </c>
      <c r="AD3006" s="580">
        <v>4487</v>
      </c>
      <c r="AE3006" s="580">
        <v>4702</v>
      </c>
      <c r="AF3006" s="580">
        <v>6058</v>
      </c>
      <c r="AG3006" s="580">
        <v>5510</v>
      </c>
      <c r="AH3006" s="580">
        <v>6271</v>
      </c>
      <c r="AI3006" s="580">
        <v>6371</v>
      </c>
      <c r="AJ3006" s="580">
        <v>7150</v>
      </c>
      <c r="AK3006" s="580">
        <v>9778</v>
      </c>
      <c r="AL3006" s="580">
        <v>12009</v>
      </c>
      <c r="AM3006" s="580">
        <v>12756</v>
      </c>
      <c r="AN3006" s="580">
        <v>10692</v>
      </c>
      <c r="AO3006" s="580">
        <v>11666</v>
      </c>
    </row>
    <row r="3007" spans="2:41" s="330" customFormat="1" hidden="1" outlineLevel="1">
      <c r="B3007" s="582">
        <v>3611</v>
      </c>
      <c r="C3007" s="375" t="s">
        <v>1420</v>
      </c>
      <c r="D3007" s="226"/>
      <c r="E3007" s="375" t="s">
        <v>136</v>
      </c>
      <c r="F3007" s="580"/>
      <c r="G3007" s="580"/>
      <c r="H3007" s="580"/>
      <c r="I3007" s="580"/>
      <c r="J3007" s="580">
        <v>681</v>
      </c>
      <c r="K3007" s="580">
        <v>686</v>
      </c>
      <c r="L3007" s="580">
        <v>651</v>
      </c>
      <c r="M3007" s="580">
        <v>607</v>
      </c>
      <c r="N3007" s="580">
        <v>643</v>
      </c>
      <c r="O3007" s="580">
        <v>679</v>
      </c>
      <c r="P3007" s="580">
        <v>659</v>
      </c>
      <c r="Q3007" s="580">
        <v>675</v>
      </c>
      <c r="R3007" s="580">
        <v>674</v>
      </c>
      <c r="S3007" s="580">
        <v>653</v>
      </c>
      <c r="T3007" s="580">
        <v>609</v>
      </c>
      <c r="U3007" s="580">
        <v>565</v>
      </c>
      <c r="V3007" s="580">
        <v>531</v>
      </c>
      <c r="W3007" s="580">
        <v>610</v>
      </c>
      <c r="X3007" s="580">
        <v>711</v>
      </c>
      <c r="Y3007" s="580">
        <v>830</v>
      </c>
      <c r="Z3007" s="580">
        <v>809</v>
      </c>
      <c r="AA3007" s="580">
        <v>1210</v>
      </c>
      <c r="AB3007" s="580">
        <v>1015</v>
      </c>
      <c r="AC3007" s="580">
        <v>1226</v>
      </c>
      <c r="AD3007" s="580">
        <v>738</v>
      </c>
      <c r="AE3007" s="580">
        <v>1010</v>
      </c>
      <c r="AF3007" s="580">
        <v>1049</v>
      </c>
      <c r="AG3007" s="580">
        <v>1113</v>
      </c>
      <c r="AH3007" s="580">
        <v>1297</v>
      </c>
      <c r="AI3007" s="580">
        <v>1346</v>
      </c>
      <c r="AJ3007" s="580">
        <v>1315</v>
      </c>
      <c r="AK3007" s="580">
        <v>1466</v>
      </c>
      <c r="AL3007" s="580">
        <v>1489</v>
      </c>
      <c r="AM3007" s="580">
        <v>1516</v>
      </c>
      <c r="AN3007" s="580">
        <v>1523</v>
      </c>
      <c r="AO3007" s="580">
        <v>1554</v>
      </c>
    </row>
    <row r="3008" spans="2:41" s="330" customFormat="1" hidden="1" outlineLevel="1">
      <c r="B3008" s="582">
        <v>3614</v>
      </c>
      <c r="C3008" s="375" t="s">
        <v>1420</v>
      </c>
      <c r="D3008" s="226"/>
      <c r="E3008" s="375" t="s">
        <v>138</v>
      </c>
      <c r="F3008" s="580"/>
      <c r="G3008" s="580"/>
      <c r="H3008" s="580"/>
      <c r="I3008" s="580"/>
      <c r="J3008" s="580">
        <v>245</v>
      </c>
      <c r="K3008" s="580">
        <v>231</v>
      </c>
      <c r="L3008" s="580">
        <v>263</v>
      </c>
      <c r="M3008" s="580">
        <v>257</v>
      </c>
      <c r="N3008" s="580">
        <v>251</v>
      </c>
      <c r="O3008" s="580">
        <v>257</v>
      </c>
      <c r="P3008" s="580">
        <v>285</v>
      </c>
      <c r="Q3008" s="580">
        <v>280</v>
      </c>
      <c r="R3008" s="580">
        <v>331</v>
      </c>
      <c r="S3008" s="580">
        <v>325</v>
      </c>
      <c r="T3008" s="580">
        <v>357</v>
      </c>
      <c r="U3008" s="580">
        <v>321</v>
      </c>
      <c r="V3008" s="580">
        <v>356</v>
      </c>
      <c r="W3008" s="580">
        <v>356</v>
      </c>
      <c r="X3008" s="580">
        <v>398</v>
      </c>
      <c r="Y3008" s="580">
        <v>472</v>
      </c>
      <c r="Z3008" s="580">
        <v>589</v>
      </c>
      <c r="AA3008" s="580">
        <v>560</v>
      </c>
      <c r="AB3008" s="580">
        <v>729</v>
      </c>
      <c r="AC3008" s="580">
        <v>615</v>
      </c>
      <c r="AD3008" s="580">
        <v>612</v>
      </c>
      <c r="AE3008" s="580">
        <v>648</v>
      </c>
      <c r="AF3008" s="580">
        <v>636</v>
      </c>
      <c r="AG3008" s="580">
        <v>774</v>
      </c>
      <c r="AH3008" s="580">
        <v>810</v>
      </c>
      <c r="AI3008" s="580">
        <v>857</v>
      </c>
      <c r="AJ3008" s="580">
        <v>829</v>
      </c>
      <c r="AK3008" s="580">
        <v>762</v>
      </c>
      <c r="AL3008" s="580">
        <v>942</v>
      </c>
      <c r="AM3008" s="580">
        <v>1037</v>
      </c>
      <c r="AN3008" s="580">
        <v>980</v>
      </c>
      <c r="AO3008" s="580">
        <v>1202</v>
      </c>
    </row>
    <row r="3009" spans="2:41" s="330" customFormat="1" hidden="1" outlineLevel="1">
      <c r="B3009" s="582">
        <v>3626</v>
      </c>
      <c r="C3009" s="375" t="s">
        <v>1420</v>
      </c>
      <c r="D3009" s="226"/>
      <c r="E3009" s="375" t="s">
        <v>1408</v>
      </c>
      <c r="F3009" s="580"/>
      <c r="G3009" s="580"/>
      <c r="H3009" s="580"/>
      <c r="I3009" s="580"/>
      <c r="J3009" s="580">
        <v>1159</v>
      </c>
      <c r="K3009" s="580">
        <v>1335</v>
      </c>
      <c r="L3009" s="580">
        <v>1372</v>
      </c>
      <c r="M3009" s="580">
        <v>1386</v>
      </c>
      <c r="N3009" s="580">
        <v>1532</v>
      </c>
      <c r="O3009" s="580">
        <v>2113</v>
      </c>
      <c r="P3009" s="580">
        <v>1936</v>
      </c>
      <c r="Q3009" s="580">
        <v>1849</v>
      </c>
      <c r="R3009" s="580">
        <v>1794</v>
      </c>
      <c r="S3009" s="580">
        <v>1914</v>
      </c>
      <c r="T3009" s="580">
        <v>1939</v>
      </c>
      <c r="U3009" s="580">
        <v>2221</v>
      </c>
      <c r="V3009" s="580">
        <v>2337</v>
      </c>
      <c r="W3009" s="580">
        <v>2339</v>
      </c>
      <c r="X3009" s="580">
        <v>2497</v>
      </c>
      <c r="Y3009" s="580">
        <v>2796</v>
      </c>
      <c r="Z3009" s="580">
        <v>2672</v>
      </c>
      <c r="AA3009" s="580">
        <v>2762</v>
      </c>
      <c r="AB3009" s="580">
        <v>2964</v>
      </c>
      <c r="AC3009" s="580">
        <v>3084</v>
      </c>
      <c r="AD3009" s="580">
        <v>2954</v>
      </c>
      <c r="AE3009" s="580">
        <v>3446</v>
      </c>
      <c r="AF3009" s="580">
        <v>4290</v>
      </c>
      <c r="AG3009" s="580">
        <v>4126</v>
      </c>
      <c r="AH3009" s="580">
        <v>4622</v>
      </c>
      <c r="AI3009" s="580">
        <v>5724</v>
      </c>
      <c r="AJ3009" s="580">
        <v>6880</v>
      </c>
      <c r="AK3009" s="580">
        <v>6996</v>
      </c>
      <c r="AL3009" s="580">
        <v>8003</v>
      </c>
      <c r="AM3009" s="580">
        <v>7841</v>
      </c>
      <c r="AN3009" s="580">
        <v>7717</v>
      </c>
      <c r="AO3009" s="580">
        <v>8258</v>
      </c>
    </row>
    <row r="3010" spans="2:41" s="330" customFormat="1" hidden="1" outlineLevel="1">
      <c r="B3010" s="582">
        <v>3627</v>
      </c>
      <c r="C3010" s="375" t="s">
        <v>1420</v>
      </c>
      <c r="D3010" s="226"/>
      <c r="E3010" s="375" t="s">
        <v>1409</v>
      </c>
      <c r="F3010" s="580"/>
      <c r="G3010" s="580"/>
      <c r="H3010" s="580"/>
      <c r="I3010" s="580"/>
      <c r="J3010" s="580">
        <v>216</v>
      </c>
      <c r="K3010" s="580">
        <v>280</v>
      </c>
      <c r="L3010" s="580">
        <v>226</v>
      </c>
      <c r="M3010" s="580">
        <v>244</v>
      </c>
      <c r="N3010" s="580">
        <v>240</v>
      </c>
      <c r="O3010" s="580">
        <v>257</v>
      </c>
      <c r="P3010" s="580">
        <v>329</v>
      </c>
      <c r="Q3010" s="580">
        <v>319</v>
      </c>
      <c r="R3010" s="580">
        <v>271</v>
      </c>
      <c r="S3010" s="580">
        <v>265</v>
      </c>
      <c r="T3010" s="580">
        <v>330</v>
      </c>
      <c r="U3010" s="580">
        <v>328</v>
      </c>
      <c r="V3010" s="580">
        <v>364</v>
      </c>
      <c r="W3010" s="580">
        <v>397</v>
      </c>
      <c r="X3010" s="580">
        <v>393</v>
      </c>
      <c r="Y3010" s="580">
        <v>461</v>
      </c>
      <c r="Z3010" s="580">
        <v>498</v>
      </c>
      <c r="AA3010" s="580">
        <v>459</v>
      </c>
      <c r="AB3010" s="580">
        <v>438</v>
      </c>
      <c r="AC3010" s="580">
        <v>418</v>
      </c>
      <c r="AD3010" s="580">
        <v>466</v>
      </c>
      <c r="AE3010" s="580">
        <v>521</v>
      </c>
      <c r="AF3010" s="580">
        <v>496</v>
      </c>
      <c r="AG3010" s="580">
        <v>616</v>
      </c>
      <c r="AH3010" s="580">
        <v>704</v>
      </c>
      <c r="AI3010" s="580">
        <v>735</v>
      </c>
      <c r="AJ3010" s="580">
        <v>719</v>
      </c>
      <c r="AK3010" s="580">
        <v>760</v>
      </c>
      <c r="AL3010" s="580">
        <v>761</v>
      </c>
      <c r="AM3010" s="580">
        <v>694</v>
      </c>
      <c r="AN3010" s="580">
        <v>693</v>
      </c>
      <c r="AO3010" s="580">
        <v>804</v>
      </c>
    </row>
    <row r="3011" spans="2:41" s="330" customFormat="1" hidden="1" outlineLevel="1">
      <c r="B3011" s="582">
        <v>3628</v>
      </c>
      <c r="C3011" s="375" t="s">
        <v>1420</v>
      </c>
      <c r="D3011" s="226"/>
      <c r="E3011" s="375" t="s">
        <v>141</v>
      </c>
      <c r="F3011" s="580"/>
      <c r="G3011" s="580"/>
      <c r="H3011" s="580"/>
      <c r="I3011" s="580"/>
      <c r="J3011" s="580">
        <v>327</v>
      </c>
      <c r="K3011" s="580">
        <v>361</v>
      </c>
      <c r="L3011" s="580">
        <v>367</v>
      </c>
      <c r="M3011" s="580">
        <v>391</v>
      </c>
      <c r="N3011" s="580">
        <v>443</v>
      </c>
      <c r="O3011" s="580">
        <v>572</v>
      </c>
      <c r="P3011" s="580">
        <v>547</v>
      </c>
      <c r="Q3011" s="580">
        <v>497</v>
      </c>
      <c r="R3011" s="580">
        <v>480</v>
      </c>
      <c r="S3011" s="580">
        <v>504</v>
      </c>
      <c r="T3011" s="580">
        <v>476</v>
      </c>
      <c r="U3011" s="580">
        <v>618</v>
      </c>
      <c r="V3011" s="580">
        <v>634</v>
      </c>
      <c r="W3011" s="580">
        <v>615</v>
      </c>
      <c r="X3011" s="580">
        <v>583</v>
      </c>
      <c r="Y3011" s="580">
        <v>632</v>
      </c>
      <c r="Z3011" s="580">
        <v>661</v>
      </c>
      <c r="AA3011" s="580">
        <v>667</v>
      </c>
      <c r="AB3011" s="580">
        <v>684</v>
      </c>
      <c r="AC3011" s="580">
        <v>618</v>
      </c>
      <c r="AD3011" s="580">
        <v>831</v>
      </c>
      <c r="AE3011" s="580">
        <v>954</v>
      </c>
      <c r="AF3011" s="580">
        <v>751</v>
      </c>
      <c r="AG3011" s="580">
        <v>734</v>
      </c>
      <c r="AH3011" s="580">
        <v>613</v>
      </c>
      <c r="AI3011" s="580">
        <v>626</v>
      </c>
      <c r="AJ3011" s="580">
        <v>997</v>
      </c>
      <c r="AK3011" s="580">
        <v>1100</v>
      </c>
      <c r="AL3011" s="580">
        <v>1103</v>
      </c>
      <c r="AM3011" s="580">
        <v>1239</v>
      </c>
      <c r="AN3011" s="580">
        <v>1167</v>
      </c>
      <c r="AO3011" s="580">
        <v>1099</v>
      </c>
    </row>
    <row r="3012" spans="2:41" s="330" customFormat="1" hidden="1" outlineLevel="1">
      <c r="B3012" s="582">
        <v>3643</v>
      </c>
      <c r="C3012" s="375" t="s">
        <v>1420</v>
      </c>
      <c r="D3012" s="226"/>
      <c r="E3012" s="375" t="s">
        <v>142</v>
      </c>
      <c r="F3012" s="580"/>
      <c r="G3012" s="580"/>
      <c r="H3012" s="580"/>
      <c r="I3012" s="580"/>
      <c r="J3012" s="580">
        <v>365</v>
      </c>
      <c r="K3012" s="580">
        <v>328</v>
      </c>
      <c r="L3012" s="580">
        <v>407</v>
      </c>
      <c r="M3012" s="580">
        <v>483</v>
      </c>
      <c r="N3012" s="580">
        <v>434</v>
      </c>
      <c r="O3012" s="580">
        <v>469</v>
      </c>
      <c r="P3012" s="580">
        <v>484</v>
      </c>
      <c r="Q3012" s="580">
        <v>547</v>
      </c>
      <c r="R3012" s="580">
        <v>496</v>
      </c>
      <c r="S3012" s="580">
        <v>500</v>
      </c>
      <c r="T3012" s="580">
        <v>530</v>
      </c>
      <c r="U3012" s="580">
        <v>595</v>
      </c>
      <c r="V3012" s="580">
        <v>593</v>
      </c>
      <c r="W3012" s="580">
        <v>591</v>
      </c>
      <c r="X3012" s="580">
        <v>621</v>
      </c>
      <c r="Y3012" s="580">
        <v>928</v>
      </c>
      <c r="Z3012" s="580">
        <v>1070</v>
      </c>
      <c r="AA3012" s="580">
        <v>1030</v>
      </c>
      <c r="AB3012" s="580">
        <v>1192</v>
      </c>
      <c r="AC3012" s="580">
        <v>1261</v>
      </c>
      <c r="AD3012" s="580">
        <v>1113</v>
      </c>
      <c r="AE3012" s="580">
        <v>1135</v>
      </c>
      <c r="AF3012" s="580">
        <v>1138</v>
      </c>
      <c r="AG3012" s="580">
        <v>997</v>
      </c>
      <c r="AH3012" s="580">
        <v>1159</v>
      </c>
      <c r="AI3012" s="580">
        <v>995</v>
      </c>
      <c r="AJ3012" s="580">
        <v>612</v>
      </c>
      <c r="AK3012" s="580">
        <v>487</v>
      </c>
      <c r="AL3012" s="580">
        <v>560</v>
      </c>
      <c r="AM3012" s="580">
        <v>575</v>
      </c>
      <c r="AN3012" s="580">
        <v>724</v>
      </c>
      <c r="AO3012" s="580">
        <v>795</v>
      </c>
    </row>
    <row r="3013" spans="2:41" s="330" customFormat="1" hidden="1" outlineLevel="1">
      <c r="B3013" s="582">
        <v>3648</v>
      </c>
      <c r="C3013" s="375" t="s">
        <v>1420</v>
      </c>
      <c r="D3013" s="226"/>
      <c r="E3013" s="375" t="s">
        <v>144</v>
      </c>
      <c r="F3013" s="580"/>
      <c r="G3013" s="580"/>
      <c r="H3013" s="580"/>
      <c r="I3013" s="580"/>
      <c r="J3013" s="580">
        <v>630</v>
      </c>
      <c r="K3013" s="580">
        <v>632</v>
      </c>
      <c r="L3013" s="580">
        <v>617</v>
      </c>
      <c r="M3013" s="580">
        <v>730</v>
      </c>
      <c r="N3013" s="580">
        <v>774</v>
      </c>
      <c r="O3013" s="580">
        <v>810</v>
      </c>
      <c r="P3013" s="580">
        <v>783</v>
      </c>
      <c r="Q3013" s="580">
        <v>743</v>
      </c>
      <c r="R3013" s="580">
        <v>827</v>
      </c>
      <c r="S3013" s="580">
        <v>866</v>
      </c>
      <c r="T3013" s="580">
        <v>1023</v>
      </c>
      <c r="U3013" s="580">
        <v>965</v>
      </c>
      <c r="V3013" s="580">
        <v>976</v>
      </c>
      <c r="W3013" s="580">
        <v>907</v>
      </c>
      <c r="X3013" s="580">
        <v>1164</v>
      </c>
      <c r="Y3013" s="580">
        <v>1270</v>
      </c>
      <c r="Z3013" s="580">
        <v>1341</v>
      </c>
      <c r="AA3013" s="580">
        <v>1359</v>
      </c>
      <c r="AB3013" s="580">
        <v>1193</v>
      </c>
      <c r="AC3013" s="580">
        <v>1273</v>
      </c>
      <c r="AD3013" s="580">
        <v>1198</v>
      </c>
      <c r="AE3013" s="580">
        <v>1350</v>
      </c>
      <c r="AF3013" s="580">
        <v>1517</v>
      </c>
      <c r="AG3013" s="580">
        <v>1591</v>
      </c>
      <c r="AH3013" s="580">
        <v>1856</v>
      </c>
      <c r="AI3013" s="580">
        <v>1859</v>
      </c>
      <c r="AJ3013" s="580">
        <v>1840</v>
      </c>
      <c r="AK3013" s="580">
        <v>2129</v>
      </c>
      <c r="AL3013" s="580">
        <v>1862</v>
      </c>
      <c r="AM3013" s="580">
        <v>2002</v>
      </c>
      <c r="AN3013" s="580">
        <v>2108</v>
      </c>
      <c r="AO3013" s="580">
        <v>2403</v>
      </c>
    </row>
    <row r="3014" spans="2:41" s="330" customFormat="1" hidden="1" outlineLevel="1">
      <c r="B3014" s="582">
        <v>3662</v>
      </c>
      <c r="C3014" s="375" t="s">
        <v>1420</v>
      </c>
      <c r="D3014" s="226"/>
      <c r="E3014" s="375" t="s">
        <v>146</v>
      </c>
      <c r="F3014" s="580"/>
      <c r="G3014" s="580"/>
      <c r="H3014" s="580"/>
      <c r="I3014" s="580"/>
      <c r="J3014" s="580">
        <v>299</v>
      </c>
      <c r="K3014" s="580">
        <v>437</v>
      </c>
      <c r="L3014" s="580">
        <v>443</v>
      </c>
      <c r="M3014" s="580">
        <v>459</v>
      </c>
      <c r="N3014" s="580">
        <v>449</v>
      </c>
      <c r="O3014" s="580">
        <v>441</v>
      </c>
      <c r="P3014" s="580">
        <v>424</v>
      </c>
      <c r="Q3014" s="580">
        <v>372</v>
      </c>
      <c r="R3014" s="580">
        <v>430</v>
      </c>
      <c r="S3014" s="580">
        <v>415</v>
      </c>
      <c r="T3014" s="580">
        <v>409</v>
      </c>
      <c r="U3014" s="580">
        <v>440</v>
      </c>
      <c r="V3014" s="580">
        <v>467</v>
      </c>
      <c r="W3014" s="580">
        <v>473</v>
      </c>
      <c r="X3014" s="580">
        <v>496</v>
      </c>
      <c r="Y3014" s="580">
        <v>480</v>
      </c>
      <c r="Z3014" s="580">
        <v>497</v>
      </c>
      <c r="AA3014" s="580">
        <v>479</v>
      </c>
      <c r="AB3014" s="580">
        <v>506</v>
      </c>
      <c r="AC3014" s="580">
        <v>463</v>
      </c>
      <c r="AD3014" s="580">
        <v>478</v>
      </c>
      <c r="AE3014" s="580">
        <v>543</v>
      </c>
      <c r="AF3014" s="580">
        <v>518</v>
      </c>
      <c r="AG3014" s="580">
        <v>550</v>
      </c>
      <c r="AH3014" s="580">
        <v>531</v>
      </c>
      <c r="AI3014" s="580">
        <v>669</v>
      </c>
      <c r="AJ3014" s="580">
        <v>669</v>
      </c>
      <c r="AK3014" s="580">
        <v>742</v>
      </c>
      <c r="AL3014" s="580">
        <v>828</v>
      </c>
      <c r="AM3014" s="580">
        <v>800</v>
      </c>
      <c r="AN3014" s="580">
        <v>805</v>
      </c>
      <c r="AO3014" s="580">
        <v>757</v>
      </c>
    </row>
    <row r="3015" spans="2:41" s="330" customFormat="1" hidden="1" outlineLevel="1">
      <c r="B3015" s="582">
        <v>3664</v>
      </c>
      <c r="C3015" s="375" t="s">
        <v>1420</v>
      </c>
      <c r="D3015" s="226"/>
      <c r="E3015" s="375" t="s">
        <v>147</v>
      </c>
      <c r="F3015" s="580"/>
      <c r="G3015" s="580"/>
      <c r="H3015" s="580"/>
      <c r="I3015" s="580"/>
      <c r="J3015" s="580">
        <v>120</v>
      </c>
      <c r="K3015" s="580">
        <v>120</v>
      </c>
      <c r="L3015" s="580">
        <v>179</v>
      </c>
      <c r="M3015" s="580">
        <v>229</v>
      </c>
      <c r="N3015" s="580">
        <v>258</v>
      </c>
      <c r="O3015" s="580">
        <v>318</v>
      </c>
      <c r="P3015" s="580">
        <v>273</v>
      </c>
      <c r="Q3015" s="580">
        <v>313</v>
      </c>
      <c r="R3015" s="580">
        <v>300</v>
      </c>
      <c r="S3015" s="580">
        <v>320</v>
      </c>
      <c r="T3015" s="580">
        <v>306</v>
      </c>
      <c r="U3015" s="580">
        <v>320</v>
      </c>
      <c r="V3015" s="580">
        <v>403</v>
      </c>
      <c r="W3015" s="580">
        <v>345</v>
      </c>
      <c r="X3015" s="580">
        <v>429</v>
      </c>
      <c r="Y3015" s="580">
        <v>512</v>
      </c>
      <c r="Z3015" s="580">
        <v>514</v>
      </c>
      <c r="AA3015" s="580">
        <v>463</v>
      </c>
      <c r="AB3015" s="580">
        <v>566</v>
      </c>
      <c r="AC3015" s="580">
        <v>480</v>
      </c>
      <c r="AD3015" s="580">
        <v>493</v>
      </c>
      <c r="AE3015" s="580">
        <v>704</v>
      </c>
      <c r="AF3015" s="580">
        <v>735</v>
      </c>
      <c r="AG3015" s="580">
        <v>848</v>
      </c>
      <c r="AH3015" s="580">
        <v>857</v>
      </c>
      <c r="AI3015" s="580">
        <v>845</v>
      </c>
      <c r="AJ3015" s="580">
        <v>919</v>
      </c>
      <c r="AK3015" s="580">
        <v>1000</v>
      </c>
      <c r="AL3015" s="580">
        <v>1063</v>
      </c>
      <c r="AM3015" s="580">
        <v>1001</v>
      </c>
      <c r="AN3015" s="580">
        <v>1006</v>
      </c>
      <c r="AO3015" s="580">
        <v>1036</v>
      </c>
    </row>
    <row r="3016" spans="2:41" s="330" customFormat="1" hidden="1" outlineLevel="1">
      <c r="B3016" s="582">
        <v>3668</v>
      </c>
      <c r="C3016" s="375" t="s">
        <v>1420</v>
      </c>
      <c r="D3016" s="226"/>
      <c r="E3016" s="375" t="s">
        <v>149</v>
      </c>
      <c r="F3016" s="580"/>
      <c r="G3016" s="580"/>
      <c r="H3016" s="580"/>
      <c r="I3016" s="580"/>
      <c r="J3016" s="580">
        <v>272</v>
      </c>
      <c r="K3016" s="580">
        <v>340</v>
      </c>
      <c r="L3016" s="580">
        <v>307</v>
      </c>
      <c r="M3016" s="580">
        <v>351</v>
      </c>
      <c r="N3016" s="580">
        <v>338</v>
      </c>
      <c r="O3016" s="580">
        <v>386</v>
      </c>
      <c r="P3016" s="580">
        <v>356</v>
      </c>
      <c r="Q3016" s="580">
        <v>368</v>
      </c>
      <c r="R3016" s="580">
        <v>393</v>
      </c>
      <c r="S3016" s="580">
        <v>368</v>
      </c>
      <c r="T3016" s="580">
        <v>366</v>
      </c>
      <c r="U3016" s="580">
        <v>311</v>
      </c>
      <c r="V3016" s="580">
        <v>392</v>
      </c>
      <c r="W3016" s="580">
        <v>391</v>
      </c>
      <c r="X3016" s="580">
        <v>449</v>
      </c>
      <c r="Y3016" s="580">
        <v>545</v>
      </c>
      <c r="Z3016" s="580">
        <v>620</v>
      </c>
      <c r="AA3016" s="580">
        <v>617</v>
      </c>
      <c r="AB3016" s="580">
        <v>588</v>
      </c>
      <c r="AC3016" s="580">
        <v>540</v>
      </c>
      <c r="AD3016" s="580">
        <v>582</v>
      </c>
      <c r="AE3016" s="580">
        <v>708</v>
      </c>
      <c r="AF3016" s="580">
        <v>723</v>
      </c>
      <c r="AG3016" s="580">
        <v>787</v>
      </c>
      <c r="AH3016" s="580">
        <v>865</v>
      </c>
      <c r="AI3016" s="580">
        <v>875</v>
      </c>
      <c r="AJ3016" s="580">
        <v>756</v>
      </c>
      <c r="AK3016" s="580">
        <v>788</v>
      </c>
      <c r="AL3016" s="580">
        <v>1040</v>
      </c>
      <c r="AM3016" s="580">
        <v>1060</v>
      </c>
      <c r="AN3016" s="580">
        <v>1086</v>
      </c>
      <c r="AO3016" s="580">
        <v>1063</v>
      </c>
    </row>
    <row r="3017" spans="2:41" s="330" customFormat="1" hidden="1" outlineLevel="1">
      <c r="B3017" s="582">
        <v>4003</v>
      </c>
      <c r="C3017" s="375" t="s">
        <v>1420</v>
      </c>
      <c r="D3017" s="226"/>
      <c r="E3017" s="375" t="s">
        <v>108</v>
      </c>
      <c r="F3017" s="580"/>
      <c r="G3017" s="580"/>
      <c r="H3017" s="580"/>
      <c r="I3017" s="580"/>
      <c r="J3017" s="580">
        <v>926</v>
      </c>
      <c r="K3017" s="580">
        <v>818</v>
      </c>
      <c r="L3017" s="580">
        <v>696</v>
      </c>
      <c r="M3017" s="580">
        <v>578</v>
      </c>
      <c r="N3017" s="580">
        <v>608</v>
      </c>
      <c r="O3017" s="580">
        <v>888</v>
      </c>
      <c r="P3017" s="580">
        <v>1078</v>
      </c>
      <c r="Q3017" s="580">
        <v>1221</v>
      </c>
      <c r="R3017" s="580">
        <v>1313</v>
      </c>
      <c r="S3017" s="580">
        <v>1327</v>
      </c>
      <c r="T3017" s="580">
        <v>1274</v>
      </c>
      <c r="U3017" s="580">
        <v>1303</v>
      </c>
      <c r="V3017" s="580">
        <v>1242</v>
      </c>
      <c r="W3017" s="580">
        <v>966</v>
      </c>
      <c r="X3017" s="580">
        <v>1030</v>
      </c>
      <c r="Y3017" s="580">
        <v>1161</v>
      </c>
      <c r="Z3017" s="580">
        <v>1133</v>
      </c>
      <c r="AA3017" s="580">
        <v>1108</v>
      </c>
      <c r="AB3017" s="580">
        <v>1186</v>
      </c>
      <c r="AC3017" s="580">
        <v>1188</v>
      </c>
      <c r="AD3017" s="580">
        <v>1390</v>
      </c>
      <c r="AE3017" s="580">
        <v>1602</v>
      </c>
      <c r="AF3017" s="580">
        <v>1660</v>
      </c>
      <c r="AG3017" s="580">
        <v>1926</v>
      </c>
      <c r="AH3017" s="580">
        <v>2061</v>
      </c>
      <c r="AI3017" s="580">
        <v>2314</v>
      </c>
      <c r="AJ3017" s="580">
        <v>2321</v>
      </c>
      <c r="AK3017" s="580">
        <v>2249</v>
      </c>
      <c r="AL3017" s="580">
        <v>2645</v>
      </c>
      <c r="AM3017" s="580">
        <v>2413</v>
      </c>
      <c r="AN3017" s="580">
        <v>2255</v>
      </c>
      <c r="AO3017" s="580">
        <v>2482</v>
      </c>
    </row>
    <row r="3018" spans="2:41" s="330" customFormat="1" hidden="1" outlineLevel="1">
      <c r="B3018" s="582">
        <v>6661</v>
      </c>
      <c r="C3018" s="375" t="s">
        <v>1420</v>
      </c>
      <c r="D3018" s="226"/>
      <c r="E3018" s="375" t="s">
        <v>104</v>
      </c>
      <c r="F3018" s="580"/>
      <c r="G3018" s="580"/>
      <c r="H3018" s="580"/>
      <c r="I3018" s="580"/>
      <c r="J3018" s="580">
        <v>174</v>
      </c>
      <c r="K3018" s="580">
        <v>190</v>
      </c>
      <c r="L3018" s="580">
        <v>234</v>
      </c>
      <c r="M3018" s="580">
        <v>262</v>
      </c>
      <c r="N3018" s="580">
        <v>249</v>
      </c>
      <c r="O3018" s="580">
        <v>331</v>
      </c>
      <c r="P3018" s="580">
        <v>424</v>
      </c>
      <c r="Q3018" s="580">
        <v>493</v>
      </c>
      <c r="R3018" s="580">
        <v>383</v>
      </c>
      <c r="S3018" s="580">
        <v>500</v>
      </c>
      <c r="T3018" s="580">
        <v>430</v>
      </c>
      <c r="U3018" s="580">
        <v>456</v>
      </c>
      <c r="V3018" s="580">
        <v>393</v>
      </c>
      <c r="W3018" s="580">
        <v>524</v>
      </c>
      <c r="X3018" s="580">
        <v>522</v>
      </c>
      <c r="Y3018" s="580">
        <v>613</v>
      </c>
      <c r="Z3018" s="580">
        <v>756</v>
      </c>
      <c r="AA3018" s="580">
        <v>721</v>
      </c>
      <c r="AB3018" s="580">
        <v>691</v>
      </c>
      <c r="AC3018" s="580">
        <v>634</v>
      </c>
      <c r="AD3018" s="580">
        <v>612</v>
      </c>
      <c r="AE3018" s="580">
        <v>593</v>
      </c>
      <c r="AF3018" s="580">
        <v>708</v>
      </c>
      <c r="AG3018" s="580">
        <v>752</v>
      </c>
      <c r="AH3018" s="580">
        <v>718</v>
      </c>
      <c r="AI3018" s="580">
        <v>619</v>
      </c>
      <c r="AJ3018" s="580">
        <v>682</v>
      </c>
      <c r="AK3018" s="580">
        <v>716</v>
      </c>
      <c r="AL3018" s="580">
        <v>815</v>
      </c>
      <c r="AM3018" s="580">
        <v>929</v>
      </c>
      <c r="AN3018" s="580">
        <v>942</v>
      </c>
      <c r="AO3018" s="580">
        <v>846</v>
      </c>
    </row>
    <row r="3019" spans="2:41" s="330" customFormat="1" hidden="1" outlineLevel="1">
      <c r="B3019" s="582">
        <v>6662</v>
      </c>
      <c r="C3019" s="375" t="s">
        <v>1420</v>
      </c>
      <c r="D3019" s="226"/>
      <c r="E3019" s="375" t="s">
        <v>117</v>
      </c>
      <c r="F3019" s="580"/>
      <c r="G3019" s="580"/>
      <c r="H3019" s="580"/>
      <c r="I3019" s="580"/>
      <c r="J3019" s="580">
        <v>156</v>
      </c>
      <c r="K3019" s="580">
        <v>148</v>
      </c>
      <c r="L3019" s="580">
        <v>175</v>
      </c>
      <c r="M3019" s="580">
        <v>177</v>
      </c>
      <c r="N3019" s="580">
        <v>197</v>
      </c>
      <c r="O3019" s="580">
        <v>171</v>
      </c>
      <c r="P3019" s="580">
        <v>190</v>
      </c>
      <c r="Q3019" s="580">
        <v>228</v>
      </c>
      <c r="R3019" s="580">
        <v>224</v>
      </c>
      <c r="S3019" s="580">
        <v>212</v>
      </c>
      <c r="T3019" s="580">
        <v>200</v>
      </c>
      <c r="U3019" s="580">
        <v>185</v>
      </c>
      <c r="V3019" s="580">
        <v>192</v>
      </c>
      <c r="W3019" s="580">
        <v>226</v>
      </c>
      <c r="X3019" s="580">
        <v>188</v>
      </c>
      <c r="Y3019" s="580">
        <v>244</v>
      </c>
      <c r="Z3019" s="580">
        <v>256</v>
      </c>
      <c r="AA3019" s="580">
        <v>274</v>
      </c>
      <c r="AB3019" s="580">
        <v>274</v>
      </c>
      <c r="AC3019" s="580">
        <v>336</v>
      </c>
      <c r="AD3019" s="580">
        <v>304</v>
      </c>
      <c r="AE3019" s="580">
        <v>302</v>
      </c>
      <c r="AF3019" s="580">
        <v>341</v>
      </c>
      <c r="AG3019" s="580">
        <v>449</v>
      </c>
      <c r="AH3019" s="580">
        <v>470</v>
      </c>
      <c r="AI3019" s="580">
        <v>543</v>
      </c>
      <c r="AJ3019" s="580">
        <v>478</v>
      </c>
      <c r="AK3019" s="580">
        <v>475</v>
      </c>
      <c r="AL3019" s="580">
        <v>516</v>
      </c>
      <c r="AM3019" s="580">
        <v>569</v>
      </c>
      <c r="AN3019" s="580">
        <v>635</v>
      </c>
      <c r="AO3019" s="580">
        <v>690</v>
      </c>
    </row>
    <row r="3020" spans="2:41" s="330" customFormat="1" hidden="1" outlineLevel="1">
      <c r="B3020" s="582">
        <v>7096</v>
      </c>
      <c r="C3020" s="375" t="s">
        <v>1420</v>
      </c>
      <c r="D3020" s="226"/>
      <c r="E3020" s="375" t="s">
        <v>1410</v>
      </c>
      <c r="F3020" s="580"/>
      <c r="G3020" s="580"/>
      <c r="H3020" s="580"/>
      <c r="I3020" s="580"/>
      <c r="J3020" s="580">
        <v>166</v>
      </c>
      <c r="K3020" s="580">
        <v>156</v>
      </c>
      <c r="L3020" s="580">
        <v>191</v>
      </c>
      <c r="M3020" s="580">
        <v>191</v>
      </c>
      <c r="N3020" s="580">
        <v>209</v>
      </c>
      <c r="O3020" s="580">
        <v>220</v>
      </c>
      <c r="P3020" s="580">
        <v>421</v>
      </c>
      <c r="Q3020" s="580">
        <v>390</v>
      </c>
      <c r="R3020" s="580">
        <v>380</v>
      </c>
      <c r="S3020" s="580">
        <v>343</v>
      </c>
      <c r="T3020" s="580">
        <v>376</v>
      </c>
      <c r="U3020" s="580">
        <v>350</v>
      </c>
      <c r="V3020" s="580">
        <v>360</v>
      </c>
      <c r="W3020" s="580">
        <v>413</v>
      </c>
      <c r="X3020" s="580">
        <v>408</v>
      </c>
      <c r="Y3020" s="580">
        <v>370</v>
      </c>
      <c r="Z3020" s="580">
        <v>467</v>
      </c>
      <c r="AA3020" s="580">
        <v>396</v>
      </c>
      <c r="AB3020" s="580">
        <v>436</v>
      </c>
      <c r="AC3020" s="580">
        <v>260</v>
      </c>
      <c r="AD3020" s="580">
        <v>402</v>
      </c>
      <c r="AE3020" s="580">
        <v>412</v>
      </c>
      <c r="AF3020" s="580">
        <v>529</v>
      </c>
      <c r="AG3020" s="580">
        <v>635</v>
      </c>
      <c r="AH3020" s="580">
        <v>602</v>
      </c>
      <c r="AI3020" s="580">
        <v>665</v>
      </c>
      <c r="AJ3020" s="580">
        <v>595</v>
      </c>
      <c r="AK3020" s="580">
        <v>622</v>
      </c>
      <c r="AL3020" s="580">
        <v>689</v>
      </c>
      <c r="AM3020" s="580">
        <v>694</v>
      </c>
      <c r="AN3020" s="580">
        <v>891</v>
      </c>
      <c r="AO3020" s="580">
        <v>881</v>
      </c>
    </row>
    <row r="3021" spans="2:41" s="330" customFormat="1" hidden="1" outlineLevel="1">
      <c r="B3021" s="582">
        <v>7857</v>
      </c>
      <c r="C3021" s="375" t="s">
        <v>1420</v>
      </c>
      <c r="D3021" s="226"/>
      <c r="E3021" s="375" t="s">
        <v>107</v>
      </c>
      <c r="F3021" s="580"/>
      <c r="G3021" s="580"/>
      <c r="H3021" s="580"/>
      <c r="I3021" s="580"/>
      <c r="J3021" s="580">
        <v>184</v>
      </c>
      <c r="K3021" s="580">
        <v>138</v>
      </c>
      <c r="L3021" s="580">
        <v>184</v>
      </c>
      <c r="M3021" s="580">
        <v>186</v>
      </c>
      <c r="N3021" s="580">
        <v>284</v>
      </c>
      <c r="O3021" s="580">
        <v>281</v>
      </c>
      <c r="P3021" s="580">
        <v>642</v>
      </c>
      <c r="Q3021" s="580">
        <v>342</v>
      </c>
      <c r="R3021" s="580">
        <v>286</v>
      </c>
      <c r="S3021" s="580">
        <v>353</v>
      </c>
      <c r="T3021" s="580">
        <v>380</v>
      </c>
      <c r="U3021" s="580">
        <v>365</v>
      </c>
      <c r="V3021" s="580">
        <v>357</v>
      </c>
      <c r="W3021" s="580">
        <v>393</v>
      </c>
      <c r="X3021" s="580">
        <v>397</v>
      </c>
      <c r="Y3021" s="580">
        <v>416</v>
      </c>
      <c r="Z3021" s="580">
        <v>458</v>
      </c>
      <c r="AA3021" s="580">
        <v>364</v>
      </c>
      <c r="AB3021" s="580">
        <v>322</v>
      </c>
      <c r="AC3021" s="580">
        <v>346</v>
      </c>
      <c r="AD3021" s="580">
        <v>417</v>
      </c>
      <c r="AE3021" s="580">
        <v>397</v>
      </c>
      <c r="AF3021" s="580">
        <v>466</v>
      </c>
      <c r="AG3021" s="580">
        <v>570</v>
      </c>
      <c r="AH3021" s="580">
        <v>652</v>
      </c>
      <c r="AI3021" s="580">
        <v>679</v>
      </c>
      <c r="AJ3021" s="580">
        <v>743</v>
      </c>
      <c r="AK3021" s="580">
        <v>789</v>
      </c>
      <c r="AL3021" s="580">
        <v>990</v>
      </c>
      <c r="AM3021" s="580">
        <v>1091</v>
      </c>
      <c r="AN3021" s="580">
        <v>1269</v>
      </c>
      <c r="AO3021" s="580">
        <v>1127</v>
      </c>
    </row>
    <row r="3022" spans="2:41" s="330" customFormat="1" hidden="1" outlineLevel="1">
      <c r="B3022" s="582">
        <v>9331</v>
      </c>
      <c r="C3022" s="375" t="s">
        <v>1420</v>
      </c>
      <c r="D3022" s="226"/>
      <c r="E3022" s="375" t="s">
        <v>1411</v>
      </c>
      <c r="F3022" s="580"/>
      <c r="G3022" s="580"/>
      <c r="H3022" s="580"/>
      <c r="I3022" s="580"/>
      <c r="J3022" s="580">
        <v>2190</v>
      </c>
      <c r="K3022" s="580">
        <v>2042</v>
      </c>
      <c r="L3022" s="580">
        <v>2050</v>
      </c>
      <c r="M3022" s="580">
        <v>2092</v>
      </c>
      <c r="N3022" s="580">
        <v>2284</v>
      </c>
      <c r="O3022" s="580">
        <v>2386</v>
      </c>
      <c r="P3022" s="580">
        <v>2805</v>
      </c>
      <c r="Q3022" s="580">
        <v>3266</v>
      </c>
      <c r="R3022" s="580">
        <v>3057</v>
      </c>
      <c r="S3022" s="580">
        <v>2965</v>
      </c>
      <c r="T3022" s="580">
        <v>2978</v>
      </c>
      <c r="U3022" s="580">
        <v>2883</v>
      </c>
      <c r="V3022" s="580">
        <v>2884</v>
      </c>
      <c r="W3022" s="580">
        <v>3039</v>
      </c>
      <c r="X3022" s="580">
        <v>3621</v>
      </c>
      <c r="Y3022" s="580">
        <v>4085</v>
      </c>
      <c r="Z3022" s="580">
        <v>4186</v>
      </c>
      <c r="AA3022" s="580">
        <v>4642</v>
      </c>
      <c r="AB3022" s="580">
        <v>4834</v>
      </c>
      <c r="AC3022" s="580">
        <v>5191</v>
      </c>
      <c r="AD3022" s="580">
        <v>4858</v>
      </c>
      <c r="AE3022" s="580">
        <v>5497</v>
      </c>
      <c r="AF3022" s="580">
        <v>6216</v>
      </c>
      <c r="AG3022" s="580">
        <v>7775</v>
      </c>
      <c r="AH3022" s="580">
        <v>7938</v>
      </c>
      <c r="AI3022" s="580">
        <v>8741</v>
      </c>
      <c r="AJ3022" s="580">
        <v>10349</v>
      </c>
      <c r="AK3022" s="580">
        <v>11581</v>
      </c>
      <c r="AL3022" s="580">
        <v>11492</v>
      </c>
      <c r="AM3022" s="580">
        <v>12004</v>
      </c>
      <c r="AN3022" s="580">
        <v>13153</v>
      </c>
      <c r="AO3022" s="580">
        <v>13476</v>
      </c>
    </row>
    <row r="3023" spans="2:41" s="330" customFormat="1" hidden="1" outlineLevel="1">
      <c r="B3023" s="582">
        <v>9549</v>
      </c>
      <c r="C3023" s="375" t="s">
        <v>1420</v>
      </c>
      <c r="D3023" s="226"/>
      <c r="E3023" s="375" t="s">
        <v>148</v>
      </c>
      <c r="F3023" s="580"/>
      <c r="G3023" s="580"/>
      <c r="H3023" s="580"/>
      <c r="I3023" s="580"/>
      <c r="J3023" s="580">
        <v>92</v>
      </c>
      <c r="K3023" s="580">
        <v>103</v>
      </c>
      <c r="L3023" s="580">
        <v>84</v>
      </c>
      <c r="M3023" s="580">
        <v>73</v>
      </c>
      <c r="N3023" s="580">
        <v>137</v>
      </c>
      <c r="O3023" s="580">
        <v>151</v>
      </c>
      <c r="P3023" s="580">
        <v>160</v>
      </c>
      <c r="Q3023" s="580">
        <v>164</v>
      </c>
      <c r="R3023" s="580">
        <v>221</v>
      </c>
      <c r="S3023" s="580">
        <v>211</v>
      </c>
      <c r="T3023" s="580">
        <v>193</v>
      </c>
      <c r="U3023" s="580">
        <v>174</v>
      </c>
      <c r="V3023" s="580">
        <v>183</v>
      </c>
      <c r="W3023" s="580">
        <v>239</v>
      </c>
      <c r="X3023" s="580">
        <v>178</v>
      </c>
      <c r="Y3023" s="580">
        <v>235</v>
      </c>
      <c r="Z3023" s="580">
        <v>245</v>
      </c>
      <c r="AA3023" s="580">
        <v>259</v>
      </c>
      <c r="AB3023" s="580">
        <v>265</v>
      </c>
      <c r="AC3023" s="580">
        <v>187</v>
      </c>
      <c r="AD3023" s="580">
        <v>250</v>
      </c>
      <c r="AE3023" s="580">
        <v>272</v>
      </c>
      <c r="AF3023" s="580">
        <v>345</v>
      </c>
      <c r="AG3023" s="580">
        <v>374</v>
      </c>
      <c r="AH3023" s="580">
        <v>403</v>
      </c>
      <c r="AI3023" s="580">
        <v>406</v>
      </c>
      <c r="AJ3023" s="580">
        <v>408</v>
      </c>
      <c r="AK3023" s="580">
        <v>356</v>
      </c>
      <c r="AL3023" s="580">
        <v>429</v>
      </c>
      <c r="AM3023" s="580">
        <v>369</v>
      </c>
      <c r="AN3023" s="580">
        <v>366</v>
      </c>
      <c r="AO3023" s="580">
        <v>375</v>
      </c>
    </row>
    <row r="3024" spans="2:41" s="330" customFormat="1" hidden="1" outlineLevel="1">
      <c r="B3024" s="582">
        <v>9797</v>
      </c>
      <c r="C3024" s="375" t="s">
        <v>1420</v>
      </c>
      <c r="D3024" s="226"/>
      <c r="E3024" s="375" t="s">
        <v>127</v>
      </c>
      <c r="F3024" s="580"/>
      <c r="G3024" s="580"/>
      <c r="H3024" s="580"/>
      <c r="I3024" s="580"/>
      <c r="J3024" s="580">
        <v>613</v>
      </c>
      <c r="K3024" s="580">
        <v>212</v>
      </c>
      <c r="L3024" s="580">
        <v>254</v>
      </c>
      <c r="M3024" s="580">
        <v>331</v>
      </c>
      <c r="N3024" s="580">
        <v>281</v>
      </c>
      <c r="O3024" s="580">
        <v>264</v>
      </c>
      <c r="P3024" s="580">
        <v>294</v>
      </c>
      <c r="Q3024" s="580">
        <v>402</v>
      </c>
      <c r="R3024" s="580">
        <v>418</v>
      </c>
      <c r="S3024" s="580">
        <v>458</v>
      </c>
      <c r="T3024" s="580">
        <v>483</v>
      </c>
      <c r="U3024" s="580">
        <v>423</v>
      </c>
      <c r="V3024" s="580">
        <v>580</v>
      </c>
      <c r="W3024" s="580">
        <v>579</v>
      </c>
      <c r="X3024" s="580">
        <v>638</v>
      </c>
      <c r="Y3024" s="580">
        <v>694</v>
      </c>
      <c r="Z3024" s="580">
        <v>725</v>
      </c>
      <c r="AA3024" s="580">
        <v>691</v>
      </c>
      <c r="AB3024" s="580">
        <v>595</v>
      </c>
      <c r="AC3024" s="580">
        <v>599</v>
      </c>
      <c r="AD3024" s="580">
        <v>566</v>
      </c>
      <c r="AE3024" s="580">
        <v>626</v>
      </c>
      <c r="AF3024" s="580">
        <v>591</v>
      </c>
      <c r="AG3024" s="580">
        <v>707</v>
      </c>
      <c r="AH3024" s="580">
        <v>602</v>
      </c>
      <c r="AI3024" s="580">
        <v>699</v>
      </c>
      <c r="AJ3024" s="580">
        <v>605</v>
      </c>
      <c r="AK3024" s="580">
        <v>645</v>
      </c>
      <c r="AL3024" s="580">
        <v>741</v>
      </c>
      <c r="AM3024" s="580">
        <v>866</v>
      </c>
      <c r="AN3024" s="580">
        <v>863</v>
      </c>
      <c r="AO3024" s="580">
        <v>777</v>
      </c>
    </row>
    <row r="3025" spans="2:44" s="330" customFormat="1" hidden="1" outlineLevel="1">
      <c r="B3025" s="582">
        <v>10060</v>
      </c>
      <c r="C3025" s="375" t="s">
        <v>1420</v>
      </c>
      <c r="D3025" s="226"/>
      <c r="E3025" s="375" t="s">
        <v>180</v>
      </c>
      <c r="F3025" s="580"/>
      <c r="G3025" s="580"/>
      <c r="H3025" s="580"/>
      <c r="I3025" s="580"/>
      <c r="J3025" s="580">
        <v>383</v>
      </c>
      <c r="K3025" s="580">
        <v>326</v>
      </c>
      <c r="L3025" s="580">
        <v>316</v>
      </c>
      <c r="M3025" s="580">
        <v>296</v>
      </c>
      <c r="N3025" s="580">
        <v>339</v>
      </c>
      <c r="O3025" s="580">
        <v>348</v>
      </c>
      <c r="P3025" s="580">
        <v>437</v>
      </c>
      <c r="Q3025" s="580">
        <v>333</v>
      </c>
      <c r="R3025" s="580">
        <v>302</v>
      </c>
      <c r="S3025" s="580">
        <v>394</v>
      </c>
      <c r="T3025" s="580">
        <v>329</v>
      </c>
      <c r="U3025" s="580">
        <v>370</v>
      </c>
      <c r="V3025" s="580">
        <v>391</v>
      </c>
      <c r="W3025" s="580">
        <v>387</v>
      </c>
      <c r="X3025" s="580">
        <v>437</v>
      </c>
      <c r="Y3025" s="580">
        <v>495</v>
      </c>
      <c r="Z3025" s="580">
        <v>446</v>
      </c>
      <c r="AA3025" s="580">
        <v>406</v>
      </c>
      <c r="AB3025" s="580">
        <v>405</v>
      </c>
      <c r="AC3025" s="580">
        <v>351</v>
      </c>
      <c r="AD3025" s="580">
        <v>392</v>
      </c>
      <c r="AE3025" s="580">
        <v>444</v>
      </c>
      <c r="AF3025" s="580">
        <v>452</v>
      </c>
      <c r="AG3025" s="580">
        <v>546</v>
      </c>
      <c r="AH3025" s="580">
        <v>471</v>
      </c>
      <c r="AI3025" s="580">
        <v>503</v>
      </c>
      <c r="AJ3025" s="580">
        <v>552</v>
      </c>
      <c r="AK3025" s="580">
        <v>541</v>
      </c>
      <c r="AL3025" s="580">
        <v>479</v>
      </c>
      <c r="AM3025" s="580">
        <v>557</v>
      </c>
      <c r="AN3025" s="580">
        <v>616</v>
      </c>
      <c r="AO3025" s="580">
        <v>510</v>
      </c>
    </row>
    <row r="3026" spans="2:44" s="330" customFormat="1" hidden="1" outlineLevel="1">
      <c r="B3026" s="582">
        <v>10387</v>
      </c>
      <c r="C3026" s="375" t="s">
        <v>1420</v>
      </c>
      <c r="D3026" s="226"/>
      <c r="E3026" s="375" t="s">
        <v>1412</v>
      </c>
      <c r="F3026" s="580"/>
      <c r="G3026" s="580"/>
      <c r="H3026" s="580"/>
      <c r="I3026" s="580"/>
      <c r="J3026" s="580">
        <v>907</v>
      </c>
      <c r="K3026" s="580">
        <v>1092</v>
      </c>
      <c r="L3026" s="580">
        <v>978</v>
      </c>
      <c r="M3026" s="580">
        <v>984</v>
      </c>
      <c r="N3026" s="580">
        <v>917</v>
      </c>
      <c r="O3026" s="580">
        <v>919</v>
      </c>
      <c r="P3026" s="580">
        <v>861</v>
      </c>
      <c r="Q3026" s="580">
        <v>974</v>
      </c>
      <c r="R3026" s="580">
        <v>907</v>
      </c>
      <c r="S3026" s="580">
        <v>886</v>
      </c>
      <c r="T3026" s="580">
        <v>911</v>
      </c>
      <c r="U3026" s="580">
        <v>989</v>
      </c>
      <c r="V3026" s="580">
        <v>1190</v>
      </c>
      <c r="W3026" s="580">
        <v>1241</v>
      </c>
      <c r="X3026" s="580">
        <v>1259</v>
      </c>
      <c r="Y3026" s="580">
        <v>1431</v>
      </c>
      <c r="Z3026" s="580">
        <v>1704</v>
      </c>
      <c r="AA3026" s="580">
        <v>2086</v>
      </c>
      <c r="AB3026" s="580">
        <v>2206</v>
      </c>
      <c r="AC3026" s="580">
        <v>2140</v>
      </c>
      <c r="AD3026" s="580">
        <v>2174</v>
      </c>
      <c r="AE3026" s="580">
        <v>2525</v>
      </c>
      <c r="AF3026" s="580">
        <v>3646</v>
      </c>
      <c r="AG3026" s="580">
        <v>3729</v>
      </c>
      <c r="AH3026" s="580">
        <v>4470</v>
      </c>
      <c r="AI3026" s="580">
        <v>3998</v>
      </c>
      <c r="AJ3026" s="580">
        <v>4406</v>
      </c>
      <c r="AK3026" s="580">
        <v>4077</v>
      </c>
      <c r="AL3026" s="580">
        <v>4629</v>
      </c>
      <c r="AM3026" s="580">
        <v>4505</v>
      </c>
      <c r="AN3026" s="580">
        <v>4428</v>
      </c>
      <c r="AO3026" s="580">
        <v>4329</v>
      </c>
    </row>
    <row r="3027" spans="2:44" s="330" customFormat="1" hidden="1" outlineLevel="1">
      <c r="B3027" s="582">
        <v>10633</v>
      </c>
      <c r="C3027" s="375" t="s">
        <v>1420</v>
      </c>
      <c r="D3027" s="226"/>
      <c r="E3027" s="375" t="s">
        <v>120</v>
      </c>
      <c r="F3027" s="580"/>
      <c r="G3027" s="580"/>
      <c r="H3027" s="580"/>
      <c r="I3027" s="580"/>
      <c r="J3027" s="580">
        <v>841</v>
      </c>
      <c r="K3027" s="580">
        <v>1060</v>
      </c>
      <c r="L3027" s="580">
        <v>1194</v>
      </c>
      <c r="M3027" s="580">
        <v>1434</v>
      </c>
      <c r="N3027" s="580">
        <v>1456</v>
      </c>
      <c r="O3027" s="580">
        <v>1864</v>
      </c>
      <c r="P3027" s="580">
        <v>1931</v>
      </c>
      <c r="Q3027" s="580">
        <v>1815</v>
      </c>
      <c r="R3027" s="580">
        <v>1865</v>
      </c>
      <c r="S3027" s="580">
        <v>1874</v>
      </c>
      <c r="T3027" s="580">
        <v>1956</v>
      </c>
      <c r="U3027" s="580">
        <v>1735</v>
      </c>
      <c r="V3027" s="580">
        <v>2028</v>
      </c>
      <c r="W3027" s="580">
        <v>1758</v>
      </c>
      <c r="X3027" s="580">
        <v>2497</v>
      </c>
      <c r="Y3027" s="580">
        <v>2990</v>
      </c>
      <c r="Z3027" s="580">
        <v>4064</v>
      </c>
      <c r="AA3027" s="580">
        <v>3733</v>
      </c>
      <c r="AB3027" s="580">
        <v>3507</v>
      </c>
      <c r="AC3027" s="580">
        <v>3430</v>
      </c>
      <c r="AD3027" s="580">
        <v>3511</v>
      </c>
      <c r="AE3027" s="580">
        <v>3926</v>
      </c>
      <c r="AF3027" s="580">
        <v>4946</v>
      </c>
      <c r="AG3027" s="580">
        <v>5287</v>
      </c>
      <c r="AH3027" s="580">
        <v>5758</v>
      </c>
      <c r="AI3027" s="580">
        <v>6029</v>
      </c>
      <c r="AJ3027" s="580">
        <v>6192</v>
      </c>
      <c r="AK3027" s="580">
        <v>7675</v>
      </c>
      <c r="AL3027" s="580">
        <v>7950</v>
      </c>
      <c r="AM3027" s="580">
        <v>7476</v>
      </c>
      <c r="AN3027" s="580">
        <v>7194</v>
      </c>
      <c r="AO3027" s="580">
        <v>7193</v>
      </c>
    </row>
    <row r="3028" spans="2:44" s="330" customFormat="1" hidden="1" outlineLevel="1">
      <c r="B3028" s="582">
        <v>11145</v>
      </c>
      <c r="C3028" s="375" t="s">
        <v>1420</v>
      </c>
      <c r="D3028" s="226"/>
      <c r="E3028" s="375" t="s">
        <v>892</v>
      </c>
      <c r="F3028" s="580"/>
      <c r="G3028" s="580"/>
      <c r="H3028" s="580"/>
      <c r="I3028" s="580"/>
      <c r="J3028" s="580">
        <v>993</v>
      </c>
      <c r="K3028" s="580">
        <v>453</v>
      </c>
      <c r="L3028" s="580">
        <v>670</v>
      </c>
      <c r="M3028" s="580">
        <v>794</v>
      </c>
      <c r="N3028" s="580">
        <v>971</v>
      </c>
      <c r="O3028" s="580">
        <v>1007</v>
      </c>
      <c r="P3028" s="580">
        <v>1106</v>
      </c>
      <c r="Q3028" s="580">
        <v>1039</v>
      </c>
      <c r="R3028" s="580">
        <v>1059</v>
      </c>
      <c r="S3028" s="580">
        <v>1309</v>
      </c>
      <c r="T3028" s="580">
        <v>1758</v>
      </c>
      <c r="U3028" s="580">
        <v>1380</v>
      </c>
      <c r="V3028" s="580">
        <v>1551</v>
      </c>
      <c r="W3028" s="580">
        <v>1767</v>
      </c>
      <c r="X3028" s="580">
        <v>1959</v>
      </c>
      <c r="Y3028" s="580">
        <v>2098</v>
      </c>
      <c r="Z3028" s="580">
        <v>2489</v>
      </c>
      <c r="AA3028" s="580">
        <v>2765</v>
      </c>
      <c r="AB3028" s="580">
        <v>2836</v>
      </c>
      <c r="AC3028" s="580">
        <v>2916</v>
      </c>
      <c r="AD3028" s="580">
        <v>3114</v>
      </c>
      <c r="AE3028" s="580">
        <v>3571</v>
      </c>
      <c r="AF3028" s="580">
        <v>4190</v>
      </c>
      <c r="AG3028" s="580">
        <v>4603</v>
      </c>
      <c r="AH3028" s="580">
        <v>5212</v>
      </c>
      <c r="AI3028" s="580">
        <v>6016</v>
      </c>
      <c r="AJ3028" s="580">
        <v>5605</v>
      </c>
      <c r="AK3028" s="580">
        <v>6982</v>
      </c>
      <c r="AL3028" s="580">
        <v>7846</v>
      </c>
      <c r="AM3028" s="580">
        <v>8453</v>
      </c>
      <c r="AN3028" s="580">
        <v>8609</v>
      </c>
      <c r="AO3028" s="580">
        <v>10056</v>
      </c>
    </row>
    <row r="3029" spans="2:44" s="330" customFormat="1" hidden="1" outlineLevel="1">
      <c r="B3029" s="582">
        <v>12015</v>
      </c>
      <c r="C3029" s="375" t="s">
        <v>1420</v>
      </c>
      <c r="D3029" s="226"/>
      <c r="E3029" s="375" t="s">
        <v>105</v>
      </c>
      <c r="F3029" s="580"/>
      <c r="G3029" s="580"/>
      <c r="H3029" s="580"/>
      <c r="I3029" s="580"/>
      <c r="J3029" s="580">
        <v>770</v>
      </c>
      <c r="K3029" s="580">
        <v>792</v>
      </c>
      <c r="L3029" s="580">
        <v>693</v>
      </c>
      <c r="M3029" s="580">
        <v>831</v>
      </c>
      <c r="N3029" s="580">
        <v>770</v>
      </c>
      <c r="O3029" s="580">
        <v>807</v>
      </c>
      <c r="P3029" s="580">
        <v>993</v>
      </c>
      <c r="Q3029" s="580">
        <v>985</v>
      </c>
      <c r="R3029" s="580">
        <v>1069</v>
      </c>
      <c r="S3029" s="580">
        <v>1167</v>
      </c>
      <c r="T3029" s="580">
        <v>1084</v>
      </c>
      <c r="U3029" s="580">
        <v>1098</v>
      </c>
      <c r="V3029" s="580">
        <v>1083</v>
      </c>
      <c r="W3029" s="580">
        <v>1120</v>
      </c>
      <c r="X3029" s="580">
        <v>1215</v>
      </c>
      <c r="Y3029" s="580">
        <v>1333</v>
      </c>
      <c r="Z3029" s="580">
        <v>1390</v>
      </c>
      <c r="AA3029" s="580">
        <v>1410</v>
      </c>
      <c r="AB3029" s="580">
        <v>1526</v>
      </c>
      <c r="AC3029" s="580">
        <v>1461</v>
      </c>
      <c r="AD3029" s="580">
        <v>1574</v>
      </c>
      <c r="AE3029" s="580">
        <v>1785</v>
      </c>
      <c r="AF3029" s="580">
        <v>2013</v>
      </c>
      <c r="AG3029" s="580">
        <v>2339</v>
      </c>
      <c r="AH3029" s="580">
        <v>2620</v>
      </c>
      <c r="AI3029" s="580">
        <v>2599</v>
      </c>
      <c r="AJ3029" s="580">
        <v>2694</v>
      </c>
      <c r="AK3029" s="580">
        <v>2965</v>
      </c>
      <c r="AL3029" s="580">
        <v>3929</v>
      </c>
      <c r="AM3029" s="580">
        <v>4305</v>
      </c>
      <c r="AN3029" s="580">
        <v>4408</v>
      </c>
      <c r="AO3029" s="580">
        <v>5268</v>
      </c>
    </row>
    <row r="3030" spans="2:44" s="330" customFormat="1" hidden="1" outlineLevel="1">
      <c r="B3030" s="582">
        <v>23154</v>
      </c>
      <c r="C3030" s="375" t="s">
        <v>1420</v>
      </c>
      <c r="D3030" s="226"/>
      <c r="E3030" s="375" t="s">
        <v>1413</v>
      </c>
      <c r="F3030" s="580"/>
      <c r="G3030" s="580"/>
      <c r="H3030" s="580"/>
      <c r="I3030" s="580"/>
      <c r="J3030" s="580">
        <v>108</v>
      </c>
      <c r="K3030" s="580">
        <v>122</v>
      </c>
      <c r="L3030" s="580">
        <v>158</v>
      </c>
      <c r="M3030" s="580">
        <v>161</v>
      </c>
      <c r="N3030" s="580">
        <v>227</v>
      </c>
      <c r="O3030" s="580">
        <v>218</v>
      </c>
      <c r="P3030" s="580">
        <v>237</v>
      </c>
      <c r="Q3030" s="580">
        <v>282</v>
      </c>
      <c r="R3030" s="580">
        <v>316</v>
      </c>
      <c r="S3030" s="580">
        <v>238</v>
      </c>
      <c r="T3030" s="580">
        <v>285</v>
      </c>
      <c r="U3030" s="580">
        <v>269</v>
      </c>
      <c r="V3030" s="580">
        <v>239</v>
      </c>
      <c r="W3030" s="580">
        <v>235</v>
      </c>
      <c r="X3030" s="580">
        <v>256</v>
      </c>
      <c r="Y3030" s="580">
        <v>303</v>
      </c>
      <c r="Z3030" s="580">
        <v>376</v>
      </c>
      <c r="AA3030" s="580">
        <v>355</v>
      </c>
      <c r="AB3030" s="580">
        <v>351</v>
      </c>
      <c r="AC3030" s="580">
        <v>388</v>
      </c>
      <c r="AD3030" s="580">
        <v>386</v>
      </c>
      <c r="AE3030" s="580">
        <v>382</v>
      </c>
      <c r="AF3030" s="580">
        <v>406</v>
      </c>
      <c r="AG3030" s="580">
        <v>438</v>
      </c>
      <c r="AH3030" s="580">
        <v>511</v>
      </c>
      <c r="AI3030" s="580">
        <v>604</v>
      </c>
      <c r="AJ3030" s="580">
        <v>589</v>
      </c>
      <c r="AK3030" s="580">
        <v>575</v>
      </c>
      <c r="AL3030" s="580">
        <v>560</v>
      </c>
      <c r="AM3030" s="580">
        <v>654</v>
      </c>
      <c r="AN3030" s="580">
        <v>746</v>
      </c>
      <c r="AO3030" s="580">
        <v>766</v>
      </c>
    </row>
    <row r="3031" spans="2:44" s="330" customFormat="1" hidden="1" outlineLevel="1">
      <c r="B3031" s="582">
        <v>23614</v>
      </c>
      <c r="C3031" s="375" t="s">
        <v>1420</v>
      </c>
      <c r="D3031" s="226"/>
      <c r="E3031" s="375" t="s">
        <v>885</v>
      </c>
      <c r="F3031" s="580"/>
      <c r="G3031" s="580"/>
      <c r="H3031" s="580"/>
      <c r="I3031" s="580"/>
      <c r="J3031" s="580">
        <v>41</v>
      </c>
      <c r="K3031" s="580">
        <v>82</v>
      </c>
      <c r="L3031" s="580">
        <v>103</v>
      </c>
      <c r="M3031" s="580">
        <v>214</v>
      </c>
      <c r="N3031" s="580">
        <v>265</v>
      </c>
      <c r="O3031" s="580">
        <v>377</v>
      </c>
      <c r="P3031" s="580">
        <v>401</v>
      </c>
      <c r="Q3031" s="580">
        <v>569</v>
      </c>
      <c r="R3031" s="580">
        <v>605</v>
      </c>
      <c r="S3031" s="580">
        <v>496</v>
      </c>
      <c r="T3031" s="580">
        <v>719</v>
      </c>
      <c r="U3031" s="580">
        <v>770</v>
      </c>
      <c r="V3031" s="580">
        <v>831</v>
      </c>
      <c r="W3031" s="580">
        <v>840</v>
      </c>
      <c r="X3031" s="580">
        <v>1047</v>
      </c>
      <c r="Y3031" s="580">
        <v>1081</v>
      </c>
      <c r="Z3031" s="580">
        <v>1216</v>
      </c>
      <c r="AA3031" s="580">
        <v>1298</v>
      </c>
      <c r="AB3031" s="580">
        <v>1370</v>
      </c>
      <c r="AC3031" s="580">
        <v>1419</v>
      </c>
      <c r="AD3031" s="580">
        <v>1448</v>
      </c>
      <c r="AE3031" s="580">
        <v>1474</v>
      </c>
      <c r="AF3031" s="580">
        <v>1768</v>
      </c>
      <c r="AG3031" s="580">
        <v>2125</v>
      </c>
      <c r="AH3031" s="580">
        <v>2156</v>
      </c>
      <c r="AI3031" s="580">
        <v>2339</v>
      </c>
      <c r="AJ3031" s="580">
        <v>2509</v>
      </c>
      <c r="AK3031" s="580">
        <v>2943</v>
      </c>
      <c r="AL3031" s="580">
        <v>3231</v>
      </c>
      <c r="AM3031" s="580">
        <v>3569</v>
      </c>
      <c r="AN3031" s="580">
        <v>3489</v>
      </c>
      <c r="AO3031" s="580">
        <v>4097</v>
      </c>
    </row>
    <row r="3032" spans="2:44" s="330" customFormat="1" hidden="1" outlineLevel="1">
      <c r="B3032" s="582">
        <v>29137</v>
      </c>
      <c r="C3032" s="375" t="s">
        <v>1420</v>
      </c>
      <c r="D3032" s="226"/>
      <c r="E3032" s="375" t="s">
        <v>1414</v>
      </c>
      <c r="F3032" s="580"/>
      <c r="G3032" s="580"/>
      <c r="H3032" s="580"/>
      <c r="I3032" s="580"/>
      <c r="J3032" s="580">
        <v>1198</v>
      </c>
      <c r="K3032" s="580">
        <v>1196</v>
      </c>
      <c r="L3032" s="580">
        <v>1116</v>
      </c>
      <c r="M3032" s="580">
        <v>1312</v>
      </c>
      <c r="N3032" s="580">
        <v>1361</v>
      </c>
      <c r="O3032" s="580">
        <v>1389</v>
      </c>
      <c r="P3032" s="580">
        <v>1735</v>
      </c>
      <c r="Q3032" s="580">
        <v>1793</v>
      </c>
      <c r="R3032" s="580">
        <v>1746</v>
      </c>
      <c r="S3032" s="580">
        <v>1865</v>
      </c>
      <c r="T3032" s="580">
        <v>1724</v>
      </c>
      <c r="U3032" s="580">
        <v>1806</v>
      </c>
      <c r="V3032" s="580">
        <v>2064</v>
      </c>
      <c r="W3032" s="580">
        <v>2075</v>
      </c>
      <c r="X3032" s="580">
        <v>2272</v>
      </c>
      <c r="Y3032" s="580">
        <v>2278</v>
      </c>
      <c r="Z3032" s="580">
        <v>2448</v>
      </c>
      <c r="AA3032" s="580">
        <v>2710</v>
      </c>
      <c r="AB3032" s="580">
        <v>2482</v>
      </c>
      <c r="AC3032" s="580">
        <v>2682</v>
      </c>
      <c r="AD3032" s="580">
        <v>2805</v>
      </c>
      <c r="AE3032" s="580">
        <v>2849</v>
      </c>
      <c r="AF3032" s="580">
        <v>3712</v>
      </c>
      <c r="AG3032" s="580">
        <v>4176</v>
      </c>
      <c r="AH3032" s="580">
        <v>4738</v>
      </c>
      <c r="AI3032" s="580">
        <v>5076</v>
      </c>
      <c r="AJ3032" s="580">
        <v>5222</v>
      </c>
      <c r="AK3032" s="580">
        <v>6169</v>
      </c>
      <c r="AL3032" s="580">
        <v>7058</v>
      </c>
      <c r="AM3032" s="580">
        <v>7524</v>
      </c>
      <c r="AN3032" s="580">
        <v>7534</v>
      </c>
      <c r="AO3032" s="580">
        <v>7696</v>
      </c>
    </row>
    <row r="3033" spans="2:44" s="330" customFormat="1" hidden="1" outlineLevel="1">
      <c r="B3033" s="582">
        <v>31034</v>
      </c>
      <c r="C3033" s="375" t="s">
        <v>1420</v>
      </c>
      <c r="D3033" s="226"/>
      <c r="E3033" s="375" t="s">
        <v>137</v>
      </c>
      <c r="F3033" s="580"/>
      <c r="G3033" s="580"/>
      <c r="H3033" s="580"/>
      <c r="I3033" s="580"/>
      <c r="J3033" s="580">
        <v>0</v>
      </c>
      <c r="K3033" s="580">
        <v>0</v>
      </c>
      <c r="L3033" s="580">
        <v>0</v>
      </c>
      <c r="M3033" s="580">
        <v>0</v>
      </c>
      <c r="N3033" s="580">
        <v>0</v>
      </c>
      <c r="O3033" s="580">
        <v>0</v>
      </c>
      <c r="P3033" s="580">
        <v>258</v>
      </c>
      <c r="Q3033" s="580">
        <v>220</v>
      </c>
      <c r="R3033" s="580">
        <v>140</v>
      </c>
      <c r="S3033" s="580">
        <v>254</v>
      </c>
      <c r="T3033" s="580">
        <v>395</v>
      </c>
      <c r="U3033" s="580">
        <v>536</v>
      </c>
      <c r="V3033" s="580">
        <v>819</v>
      </c>
      <c r="W3033" s="580">
        <v>719</v>
      </c>
      <c r="X3033" s="580">
        <v>938</v>
      </c>
      <c r="Y3033" s="580">
        <v>1378</v>
      </c>
      <c r="Z3033" s="580">
        <v>1439</v>
      </c>
      <c r="AA3033" s="580">
        <v>1793</v>
      </c>
      <c r="AB3033" s="580">
        <v>1818</v>
      </c>
      <c r="AC3033" s="580">
        <v>1822</v>
      </c>
      <c r="AD3033" s="580">
        <v>1998</v>
      </c>
      <c r="AE3033" s="580">
        <v>2256</v>
      </c>
      <c r="AF3033" s="580">
        <v>3012</v>
      </c>
      <c r="AG3033" s="580">
        <v>3430</v>
      </c>
      <c r="AH3033" s="580">
        <v>3967</v>
      </c>
      <c r="AI3033" s="580">
        <v>4324</v>
      </c>
      <c r="AJ3033" s="580">
        <v>4934</v>
      </c>
      <c r="AK3033" s="580">
        <v>5298</v>
      </c>
      <c r="AL3033" s="580">
        <v>5675</v>
      </c>
      <c r="AM3033" s="580">
        <v>5993</v>
      </c>
      <c r="AN3033" s="580">
        <v>6508</v>
      </c>
      <c r="AO3033" s="580">
        <v>6296</v>
      </c>
    </row>
    <row r="3034" spans="2:44" s="330" customFormat="1" hidden="1" outlineLevel="1">
      <c r="B3034" s="582">
        <v>103574</v>
      </c>
      <c r="C3034" s="375" t="s">
        <v>1420</v>
      </c>
      <c r="D3034" s="226"/>
      <c r="E3034" s="375" t="s">
        <v>1415</v>
      </c>
      <c r="F3034" s="580"/>
      <c r="G3034" s="580"/>
      <c r="H3034" s="580"/>
      <c r="I3034" s="580"/>
      <c r="J3034" s="580">
        <v>178</v>
      </c>
      <c r="K3034" s="580">
        <v>273</v>
      </c>
      <c r="L3034" s="580">
        <v>341</v>
      </c>
      <c r="M3034" s="580">
        <v>369</v>
      </c>
      <c r="N3034" s="580">
        <v>349</v>
      </c>
      <c r="O3034" s="580">
        <v>450</v>
      </c>
      <c r="P3034" s="580">
        <v>457</v>
      </c>
      <c r="Q3034" s="580">
        <v>413</v>
      </c>
      <c r="R3034" s="580">
        <v>341</v>
      </c>
      <c r="S3034" s="580">
        <v>670</v>
      </c>
      <c r="T3034" s="580">
        <v>245</v>
      </c>
      <c r="U3034" s="580">
        <v>242</v>
      </c>
      <c r="V3034" s="580">
        <v>247</v>
      </c>
      <c r="W3034" s="580">
        <v>294</v>
      </c>
      <c r="X3034" s="580">
        <v>296</v>
      </c>
      <c r="Y3034" s="580">
        <v>417</v>
      </c>
      <c r="Z3034" s="580">
        <v>309</v>
      </c>
      <c r="AA3034" s="580">
        <v>449</v>
      </c>
      <c r="AB3034" s="580">
        <v>402</v>
      </c>
      <c r="AC3034" s="580">
        <v>417</v>
      </c>
      <c r="AD3034" s="580">
        <v>422</v>
      </c>
      <c r="AE3034" s="580">
        <v>443</v>
      </c>
      <c r="AF3034" s="580">
        <v>519</v>
      </c>
      <c r="AG3034" s="580">
        <v>511</v>
      </c>
      <c r="AH3034" s="580">
        <v>556</v>
      </c>
      <c r="AI3034" s="580">
        <v>550</v>
      </c>
      <c r="AJ3034" s="580">
        <v>516</v>
      </c>
      <c r="AK3034" s="580">
        <v>534</v>
      </c>
      <c r="AL3034" s="580">
        <v>563</v>
      </c>
      <c r="AM3034" s="580">
        <v>607</v>
      </c>
      <c r="AN3034" s="580">
        <v>679</v>
      </c>
      <c r="AO3034" s="580">
        <v>740</v>
      </c>
    </row>
    <row r="3035" spans="2:44" s="330" customFormat="1" hidden="1" outlineLevel="1">
      <c r="B3035" s="575">
        <v>445566</v>
      </c>
      <c r="C3035" s="226" t="s">
        <v>1420</v>
      </c>
      <c r="D3035" s="226"/>
      <c r="E3035" s="226" t="s">
        <v>1419</v>
      </c>
      <c r="F3035" s="589"/>
      <c r="G3035" s="589"/>
      <c r="H3035" s="589"/>
      <c r="I3035" s="589"/>
      <c r="J3035" s="589">
        <v>23392</v>
      </c>
      <c r="K3035" s="589">
        <v>23410</v>
      </c>
      <c r="L3035" s="589">
        <v>24360</v>
      </c>
      <c r="M3035" s="589">
        <v>25219</v>
      </c>
      <c r="N3035" s="589">
        <v>27305</v>
      </c>
      <c r="O3035" s="589">
        <v>30982</v>
      </c>
      <c r="P3035" s="589">
        <v>33358</v>
      </c>
      <c r="Q3035" s="589">
        <v>33793</v>
      </c>
      <c r="R3035" s="589">
        <v>33636</v>
      </c>
      <c r="S3035" s="589">
        <v>35396</v>
      </c>
      <c r="T3035" s="589">
        <v>35720</v>
      </c>
      <c r="U3035" s="589">
        <v>35569</v>
      </c>
      <c r="V3035" s="589">
        <v>37485</v>
      </c>
      <c r="W3035" s="589">
        <v>37554</v>
      </c>
      <c r="X3035" s="589">
        <v>41635</v>
      </c>
      <c r="Y3035" s="589">
        <v>46926</v>
      </c>
      <c r="Z3035" s="589">
        <v>50626</v>
      </c>
      <c r="AA3035" s="589">
        <v>53716</v>
      </c>
      <c r="AB3035" s="589">
        <v>53895</v>
      </c>
      <c r="AC3035" s="589">
        <v>55012</v>
      </c>
      <c r="AD3035" s="589">
        <v>55907</v>
      </c>
      <c r="AE3035" s="589">
        <v>61442</v>
      </c>
      <c r="AF3035" s="589">
        <v>70762</v>
      </c>
      <c r="AG3035" s="589">
        <v>77579</v>
      </c>
      <c r="AH3035" s="589">
        <v>83544</v>
      </c>
      <c r="AI3035" s="589">
        <v>89505</v>
      </c>
      <c r="AJ3035" s="589">
        <v>94644</v>
      </c>
      <c r="AK3035" s="589">
        <f>SUM(AK2985:AK3034)</f>
        <v>103749</v>
      </c>
      <c r="AL3035" s="589">
        <f>SUM(AL2985:AL3034)</f>
        <v>113339</v>
      </c>
      <c r="AM3035" s="589">
        <f>SUM(AM2985:AM3034)</f>
        <v>118774</v>
      </c>
      <c r="AN3035" s="589">
        <f>SUM(AN2985:AN3034)</f>
        <v>120009</v>
      </c>
      <c r="AO3035" s="589">
        <f>SUM(AO2985:AO3034)</f>
        <v>125871</v>
      </c>
    </row>
    <row r="3036" spans="2:44" collapsed="1">
      <c r="B3036" s="568"/>
      <c r="C3036" s="25" t="s">
        <v>1598</v>
      </c>
      <c r="D3036" s="25"/>
      <c r="E3036" s="6"/>
      <c r="F3036" s="6"/>
      <c r="G3036" s="6"/>
      <c r="H3036" s="6"/>
      <c r="I3036" s="6"/>
      <c r="J3036" s="6"/>
      <c r="K3036" s="7"/>
      <c r="L3036" s="7"/>
      <c r="M3036" s="7"/>
      <c r="N3036" s="7"/>
      <c r="O3036" s="7"/>
      <c r="P3036" s="7"/>
      <c r="Q3036" s="7"/>
      <c r="R3036" s="7"/>
      <c r="S3036" s="7"/>
      <c r="T3036" s="7"/>
      <c r="U3036" s="7"/>
      <c r="V3036" s="7"/>
      <c r="W3036" s="7"/>
      <c r="X3036" s="7"/>
      <c r="Y3036" s="7"/>
      <c r="Z3036" s="7"/>
      <c r="AA3036" s="7"/>
      <c r="AB3036" s="7"/>
      <c r="AC3036" s="7"/>
      <c r="AD3036" s="7"/>
      <c r="AE3036" s="7"/>
      <c r="AF3036" s="7"/>
      <c r="AG3036" s="7"/>
      <c r="AH3036" s="61"/>
      <c r="AI3036" s="61"/>
      <c r="AJ3036" s="61"/>
      <c r="AK3036" s="61"/>
      <c r="AL3036" s="61"/>
      <c r="AM3036" s="61"/>
      <c r="AN3036" s="61"/>
      <c r="AO3036" s="1107"/>
      <c r="AP3036" s="1044"/>
    </row>
    <row r="3037" spans="2:44" s="173" customFormat="1" hidden="1" outlineLevel="1">
      <c r="B3037" s="568"/>
      <c r="C3037" s="226" t="s">
        <v>2064</v>
      </c>
      <c r="D3037" s="226"/>
      <c r="E3037" s="1060"/>
      <c r="F3037" s="1060"/>
      <c r="G3037" s="1060"/>
      <c r="H3037" s="1060"/>
      <c r="I3037" s="1060"/>
      <c r="J3037" s="1060"/>
      <c r="K3037" s="1071"/>
      <c r="L3037" s="1071"/>
      <c r="M3037" s="1071"/>
      <c r="N3037" s="1071"/>
      <c r="O3037" s="1071"/>
      <c r="P3037" s="1071"/>
      <c r="Q3037" s="1071"/>
      <c r="R3037" s="1071"/>
      <c r="S3037" s="1071"/>
      <c r="T3037" s="1071"/>
      <c r="U3037" s="1071"/>
      <c r="V3037" s="1071"/>
      <c r="W3037" s="1071"/>
      <c r="X3037" s="1071"/>
      <c r="Y3037" s="1071"/>
      <c r="Z3037" s="1071"/>
      <c r="AA3037" s="1071"/>
      <c r="AB3037" s="1071"/>
      <c r="AC3037" s="1071"/>
      <c r="AD3037" s="1071"/>
      <c r="AE3037" s="1071"/>
      <c r="AF3037" s="1071"/>
      <c r="AG3037" s="1071"/>
      <c r="AH3037" s="580"/>
      <c r="AI3037" s="580"/>
      <c r="AJ3037" s="580"/>
      <c r="AK3037" s="580"/>
      <c r="AL3037" s="580"/>
      <c r="AM3037" s="580"/>
      <c r="AN3037" s="580"/>
      <c r="AO3037" s="580"/>
      <c r="AR3037" s="1044"/>
    </row>
    <row r="3038" spans="2:44" hidden="1" outlineLevel="1">
      <c r="B3038"/>
      <c r="C3038" s="223" t="s">
        <v>1600</v>
      </c>
      <c r="D3038" s="223"/>
      <c r="E3038" s="9"/>
      <c r="F3038" s="9"/>
      <c r="G3038" s="9"/>
      <c r="H3038" s="9"/>
      <c r="I3038" s="9"/>
      <c r="J3038" s="9"/>
      <c r="K3038" s="9"/>
      <c r="L3038" s="9"/>
      <c r="M3038" s="9"/>
      <c r="N3038" s="9"/>
      <c r="O3038" s="9"/>
      <c r="P3038" s="9"/>
      <c r="Q3038" s="9"/>
      <c r="R3038" s="9"/>
      <c r="S3038" s="9"/>
      <c r="T3038" s="9"/>
      <c r="U3038" s="9"/>
      <c r="V3038" s="9"/>
      <c r="W3038" s="9"/>
      <c r="X3038" s="9"/>
      <c r="Y3038" s="12">
        <v>1734512113</v>
      </c>
      <c r="Z3038" s="12">
        <v>1968677796</v>
      </c>
      <c r="AA3038" s="12">
        <v>2391085584</v>
      </c>
      <c r="AB3038" s="12">
        <v>2551839041</v>
      </c>
      <c r="AC3038" s="14">
        <v>2882691480</v>
      </c>
      <c r="AD3038" s="12">
        <v>3181232873.3099999</v>
      </c>
      <c r="AE3038" s="14">
        <v>3434190486</v>
      </c>
      <c r="AF3038" s="14">
        <v>3821980151</v>
      </c>
      <c r="AG3038" s="14">
        <v>3953608975</v>
      </c>
      <c r="AH3038" s="12">
        <v>4263451575</v>
      </c>
      <c r="AI3038" s="12">
        <v>4516162986</v>
      </c>
      <c r="AJ3038" s="37">
        <v>4744390738</v>
      </c>
      <c r="AK3038" s="37">
        <v>5109613683</v>
      </c>
      <c r="AL3038" s="1062">
        <v>5444609083</v>
      </c>
      <c r="AM3038" s="37">
        <v>5695609623</v>
      </c>
      <c r="AN3038" s="1062">
        <v>5995761663</v>
      </c>
      <c r="AO3038" s="1062">
        <v>6229441183</v>
      </c>
      <c r="AP3038" s="1044"/>
      <c r="AR3038" s="1044"/>
    </row>
    <row r="3039" spans="2:44" s="1044" customFormat="1" hidden="1" outlineLevel="1">
      <c r="C3039" s="1197" t="s">
        <v>2080</v>
      </c>
      <c r="D3039" s="1051"/>
      <c r="E3039" s="1030"/>
      <c r="F3039" s="1030"/>
      <c r="G3039" s="1030"/>
      <c r="H3039" s="1030"/>
      <c r="I3039" s="1030"/>
      <c r="J3039" s="1030"/>
      <c r="K3039" s="1030"/>
      <c r="L3039" s="1030"/>
      <c r="M3039" s="1030"/>
      <c r="N3039" s="1030"/>
      <c r="O3039" s="1030"/>
      <c r="P3039" s="1030"/>
      <c r="Q3039" s="1030"/>
      <c r="R3039" s="1030"/>
      <c r="S3039" s="1030"/>
      <c r="T3039" s="1030"/>
      <c r="U3039" s="1030"/>
      <c r="V3039" s="1030"/>
      <c r="W3039" s="1030"/>
      <c r="X3039" s="1030"/>
      <c r="Y3039" s="1070"/>
      <c r="Z3039" s="1070"/>
      <c r="AA3039" s="1070"/>
      <c r="AB3039" s="1070"/>
      <c r="AC3039" s="1071"/>
      <c r="AD3039" s="1070"/>
      <c r="AE3039" s="1071"/>
      <c r="AF3039" s="1071"/>
      <c r="AG3039" s="1071"/>
      <c r="AH3039" s="1070"/>
      <c r="AI3039" s="1070"/>
      <c r="AJ3039" s="1062"/>
      <c r="AK3039" s="1062"/>
      <c r="AL3039" s="1062"/>
      <c r="AM3039" s="1062"/>
      <c r="AN3039" s="1062">
        <v>4517418346</v>
      </c>
      <c r="AO3039" s="1062">
        <v>4683118699</v>
      </c>
    </row>
    <row r="3040" spans="2:44" s="1044" customFormat="1" hidden="1" outlineLevel="1">
      <c r="C3040" s="1197" t="s">
        <v>2086</v>
      </c>
      <c r="D3040" s="1051"/>
      <c r="E3040" s="1030"/>
      <c r="F3040" s="1030"/>
      <c r="G3040" s="1030"/>
      <c r="H3040" s="1030"/>
      <c r="I3040" s="1030"/>
      <c r="J3040" s="1030"/>
      <c r="K3040" s="1030"/>
      <c r="L3040" s="1030"/>
      <c r="M3040" s="1030"/>
      <c r="N3040" s="1030"/>
      <c r="O3040" s="1030"/>
      <c r="P3040" s="1030"/>
      <c r="Q3040" s="1030"/>
      <c r="R3040" s="1030"/>
      <c r="S3040" s="1030"/>
      <c r="T3040" s="1030"/>
      <c r="U3040" s="1030"/>
      <c r="V3040" s="1030"/>
      <c r="W3040" s="1030"/>
      <c r="X3040" s="1030"/>
      <c r="Y3040" s="1070"/>
      <c r="Z3040" s="1070"/>
      <c r="AA3040" s="1070"/>
      <c r="AB3040" s="1070"/>
      <c r="AC3040" s="1071"/>
      <c r="AD3040" s="1070"/>
      <c r="AE3040" s="1071"/>
      <c r="AF3040" s="1071"/>
      <c r="AG3040" s="1071"/>
      <c r="AH3040" s="1070"/>
      <c r="AI3040" s="1070"/>
      <c r="AJ3040" s="1062"/>
      <c r="AK3040" s="1062"/>
      <c r="AL3040" s="1062"/>
      <c r="AM3040" s="1062"/>
      <c r="AN3040" s="1062">
        <v>1478343317</v>
      </c>
      <c r="AO3040" s="1062">
        <v>1546322484</v>
      </c>
      <c r="AR3040"/>
    </row>
    <row r="3041" spans="2:44" s="1044" customFormat="1" hidden="1" outlineLevel="1">
      <c r="C3041" s="1197" t="s">
        <v>2082</v>
      </c>
      <c r="D3041" s="1051"/>
      <c r="E3041" s="1030"/>
      <c r="F3041" s="1030"/>
      <c r="G3041" s="1030"/>
      <c r="H3041" s="1030"/>
      <c r="I3041" s="1030"/>
      <c r="J3041" s="1030"/>
      <c r="K3041" s="1030"/>
      <c r="L3041" s="1030"/>
      <c r="M3041" s="1030"/>
      <c r="N3041" s="1030"/>
      <c r="O3041" s="1030"/>
      <c r="P3041" s="1030"/>
      <c r="Q3041" s="1030"/>
      <c r="R3041" s="1030"/>
      <c r="S3041" s="1030"/>
      <c r="T3041" s="1030"/>
      <c r="U3041" s="1030"/>
      <c r="V3041" s="1030"/>
      <c r="W3041" s="1030"/>
      <c r="X3041" s="1030"/>
      <c r="Y3041" s="1070"/>
      <c r="Z3041" s="1070"/>
      <c r="AA3041" s="1070"/>
      <c r="AB3041" s="1070"/>
      <c r="AC3041" s="1071"/>
      <c r="AD3041" s="1070"/>
      <c r="AE3041" s="1071"/>
      <c r="AF3041" s="1071"/>
      <c r="AG3041" s="1071"/>
      <c r="AH3041" s="1070"/>
      <c r="AI3041" s="1070"/>
      <c r="AJ3041" s="1062"/>
      <c r="AK3041" s="1062"/>
      <c r="AL3041" s="1062"/>
      <c r="AM3041" s="1062"/>
      <c r="AN3041" s="1062">
        <v>506702357</v>
      </c>
      <c r="AO3041" s="1062">
        <v>498997595</v>
      </c>
    </row>
    <row r="3042" spans="2:44" hidden="1" outlineLevel="1">
      <c r="B3042"/>
      <c r="C3042" s="223" t="s">
        <v>1601</v>
      </c>
      <c r="D3042" s="223"/>
      <c r="E3042" s="9"/>
      <c r="F3042" s="9"/>
      <c r="G3042" s="9"/>
      <c r="H3042" s="9"/>
      <c r="I3042" s="9"/>
      <c r="J3042" s="9"/>
      <c r="K3042" s="9"/>
      <c r="L3042" s="9"/>
      <c r="M3042" s="9"/>
      <c r="N3042" s="9"/>
      <c r="O3042" s="9"/>
      <c r="P3042" s="9"/>
      <c r="Q3042" s="9"/>
      <c r="R3042" s="9"/>
      <c r="S3042" s="9"/>
      <c r="T3042" s="9"/>
      <c r="U3042" s="9"/>
      <c r="V3042" s="9"/>
      <c r="W3042" s="9"/>
      <c r="X3042" s="9"/>
      <c r="Y3042" s="12"/>
      <c r="Z3042" s="12"/>
      <c r="AA3042" s="12"/>
      <c r="AB3042" s="12">
        <v>52635290</v>
      </c>
      <c r="AC3042" s="14">
        <v>39016853</v>
      </c>
      <c r="AD3042" s="12">
        <v>43048290</v>
      </c>
      <c r="AE3042" s="14">
        <v>47262841</v>
      </c>
      <c r="AF3042" s="14">
        <v>64400108</v>
      </c>
      <c r="AG3042" s="14">
        <v>64177204</v>
      </c>
      <c r="AH3042" s="12">
        <v>67321319</v>
      </c>
      <c r="AI3042" s="12">
        <v>65139681</v>
      </c>
      <c r="AJ3042" s="37">
        <v>65074412</v>
      </c>
      <c r="AK3042" s="37">
        <v>64852574</v>
      </c>
      <c r="AL3042" s="1062">
        <v>63876038</v>
      </c>
      <c r="AM3042" s="37">
        <v>72726014</v>
      </c>
      <c r="AN3042" s="1062">
        <v>73858283</v>
      </c>
      <c r="AO3042" s="1062">
        <v>76112081</v>
      </c>
      <c r="AP3042" s="1044"/>
      <c r="AR3042" s="1044"/>
    </row>
    <row r="3043" spans="2:44" s="1044" customFormat="1" hidden="1" outlineLevel="1">
      <c r="C3043" s="1197" t="s">
        <v>2080</v>
      </c>
      <c r="D3043" s="1051"/>
      <c r="E3043" s="1030"/>
      <c r="F3043" s="1030"/>
      <c r="G3043" s="1030"/>
      <c r="H3043" s="1030"/>
      <c r="I3043" s="1030"/>
      <c r="J3043" s="1030"/>
      <c r="K3043" s="1030"/>
      <c r="L3043" s="1030"/>
      <c r="M3043" s="1030"/>
      <c r="N3043" s="1030"/>
      <c r="O3043" s="1030"/>
      <c r="P3043" s="1030"/>
      <c r="Q3043" s="1030"/>
      <c r="R3043" s="1030"/>
      <c r="S3043" s="1030"/>
      <c r="T3043" s="1030"/>
      <c r="U3043" s="1030"/>
      <c r="V3043" s="1030"/>
      <c r="W3043" s="1030"/>
      <c r="X3043" s="1030"/>
      <c r="Y3043" s="1070"/>
      <c r="Z3043" s="1070"/>
      <c r="AA3043" s="1070"/>
      <c r="AB3043" s="1070"/>
      <c r="AC3043" s="1071"/>
      <c r="AD3043" s="1070"/>
      <c r="AE3043" s="1071"/>
      <c r="AF3043" s="1071"/>
      <c r="AG3043" s="1071"/>
      <c r="AH3043" s="1070"/>
      <c r="AI3043" s="1070"/>
      <c r="AJ3043" s="1062"/>
      <c r="AK3043" s="1062"/>
      <c r="AL3043" s="1062"/>
      <c r="AM3043" s="1062"/>
      <c r="AN3043" s="1062">
        <v>65854111</v>
      </c>
      <c r="AO3043" s="1062">
        <v>67982056</v>
      </c>
    </row>
    <row r="3044" spans="2:44" s="1044" customFormat="1" hidden="1" outlineLevel="1">
      <c r="C3044" s="1197" t="s">
        <v>2086</v>
      </c>
      <c r="D3044" s="1051"/>
      <c r="E3044" s="1030"/>
      <c r="F3044" s="1030"/>
      <c r="G3044" s="1030"/>
      <c r="H3044" s="1030"/>
      <c r="I3044" s="1030"/>
      <c r="J3044" s="1030"/>
      <c r="K3044" s="1030"/>
      <c r="L3044" s="1030"/>
      <c r="M3044" s="1030"/>
      <c r="N3044" s="1030"/>
      <c r="O3044" s="1030"/>
      <c r="P3044" s="1030"/>
      <c r="Q3044" s="1030"/>
      <c r="R3044" s="1030"/>
      <c r="S3044" s="1030"/>
      <c r="T3044" s="1030"/>
      <c r="U3044" s="1030"/>
      <c r="V3044" s="1030"/>
      <c r="W3044" s="1030"/>
      <c r="X3044" s="1030"/>
      <c r="Y3044" s="1070"/>
      <c r="Z3044" s="1070"/>
      <c r="AA3044" s="1070"/>
      <c r="AB3044" s="1070"/>
      <c r="AC3044" s="1071"/>
      <c r="AD3044" s="1070"/>
      <c r="AE3044" s="1071"/>
      <c r="AF3044" s="1071"/>
      <c r="AG3044" s="1071"/>
      <c r="AH3044" s="1070"/>
      <c r="AI3044" s="1070"/>
      <c r="AJ3044" s="1062"/>
      <c r="AK3044" s="1062"/>
      <c r="AL3044" s="1062"/>
      <c r="AM3044" s="1062"/>
      <c r="AN3044" s="1062">
        <v>8004172</v>
      </c>
      <c r="AO3044" s="1062">
        <v>8130025</v>
      </c>
      <c r="AR3044"/>
    </row>
    <row r="3045" spans="2:44" s="1044" customFormat="1" hidden="1" outlineLevel="1">
      <c r="C3045" s="1197" t="s">
        <v>2082</v>
      </c>
      <c r="D3045" s="1051"/>
      <c r="E3045" s="1030"/>
      <c r="F3045" s="1030"/>
      <c r="G3045" s="1030"/>
      <c r="H3045" s="1030"/>
      <c r="I3045" s="1030"/>
      <c r="J3045" s="1030"/>
      <c r="K3045" s="1030"/>
      <c r="L3045" s="1030"/>
      <c r="M3045" s="1030"/>
      <c r="N3045" s="1030"/>
      <c r="O3045" s="1030"/>
      <c r="P3045" s="1030"/>
      <c r="Q3045" s="1030"/>
      <c r="R3045" s="1030"/>
      <c r="S3045" s="1030"/>
      <c r="T3045" s="1030"/>
      <c r="U3045" s="1030"/>
      <c r="V3045" s="1030"/>
      <c r="W3045" s="1030"/>
      <c r="X3045" s="1030"/>
      <c r="Y3045" s="1070"/>
      <c r="Z3045" s="1070"/>
      <c r="AA3045" s="1070"/>
      <c r="AB3045" s="1070"/>
      <c r="AC3045" s="1071"/>
      <c r="AD3045" s="1070"/>
      <c r="AE3045" s="1071"/>
      <c r="AF3045" s="1071"/>
      <c r="AG3045" s="1071"/>
      <c r="AH3045" s="1070"/>
      <c r="AI3045" s="1070"/>
      <c r="AJ3045" s="1062"/>
      <c r="AK3045" s="1062"/>
      <c r="AL3045" s="1062"/>
      <c r="AM3045" s="1062"/>
      <c r="AN3045" s="1062">
        <v>4423682</v>
      </c>
      <c r="AO3045" s="1062">
        <v>4454618</v>
      </c>
    </row>
    <row r="3046" spans="2:44" hidden="1" outlineLevel="1">
      <c r="B3046"/>
      <c r="C3046" s="223" t="s">
        <v>1602</v>
      </c>
      <c r="D3046" s="223"/>
      <c r="E3046" s="9"/>
      <c r="F3046" s="9"/>
      <c r="G3046" s="9"/>
      <c r="H3046" s="9"/>
      <c r="I3046" s="9"/>
      <c r="J3046" s="9"/>
      <c r="K3046" s="9"/>
      <c r="L3046" s="9"/>
      <c r="M3046" s="9"/>
      <c r="N3046" s="9"/>
      <c r="O3046" s="9"/>
      <c r="P3046" s="9"/>
      <c r="Q3046" s="9"/>
      <c r="R3046" s="9"/>
      <c r="S3046" s="9"/>
      <c r="T3046" s="9"/>
      <c r="U3046" s="9"/>
      <c r="V3046" s="9"/>
      <c r="W3046" s="9"/>
      <c r="X3046" s="9"/>
      <c r="Y3046" s="12"/>
      <c r="Z3046" s="12"/>
      <c r="AA3046" s="12"/>
      <c r="AB3046" s="12"/>
      <c r="AC3046" s="14"/>
      <c r="AD3046" s="12"/>
      <c r="AE3046" s="14"/>
      <c r="AF3046" s="14"/>
      <c r="AG3046" s="14"/>
      <c r="AH3046" s="228">
        <f>852740661+AH3063</f>
        <v>1449597964</v>
      </c>
      <c r="AI3046" s="14">
        <v>1469148285</v>
      </c>
      <c r="AJ3046" s="679">
        <v>1483114536.1800001</v>
      </c>
      <c r="AK3046" s="37">
        <v>1511841126</v>
      </c>
      <c r="AL3046" s="1087">
        <v>1549221888</v>
      </c>
      <c r="AM3046" s="37">
        <v>1617634725</v>
      </c>
      <c r="AN3046" s="1062">
        <v>1609974104</v>
      </c>
      <c r="AO3046" s="1062">
        <v>1711902446</v>
      </c>
      <c r="AP3046" s="1044"/>
      <c r="AR3046" s="1044"/>
    </row>
    <row r="3047" spans="2:44" s="1044" customFormat="1" hidden="1" outlineLevel="1">
      <c r="C3047" s="1197" t="s">
        <v>2080</v>
      </c>
      <c r="D3047" s="1051"/>
      <c r="E3047" s="1051" t="s">
        <v>2087</v>
      </c>
      <c r="F3047" s="1030"/>
      <c r="G3047" s="1030"/>
      <c r="H3047" s="1030"/>
      <c r="I3047" s="1030"/>
      <c r="J3047" s="1030"/>
      <c r="K3047" s="1030"/>
      <c r="L3047" s="1030"/>
      <c r="M3047" s="1030"/>
      <c r="N3047" s="1030"/>
      <c r="O3047" s="1030"/>
      <c r="P3047" s="1030"/>
      <c r="Q3047" s="1030"/>
      <c r="R3047" s="1030"/>
      <c r="S3047" s="1030"/>
      <c r="T3047" s="1030"/>
      <c r="U3047" s="1030"/>
      <c r="V3047" s="1030"/>
      <c r="W3047" s="1030"/>
      <c r="X3047" s="1030"/>
      <c r="Y3047" s="1070"/>
      <c r="Z3047" s="1070"/>
      <c r="AA3047" s="1070"/>
      <c r="AB3047" s="1070"/>
      <c r="AC3047" s="1071"/>
      <c r="AD3047" s="1070"/>
      <c r="AE3047" s="1071"/>
      <c r="AF3047" s="1071"/>
      <c r="AG3047" s="1071"/>
      <c r="AH3047" s="972"/>
      <c r="AI3047" s="1071"/>
      <c r="AJ3047" s="679"/>
      <c r="AK3047" s="1062"/>
      <c r="AL3047" s="1087"/>
      <c r="AM3047" s="1062"/>
      <c r="AN3047" s="1062"/>
      <c r="AO3047" s="1062"/>
    </row>
    <row r="3048" spans="2:44" s="1044" customFormat="1" hidden="1" outlineLevel="1">
      <c r="C3048" s="1197" t="s">
        <v>2086</v>
      </c>
      <c r="D3048" s="1051"/>
      <c r="E3048" s="1051" t="s">
        <v>2087</v>
      </c>
      <c r="F3048" s="1030"/>
      <c r="G3048" s="1030"/>
      <c r="H3048" s="1030"/>
      <c r="I3048" s="1030"/>
      <c r="J3048" s="1030"/>
      <c r="K3048" s="1030"/>
      <c r="L3048" s="1030"/>
      <c r="M3048" s="1030"/>
      <c r="N3048" s="1030"/>
      <c r="O3048" s="1030"/>
      <c r="P3048" s="1030"/>
      <c r="Q3048" s="1030"/>
      <c r="R3048" s="1030"/>
      <c r="S3048" s="1030"/>
      <c r="T3048" s="1030"/>
      <c r="U3048" s="1030"/>
      <c r="V3048" s="1030"/>
      <c r="W3048" s="1030"/>
      <c r="X3048" s="1030"/>
      <c r="Y3048" s="1070"/>
      <c r="Z3048" s="1070"/>
      <c r="AA3048" s="1070"/>
      <c r="AB3048" s="1070"/>
      <c r="AC3048" s="1071"/>
      <c r="AD3048" s="1070"/>
      <c r="AE3048" s="1071"/>
      <c r="AF3048" s="1071"/>
      <c r="AG3048" s="1071"/>
      <c r="AH3048" s="972"/>
      <c r="AI3048" s="1071"/>
      <c r="AJ3048" s="679"/>
      <c r="AK3048" s="1062"/>
      <c r="AL3048" s="1087"/>
      <c r="AM3048" s="1062"/>
      <c r="AN3048" s="1062"/>
      <c r="AO3048" s="1062"/>
      <c r="AR3048"/>
    </row>
    <row r="3049" spans="2:44" s="1044" customFormat="1" hidden="1" outlineLevel="1">
      <c r="C3049" s="1197" t="s">
        <v>2082</v>
      </c>
      <c r="D3049" s="1051"/>
      <c r="E3049" s="1051" t="s">
        <v>2087</v>
      </c>
      <c r="F3049" s="1030"/>
      <c r="G3049" s="1030"/>
      <c r="H3049" s="1030"/>
      <c r="I3049" s="1030"/>
      <c r="J3049" s="1030"/>
      <c r="K3049" s="1030"/>
      <c r="L3049" s="1030"/>
      <c r="M3049" s="1030"/>
      <c r="N3049" s="1030"/>
      <c r="O3049" s="1030"/>
      <c r="P3049" s="1030"/>
      <c r="Q3049" s="1030"/>
      <c r="R3049" s="1030"/>
      <c r="S3049" s="1030"/>
      <c r="T3049" s="1030"/>
      <c r="U3049" s="1030"/>
      <c r="V3049" s="1030"/>
      <c r="W3049" s="1030"/>
      <c r="X3049" s="1030"/>
      <c r="Y3049" s="1070"/>
      <c r="Z3049" s="1070"/>
      <c r="AA3049" s="1070"/>
      <c r="AB3049" s="1070"/>
      <c r="AC3049" s="1071"/>
      <c r="AD3049" s="1070"/>
      <c r="AE3049" s="1071"/>
      <c r="AF3049" s="1071"/>
      <c r="AG3049" s="1071"/>
      <c r="AH3049" s="972"/>
      <c r="AI3049" s="1071"/>
      <c r="AJ3049" s="679"/>
      <c r="AK3049" s="1062"/>
      <c r="AL3049" s="1087"/>
      <c r="AM3049" s="1062"/>
      <c r="AN3049" s="1062"/>
      <c r="AO3049" s="1062"/>
    </row>
    <row r="3050" spans="2:44" hidden="1" outlineLevel="1">
      <c r="B3050"/>
      <c r="C3050" s="223" t="s">
        <v>1603</v>
      </c>
      <c r="D3050" s="223"/>
      <c r="E3050" s="9"/>
      <c r="F3050" s="9"/>
      <c r="G3050" s="9"/>
      <c r="H3050" s="9"/>
      <c r="I3050" s="9"/>
      <c r="J3050" s="9"/>
      <c r="K3050" s="9"/>
      <c r="L3050" s="9"/>
      <c r="M3050" s="9"/>
      <c r="N3050" s="9"/>
      <c r="O3050" s="9"/>
      <c r="P3050" s="9"/>
      <c r="Q3050" s="9"/>
      <c r="R3050" s="9"/>
      <c r="S3050" s="9"/>
      <c r="T3050" s="9"/>
      <c r="U3050" s="9"/>
      <c r="V3050" s="9"/>
      <c r="W3050" s="9"/>
      <c r="X3050" s="9"/>
      <c r="Y3050" s="12"/>
      <c r="Z3050" s="12"/>
      <c r="AA3050" s="12">
        <v>97073346</v>
      </c>
      <c r="AB3050" s="12">
        <v>110030616</v>
      </c>
      <c r="AC3050" s="14">
        <v>124634135</v>
      </c>
      <c r="AD3050" s="12">
        <v>143155508</v>
      </c>
      <c r="AE3050" s="14">
        <v>167008661</v>
      </c>
      <c r="AF3050" s="14">
        <v>186953389</v>
      </c>
      <c r="AG3050" s="14">
        <v>192664485</v>
      </c>
      <c r="AH3050" s="228">
        <v>224870679</v>
      </c>
      <c r="AI3050" s="14">
        <v>235841466</v>
      </c>
      <c r="AJ3050" s="621">
        <v>248456269</v>
      </c>
      <c r="AK3050" s="37">
        <v>266341895</v>
      </c>
      <c r="AL3050" s="621">
        <v>286241739</v>
      </c>
      <c r="AM3050" s="37">
        <v>304894306</v>
      </c>
      <c r="AN3050" s="1062">
        <v>322972562</v>
      </c>
      <c r="AO3050" s="1062">
        <v>344475271</v>
      </c>
      <c r="AP3050" s="1044"/>
      <c r="AR3050" s="1044"/>
    </row>
    <row r="3051" spans="2:44" s="1044" customFormat="1" hidden="1" outlineLevel="1">
      <c r="C3051" s="1197" t="s">
        <v>2080</v>
      </c>
      <c r="D3051" s="1051"/>
      <c r="E3051" s="1030"/>
      <c r="F3051" s="1030"/>
      <c r="G3051" s="1030"/>
      <c r="H3051" s="1030"/>
      <c r="I3051" s="1030"/>
      <c r="J3051" s="1030"/>
      <c r="K3051" s="1030"/>
      <c r="L3051" s="1030"/>
      <c r="M3051" s="1030"/>
      <c r="N3051" s="1030"/>
      <c r="O3051" s="1030"/>
      <c r="P3051" s="1030"/>
      <c r="Q3051" s="1030"/>
      <c r="R3051" s="1030"/>
      <c r="S3051" s="1030"/>
      <c r="T3051" s="1030"/>
      <c r="U3051" s="1030"/>
      <c r="V3051" s="1030"/>
      <c r="W3051" s="1030"/>
      <c r="X3051" s="1030"/>
      <c r="Y3051" s="1070"/>
      <c r="Z3051" s="1070"/>
      <c r="AA3051" s="1070"/>
      <c r="AB3051" s="1070"/>
      <c r="AC3051" s="1071"/>
      <c r="AD3051" s="1070"/>
      <c r="AE3051" s="1071"/>
      <c r="AF3051" s="1071"/>
      <c r="AG3051" s="1071"/>
      <c r="AH3051" s="972"/>
      <c r="AI3051" s="1071"/>
      <c r="AJ3051" s="621"/>
      <c r="AK3051" s="1062"/>
      <c r="AL3051" s="621"/>
      <c r="AM3051" s="1062"/>
      <c r="AN3051" s="1062">
        <v>265198654</v>
      </c>
      <c r="AO3051" s="1062">
        <v>276924894</v>
      </c>
    </row>
    <row r="3052" spans="2:44" s="1044" customFormat="1" hidden="1" outlineLevel="1">
      <c r="C3052" s="1197" t="s">
        <v>2086</v>
      </c>
      <c r="D3052" s="1051"/>
      <c r="E3052" s="1030"/>
      <c r="F3052" s="1030"/>
      <c r="G3052" s="1030"/>
      <c r="H3052" s="1030"/>
      <c r="I3052" s="1030"/>
      <c r="J3052" s="1030"/>
      <c r="K3052" s="1030"/>
      <c r="L3052" s="1030"/>
      <c r="M3052" s="1030"/>
      <c r="N3052" s="1030"/>
      <c r="O3052" s="1030"/>
      <c r="P3052" s="1030"/>
      <c r="Q3052" s="1030"/>
      <c r="R3052" s="1030"/>
      <c r="S3052" s="1030"/>
      <c r="T3052" s="1030"/>
      <c r="U3052" s="1030"/>
      <c r="V3052" s="1030"/>
      <c r="W3052" s="1030"/>
      <c r="X3052" s="1030"/>
      <c r="Y3052" s="1070"/>
      <c r="Z3052" s="1070"/>
      <c r="AA3052" s="1070"/>
      <c r="AB3052" s="1070"/>
      <c r="AC3052" s="1071"/>
      <c r="AD3052" s="1070"/>
      <c r="AE3052" s="1071"/>
      <c r="AF3052" s="1071"/>
      <c r="AG3052" s="1071"/>
      <c r="AH3052" s="972"/>
      <c r="AI3052" s="1071"/>
      <c r="AJ3052" s="621"/>
      <c r="AK3052" s="1062"/>
      <c r="AL3052" s="621"/>
      <c r="AM3052" s="1062"/>
      <c r="AN3052" s="1062">
        <v>57773908</v>
      </c>
      <c r="AO3052" s="1062">
        <v>67550377</v>
      </c>
      <c r="AR3052"/>
    </row>
    <row r="3053" spans="2:44" s="1044" customFormat="1" hidden="1" outlineLevel="1">
      <c r="C3053" s="1197" t="s">
        <v>2082</v>
      </c>
      <c r="D3053" s="1051"/>
      <c r="E3053" s="1030"/>
      <c r="F3053" s="1030"/>
      <c r="G3053" s="1030"/>
      <c r="H3053" s="1030"/>
      <c r="I3053" s="1030"/>
      <c r="J3053" s="1030"/>
      <c r="K3053" s="1030"/>
      <c r="L3053" s="1030"/>
      <c r="M3053" s="1030"/>
      <c r="N3053" s="1030"/>
      <c r="O3053" s="1030"/>
      <c r="P3053" s="1030"/>
      <c r="Q3053" s="1030"/>
      <c r="R3053" s="1030"/>
      <c r="S3053" s="1030"/>
      <c r="T3053" s="1030"/>
      <c r="U3053" s="1030"/>
      <c r="V3053" s="1030"/>
      <c r="W3053" s="1030"/>
      <c r="X3053" s="1030"/>
      <c r="Y3053" s="1070"/>
      <c r="Z3053" s="1070"/>
      <c r="AA3053" s="1070"/>
      <c r="AB3053" s="1070"/>
      <c r="AC3053" s="1071"/>
      <c r="AD3053" s="1070"/>
      <c r="AE3053" s="1071"/>
      <c r="AF3053" s="1071"/>
      <c r="AG3053" s="1071"/>
      <c r="AH3053" s="972"/>
      <c r="AI3053" s="1071"/>
      <c r="AJ3053" s="621"/>
      <c r="AK3053" s="1062"/>
      <c r="AL3053" s="621"/>
      <c r="AM3053" s="1062"/>
      <c r="AN3053" s="1062">
        <v>8825564</v>
      </c>
      <c r="AO3053" s="1062">
        <v>8942924</v>
      </c>
      <c r="AR3053"/>
    </row>
    <row r="3054" spans="2:44" hidden="1" outlineLevel="1">
      <c r="B3054"/>
      <c r="C3054" s="28" t="s">
        <v>2065</v>
      </c>
      <c r="D3054" s="223"/>
      <c r="E3054" s="9"/>
      <c r="F3054" s="9"/>
      <c r="G3054" s="9"/>
      <c r="H3054" s="9"/>
      <c r="I3054" s="9"/>
      <c r="J3054" s="9"/>
      <c r="K3054" s="9"/>
      <c r="L3054" s="9"/>
      <c r="M3054" s="9"/>
      <c r="N3054" s="9"/>
      <c r="O3054" s="9"/>
      <c r="P3054" s="9"/>
      <c r="Q3054" s="9"/>
      <c r="R3054" s="9"/>
      <c r="S3054" s="9"/>
      <c r="T3054" s="9"/>
      <c r="U3054" s="9"/>
      <c r="V3054" s="9"/>
      <c r="W3054" s="9"/>
      <c r="X3054" s="9"/>
      <c r="Y3054" s="9"/>
      <c r="Z3054" s="9"/>
      <c r="AA3054" s="9"/>
      <c r="AB3054" s="12"/>
      <c r="AC3054" s="14"/>
      <c r="AD3054" s="12"/>
      <c r="AE3054" s="14"/>
      <c r="AF3054" s="14"/>
      <c r="AG3054" s="14"/>
      <c r="AH3054" s="12"/>
      <c r="AI3054" s="12"/>
      <c r="AJ3054" s="37"/>
      <c r="AK3054" s="37"/>
      <c r="AL3054" s="37"/>
      <c r="AM3054" s="37"/>
      <c r="AN3054" s="1062"/>
      <c r="AO3054" s="1062"/>
      <c r="AP3054" s="1044"/>
      <c r="AR3054" s="1044"/>
    </row>
    <row r="3055" spans="2:44" hidden="1" outlineLevel="1">
      <c r="B3055"/>
      <c r="C3055" s="223" t="s">
        <v>1526</v>
      </c>
      <c r="D3055" s="223"/>
      <c r="E3055" s="9"/>
      <c r="F3055" s="9"/>
      <c r="G3055" s="9"/>
      <c r="H3055" s="9"/>
      <c r="I3055" s="9"/>
      <c r="J3055" s="9"/>
      <c r="K3055" s="9"/>
      <c r="L3055" s="9"/>
      <c r="M3055" s="9"/>
      <c r="N3055" s="9"/>
      <c r="O3055" s="9"/>
      <c r="P3055" s="9"/>
      <c r="Q3055" s="9"/>
      <c r="R3055" s="12"/>
      <c r="S3055" s="12"/>
      <c r="T3055" s="12"/>
      <c r="U3055" s="12"/>
      <c r="V3055" s="12"/>
      <c r="W3055" s="12"/>
      <c r="X3055" s="12"/>
      <c r="Y3055" s="12">
        <v>405293590</v>
      </c>
      <c r="Z3055" s="12">
        <v>463357237</v>
      </c>
      <c r="AA3055" s="12">
        <v>552702905</v>
      </c>
      <c r="AB3055" s="12">
        <v>552047601</v>
      </c>
      <c r="AC3055" s="12">
        <v>652400537</v>
      </c>
      <c r="AD3055" s="12">
        <v>782419759.30999994</v>
      </c>
      <c r="AE3055" s="12">
        <v>884694907</v>
      </c>
      <c r="AF3055" s="12">
        <v>1090731391</v>
      </c>
      <c r="AG3055" s="14">
        <v>979980153</v>
      </c>
      <c r="AH3055" s="14">
        <v>1007244509</v>
      </c>
      <c r="AI3055" s="14">
        <v>1175946279</v>
      </c>
      <c r="AJ3055" s="37">
        <v>1205240948</v>
      </c>
      <c r="AK3055" s="37">
        <v>1294611326</v>
      </c>
      <c r="AL3055" s="37">
        <v>1373550715</v>
      </c>
      <c r="AM3055" s="37">
        <v>1477215148</v>
      </c>
      <c r="AN3055" s="1062">
        <v>1616775028</v>
      </c>
      <c r="AO3055" s="1062">
        <v>1785461575</v>
      </c>
      <c r="AP3055" s="1044"/>
      <c r="AR3055" s="1044"/>
    </row>
    <row r="3056" spans="2:44" s="1044" customFormat="1" hidden="1" outlineLevel="1">
      <c r="C3056" s="1197" t="s">
        <v>2080</v>
      </c>
      <c r="D3056" s="1051"/>
      <c r="E3056" s="1030"/>
      <c r="F3056" s="1030"/>
      <c r="G3056" s="1030"/>
      <c r="H3056" s="1030"/>
      <c r="I3056" s="1030"/>
      <c r="J3056" s="1030"/>
      <c r="K3056" s="1030"/>
      <c r="L3056" s="1030"/>
      <c r="M3056" s="1030"/>
      <c r="N3056" s="1030"/>
      <c r="O3056" s="1030"/>
      <c r="P3056" s="1030"/>
      <c r="Q3056" s="1030"/>
      <c r="R3056" s="1070"/>
      <c r="S3056" s="1070"/>
      <c r="T3056" s="1070"/>
      <c r="U3056" s="1070"/>
      <c r="V3056" s="1070"/>
      <c r="W3056" s="1070"/>
      <c r="X3056" s="1070"/>
      <c r="Y3056" s="1070"/>
      <c r="Z3056" s="1070"/>
      <c r="AA3056" s="1070"/>
      <c r="AB3056" s="1070"/>
      <c r="AC3056" s="1070"/>
      <c r="AD3056" s="1070"/>
      <c r="AE3056" s="1070"/>
      <c r="AF3056" s="1070"/>
      <c r="AG3056" s="1071"/>
      <c r="AH3056" s="1071"/>
      <c r="AI3056" s="1071"/>
      <c r="AJ3056" s="1062"/>
      <c r="AK3056" s="1062"/>
      <c r="AL3056" s="1062"/>
      <c r="AM3056" s="1062"/>
      <c r="AN3056" s="1062">
        <v>1193424343</v>
      </c>
      <c r="AO3056" s="1062">
        <v>1300852394</v>
      </c>
    </row>
    <row r="3057" spans="2:44" s="1044" customFormat="1" hidden="1" outlineLevel="1">
      <c r="C3057" s="1197" t="s">
        <v>2086</v>
      </c>
      <c r="D3057" s="1051"/>
      <c r="E3057" s="1030"/>
      <c r="F3057" s="1030"/>
      <c r="G3057" s="1030"/>
      <c r="H3057" s="1030"/>
      <c r="I3057" s="1030"/>
      <c r="J3057" s="1030"/>
      <c r="K3057" s="1030"/>
      <c r="L3057" s="1030"/>
      <c r="M3057" s="1030"/>
      <c r="N3057" s="1030"/>
      <c r="O3057" s="1030"/>
      <c r="P3057" s="1030"/>
      <c r="Q3057" s="1030"/>
      <c r="R3057" s="1070"/>
      <c r="S3057" s="1070"/>
      <c r="T3057" s="1070"/>
      <c r="U3057" s="1070"/>
      <c r="V3057" s="1070"/>
      <c r="W3057" s="1070"/>
      <c r="X3057" s="1070"/>
      <c r="Y3057" s="1070"/>
      <c r="Z3057" s="1070"/>
      <c r="AA3057" s="1070"/>
      <c r="AB3057" s="1070"/>
      <c r="AC3057" s="1070"/>
      <c r="AD3057" s="1070"/>
      <c r="AE3057" s="1070"/>
      <c r="AF3057" s="1070"/>
      <c r="AG3057" s="1071"/>
      <c r="AH3057" s="1071"/>
      <c r="AI3057" s="1071"/>
      <c r="AJ3057" s="1062"/>
      <c r="AK3057" s="1062"/>
      <c r="AL3057" s="1062"/>
      <c r="AM3057" s="1062"/>
      <c r="AN3057" s="1062">
        <v>423350685</v>
      </c>
      <c r="AO3057" s="1062">
        <v>484609181</v>
      </c>
      <c r="AR3057"/>
    </row>
    <row r="3058" spans="2:44" s="1044" customFormat="1" hidden="1" outlineLevel="1">
      <c r="C3058" s="1197" t="s">
        <v>2082</v>
      </c>
      <c r="D3058" s="1051"/>
      <c r="E3058" s="1030"/>
      <c r="F3058" s="1030"/>
      <c r="G3058" s="1030"/>
      <c r="H3058" s="1030"/>
      <c r="I3058" s="1030"/>
      <c r="J3058" s="1030"/>
      <c r="K3058" s="1030"/>
      <c r="L3058" s="1030"/>
      <c r="M3058" s="1030"/>
      <c r="N3058" s="1030"/>
      <c r="O3058" s="1030"/>
      <c r="P3058" s="1030"/>
      <c r="Q3058" s="1030"/>
      <c r="R3058" s="1070"/>
      <c r="S3058" s="1070"/>
      <c r="T3058" s="1070"/>
      <c r="U3058" s="1070"/>
      <c r="V3058" s="1070"/>
      <c r="W3058" s="1070"/>
      <c r="X3058" s="1070"/>
      <c r="Y3058" s="1070"/>
      <c r="Z3058" s="1070"/>
      <c r="AA3058" s="1070"/>
      <c r="AB3058" s="1070"/>
      <c r="AC3058" s="1070"/>
      <c r="AD3058" s="1070"/>
      <c r="AE3058" s="1070"/>
      <c r="AF3058" s="1070"/>
      <c r="AG3058" s="1071"/>
      <c r="AH3058" s="1071"/>
      <c r="AI3058" s="1071"/>
      <c r="AJ3058" s="1062"/>
      <c r="AK3058" s="1062"/>
      <c r="AL3058" s="1062"/>
      <c r="AM3058" s="1062"/>
      <c r="AN3058" s="1062">
        <v>130954653</v>
      </c>
      <c r="AO3058" s="1062">
        <v>134031516</v>
      </c>
    </row>
    <row r="3059" spans="2:44" hidden="1" outlineLevel="1">
      <c r="B3059"/>
      <c r="C3059" s="223" t="s">
        <v>1596</v>
      </c>
      <c r="D3059" s="223"/>
      <c r="E3059" s="9"/>
      <c r="F3059" s="9"/>
      <c r="G3059" s="9"/>
      <c r="H3059" s="9"/>
      <c r="I3059" s="9"/>
      <c r="J3059" s="9"/>
      <c r="K3059" s="9"/>
      <c r="L3059" s="9"/>
      <c r="M3059" s="9"/>
      <c r="N3059" s="9"/>
      <c r="O3059" s="9"/>
      <c r="P3059" s="9"/>
      <c r="Q3059" s="9"/>
      <c r="R3059" s="9"/>
      <c r="S3059" s="9"/>
      <c r="T3059" s="9"/>
      <c r="U3059" s="9"/>
      <c r="V3059" s="9"/>
      <c r="W3059" s="9"/>
      <c r="X3059" s="9"/>
      <c r="Y3059" s="9"/>
      <c r="Z3059" s="9"/>
      <c r="AA3059" s="9"/>
      <c r="AB3059" s="12">
        <v>23263682</v>
      </c>
      <c r="AC3059" s="12">
        <v>12869671</v>
      </c>
      <c r="AD3059" s="12">
        <v>14319326</v>
      </c>
      <c r="AE3059" s="12">
        <v>18817913</v>
      </c>
      <c r="AF3059" s="12">
        <v>31959553</v>
      </c>
      <c r="AG3059" s="12">
        <v>26479343</v>
      </c>
      <c r="AH3059" s="12">
        <v>28818695</v>
      </c>
      <c r="AI3059" s="12">
        <v>27362071</v>
      </c>
      <c r="AJ3059" s="37">
        <v>28203070</v>
      </c>
      <c r="AK3059" s="37">
        <v>28654090</v>
      </c>
      <c r="AL3059" s="37">
        <v>30176707</v>
      </c>
      <c r="AM3059" s="37">
        <v>29833038</v>
      </c>
      <c r="AN3059" s="1062">
        <v>28332767</v>
      </c>
      <c r="AO3059" s="1062">
        <v>31447037</v>
      </c>
      <c r="AP3059" s="1044"/>
      <c r="AR3059" s="1044"/>
    </row>
    <row r="3060" spans="2:44" s="1044" customFormat="1" hidden="1" outlineLevel="1">
      <c r="C3060" s="1197" t="s">
        <v>2080</v>
      </c>
      <c r="D3060" s="1051"/>
      <c r="E3060" s="1030"/>
      <c r="F3060" s="1030"/>
      <c r="G3060" s="1030"/>
      <c r="H3060" s="1030"/>
      <c r="I3060" s="1030"/>
      <c r="J3060" s="1030"/>
      <c r="K3060" s="1030"/>
      <c r="L3060" s="1030"/>
      <c r="M3060" s="1030"/>
      <c r="N3060" s="1030"/>
      <c r="O3060" s="1030"/>
      <c r="P3060" s="1030"/>
      <c r="Q3060" s="1030"/>
      <c r="R3060" s="1030"/>
      <c r="S3060" s="1030"/>
      <c r="T3060" s="1030"/>
      <c r="U3060" s="1030"/>
      <c r="V3060" s="1030"/>
      <c r="W3060" s="1030"/>
      <c r="X3060" s="1030"/>
      <c r="Y3060" s="1030"/>
      <c r="Z3060" s="1030"/>
      <c r="AA3060" s="1030"/>
      <c r="AB3060" s="1070"/>
      <c r="AC3060" s="1070"/>
      <c r="AD3060" s="1070"/>
      <c r="AE3060" s="1070"/>
      <c r="AF3060" s="1070"/>
      <c r="AG3060" s="1070"/>
      <c r="AH3060" s="1070"/>
      <c r="AI3060" s="1070"/>
      <c r="AJ3060" s="1062"/>
      <c r="AK3060" s="1062"/>
      <c r="AL3060" s="1062"/>
      <c r="AM3060" s="1062"/>
      <c r="AN3060" s="1062">
        <v>25400172</v>
      </c>
      <c r="AO3060" s="1062">
        <v>28364001</v>
      </c>
    </row>
    <row r="3061" spans="2:44" s="1044" customFormat="1" hidden="1" outlineLevel="1">
      <c r="C3061" s="1197" t="s">
        <v>2086</v>
      </c>
      <c r="D3061" s="1051"/>
      <c r="E3061" s="1030"/>
      <c r="F3061" s="1030"/>
      <c r="G3061" s="1030"/>
      <c r="H3061" s="1030"/>
      <c r="I3061" s="1030"/>
      <c r="J3061" s="1030"/>
      <c r="K3061" s="1030"/>
      <c r="L3061" s="1030"/>
      <c r="M3061" s="1030"/>
      <c r="N3061" s="1030"/>
      <c r="O3061" s="1030"/>
      <c r="P3061" s="1030"/>
      <c r="Q3061" s="1030"/>
      <c r="R3061" s="1030"/>
      <c r="S3061" s="1030"/>
      <c r="T3061" s="1030"/>
      <c r="U3061" s="1030"/>
      <c r="V3061" s="1030"/>
      <c r="W3061" s="1030"/>
      <c r="X3061" s="1030"/>
      <c r="Y3061" s="1030"/>
      <c r="Z3061" s="1030"/>
      <c r="AA3061" s="1030"/>
      <c r="AB3061" s="1070"/>
      <c r="AC3061" s="1070"/>
      <c r="AD3061" s="1070"/>
      <c r="AE3061" s="1070"/>
      <c r="AF3061" s="1070"/>
      <c r="AG3061" s="1070"/>
      <c r="AH3061" s="1070"/>
      <c r="AI3061" s="1070"/>
      <c r="AJ3061" s="1062"/>
      <c r="AK3061" s="1062"/>
      <c r="AL3061" s="1062"/>
      <c r="AM3061" s="1062"/>
      <c r="AN3061" s="1062">
        <v>2932595</v>
      </c>
      <c r="AO3061" s="1062">
        <v>3083036</v>
      </c>
      <c r="AR3061"/>
    </row>
    <row r="3062" spans="2:44" s="1044" customFormat="1" hidden="1" outlineLevel="1">
      <c r="C3062" s="1197" t="s">
        <v>2082</v>
      </c>
      <c r="D3062" s="1051"/>
      <c r="E3062" s="1030"/>
      <c r="F3062" s="1030"/>
      <c r="G3062" s="1030"/>
      <c r="H3062" s="1030"/>
      <c r="I3062" s="1030"/>
      <c r="J3062" s="1030"/>
      <c r="K3062" s="1030"/>
      <c r="L3062" s="1030"/>
      <c r="M3062" s="1030"/>
      <c r="N3062" s="1030"/>
      <c r="O3062" s="1030"/>
      <c r="P3062" s="1030"/>
      <c r="Q3062" s="1030"/>
      <c r="R3062" s="1030"/>
      <c r="S3062" s="1030"/>
      <c r="T3062" s="1030"/>
      <c r="U3062" s="1030"/>
      <c r="V3062" s="1030"/>
      <c r="W3062" s="1030"/>
      <c r="X3062" s="1030"/>
      <c r="Y3062" s="1030"/>
      <c r="Z3062" s="1030"/>
      <c r="AA3062" s="1030"/>
      <c r="AB3062" s="1070"/>
      <c r="AC3062" s="1070"/>
      <c r="AD3062" s="1070"/>
      <c r="AE3062" s="1070"/>
      <c r="AF3062" s="1070"/>
      <c r="AG3062" s="1070"/>
      <c r="AH3062" s="1070"/>
      <c r="AI3062" s="1070"/>
      <c r="AJ3062" s="1062"/>
      <c r="AK3062" s="1062"/>
      <c r="AL3062" s="1062"/>
      <c r="AM3062" s="1062"/>
      <c r="AN3062" s="1062">
        <v>1401947</v>
      </c>
      <c r="AO3062" s="1062">
        <v>1507482</v>
      </c>
    </row>
    <row r="3063" spans="2:44" hidden="1" outlineLevel="1">
      <c r="B3063"/>
      <c r="C3063" s="223" t="s">
        <v>1597</v>
      </c>
      <c r="D3063" s="223"/>
      <c r="E3063" s="9"/>
      <c r="F3063" s="9"/>
      <c r="G3063" s="9"/>
      <c r="H3063" s="9"/>
      <c r="I3063" s="9"/>
      <c r="J3063" s="9"/>
      <c r="K3063" s="9"/>
      <c r="L3063" s="9"/>
      <c r="M3063" s="9"/>
      <c r="N3063" s="9"/>
      <c r="O3063" s="9"/>
      <c r="P3063" s="9"/>
      <c r="Q3063" s="9"/>
      <c r="R3063" s="9"/>
      <c r="S3063" s="9"/>
      <c r="T3063" s="9"/>
      <c r="U3063" s="9"/>
      <c r="V3063" s="9"/>
      <c r="W3063" s="9"/>
      <c r="X3063" s="9"/>
      <c r="Y3063" s="9"/>
      <c r="Z3063" s="9"/>
      <c r="AA3063" s="9"/>
      <c r="AB3063" s="12"/>
      <c r="AC3063" s="14"/>
      <c r="AD3063" s="12"/>
      <c r="AE3063" s="14"/>
      <c r="AF3063" s="14"/>
      <c r="AG3063" s="14">
        <v>585899615</v>
      </c>
      <c r="AH3063" s="12">
        <v>596857303</v>
      </c>
      <c r="AI3063" s="14">
        <v>609490349</v>
      </c>
      <c r="AJ3063" s="679">
        <v>623456600.18000007</v>
      </c>
      <c r="AK3063" s="37">
        <v>623455910</v>
      </c>
      <c r="AL3063" s="1087">
        <v>619467643</v>
      </c>
      <c r="AM3063" s="37">
        <v>659706812</v>
      </c>
      <c r="AN3063" s="1062">
        <v>667480581</v>
      </c>
      <c r="AO3063" s="1062">
        <v>741981416</v>
      </c>
      <c r="AP3063" s="1044"/>
      <c r="AR3063" s="1044"/>
    </row>
    <row r="3064" spans="2:44" s="1044" customFormat="1" hidden="1" outlineLevel="1">
      <c r="C3064" s="1197" t="s">
        <v>2080</v>
      </c>
      <c r="D3064" s="1051"/>
      <c r="E3064" s="1051" t="s">
        <v>2087</v>
      </c>
      <c r="F3064" s="1030"/>
      <c r="G3064" s="1030"/>
      <c r="H3064" s="1030"/>
      <c r="I3064" s="1030"/>
      <c r="J3064" s="1030"/>
      <c r="K3064" s="1030"/>
      <c r="L3064" s="1030"/>
      <c r="M3064" s="1030"/>
      <c r="N3064" s="1030"/>
      <c r="O3064" s="1030"/>
      <c r="P3064" s="1030"/>
      <c r="Q3064" s="1030"/>
      <c r="R3064" s="1030"/>
      <c r="S3064" s="1030"/>
      <c r="T3064" s="1030"/>
      <c r="U3064" s="1030"/>
      <c r="V3064" s="1030"/>
      <c r="W3064" s="1030"/>
      <c r="X3064" s="1030"/>
      <c r="Y3064" s="1030"/>
      <c r="Z3064" s="1030"/>
      <c r="AA3064" s="1030"/>
      <c r="AB3064" s="1070"/>
      <c r="AC3064" s="1071"/>
      <c r="AD3064" s="1070"/>
      <c r="AE3064" s="1071"/>
      <c r="AF3064" s="1071"/>
      <c r="AG3064" s="1071"/>
      <c r="AH3064" s="1070"/>
      <c r="AI3064" s="1071"/>
      <c r="AJ3064" s="679"/>
      <c r="AK3064" s="1062"/>
      <c r="AL3064" s="1087"/>
      <c r="AM3064" s="1062"/>
      <c r="AN3064" s="1062"/>
      <c r="AO3064" s="1062"/>
    </row>
    <row r="3065" spans="2:44" s="1044" customFormat="1" hidden="1" outlineLevel="1">
      <c r="C3065" s="1197" t="s">
        <v>2086</v>
      </c>
      <c r="D3065" s="1051"/>
      <c r="E3065" s="1051" t="s">
        <v>2087</v>
      </c>
      <c r="F3065" s="1030"/>
      <c r="G3065" s="1030"/>
      <c r="H3065" s="1030"/>
      <c r="I3065" s="1030"/>
      <c r="J3065" s="1030"/>
      <c r="K3065" s="1030"/>
      <c r="L3065" s="1030"/>
      <c r="M3065" s="1030"/>
      <c r="N3065" s="1030"/>
      <c r="O3065" s="1030"/>
      <c r="P3065" s="1030"/>
      <c r="Q3065" s="1030"/>
      <c r="R3065" s="1030"/>
      <c r="S3065" s="1030"/>
      <c r="T3065" s="1030"/>
      <c r="U3065" s="1030"/>
      <c r="V3065" s="1030"/>
      <c r="W3065" s="1030"/>
      <c r="X3065" s="1030"/>
      <c r="Y3065" s="1030"/>
      <c r="Z3065" s="1030"/>
      <c r="AA3065" s="1030"/>
      <c r="AB3065" s="1070"/>
      <c r="AC3065" s="1071"/>
      <c r="AD3065" s="1070"/>
      <c r="AE3065" s="1071"/>
      <c r="AF3065" s="1071"/>
      <c r="AG3065" s="1071"/>
      <c r="AH3065" s="1070"/>
      <c r="AI3065" s="1071"/>
      <c r="AJ3065" s="679"/>
      <c r="AK3065" s="1062"/>
      <c r="AL3065" s="1087"/>
      <c r="AM3065" s="1062"/>
      <c r="AN3065" s="1062"/>
      <c r="AO3065" s="1062"/>
      <c r="AR3065"/>
    </row>
    <row r="3066" spans="2:44" s="1044" customFormat="1" hidden="1" outlineLevel="1">
      <c r="C3066" s="1197" t="s">
        <v>2082</v>
      </c>
      <c r="D3066" s="1051"/>
      <c r="E3066" s="1051" t="s">
        <v>2087</v>
      </c>
      <c r="F3066" s="1030"/>
      <c r="G3066" s="1030"/>
      <c r="H3066" s="1030"/>
      <c r="I3066" s="1030"/>
      <c r="J3066" s="1030"/>
      <c r="K3066" s="1030"/>
      <c r="L3066" s="1030"/>
      <c r="M3066" s="1030"/>
      <c r="N3066" s="1030"/>
      <c r="O3066" s="1030"/>
      <c r="P3066" s="1030"/>
      <c r="Q3066" s="1030"/>
      <c r="R3066" s="1030"/>
      <c r="S3066" s="1030"/>
      <c r="T3066" s="1030"/>
      <c r="U3066" s="1030"/>
      <c r="V3066" s="1030"/>
      <c r="W3066" s="1030"/>
      <c r="X3066" s="1030"/>
      <c r="Y3066" s="1030"/>
      <c r="Z3066" s="1030"/>
      <c r="AA3066" s="1030"/>
      <c r="AB3066" s="1070"/>
      <c r="AC3066" s="1071"/>
      <c r="AD3066" s="1070"/>
      <c r="AE3066" s="1071"/>
      <c r="AF3066" s="1071"/>
      <c r="AG3066" s="1071"/>
      <c r="AH3066" s="1070"/>
      <c r="AI3066" s="1071"/>
      <c r="AJ3066" s="679"/>
      <c r="AK3066" s="1062"/>
      <c r="AL3066" s="1087"/>
      <c r="AM3066" s="1062"/>
      <c r="AN3066" s="1062"/>
      <c r="AO3066" s="1062"/>
    </row>
    <row r="3067" spans="2:44" hidden="1" outlineLevel="1">
      <c r="B3067"/>
      <c r="C3067" s="223" t="s">
        <v>1599</v>
      </c>
      <c r="D3067" s="223"/>
      <c r="E3067" s="9"/>
      <c r="F3067" s="9"/>
      <c r="G3067" s="9"/>
      <c r="H3067" s="9"/>
      <c r="I3067" s="9"/>
      <c r="J3067" s="9"/>
      <c r="K3067" s="9"/>
      <c r="L3067" s="9"/>
      <c r="M3067" s="9"/>
      <c r="N3067" s="9"/>
      <c r="O3067" s="9"/>
      <c r="P3067" s="9"/>
      <c r="Q3067" s="9"/>
      <c r="R3067" s="9"/>
      <c r="S3067" s="9"/>
      <c r="T3067" s="9"/>
      <c r="U3067" s="9"/>
      <c r="V3067" s="9"/>
      <c r="W3067" s="9"/>
      <c r="X3067" s="9"/>
      <c r="Y3067" s="9"/>
      <c r="Z3067" s="9"/>
      <c r="AA3067" s="9">
        <v>11412203</v>
      </c>
      <c r="AB3067" s="12">
        <v>13731659</v>
      </c>
      <c r="AC3067" s="14">
        <v>14781755</v>
      </c>
      <c r="AD3067" s="12">
        <v>21621003</v>
      </c>
      <c r="AE3067" s="14">
        <v>32414664</v>
      </c>
      <c r="AF3067" s="14">
        <v>33511237</v>
      </c>
      <c r="AG3067" s="14">
        <v>19874593</v>
      </c>
      <c r="AH3067" s="12">
        <v>24141775.000000007</v>
      </c>
      <c r="AI3067" s="14">
        <v>21205087</v>
      </c>
      <c r="AJ3067" s="621">
        <v>20668120</v>
      </c>
      <c r="AK3067" s="37">
        <v>23276279</v>
      </c>
      <c r="AL3067" s="1088">
        <v>21495469</v>
      </c>
      <c r="AM3067" s="37">
        <v>23782084</v>
      </c>
      <c r="AN3067" s="1062">
        <v>25453082</v>
      </c>
      <c r="AO3067" s="1062">
        <v>26055103</v>
      </c>
      <c r="AP3067" s="1044"/>
      <c r="AR3067" s="1044"/>
    </row>
    <row r="3068" spans="2:44" s="1044" customFormat="1" hidden="1" outlineLevel="1">
      <c r="C3068" s="1197" t="s">
        <v>2080</v>
      </c>
      <c r="D3068" s="1051"/>
      <c r="E3068" s="1030"/>
      <c r="F3068" s="1030"/>
      <c r="G3068" s="1030"/>
      <c r="H3068" s="1030"/>
      <c r="I3068" s="1030"/>
      <c r="J3068" s="1030"/>
      <c r="K3068" s="1030"/>
      <c r="L3068" s="1030"/>
      <c r="M3068" s="1030"/>
      <c r="N3068" s="1030"/>
      <c r="O3068" s="1030"/>
      <c r="P3068" s="1030"/>
      <c r="Q3068" s="1030"/>
      <c r="R3068" s="1030"/>
      <c r="S3068" s="1030"/>
      <c r="T3068" s="1030"/>
      <c r="U3068" s="1030"/>
      <c r="V3068" s="1030"/>
      <c r="W3068" s="1030"/>
      <c r="X3068" s="1030"/>
      <c r="Y3068" s="1030"/>
      <c r="Z3068" s="1030"/>
      <c r="AA3068" s="1030"/>
      <c r="AB3068" s="1070"/>
      <c r="AC3068" s="1071"/>
      <c r="AD3068" s="1070"/>
      <c r="AE3068" s="1071"/>
      <c r="AF3068" s="1071"/>
      <c r="AG3068" s="1071"/>
      <c r="AH3068" s="1070"/>
      <c r="AI3068" s="1071"/>
      <c r="AJ3068" s="621"/>
      <c r="AK3068" s="1062"/>
      <c r="AL3068" s="1088"/>
      <c r="AM3068" s="1062"/>
      <c r="AN3068" s="1062">
        <v>21596418</v>
      </c>
      <c r="AO3068" s="1062">
        <v>21786521</v>
      </c>
    </row>
    <row r="3069" spans="2:44" s="1044" customFormat="1" hidden="1" outlineLevel="1">
      <c r="C3069" s="1197" t="s">
        <v>2086</v>
      </c>
      <c r="D3069" s="1051"/>
      <c r="E3069" s="1030"/>
      <c r="F3069" s="1030"/>
      <c r="G3069" s="1030"/>
      <c r="H3069" s="1030"/>
      <c r="I3069" s="1030"/>
      <c r="J3069" s="1030"/>
      <c r="K3069" s="1030"/>
      <c r="L3069" s="1030"/>
      <c r="M3069" s="1030"/>
      <c r="N3069" s="1030"/>
      <c r="O3069" s="1030"/>
      <c r="P3069" s="1030"/>
      <c r="Q3069" s="1030"/>
      <c r="R3069" s="1030"/>
      <c r="S3069" s="1030"/>
      <c r="T3069" s="1030"/>
      <c r="U3069" s="1030"/>
      <c r="V3069" s="1030"/>
      <c r="W3069" s="1030"/>
      <c r="X3069" s="1030"/>
      <c r="Y3069" s="1030"/>
      <c r="Z3069" s="1030"/>
      <c r="AA3069" s="1030"/>
      <c r="AB3069" s="1070"/>
      <c r="AC3069" s="1071"/>
      <c r="AD3069" s="1070"/>
      <c r="AE3069" s="1071"/>
      <c r="AF3069" s="1071"/>
      <c r="AG3069" s="1071"/>
      <c r="AH3069" s="1070"/>
      <c r="AI3069" s="1071"/>
      <c r="AJ3069" s="621"/>
      <c r="AK3069" s="1062"/>
      <c r="AL3069" s="1088"/>
      <c r="AM3069" s="1062"/>
      <c r="AN3069" s="1062">
        <v>3856664</v>
      </c>
      <c r="AO3069" s="1062">
        <v>4268582</v>
      </c>
    </row>
    <row r="3070" spans="2:44" s="1044" customFormat="1" hidden="1" outlineLevel="1">
      <c r="C3070" s="1197" t="s">
        <v>2082</v>
      </c>
      <c r="D3070" s="1051"/>
      <c r="E3070" s="1030"/>
      <c r="F3070" s="1030"/>
      <c r="G3070" s="1030"/>
      <c r="H3070" s="1030"/>
      <c r="I3070" s="1030"/>
      <c r="J3070" s="1030"/>
      <c r="K3070" s="1030"/>
      <c r="L3070" s="1030"/>
      <c r="M3070" s="1030"/>
      <c r="N3070" s="1030"/>
      <c r="O3070" s="1030"/>
      <c r="P3070" s="1030"/>
      <c r="Q3070" s="1030"/>
      <c r="R3070" s="1030"/>
      <c r="S3070" s="1030"/>
      <c r="T3070" s="1030"/>
      <c r="U3070" s="1030"/>
      <c r="V3070" s="1030"/>
      <c r="W3070" s="1030"/>
      <c r="X3070" s="1030"/>
      <c r="Y3070" s="1030"/>
      <c r="Z3070" s="1030"/>
      <c r="AA3070" s="1030"/>
      <c r="AB3070" s="1070"/>
      <c r="AC3070" s="1071"/>
      <c r="AD3070" s="1070"/>
      <c r="AE3070" s="1071"/>
      <c r="AF3070" s="1071"/>
      <c r="AG3070" s="1071"/>
      <c r="AH3070" s="1070"/>
      <c r="AI3070" s="1071"/>
      <c r="AJ3070" s="621"/>
      <c r="AK3070" s="1062"/>
      <c r="AL3070" s="1088"/>
      <c r="AM3070" s="1062"/>
      <c r="AN3070" s="1062">
        <v>339265</v>
      </c>
      <c r="AO3070" s="1062">
        <v>566323</v>
      </c>
      <c r="AR3070"/>
    </row>
    <row r="3071" spans="2:44" s="1044" customFormat="1" hidden="1" outlineLevel="1">
      <c r="C3071" s="1051"/>
      <c r="D3071" s="1051"/>
      <c r="E3071" s="1030"/>
      <c r="F3071" s="1030"/>
      <c r="G3071" s="1030"/>
      <c r="H3071" s="1030"/>
      <c r="I3071" s="1030"/>
      <c r="J3071" s="1030"/>
      <c r="K3071" s="1030"/>
      <c r="L3071" s="1030"/>
      <c r="M3071" s="1030"/>
      <c r="N3071" s="1030"/>
      <c r="O3071" s="1030"/>
      <c r="P3071" s="1030"/>
      <c r="Q3071" s="1030"/>
      <c r="R3071" s="1030"/>
      <c r="S3071" s="1030"/>
      <c r="T3071" s="1030"/>
      <c r="U3071" s="1030"/>
      <c r="V3071" s="1030"/>
      <c r="W3071" s="1030"/>
      <c r="X3071" s="1030"/>
      <c r="Y3071" s="1030"/>
      <c r="Z3071" s="1030"/>
      <c r="AA3071" s="1030"/>
      <c r="AB3071" s="1070"/>
      <c r="AC3071" s="1071"/>
      <c r="AD3071" s="1070"/>
      <c r="AE3071" s="1071"/>
      <c r="AF3071" s="1071"/>
      <c r="AG3071" s="1071"/>
      <c r="AH3071" s="1070"/>
      <c r="AI3071" s="1071"/>
      <c r="AJ3071" s="621"/>
      <c r="AK3071" s="1062"/>
      <c r="AL3071" s="1088"/>
      <c r="AM3071" s="1062"/>
      <c r="AN3071" s="1062"/>
      <c r="AO3071" s="1062"/>
      <c r="AR3071"/>
    </row>
    <row r="3072" spans="2:44" collapsed="1">
      <c r="B3072"/>
      <c r="C3072" s="25" t="s">
        <v>1098</v>
      </c>
      <c r="D3072" s="25"/>
      <c r="E3072" s="6"/>
      <c r="F3072" s="6"/>
      <c r="G3072" s="6"/>
      <c r="H3072" s="6"/>
      <c r="I3072" s="6"/>
      <c r="J3072" s="6"/>
      <c r="K3072" s="6"/>
      <c r="L3072" s="6"/>
      <c r="M3072" s="6"/>
      <c r="N3072" s="6"/>
      <c r="O3072" s="6"/>
      <c r="P3072" s="6"/>
      <c r="Q3072" s="6"/>
      <c r="R3072" s="6"/>
      <c r="S3072" s="6"/>
      <c r="T3072" s="6"/>
      <c r="U3072" s="6"/>
      <c r="V3072" s="6"/>
      <c r="W3072" s="6"/>
      <c r="X3072" s="6"/>
      <c r="Y3072" s="6"/>
      <c r="Z3072" s="6"/>
      <c r="AA3072" s="6"/>
      <c r="AB3072" s="7"/>
      <c r="AC3072" s="7"/>
      <c r="AD3072" s="7"/>
      <c r="AE3072" s="7"/>
      <c r="AF3072" s="7"/>
      <c r="AG3072" s="7"/>
      <c r="AH3072" s="61"/>
      <c r="AI3072" s="61"/>
      <c r="AJ3072" s="26"/>
      <c r="AK3072" s="26"/>
      <c r="AL3072" s="26"/>
      <c r="AM3072" s="26"/>
      <c r="AN3072" s="1069"/>
      <c r="AO3072" s="1069"/>
      <c r="AP3072" s="1044"/>
    </row>
    <row r="3073" spans="2:44" hidden="1" outlineLevel="1">
      <c r="B3073"/>
      <c r="C3073" s="9" t="s">
        <v>1102</v>
      </c>
      <c r="D3073" s="9"/>
      <c r="E3073" s="9" t="s">
        <v>1099</v>
      </c>
      <c r="F3073" s="9"/>
      <c r="G3073" s="9"/>
      <c r="H3073" s="9"/>
      <c r="I3073" s="9"/>
      <c r="J3073" s="9"/>
      <c r="K3073" s="9"/>
      <c r="L3073" s="9"/>
      <c r="M3073" s="9"/>
      <c r="N3073" s="9"/>
      <c r="O3073" s="9"/>
      <c r="P3073" s="9"/>
      <c r="Q3073" s="9"/>
      <c r="R3073" s="9"/>
      <c r="S3073" s="9"/>
      <c r="T3073" s="9"/>
      <c r="U3073" s="9"/>
      <c r="V3073" s="9"/>
      <c r="W3073" s="9"/>
      <c r="X3073" s="9"/>
      <c r="Y3073" s="9"/>
      <c r="Z3073" s="9"/>
      <c r="AA3073" s="9"/>
      <c r="AB3073" s="12"/>
      <c r="AC3073" s="12"/>
      <c r="AD3073" s="12"/>
      <c r="AE3073" s="12"/>
      <c r="AF3073" s="12"/>
      <c r="AG3073" s="12"/>
      <c r="AH3073" s="12">
        <v>68890961</v>
      </c>
      <c r="AI3073" s="12">
        <v>68890961</v>
      </c>
      <c r="AJ3073" s="12">
        <v>76267638</v>
      </c>
      <c r="AK3073" s="12">
        <v>76267638</v>
      </c>
      <c r="AL3073" s="12">
        <v>77009258</v>
      </c>
      <c r="AM3073" s="12">
        <v>77009258</v>
      </c>
      <c r="AN3073" s="1070">
        <v>76001780</v>
      </c>
      <c r="AO3073" s="1070">
        <v>76001780</v>
      </c>
      <c r="AP3073" s="1044"/>
    </row>
    <row r="3074" spans="2:44" hidden="1" outlineLevel="1">
      <c r="B3074"/>
      <c r="C3074" s="9" t="s">
        <v>964</v>
      </c>
      <c r="D3074" s="9"/>
      <c r="E3074" s="9" t="s">
        <v>1100</v>
      </c>
      <c r="F3074" s="9"/>
      <c r="G3074" s="9"/>
      <c r="H3074" s="9"/>
      <c r="I3074" s="9"/>
      <c r="J3074" s="9"/>
      <c r="K3074" s="9"/>
      <c r="L3074" s="9"/>
      <c r="M3074" s="9"/>
      <c r="N3074" s="9"/>
      <c r="O3074" s="9"/>
      <c r="P3074" s="9"/>
      <c r="Q3074" s="9"/>
      <c r="R3074" s="9"/>
      <c r="S3074" s="9"/>
      <c r="T3074" s="9"/>
      <c r="U3074" s="9"/>
      <c r="V3074" s="9"/>
      <c r="W3074" s="9"/>
      <c r="X3074" s="9"/>
      <c r="Y3074" s="9"/>
      <c r="Z3074" s="9"/>
      <c r="AA3074" s="9"/>
      <c r="AB3074" s="12"/>
      <c r="AC3074" s="12"/>
      <c r="AD3074" s="12"/>
      <c r="AE3074" s="12"/>
      <c r="AF3074" s="12"/>
      <c r="AG3074" s="12"/>
      <c r="AH3074" s="12">
        <v>742021160</v>
      </c>
      <c r="AI3074" s="12">
        <v>741615895</v>
      </c>
      <c r="AJ3074" s="12">
        <v>872231028</v>
      </c>
      <c r="AK3074" s="12">
        <v>872806371</v>
      </c>
      <c r="AL3074" s="12">
        <v>900706834.34956932</v>
      </c>
      <c r="AM3074" s="12">
        <v>901025892.25252771</v>
      </c>
      <c r="AN3074" s="1070">
        <v>894476934</v>
      </c>
      <c r="AO3074" s="1070">
        <v>894712010</v>
      </c>
      <c r="AP3074" s="1044"/>
    </row>
    <row r="3075" spans="2:44" hidden="1" outlineLevel="1">
      <c r="B3075"/>
      <c r="C3075" s="9" t="s">
        <v>877</v>
      </c>
      <c r="D3075" s="9"/>
      <c r="E3075" s="9" t="s">
        <v>1101</v>
      </c>
      <c r="F3075" s="9"/>
      <c r="G3075" s="9"/>
      <c r="H3075" s="9"/>
      <c r="I3075" s="9"/>
      <c r="J3075" s="9"/>
      <c r="K3075" s="9"/>
      <c r="L3075" s="9"/>
      <c r="M3075" s="9"/>
      <c r="N3075" s="9"/>
      <c r="O3075" s="9"/>
      <c r="P3075" s="9"/>
      <c r="Q3075" s="9"/>
      <c r="R3075" s="9"/>
      <c r="S3075" s="9"/>
      <c r="T3075" s="9"/>
      <c r="U3075" s="9"/>
      <c r="V3075" s="9"/>
      <c r="W3075" s="9"/>
      <c r="X3075" s="9"/>
      <c r="Y3075" s="9"/>
      <c r="Z3075" s="9"/>
      <c r="AA3075" s="9"/>
      <c r="AB3075" s="12"/>
      <c r="AC3075" s="12"/>
      <c r="AD3075" s="12"/>
      <c r="AE3075" s="12"/>
      <c r="AF3075" s="12"/>
      <c r="AG3075" s="12"/>
      <c r="AH3075" s="12">
        <v>253302357</v>
      </c>
      <c r="AI3075" s="12">
        <v>253175092</v>
      </c>
      <c r="AJ3075" s="12">
        <v>260319025</v>
      </c>
      <c r="AK3075" s="12">
        <v>260409132</v>
      </c>
      <c r="AL3075" s="12">
        <v>267952533</v>
      </c>
      <c r="AM3075" s="12">
        <v>268089116</v>
      </c>
      <c r="AN3075" s="1070">
        <v>267958785</v>
      </c>
      <c r="AO3075" s="1070">
        <v>268065270</v>
      </c>
      <c r="AP3075" s="1044"/>
      <c r="AR3075" s="66"/>
    </row>
    <row r="3076" spans="2:44" s="66" customFormat="1">
      <c r="B3076" s="295"/>
      <c r="C3076" s="223"/>
      <c r="D3076" s="223"/>
      <c r="E3076" s="224"/>
      <c r="F3076" s="27"/>
      <c r="G3076" s="27"/>
      <c r="H3076" s="27"/>
      <c r="I3076" s="27"/>
      <c r="J3076" s="27"/>
      <c r="K3076" s="27"/>
      <c r="L3076" s="27"/>
      <c r="M3076" s="27"/>
      <c r="N3076" s="27"/>
      <c r="O3076" s="27"/>
      <c r="P3076" s="27"/>
      <c r="Q3076" s="27"/>
      <c r="R3076" s="27"/>
      <c r="S3076" s="27"/>
      <c r="T3076" s="27"/>
      <c r="U3076" s="27"/>
      <c r="V3076" s="27"/>
      <c r="W3076" s="27"/>
      <c r="X3076" s="27"/>
      <c r="Y3076" s="27"/>
      <c r="Z3076" s="27"/>
      <c r="AA3076" s="27"/>
      <c r="AB3076" s="34"/>
      <c r="AC3076" s="12"/>
      <c r="AD3076" s="34"/>
      <c r="AE3076" s="12"/>
      <c r="AF3076" s="34"/>
      <c r="AG3076" s="12"/>
      <c r="AH3076" s="562"/>
      <c r="AI3076" s="34"/>
      <c r="AJ3076" s="35"/>
      <c r="AK3076" s="35"/>
      <c r="AL3076" s="35"/>
      <c r="AM3076" s="35"/>
      <c r="AN3076" s="1070"/>
      <c r="AO3076" s="985"/>
      <c r="AR3076" s="330"/>
    </row>
    <row r="3077" spans="2:44" s="330" customFormat="1">
      <c r="B3077" s="571"/>
      <c r="C3077" s="244"/>
      <c r="D3077" s="244"/>
      <c r="E3077" s="375"/>
      <c r="F3077" s="226"/>
      <c r="G3077" s="226"/>
      <c r="H3077" s="226"/>
      <c r="I3077" s="226"/>
      <c r="J3077" s="226"/>
      <c r="K3077" s="226"/>
      <c r="L3077" s="226"/>
      <c r="M3077" s="226"/>
      <c r="N3077" s="226"/>
      <c r="O3077" s="226"/>
      <c r="P3077" s="226"/>
      <c r="Q3077" s="226"/>
      <c r="R3077" s="226"/>
      <c r="S3077" s="226"/>
      <c r="T3077" s="226"/>
      <c r="U3077" s="226"/>
      <c r="V3077" s="226"/>
      <c r="W3077" s="226"/>
      <c r="X3077" s="226"/>
      <c r="Y3077" s="226"/>
      <c r="Z3077" s="226"/>
      <c r="AA3077" s="226"/>
      <c r="AB3077" s="29"/>
      <c r="AC3077" s="14"/>
      <c r="AD3077" s="29"/>
      <c r="AE3077" s="14"/>
      <c r="AF3077" s="29"/>
      <c r="AG3077" s="14"/>
      <c r="AH3077" s="570"/>
      <c r="AI3077" s="29"/>
      <c r="AJ3077" s="371"/>
      <c r="AK3077" s="371"/>
      <c r="AL3077" s="371"/>
      <c r="AM3077" s="371"/>
      <c r="AN3077" s="1070"/>
      <c r="AO3077" s="921"/>
      <c r="AR3077"/>
    </row>
    <row r="3078" spans="2:44" collapsed="1">
      <c r="C3078" s="5" t="s">
        <v>715</v>
      </c>
      <c r="D3078" s="5"/>
      <c r="E3078" s="6"/>
      <c r="F3078" s="6"/>
      <c r="G3078" s="6"/>
      <c r="H3078" s="6"/>
      <c r="I3078" s="6"/>
      <c r="J3078" s="6"/>
      <c r="K3078" s="6"/>
      <c r="L3078" s="6"/>
      <c r="M3078" s="6"/>
      <c r="N3078" s="6"/>
      <c r="O3078" s="6"/>
      <c r="P3078" s="6"/>
      <c r="Q3078" s="6"/>
      <c r="R3078" s="6"/>
      <c r="S3078" s="6"/>
      <c r="T3078" s="6"/>
      <c r="U3078" s="6"/>
      <c r="V3078" s="6"/>
      <c r="W3078" s="6"/>
      <c r="X3078" s="6"/>
      <c r="Y3078" s="6"/>
      <c r="Z3078" s="6"/>
      <c r="AA3078" s="6"/>
      <c r="AB3078" s="7"/>
      <c r="AC3078" s="7"/>
      <c r="AD3078" s="7"/>
      <c r="AE3078" s="7"/>
      <c r="AF3078" s="7"/>
      <c r="AG3078" s="7"/>
      <c r="AH3078" s="7"/>
      <c r="AI3078" s="7"/>
      <c r="AJ3078" s="676"/>
      <c r="AK3078" s="676"/>
      <c r="AL3078" s="1069"/>
      <c r="AM3078" s="1069"/>
      <c r="AN3078" s="1069"/>
      <c r="AO3078" s="1069"/>
      <c r="AP3078" s="1044"/>
    </row>
    <row r="3079" spans="2:44" hidden="1" outlineLevel="1">
      <c r="C3079" s="9" t="s">
        <v>16</v>
      </c>
      <c r="D3079" s="9"/>
      <c r="E3079" s="9" t="s">
        <v>761</v>
      </c>
      <c r="F3079" s="9"/>
      <c r="G3079" s="9"/>
      <c r="H3079" s="9"/>
      <c r="I3079" s="9"/>
      <c r="J3079" s="9"/>
      <c r="K3079" s="9"/>
      <c r="L3079" s="9"/>
      <c r="M3079" s="9"/>
      <c r="N3079" s="9"/>
      <c r="O3079" s="9"/>
      <c r="P3079" s="9"/>
      <c r="Q3079" s="9"/>
      <c r="R3079" s="9"/>
      <c r="S3079" s="9"/>
      <c r="T3079" s="9"/>
      <c r="U3079" s="9"/>
      <c r="V3079" s="9"/>
      <c r="W3079" s="9"/>
      <c r="X3079" s="9"/>
      <c r="Y3079" s="9"/>
      <c r="Z3079" s="9"/>
      <c r="AA3079" s="9"/>
      <c r="AB3079" s="12"/>
      <c r="AC3079" s="12"/>
      <c r="AD3079" s="12"/>
      <c r="AE3079" s="12"/>
      <c r="AF3079" s="12">
        <v>0</v>
      </c>
      <c r="AG3079" s="12">
        <v>0</v>
      </c>
      <c r="AH3079" s="12">
        <v>3880795</v>
      </c>
      <c r="AI3079" s="12">
        <v>3879065</v>
      </c>
      <c r="AJ3079" s="22"/>
      <c r="AK3079" s="22"/>
      <c r="AL3079" s="22"/>
      <c r="AM3079" s="22"/>
      <c r="AN3079" s="1059"/>
      <c r="AO3079" s="1059"/>
      <c r="AP3079" s="66"/>
    </row>
    <row r="3080" spans="2:44" hidden="1" outlineLevel="1">
      <c r="C3080" s="9" t="s">
        <v>16</v>
      </c>
      <c r="D3080" s="9"/>
      <c r="E3080" s="223" t="s">
        <v>1605</v>
      </c>
      <c r="F3080" s="9"/>
      <c r="G3080" s="9"/>
      <c r="H3080" s="9"/>
      <c r="I3080" s="9"/>
      <c r="J3080" s="9"/>
      <c r="K3080" s="9"/>
      <c r="L3080" s="9"/>
      <c r="M3080" s="9"/>
      <c r="N3080" s="9"/>
      <c r="O3080" s="9"/>
      <c r="P3080" s="9"/>
      <c r="Q3080" s="9"/>
      <c r="R3080" s="9"/>
      <c r="S3080" s="9"/>
      <c r="T3080" s="9"/>
      <c r="U3080" s="9"/>
      <c r="V3080" s="9"/>
      <c r="W3080" s="9"/>
      <c r="X3080" s="12">
        <v>27000000</v>
      </c>
      <c r="Y3080" s="12">
        <v>27000000</v>
      </c>
      <c r="Z3080" s="12">
        <v>16495085</v>
      </c>
      <c r="AA3080" s="12">
        <v>16495085</v>
      </c>
      <c r="AB3080" s="12">
        <v>18812293</v>
      </c>
      <c r="AC3080" s="12">
        <v>18812293</v>
      </c>
      <c r="AD3080" s="228">
        <v>14905000</v>
      </c>
      <c r="AE3080" s="12">
        <v>14905000</v>
      </c>
      <c r="AF3080" s="12">
        <v>16799339</v>
      </c>
      <c r="AG3080" s="12">
        <v>16799339</v>
      </c>
      <c r="AH3080" s="12">
        <f>ROUND((24756485+3229662)*0.802498502071865,0)</f>
        <v>22458841</v>
      </c>
      <c r="AI3080" s="12">
        <f>ROUND((24756485+3229662)*0.802498502071865,0)</f>
        <v>22458841</v>
      </c>
      <c r="AJ3080" s="37">
        <f>ROUND((27418334+3574202)*0.79,0)</f>
        <v>24484103</v>
      </c>
      <c r="AK3080" s="37">
        <f>ROUND((27418334+3574202)*0.79,0)</f>
        <v>24484103</v>
      </c>
      <c r="AL3080" s="37">
        <v>28519866</v>
      </c>
      <c r="AM3080" s="37">
        <v>28520394</v>
      </c>
      <c r="AN3080" s="1062">
        <v>30447437</v>
      </c>
      <c r="AO3080" s="1062">
        <v>30444936</v>
      </c>
      <c r="AP3080" s="1062">
        <v>33529665</v>
      </c>
      <c r="AQ3080" s="1062">
        <v>33519987</v>
      </c>
    </row>
    <row r="3081" spans="2:44" hidden="1" outlineLevel="1">
      <c r="B3081"/>
      <c r="C3081" s="223" t="s">
        <v>1691</v>
      </c>
      <c r="D3081" s="223"/>
      <c r="E3081" s="9"/>
      <c r="F3081" s="9"/>
      <c r="G3081" s="9"/>
      <c r="H3081" s="9"/>
      <c r="I3081" s="9"/>
      <c r="J3081" s="9"/>
      <c r="K3081" s="9"/>
      <c r="L3081" s="9"/>
      <c r="M3081" s="9"/>
      <c r="N3081" s="9"/>
      <c r="O3081" s="9"/>
      <c r="P3081" s="9"/>
      <c r="Q3081" s="9"/>
      <c r="R3081" s="9"/>
      <c r="S3081" s="9"/>
      <c r="T3081" s="9"/>
      <c r="U3081" s="9"/>
      <c r="V3081" s="9"/>
      <c r="W3081" s="9"/>
      <c r="X3081" s="9"/>
      <c r="Y3081" s="9"/>
      <c r="Z3081" s="9"/>
      <c r="AA3081" s="12">
        <v>6251</v>
      </c>
      <c r="AB3081" s="12">
        <v>6385</v>
      </c>
      <c r="AC3081" s="12">
        <v>6549</v>
      </c>
      <c r="AD3081" s="12">
        <v>10247</v>
      </c>
      <c r="AE3081" s="12">
        <v>10912</v>
      </c>
      <c r="AF3081" s="12">
        <v>11590</v>
      </c>
      <c r="AG3081" s="12">
        <v>12060</v>
      </c>
      <c r="AH3081" s="12">
        <v>12696</v>
      </c>
      <c r="AI3081" s="37">
        <v>13083</v>
      </c>
      <c r="AJ3081" s="37">
        <v>13772</v>
      </c>
      <c r="AK3081" s="37">
        <v>14461</v>
      </c>
      <c r="AL3081" s="37">
        <v>15131</v>
      </c>
      <c r="AM3081" s="37">
        <v>15687</v>
      </c>
      <c r="AN3081" s="1062">
        <v>15687</v>
      </c>
      <c r="AO3081" s="1062">
        <v>17459</v>
      </c>
      <c r="AP3081" s="1062">
        <v>18111</v>
      </c>
      <c r="AQ3081" s="1062"/>
    </row>
    <row r="3082" spans="2:44" hidden="1" outlineLevel="1">
      <c r="B3082"/>
      <c r="C3082" s="223" t="s">
        <v>1692</v>
      </c>
      <c r="D3082" s="223"/>
      <c r="E3082" s="9"/>
      <c r="F3082" s="9"/>
      <c r="G3082" s="9"/>
      <c r="H3082" s="9"/>
      <c r="I3082" s="9"/>
      <c r="J3082" s="9"/>
      <c r="K3082" s="9"/>
      <c r="L3082" s="9"/>
      <c r="M3082" s="9"/>
      <c r="N3082" s="9"/>
      <c r="O3082" s="9"/>
      <c r="P3082" s="9"/>
      <c r="Q3082" s="9"/>
      <c r="R3082" s="9"/>
      <c r="S3082" s="9"/>
      <c r="T3082" s="9"/>
      <c r="U3082" s="9"/>
      <c r="V3082" s="9"/>
      <c r="W3082" s="9"/>
      <c r="X3082" s="9"/>
      <c r="Y3082" s="9"/>
      <c r="Z3082" s="9"/>
      <c r="AA3082" s="12">
        <v>15519</v>
      </c>
      <c r="AB3082" s="12">
        <v>16158</v>
      </c>
      <c r="AC3082" s="12">
        <v>16906</v>
      </c>
      <c r="AD3082" s="12">
        <v>21243</v>
      </c>
      <c r="AE3082" s="12">
        <v>22838</v>
      </c>
      <c r="AF3082" s="12">
        <v>23525</v>
      </c>
      <c r="AG3082" s="12">
        <v>24169</v>
      </c>
      <c r="AH3082" s="14">
        <v>25190</v>
      </c>
      <c r="AI3082" s="37">
        <v>26133</v>
      </c>
      <c r="AJ3082" s="37">
        <v>27157</v>
      </c>
      <c r="AK3082" s="37">
        <v>27911</v>
      </c>
      <c r="AL3082" s="37">
        <v>28702</v>
      </c>
      <c r="AM3082" s="37">
        <v>31081</v>
      </c>
      <c r="AN3082" s="1062">
        <v>31081</v>
      </c>
      <c r="AO3082" s="1062">
        <v>31896</v>
      </c>
      <c r="AP3082" s="1062">
        <v>32902</v>
      </c>
      <c r="AQ3082" s="1062"/>
    </row>
    <row r="3083" spans="2:44" hidden="1" outlineLevel="1">
      <c r="B3083"/>
      <c r="C3083" s="223"/>
      <c r="D3083" s="223"/>
      <c r="E3083" s="9"/>
      <c r="F3083" s="9"/>
      <c r="G3083" s="9"/>
      <c r="H3083" s="9"/>
      <c r="I3083" s="9"/>
      <c r="J3083" s="9"/>
      <c r="K3083" s="9"/>
      <c r="L3083" s="9"/>
      <c r="M3083" s="9"/>
      <c r="N3083" s="9"/>
      <c r="O3083" s="9"/>
      <c r="P3083" s="9"/>
      <c r="Q3083" s="9"/>
      <c r="R3083" s="9"/>
      <c r="S3083" s="9"/>
      <c r="T3083" s="9"/>
      <c r="U3083" s="9"/>
      <c r="V3083" s="9"/>
      <c r="W3083" s="9"/>
      <c r="X3083" s="9"/>
      <c r="Y3083" s="9"/>
      <c r="Z3083" s="9"/>
      <c r="AA3083" s="9"/>
      <c r="AB3083" s="12"/>
      <c r="AC3083" s="12"/>
      <c r="AD3083" s="12"/>
      <c r="AE3083" s="12"/>
      <c r="AF3083" s="12"/>
      <c r="AG3083" s="12"/>
      <c r="AH3083" s="12"/>
      <c r="AI3083" s="12"/>
      <c r="AJ3083" s="37"/>
      <c r="AK3083" s="37"/>
      <c r="AL3083" s="37"/>
      <c r="AM3083" s="37"/>
      <c r="AN3083" s="1062"/>
      <c r="AO3083" s="1062"/>
      <c r="AP3083" s="1062"/>
      <c r="AQ3083" s="1062"/>
    </row>
    <row r="3084" spans="2:44" hidden="1" outlineLevel="1">
      <c r="B3084"/>
      <c r="C3084" s="223"/>
      <c r="D3084" s="223"/>
      <c r="E3084" s="9"/>
      <c r="F3084" s="9"/>
      <c r="G3084" s="9"/>
      <c r="H3084" s="9"/>
      <c r="I3084" s="9"/>
      <c r="J3084" s="9"/>
      <c r="K3084" s="9"/>
      <c r="L3084" s="9"/>
      <c r="M3084" s="9"/>
      <c r="N3084" s="9"/>
      <c r="O3084" s="9"/>
      <c r="P3084" s="9"/>
      <c r="Q3084" s="9"/>
      <c r="R3084" s="9"/>
      <c r="S3084" s="9"/>
      <c r="T3084" s="9"/>
      <c r="U3084" s="9"/>
      <c r="V3084" s="9"/>
      <c r="W3084" s="9"/>
      <c r="X3084" s="9"/>
      <c r="Y3084" s="9"/>
      <c r="Z3084" s="9"/>
      <c r="AA3084" s="9"/>
      <c r="AB3084" s="12"/>
      <c r="AC3084" s="12"/>
      <c r="AD3084" s="12"/>
      <c r="AE3084" s="12"/>
      <c r="AF3084" s="12"/>
      <c r="AG3084" s="12"/>
      <c r="AH3084" s="12"/>
      <c r="AI3084" s="12"/>
      <c r="AJ3084" s="37"/>
      <c r="AK3084" s="37"/>
      <c r="AL3084" s="37"/>
      <c r="AM3084" s="37"/>
      <c r="AN3084" s="1062"/>
      <c r="AO3084" s="1062"/>
      <c r="AP3084" s="1062"/>
      <c r="AQ3084" s="1062"/>
    </row>
    <row r="3085" spans="2:44" hidden="1" outlineLevel="1">
      <c r="B3085"/>
      <c r="C3085" s="223"/>
      <c r="D3085" s="223"/>
      <c r="E3085" s="9"/>
      <c r="F3085" s="9"/>
      <c r="G3085" s="9"/>
      <c r="H3085" s="9"/>
      <c r="I3085" s="9"/>
      <c r="J3085" s="9"/>
      <c r="K3085" s="9"/>
      <c r="L3085" s="9"/>
      <c r="M3085" s="9"/>
      <c r="N3085" s="9"/>
      <c r="O3085" s="9"/>
      <c r="P3085" s="9"/>
      <c r="Q3085" s="9"/>
      <c r="R3085" s="9"/>
      <c r="S3085" s="9"/>
      <c r="T3085" s="9"/>
      <c r="U3085" s="9"/>
      <c r="V3085" s="9"/>
      <c r="W3085" s="9"/>
      <c r="X3085" s="9"/>
      <c r="Y3085" s="9"/>
      <c r="Z3085" s="9"/>
      <c r="AA3085" s="9"/>
      <c r="AB3085" s="12"/>
      <c r="AC3085" s="12"/>
      <c r="AD3085" s="12"/>
      <c r="AE3085" s="12"/>
      <c r="AF3085" s="12"/>
      <c r="AG3085" s="12"/>
      <c r="AH3085" s="12"/>
      <c r="AI3085" s="12"/>
      <c r="AJ3085" s="37"/>
      <c r="AK3085" s="37"/>
      <c r="AL3085" s="37"/>
      <c r="AM3085" s="37"/>
      <c r="AN3085" s="1062"/>
      <c r="AO3085" s="1062"/>
      <c r="AP3085" s="1062"/>
      <c r="AQ3085" s="1062"/>
    </row>
    <row r="3086" spans="2:44" hidden="1" outlineLevel="1">
      <c r="B3086"/>
      <c r="C3086" s="223"/>
      <c r="D3086" s="223"/>
      <c r="E3086" s="9"/>
      <c r="F3086" s="9"/>
      <c r="G3086" s="9"/>
      <c r="H3086" s="9"/>
      <c r="I3086" s="9"/>
      <c r="J3086" s="9"/>
      <c r="K3086" s="9"/>
      <c r="L3086" s="9"/>
      <c r="M3086" s="9"/>
      <c r="N3086" s="9"/>
      <c r="O3086" s="9"/>
      <c r="P3086" s="9"/>
      <c r="Q3086" s="9"/>
      <c r="R3086" s="9"/>
      <c r="S3086" s="9"/>
      <c r="T3086" s="9"/>
      <c r="U3086" s="9"/>
      <c r="V3086" s="9"/>
      <c r="W3086" s="9"/>
      <c r="X3086" s="9"/>
      <c r="Y3086" s="9"/>
      <c r="Z3086" s="9"/>
      <c r="AA3086" s="9"/>
      <c r="AB3086" s="12"/>
      <c r="AC3086" s="12"/>
      <c r="AD3086" s="12"/>
      <c r="AE3086" s="12"/>
      <c r="AF3086" s="12"/>
      <c r="AG3086" s="12"/>
      <c r="AH3086" s="12"/>
      <c r="AI3086" s="12"/>
      <c r="AJ3086" s="37"/>
      <c r="AK3086" s="37"/>
      <c r="AL3086" s="37"/>
      <c r="AM3086" s="37"/>
      <c r="AN3086" s="1062"/>
      <c r="AO3086" s="1062"/>
      <c r="AP3086" s="1062"/>
      <c r="AQ3086" s="1062"/>
    </row>
    <row r="3087" spans="2:44" hidden="1" outlineLevel="1">
      <c r="B3087"/>
      <c r="C3087" s="9"/>
      <c r="D3087" s="9"/>
      <c r="E3087" s="9"/>
      <c r="F3087" s="9"/>
      <c r="G3087" s="9"/>
      <c r="H3087" s="9"/>
      <c r="I3087" s="9"/>
      <c r="J3087" s="9"/>
      <c r="K3087" s="9"/>
      <c r="L3087" s="9"/>
      <c r="M3087" s="9"/>
      <c r="N3087" s="9"/>
      <c r="O3087" s="9"/>
      <c r="P3087" s="9"/>
      <c r="Q3087" s="9"/>
      <c r="R3087" s="9"/>
      <c r="S3087" s="9"/>
      <c r="T3087" s="9"/>
      <c r="U3087" s="9"/>
      <c r="V3087" s="9"/>
      <c r="W3087" s="9"/>
      <c r="X3087" s="9"/>
      <c r="Y3087" s="9"/>
      <c r="Z3087" s="9"/>
      <c r="AA3087" s="9"/>
      <c r="AB3087" s="12"/>
      <c r="AC3087" s="12"/>
      <c r="AD3087" s="12"/>
      <c r="AE3087" s="12"/>
      <c r="AF3087" s="12"/>
      <c r="AG3087" s="12"/>
      <c r="AH3087" s="12"/>
      <c r="AI3087" s="12"/>
      <c r="AJ3087" s="37"/>
      <c r="AK3087" s="37"/>
      <c r="AL3087" s="37"/>
      <c r="AM3087" s="37"/>
      <c r="AN3087" s="1062"/>
      <c r="AO3087" s="1062"/>
      <c r="AP3087" s="1062"/>
      <c r="AQ3087" s="1062"/>
      <c r="AR3087" s="1044"/>
    </row>
    <row r="3088" spans="2:44">
      <c r="AR3088" s="1044"/>
    </row>
    <row r="3089" spans="2:43" s="1044" customFormat="1" collapsed="1">
      <c r="B3089" s="1045"/>
      <c r="C3089" s="1053" t="s">
        <v>2233</v>
      </c>
      <c r="D3089" s="1048"/>
      <c r="E3089" s="1038"/>
      <c r="F3089" s="30"/>
      <c r="G3089" s="30"/>
      <c r="H3089" s="30"/>
      <c r="I3089" s="30"/>
      <c r="J3089" s="30"/>
      <c r="K3089" s="30"/>
      <c r="L3089" s="30"/>
      <c r="M3089" s="30"/>
      <c r="N3089" s="30"/>
      <c r="O3089" s="30"/>
      <c r="P3089" s="30"/>
      <c r="Q3089" s="30"/>
      <c r="R3089" s="30"/>
      <c r="S3089" s="30"/>
      <c r="T3089" s="30"/>
      <c r="U3089" s="30"/>
      <c r="V3089" s="30"/>
      <c r="W3089" s="30"/>
      <c r="X3089" s="30"/>
      <c r="Y3089" s="30"/>
      <c r="Z3089" s="30"/>
      <c r="AA3089" s="30"/>
      <c r="AB3089" s="30"/>
      <c r="AC3089" s="30"/>
      <c r="AD3089" s="1300" t="s">
        <v>159</v>
      </c>
      <c r="AE3089" s="1301"/>
      <c r="AF3089" s="1305" t="s">
        <v>158</v>
      </c>
      <c r="AG3089" s="1306"/>
      <c r="AH3089" s="1306"/>
      <c r="AI3089" s="1307"/>
      <c r="AJ3089" s="31" t="s">
        <v>159</v>
      </c>
      <c r="AK3089" s="31" t="s">
        <v>159</v>
      </c>
      <c r="AL3089" s="31" t="s">
        <v>159</v>
      </c>
      <c r="AM3089" s="31" t="s">
        <v>159</v>
      </c>
      <c r="AN3089" s="1300" t="s">
        <v>159</v>
      </c>
      <c r="AO3089" s="1301"/>
      <c r="AP3089" s="1302" t="s">
        <v>159</v>
      </c>
      <c r="AQ3089" s="1303"/>
    </row>
    <row r="3090" spans="2:43" s="1044" customFormat="1" hidden="1" outlineLevel="1">
      <c r="B3090" s="1045"/>
      <c r="C3090" s="1053" t="s">
        <v>16</v>
      </c>
      <c r="D3090" s="1030"/>
      <c r="E3090" s="32" t="s">
        <v>1231</v>
      </c>
      <c r="F3090" s="32"/>
      <c r="G3090" s="32"/>
      <c r="H3090" s="32"/>
      <c r="I3090" s="32"/>
      <c r="J3090" s="32"/>
      <c r="K3090" s="32"/>
      <c r="L3090" s="32"/>
      <c r="M3090" s="32"/>
      <c r="N3090" s="32"/>
      <c r="O3090" s="32"/>
      <c r="P3090" s="32"/>
      <c r="Q3090" s="32"/>
      <c r="R3090" s="32"/>
      <c r="S3090" s="32"/>
      <c r="T3090" s="32"/>
      <c r="U3090" s="32"/>
      <c r="V3090" s="32"/>
      <c r="W3090" s="32"/>
      <c r="X3090" s="32"/>
      <c r="Y3090" s="32"/>
      <c r="Z3090" s="32"/>
      <c r="AA3090" s="32"/>
      <c r="AB3090" s="1070"/>
      <c r="AC3090" s="1070"/>
      <c r="AD3090" s="1070"/>
      <c r="AE3090" s="1070"/>
      <c r="AF3090" s="1070"/>
      <c r="AG3090" s="1070"/>
      <c r="AH3090" s="1070"/>
      <c r="AI3090" s="1070"/>
      <c r="AJ3090" s="876"/>
      <c r="AK3090" s="876"/>
      <c r="AL3090" s="876">
        <v>105668</v>
      </c>
      <c r="AM3090" s="876">
        <v>105668</v>
      </c>
      <c r="AN3090" s="876">
        <v>247400</v>
      </c>
      <c r="AO3090" s="876">
        <v>247400</v>
      </c>
      <c r="AP3090" s="876">
        <v>247400</v>
      </c>
      <c r="AQ3090" s="876">
        <v>247400</v>
      </c>
    </row>
    <row r="3091" spans="2:43" s="1044" customFormat="1" hidden="1" outlineLevel="1">
      <c r="B3091" s="1045"/>
      <c r="C3091" s="1053" t="s">
        <v>16</v>
      </c>
      <c r="D3091" s="868" t="s">
        <v>958</v>
      </c>
      <c r="E3091" s="592" t="s">
        <v>1428</v>
      </c>
      <c r="F3091" s="1047"/>
      <c r="G3091" s="1047"/>
      <c r="H3091" s="1047"/>
      <c r="I3091" s="1047"/>
      <c r="J3091" s="1047"/>
      <c r="K3091" s="1047"/>
      <c r="L3091" s="1047"/>
      <c r="M3091" s="1047"/>
      <c r="N3091" s="1047"/>
      <c r="O3091" s="1047"/>
      <c r="P3091" s="1047"/>
      <c r="Q3091" s="1047"/>
      <c r="R3091" s="1047"/>
      <c r="S3091" s="1047"/>
      <c r="T3091" s="1047"/>
      <c r="U3091" s="1047"/>
      <c r="V3091" s="1047"/>
      <c r="W3091" s="1047"/>
      <c r="X3091" s="1047"/>
      <c r="Y3091" s="1047"/>
      <c r="Z3091" s="1047"/>
      <c r="AA3091" s="1047"/>
      <c r="AB3091" s="1070"/>
      <c r="AC3091" s="1070"/>
      <c r="AD3091" s="1070"/>
      <c r="AE3091" s="1070"/>
      <c r="AF3091" s="1070"/>
      <c r="AG3091" s="1070"/>
      <c r="AH3091" s="1070"/>
      <c r="AI3091" s="1070"/>
      <c r="AJ3091" s="1058"/>
      <c r="AK3091" s="1058"/>
      <c r="AL3091" s="1058">
        <v>0</v>
      </c>
      <c r="AM3091" s="1058">
        <v>0</v>
      </c>
      <c r="AN3091" s="1058">
        <v>0</v>
      </c>
      <c r="AO3091" s="1058">
        <v>0</v>
      </c>
      <c r="AP3091" s="1058">
        <v>0</v>
      </c>
      <c r="AQ3091" s="1058">
        <v>0</v>
      </c>
    </row>
    <row r="3092" spans="2:43" s="1044" customFormat="1" hidden="1" outlineLevel="1">
      <c r="B3092" s="1045"/>
      <c r="C3092" s="1053" t="s">
        <v>16</v>
      </c>
      <c r="D3092" s="868" t="s">
        <v>836</v>
      </c>
      <c r="E3092" s="1047" t="s">
        <v>754</v>
      </c>
      <c r="F3092" s="1047"/>
      <c r="G3092" s="1047"/>
      <c r="H3092" s="1047"/>
      <c r="I3092" s="1047"/>
      <c r="J3092" s="1047"/>
      <c r="K3092" s="1047"/>
      <c r="L3092" s="1047"/>
      <c r="M3092" s="1047"/>
      <c r="N3092" s="1047"/>
      <c r="O3092" s="1047"/>
      <c r="P3092" s="1047"/>
      <c r="Q3092" s="1047"/>
      <c r="R3092" s="1047"/>
      <c r="S3092" s="1047"/>
      <c r="T3092" s="1047"/>
      <c r="U3092" s="1047"/>
      <c r="V3092" s="1047"/>
      <c r="W3092" s="1047"/>
      <c r="X3092" s="1047"/>
      <c r="Y3092" s="1047"/>
      <c r="Z3092" s="1047"/>
      <c r="AA3092" s="1047"/>
      <c r="AB3092" s="1070"/>
      <c r="AC3092" s="1070"/>
      <c r="AD3092" s="1070"/>
      <c r="AE3092" s="1070"/>
      <c r="AF3092" s="1070"/>
      <c r="AG3092" s="1070"/>
      <c r="AH3092" s="1070"/>
      <c r="AI3092" s="1070"/>
      <c r="AJ3092" s="1058"/>
      <c r="AK3092" s="1058"/>
      <c r="AL3092" s="1058">
        <v>2363</v>
      </c>
      <c r="AM3092" s="1058">
        <v>2363</v>
      </c>
      <c r="AN3092" s="1058">
        <v>4073</v>
      </c>
      <c r="AO3092" s="1058">
        <v>4073</v>
      </c>
      <c r="AP3092" s="1058">
        <v>4073</v>
      </c>
      <c r="AQ3092" s="1058">
        <v>4073</v>
      </c>
    </row>
    <row r="3093" spans="2:43" s="1044" customFormat="1" hidden="1" outlineLevel="1">
      <c r="B3093" s="1045"/>
      <c r="C3093" s="1053" t="s">
        <v>16</v>
      </c>
      <c r="D3093" s="868" t="s">
        <v>836</v>
      </c>
      <c r="E3093" s="1047" t="s">
        <v>749</v>
      </c>
      <c r="F3093" s="1047"/>
      <c r="G3093" s="1047"/>
      <c r="H3093" s="1047"/>
      <c r="I3093" s="1047"/>
      <c r="J3093" s="1047"/>
      <c r="K3093" s="1047"/>
      <c r="L3093" s="1047"/>
      <c r="M3093" s="1047"/>
      <c r="N3093" s="1047"/>
      <c r="O3093" s="1047"/>
      <c r="P3093" s="1047"/>
      <c r="Q3093" s="1047"/>
      <c r="R3093" s="1047"/>
      <c r="S3093" s="1047"/>
      <c r="T3093" s="1047"/>
      <c r="U3093" s="1047"/>
      <c r="V3093" s="1047"/>
      <c r="W3093" s="1047"/>
      <c r="X3093" s="1047"/>
      <c r="Y3093" s="1047"/>
      <c r="Z3093" s="1047"/>
      <c r="AA3093" s="1047"/>
      <c r="AB3093" s="1070"/>
      <c r="AC3093" s="1070"/>
      <c r="AD3093" s="1070"/>
      <c r="AE3093" s="1070"/>
      <c r="AF3093" s="1070"/>
      <c r="AG3093" s="1070"/>
      <c r="AH3093" s="1070"/>
      <c r="AI3093" s="1070"/>
      <c r="AJ3093" s="1058"/>
      <c r="AK3093" s="1058"/>
      <c r="AL3093" s="1058">
        <v>108709</v>
      </c>
      <c r="AM3093" s="1058">
        <v>108709</v>
      </c>
      <c r="AN3093" s="1058">
        <v>108709</v>
      </c>
      <c r="AO3093" s="1058">
        <v>108709</v>
      </c>
      <c r="AP3093" s="1058">
        <v>108709</v>
      </c>
      <c r="AQ3093" s="1058">
        <v>108709</v>
      </c>
    </row>
    <row r="3094" spans="2:43" s="1044" customFormat="1" hidden="1" outlineLevel="1">
      <c r="B3094" s="1045"/>
      <c r="C3094" s="1053" t="s">
        <v>16</v>
      </c>
      <c r="D3094" s="868" t="s">
        <v>836</v>
      </c>
      <c r="E3094" s="1047" t="s">
        <v>755</v>
      </c>
      <c r="F3094" s="1047"/>
      <c r="G3094" s="1047"/>
      <c r="H3094" s="1047"/>
      <c r="I3094" s="1047"/>
      <c r="J3094" s="1047"/>
      <c r="K3094" s="1047"/>
      <c r="L3094" s="1047"/>
      <c r="M3094" s="1047"/>
      <c r="N3094" s="1047"/>
      <c r="O3094" s="1047"/>
      <c r="P3094" s="1047"/>
      <c r="Q3094" s="1047"/>
      <c r="R3094" s="1047"/>
      <c r="S3094" s="1047"/>
      <c r="T3094" s="1047"/>
      <c r="U3094" s="1047"/>
      <c r="V3094" s="1047"/>
      <c r="W3094" s="1047"/>
      <c r="X3094" s="1047"/>
      <c r="Y3094" s="1047"/>
      <c r="Z3094" s="1047"/>
      <c r="AA3094" s="1047"/>
      <c r="AB3094" s="1070"/>
      <c r="AC3094" s="1070"/>
      <c r="AD3094" s="1070"/>
      <c r="AE3094" s="1070"/>
      <c r="AF3094" s="1070"/>
      <c r="AG3094" s="1070"/>
      <c r="AH3094" s="1070"/>
      <c r="AI3094" s="1070"/>
      <c r="AJ3094" s="1058"/>
      <c r="AK3094" s="1058"/>
      <c r="AL3094" s="1058">
        <v>0</v>
      </c>
      <c r="AM3094" s="1058">
        <v>0</v>
      </c>
      <c r="AN3094" s="1058">
        <v>0</v>
      </c>
      <c r="AO3094" s="1058">
        <v>0</v>
      </c>
      <c r="AP3094" s="1058">
        <v>0</v>
      </c>
      <c r="AQ3094" s="1058">
        <v>0</v>
      </c>
    </row>
    <row r="3095" spans="2:43" s="1044" customFormat="1" hidden="1" outlineLevel="1">
      <c r="B3095" s="1045"/>
      <c r="C3095" s="1053" t="s">
        <v>16</v>
      </c>
      <c r="D3095" s="868" t="s">
        <v>836</v>
      </c>
      <c r="E3095" s="1047" t="s">
        <v>756</v>
      </c>
      <c r="F3095" s="1054"/>
      <c r="G3095" s="1047"/>
      <c r="H3095" s="1047"/>
      <c r="I3095" s="1047"/>
      <c r="J3095" s="1047"/>
      <c r="K3095" s="1047"/>
      <c r="L3095" s="1047"/>
      <c r="M3095" s="1047"/>
      <c r="N3095" s="1047"/>
      <c r="O3095" s="1047"/>
      <c r="P3095" s="1047"/>
      <c r="Q3095" s="1047"/>
      <c r="R3095" s="1047"/>
      <c r="S3095" s="1047"/>
      <c r="T3095" s="1047"/>
      <c r="U3095" s="1047"/>
      <c r="V3095" s="1047"/>
      <c r="W3095" s="1047"/>
      <c r="X3095" s="1047"/>
      <c r="Y3095" s="1047"/>
      <c r="Z3095" s="1047"/>
      <c r="AA3095" s="1047"/>
      <c r="AB3095" s="1070"/>
      <c r="AC3095" s="1070"/>
      <c r="AD3095" s="1070"/>
      <c r="AE3095" s="1070"/>
      <c r="AF3095" s="1070"/>
      <c r="AG3095" s="1070"/>
      <c r="AH3095" s="1070"/>
      <c r="AI3095" s="1070"/>
      <c r="AJ3095" s="1058"/>
      <c r="AK3095" s="1058"/>
      <c r="AL3095" s="1058">
        <v>3533</v>
      </c>
      <c r="AM3095" s="1058">
        <v>3533</v>
      </c>
      <c r="AN3095" s="1058">
        <v>132</v>
      </c>
      <c r="AO3095" s="1058">
        <v>132</v>
      </c>
      <c r="AP3095" s="1058">
        <v>132</v>
      </c>
      <c r="AQ3095" s="1058">
        <v>132</v>
      </c>
    </row>
    <row r="3096" spans="2:43" s="1044" customFormat="1" hidden="1" outlineLevel="1">
      <c r="B3096" s="1045"/>
      <c r="C3096" s="1053" t="s">
        <v>16</v>
      </c>
      <c r="D3096" s="868" t="s">
        <v>836</v>
      </c>
      <c r="E3096" s="1054" t="s">
        <v>1667</v>
      </c>
      <c r="F3096" s="1054"/>
      <c r="G3096" s="1047"/>
      <c r="H3096" s="1047"/>
      <c r="I3096" s="1047"/>
      <c r="J3096" s="1047"/>
      <c r="K3096" s="1047"/>
      <c r="L3096" s="1047"/>
      <c r="M3096" s="1047"/>
      <c r="N3096" s="1047"/>
      <c r="O3096" s="1047"/>
      <c r="P3096" s="1047"/>
      <c r="Q3096" s="1047"/>
      <c r="R3096" s="1047"/>
      <c r="S3096" s="1047"/>
      <c r="T3096" s="1047"/>
      <c r="U3096" s="1047"/>
      <c r="V3096" s="1047"/>
      <c r="W3096" s="1047"/>
      <c r="X3096" s="1047"/>
      <c r="Y3096" s="1047"/>
      <c r="Z3096" s="1047"/>
      <c r="AA3096" s="1047"/>
      <c r="AB3096" s="1070"/>
      <c r="AC3096" s="1070"/>
      <c r="AD3096" s="1070"/>
      <c r="AE3096" s="1070"/>
      <c r="AF3096" s="1070"/>
      <c r="AG3096" s="1070"/>
      <c r="AH3096" s="1070"/>
      <c r="AI3096" s="1070"/>
      <c r="AJ3096" s="1058"/>
      <c r="AK3096" s="1058"/>
      <c r="AL3096" s="1058">
        <v>0</v>
      </c>
      <c r="AM3096" s="1058">
        <v>0</v>
      </c>
      <c r="AN3096" s="1058">
        <v>0</v>
      </c>
      <c r="AO3096" s="1058">
        <v>0</v>
      </c>
      <c r="AP3096" s="1058">
        <v>0</v>
      </c>
      <c r="AQ3096" s="1058">
        <v>0</v>
      </c>
    </row>
    <row r="3097" spans="2:43" s="1044" customFormat="1" hidden="1" outlineLevel="1">
      <c r="B3097" s="1045"/>
      <c r="C3097" s="1053" t="s">
        <v>16</v>
      </c>
      <c r="D3097" s="868" t="s">
        <v>836</v>
      </c>
      <c r="E3097" s="1047" t="s">
        <v>1356</v>
      </c>
      <c r="F3097" s="1047"/>
      <c r="G3097" s="1047"/>
      <c r="H3097" s="1047"/>
      <c r="I3097" s="1047"/>
      <c r="J3097" s="1047"/>
      <c r="K3097" s="1047"/>
      <c r="L3097" s="1047"/>
      <c r="M3097" s="1047"/>
      <c r="N3097" s="1047"/>
      <c r="O3097" s="1047"/>
      <c r="P3097" s="1047"/>
      <c r="Q3097" s="1047"/>
      <c r="R3097" s="1047"/>
      <c r="S3097" s="1047"/>
      <c r="T3097" s="1047"/>
      <c r="U3097" s="1047"/>
      <c r="V3097" s="1047"/>
      <c r="W3097" s="1047"/>
      <c r="X3097" s="1047"/>
      <c r="Y3097" s="1047"/>
      <c r="Z3097" s="1047"/>
      <c r="AA3097" s="1047"/>
      <c r="AB3097" s="1070"/>
      <c r="AC3097" s="1070"/>
      <c r="AD3097" s="1070"/>
      <c r="AE3097" s="1070"/>
      <c r="AF3097" s="1070"/>
      <c r="AG3097" s="1070"/>
      <c r="AH3097" s="1070"/>
      <c r="AI3097" s="1070"/>
      <c r="AJ3097" s="1058"/>
      <c r="AK3097" s="1058"/>
      <c r="AL3097" s="1058">
        <v>0</v>
      </c>
      <c r="AM3097" s="1058">
        <v>0</v>
      </c>
      <c r="AN3097" s="1058">
        <v>0</v>
      </c>
      <c r="AO3097" s="1058">
        <v>0</v>
      </c>
      <c r="AP3097" s="1058">
        <v>0</v>
      </c>
      <c r="AQ3097" s="1058">
        <v>0</v>
      </c>
    </row>
    <row r="3098" spans="2:43" s="1044" customFormat="1" hidden="1" outlineLevel="1">
      <c r="B3098" s="1045"/>
      <c r="C3098" s="1053" t="s">
        <v>16</v>
      </c>
      <c r="D3098" s="868" t="s">
        <v>836</v>
      </c>
      <c r="E3098" s="1047" t="s">
        <v>1357</v>
      </c>
      <c r="F3098" s="1047"/>
      <c r="G3098" s="1047"/>
      <c r="H3098" s="1047"/>
      <c r="I3098" s="1047"/>
      <c r="J3098" s="1047"/>
      <c r="K3098" s="1047"/>
      <c r="L3098" s="1047"/>
      <c r="M3098" s="1047"/>
      <c r="N3098" s="1047"/>
      <c r="O3098" s="1047"/>
      <c r="P3098" s="1047"/>
      <c r="Q3098" s="1047"/>
      <c r="R3098" s="1047"/>
      <c r="S3098" s="1047"/>
      <c r="T3098" s="1047"/>
      <c r="U3098" s="1047"/>
      <c r="V3098" s="1047"/>
      <c r="W3098" s="1047"/>
      <c r="X3098" s="1047"/>
      <c r="Y3098" s="1047"/>
      <c r="Z3098" s="1047"/>
      <c r="AA3098" s="1047"/>
      <c r="AB3098" s="1070"/>
      <c r="AC3098" s="1070"/>
      <c r="AD3098" s="1070"/>
      <c r="AE3098" s="1070"/>
      <c r="AF3098" s="1070"/>
      <c r="AG3098" s="1070"/>
      <c r="AH3098" s="1070"/>
      <c r="AI3098" s="1070"/>
      <c r="AJ3098" s="1058"/>
      <c r="AK3098" s="1058"/>
      <c r="AL3098" s="1058"/>
      <c r="AM3098" s="1058"/>
      <c r="AN3098" s="1058"/>
      <c r="AO3098" s="1058"/>
      <c r="AP3098" s="1058"/>
      <c r="AQ3098" s="1058"/>
    </row>
    <row r="3099" spans="2:43" s="1044" customFormat="1" hidden="1" outlineLevel="1">
      <c r="B3099" s="1045"/>
      <c r="C3099" s="1053" t="s">
        <v>16</v>
      </c>
      <c r="D3099" s="868" t="s">
        <v>836</v>
      </c>
      <c r="E3099" s="1047" t="s">
        <v>1358</v>
      </c>
      <c r="F3099" s="1047"/>
      <c r="G3099" s="1047"/>
      <c r="H3099" s="1047"/>
      <c r="I3099" s="1047"/>
      <c r="J3099" s="1047"/>
      <c r="K3099" s="1047"/>
      <c r="L3099" s="1047"/>
      <c r="M3099" s="1047"/>
      <c r="N3099" s="1047"/>
      <c r="O3099" s="1047"/>
      <c r="P3099" s="1047"/>
      <c r="Q3099" s="1047"/>
      <c r="R3099" s="1047"/>
      <c r="S3099" s="1047"/>
      <c r="T3099" s="1047"/>
      <c r="U3099" s="1047"/>
      <c r="V3099" s="1047"/>
      <c r="W3099" s="1047"/>
      <c r="X3099" s="1047"/>
      <c r="Y3099" s="1047"/>
      <c r="Z3099" s="1047"/>
      <c r="AA3099" s="1047"/>
      <c r="AB3099" s="1070"/>
      <c r="AC3099" s="1070"/>
      <c r="AD3099" s="1070"/>
      <c r="AE3099" s="1070"/>
      <c r="AF3099" s="1070"/>
      <c r="AG3099" s="1070"/>
      <c r="AH3099" s="1070"/>
      <c r="AI3099" s="1070"/>
      <c r="AJ3099" s="1058"/>
      <c r="AK3099" s="1058"/>
      <c r="AL3099" s="1058"/>
      <c r="AM3099" s="1058"/>
      <c r="AN3099" s="1058"/>
      <c r="AO3099" s="1058"/>
      <c r="AP3099" s="1058"/>
      <c r="AQ3099" s="1058"/>
    </row>
    <row r="3100" spans="2:43" s="1044" customFormat="1" hidden="1" outlineLevel="1">
      <c r="B3100" s="1045"/>
      <c r="C3100" s="1053" t="s">
        <v>16</v>
      </c>
      <c r="D3100" s="868" t="s">
        <v>836</v>
      </c>
      <c r="E3100" s="1047" t="s">
        <v>757</v>
      </c>
      <c r="F3100" s="1047"/>
      <c r="G3100" s="1047"/>
      <c r="H3100" s="1047"/>
      <c r="I3100" s="1047"/>
      <c r="J3100" s="1047"/>
      <c r="K3100" s="1047"/>
      <c r="L3100" s="1047"/>
      <c r="M3100" s="1047"/>
      <c r="N3100" s="1047"/>
      <c r="O3100" s="1047"/>
      <c r="P3100" s="1047"/>
      <c r="Q3100" s="1047"/>
      <c r="R3100" s="1047"/>
      <c r="S3100" s="1047"/>
      <c r="T3100" s="1047"/>
      <c r="U3100" s="1047"/>
      <c r="V3100" s="1047"/>
      <c r="W3100" s="1047"/>
      <c r="X3100" s="1047"/>
      <c r="Y3100" s="1047"/>
      <c r="Z3100" s="1047"/>
      <c r="AA3100" s="1047"/>
      <c r="AB3100" s="1070"/>
      <c r="AC3100" s="1070"/>
      <c r="AD3100" s="1070"/>
      <c r="AE3100" s="1070"/>
      <c r="AF3100" s="1070"/>
      <c r="AG3100" s="1070"/>
      <c r="AH3100" s="1070"/>
      <c r="AI3100" s="1070"/>
      <c r="AJ3100" s="1058"/>
      <c r="AK3100" s="1058"/>
      <c r="AL3100" s="1058">
        <v>44</v>
      </c>
      <c r="AM3100" s="1058">
        <v>44</v>
      </c>
      <c r="AN3100" s="1058">
        <v>44</v>
      </c>
      <c r="AO3100" s="1058">
        <v>44</v>
      </c>
      <c r="AP3100" s="1058">
        <v>44</v>
      </c>
      <c r="AQ3100" s="1058">
        <v>44</v>
      </c>
    </row>
    <row r="3101" spans="2:43" s="1044" customFormat="1" hidden="1" outlineLevel="1">
      <c r="B3101" s="1045"/>
      <c r="C3101" s="1053" t="s">
        <v>16</v>
      </c>
      <c r="D3101" s="868" t="s">
        <v>836</v>
      </c>
      <c r="E3101" s="1047" t="s">
        <v>1359</v>
      </c>
      <c r="F3101" s="1047"/>
      <c r="G3101" s="1047"/>
      <c r="H3101" s="1047"/>
      <c r="I3101" s="1047"/>
      <c r="J3101" s="1047"/>
      <c r="K3101" s="1047"/>
      <c r="L3101" s="1047"/>
      <c r="M3101" s="1047"/>
      <c r="N3101" s="1047"/>
      <c r="O3101" s="1047"/>
      <c r="P3101" s="1047"/>
      <c r="Q3101" s="1047"/>
      <c r="R3101" s="1047"/>
      <c r="S3101" s="1047"/>
      <c r="T3101" s="1047"/>
      <c r="U3101" s="1047"/>
      <c r="V3101" s="1047"/>
      <c r="W3101" s="1047"/>
      <c r="X3101" s="1047"/>
      <c r="Y3101" s="1047"/>
      <c r="Z3101" s="1047"/>
      <c r="AA3101" s="1047"/>
      <c r="AB3101" s="1070"/>
      <c r="AC3101" s="1070"/>
      <c r="AD3101" s="1070"/>
      <c r="AE3101" s="1070"/>
      <c r="AF3101" s="1070"/>
      <c r="AG3101" s="1070"/>
      <c r="AH3101" s="1070"/>
      <c r="AI3101" s="1070"/>
      <c r="AJ3101" s="1058"/>
      <c r="AK3101" s="1058"/>
      <c r="AL3101" s="1058">
        <v>0</v>
      </c>
      <c r="AM3101" s="1058">
        <v>0</v>
      </c>
      <c r="AN3101" s="1058">
        <v>0</v>
      </c>
      <c r="AO3101" s="1058">
        <v>0</v>
      </c>
      <c r="AP3101" s="1058">
        <v>0</v>
      </c>
      <c r="AQ3101" s="1058">
        <v>0</v>
      </c>
    </row>
    <row r="3102" spans="2:43" s="1044" customFormat="1" hidden="1" outlineLevel="1">
      <c r="B3102" s="1045"/>
      <c r="C3102" s="1053" t="s">
        <v>16</v>
      </c>
      <c r="D3102" s="868" t="s">
        <v>958</v>
      </c>
      <c r="E3102" s="592" t="s">
        <v>1429</v>
      </c>
      <c r="F3102" s="1047"/>
      <c r="G3102" s="1047"/>
      <c r="H3102" s="1047"/>
      <c r="I3102" s="1047"/>
      <c r="J3102" s="1047"/>
      <c r="K3102" s="1047"/>
      <c r="L3102" s="1047"/>
      <c r="M3102" s="1047"/>
      <c r="N3102" s="1047"/>
      <c r="O3102" s="1047"/>
      <c r="P3102" s="1047"/>
      <c r="Q3102" s="1047"/>
      <c r="R3102" s="1047"/>
      <c r="S3102" s="1047"/>
      <c r="T3102" s="1047"/>
      <c r="U3102" s="1047"/>
      <c r="V3102" s="1047"/>
      <c r="W3102" s="1047"/>
      <c r="X3102" s="1047"/>
      <c r="Y3102" s="1047"/>
      <c r="Z3102" s="1047"/>
      <c r="AA3102" s="1047"/>
      <c r="AB3102" s="1070"/>
      <c r="AC3102" s="1070"/>
      <c r="AD3102" s="1070"/>
      <c r="AE3102" s="1070"/>
      <c r="AF3102" s="1070"/>
      <c r="AG3102" s="1070"/>
      <c r="AH3102" s="1070"/>
      <c r="AI3102" s="1070"/>
      <c r="AJ3102" s="1058"/>
      <c r="AK3102" s="1058"/>
      <c r="AL3102" s="1058">
        <v>0</v>
      </c>
      <c r="AM3102" s="1058">
        <v>0</v>
      </c>
      <c r="AN3102" s="1058">
        <v>0</v>
      </c>
      <c r="AO3102" s="1058">
        <v>0</v>
      </c>
      <c r="AP3102" s="1058">
        <v>0</v>
      </c>
      <c r="AQ3102" s="1058">
        <v>0</v>
      </c>
    </row>
    <row r="3103" spans="2:43" s="1044" customFormat="1" hidden="1" outlineLevel="1">
      <c r="B3103" s="1045"/>
      <c r="C3103" s="1053" t="s">
        <v>16</v>
      </c>
      <c r="D3103" s="868" t="s">
        <v>836</v>
      </c>
      <c r="E3103" s="1047" t="s">
        <v>751</v>
      </c>
      <c r="F3103" s="1047"/>
      <c r="G3103" s="1047"/>
      <c r="H3103" s="1047"/>
      <c r="I3103" s="1047"/>
      <c r="J3103" s="1047"/>
      <c r="K3103" s="1047"/>
      <c r="L3103" s="1047"/>
      <c r="M3103" s="1047"/>
      <c r="N3103" s="1047"/>
      <c r="O3103" s="1047"/>
      <c r="P3103" s="1047"/>
      <c r="Q3103" s="1047"/>
      <c r="R3103" s="1047"/>
      <c r="S3103" s="1047"/>
      <c r="T3103" s="1047"/>
      <c r="U3103" s="1047"/>
      <c r="V3103" s="1047"/>
      <c r="W3103" s="1047"/>
      <c r="X3103" s="1047"/>
      <c r="Y3103" s="1047"/>
      <c r="Z3103" s="1047"/>
      <c r="AA3103" s="1047"/>
      <c r="AB3103" s="1070"/>
      <c r="AC3103" s="1070"/>
      <c r="AD3103" s="1070"/>
      <c r="AE3103" s="1070"/>
      <c r="AF3103" s="1070"/>
      <c r="AG3103" s="1070"/>
      <c r="AH3103" s="1070"/>
      <c r="AI3103" s="1070"/>
      <c r="AJ3103" s="1058"/>
      <c r="AK3103" s="1058"/>
      <c r="AL3103" s="1058">
        <v>165000</v>
      </c>
      <c r="AM3103" s="1058">
        <v>165000</v>
      </c>
      <c r="AN3103" s="1058">
        <v>165000</v>
      </c>
      <c r="AO3103" s="1058">
        <v>165000</v>
      </c>
      <c r="AP3103" s="1058">
        <v>165000</v>
      </c>
      <c r="AQ3103" s="1058">
        <v>165000</v>
      </c>
    </row>
    <row r="3104" spans="2:43" s="1044" customFormat="1" hidden="1" outlineLevel="1">
      <c r="B3104" s="1045"/>
      <c r="C3104" s="1053" t="s">
        <v>16</v>
      </c>
      <c r="D3104" s="868" t="s">
        <v>836</v>
      </c>
      <c r="E3104" s="1047" t="s">
        <v>876</v>
      </c>
      <c r="F3104" s="1047"/>
      <c r="G3104" s="1047"/>
      <c r="H3104" s="1047"/>
      <c r="I3104" s="1047"/>
      <c r="J3104" s="1047"/>
      <c r="K3104" s="1047"/>
      <c r="L3104" s="1047"/>
      <c r="M3104" s="1047"/>
      <c r="N3104" s="1047"/>
      <c r="O3104" s="1047"/>
      <c r="P3104" s="1047"/>
      <c r="Q3104" s="1047"/>
      <c r="R3104" s="1047"/>
      <c r="S3104" s="1047"/>
      <c r="T3104" s="1047"/>
      <c r="U3104" s="1047"/>
      <c r="V3104" s="1047"/>
      <c r="W3104" s="1047"/>
      <c r="X3104" s="1047"/>
      <c r="Y3104" s="1047"/>
      <c r="Z3104" s="1047"/>
      <c r="AA3104" s="1047"/>
      <c r="AB3104" s="1070"/>
      <c r="AC3104" s="1070"/>
      <c r="AD3104" s="1070"/>
      <c r="AE3104" s="1070"/>
      <c r="AF3104" s="1070"/>
      <c r="AG3104" s="1070"/>
      <c r="AH3104" s="1070"/>
      <c r="AI3104" s="1070"/>
      <c r="AJ3104" s="1058"/>
      <c r="AK3104" s="1058"/>
      <c r="AL3104" s="1058">
        <v>0</v>
      </c>
      <c r="AM3104" s="1058">
        <v>0</v>
      </c>
      <c r="AN3104" s="1058">
        <v>0</v>
      </c>
      <c r="AO3104" s="1058">
        <v>0</v>
      </c>
      <c r="AP3104" s="1058">
        <v>0</v>
      </c>
      <c r="AQ3104" s="1058">
        <v>0</v>
      </c>
    </row>
    <row r="3105" spans="2:43" s="1044" customFormat="1" hidden="1" outlineLevel="1">
      <c r="B3105" s="1045"/>
      <c r="C3105" s="1053" t="s">
        <v>16</v>
      </c>
      <c r="D3105" s="868" t="s">
        <v>836</v>
      </c>
      <c r="E3105" s="1054" t="s">
        <v>1657</v>
      </c>
      <c r="F3105" s="1047"/>
      <c r="G3105" s="1047"/>
      <c r="H3105" s="1047"/>
      <c r="I3105" s="1047"/>
      <c r="J3105" s="1047"/>
      <c r="K3105" s="1047"/>
      <c r="L3105" s="1047"/>
      <c r="M3105" s="1047"/>
      <c r="N3105" s="1047"/>
      <c r="O3105" s="1047"/>
      <c r="P3105" s="1047"/>
      <c r="Q3105" s="1047"/>
      <c r="R3105" s="1047"/>
      <c r="S3105" s="1047"/>
      <c r="T3105" s="1047"/>
      <c r="U3105" s="1047"/>
      <c r="V3105" s="1047"/>
      <c r="W3105" s="1047"/>
      <c r="X3105" s="1047"/>
      <c r="Y3105" s="1047"/>
      <c r="Z3105" s="1047"/>
      <c r="AA3105" s="1047"/>
      <c r="AB3105" s="1070"/>
      <c r="AC3105" s="1070"/>
      <c r="AD3105" s="1070"/>
      <c r="AE3105" s="1070"/>
      <c r="AF3105" s="1070"/>
      <c r="AG3105" s="1070"/>
      <c r="AH3105" s="1070"/>
      <c r="AI3105" s="1070"/>
      <c r="AJ3105" s="1058"/>
      <c r="AK3105" s="1058"/>
      <c r="AL3105" s="1058">
        <v>0</v>
      </c>
      <c r="AM3105" s="1058">
        <v>0</v>
      </c>
      <c r="AN3105" s="1058">
        <v>0</v>
      </c>
      <c r="AO3105" s="1058">
        <v>0</v>
      </c>
      <c r="AP3105" s="1058">
        <v>0</v>
      </c>
      <c r="AQ3105" s="1058">
        <v>0</v>
      </c>
    </row>
    <row r="3106" spans="2:43" s="1044" customFormat="1" hidden="1" outlineLevel="1">
      <c r="B3106" s="1045"/>
      <c r="C3106" s="1053" t="s">
        <v>16</v>
      </c>
      <c r="D3106" s="868" t="s">
        <v>836</v>
      </c>
      <c r="E3106" s="1047" t="s">
        <v>1209</v>
      </c>
      <c r="F3106" s="1047"/>
      <c r="G3106" s="1047"/>
      <c r="H3106" s="1047"/>
      <c r="I3106" s="1047"/>
      <c r="J3106" s="1047"/>
      <c r="K3106" s="1047"/>
      <c r="L3106" s="1047"/>
      <c r="M3106" s="1047"/>
      <c r="N3106" s="1047"/>
      <c r="O3106" s="1047"/>
      <c r="P3106" s="1047"/>
      <c r="Q3106" s="1047"/>
      <c r="R3106" s="1047"/>
      <c r="S3106" s="1047"/>
      <c r="T3106" s="1047"/>
      <c r="U3106" s="1047"/>
      <c r="V3106" s="1047"/>
      <c r="W3106" s="1047"/>
      <c r="X3106" s="1047"/>
      <c r="Y3106" s="1047"/>
      <c r="Z3106" s="1047"/>
      <c r="AA3106" s="1047"/>
      <c r="AB3106" s="1070"/>
      <c r="AC3106" s="1070"/>
      <c r="AD3106" s="1070"/>
      <c r="AE3106" s="1070"/>
      <c r="AF3106" s="1070"/>
      <c r="AG3106" s="1070"/>
      <c r="AH3106" s="1070"/>
      <c r="AI3106" s="1070"/>
      <c r="AJ3106" s="1058"/>
      <c r="AK3106" s="1058"/>
      <c r="AL3106" s="1058">
        <v>0</v>
      </c>
      <c r="AM3106" s="1058">
        <v>0</v>
      </c>
      <c r="AN3106" s="1058">
        <v>0</v>
      </c>
      <c r="AO3106" s="1058">
        <v>0</v>
      </c>
      <c r="AP3106" s="1058">
        <v>0</v>
      </c>
      <c r="AQ3106" s="1058">
        <v>0</v>
      </c>
    </row>
    <row r="3107" spans="2:43" s="1044" customFormat="1" hidden="1" outlineLevel="1">
      <c r="B3107" s="1045"/>
      <c r="C3107" s="1053" t="s">
        <v>16</v>
      </c>
      <c r="D3107" s="868" t="s">
        <v>836</v>
      </c>
      <c r="E3107" s="1054" t="s">
        <v>1210</v>
      </c>
      <c r="F3107" s="1047"/>
      <c r="G3107" s="1047"/>
      <c r="H3107" s="1047"/>
      <c r="I3107" s="1047"/>
      <c r="J3107" s="1047"/>
      <c r="K3107" s="1047"/>
      <c r="L3107" s="1047"/>
      <c r="M3107" s="1047"/>
      <c r="N3107" s="1047"/>
      <c r="O3107" s="1047"/>
      <c r="P3107" s="1047"/>
      <c r="Q3107" s="1047"/>
      <c r="R3107" s="1047"/>
      <c r="S3107" s="1047"/>
      <c r="T3107" s="1047"/>
      <c r="U3107" s="1047"/>
      <c r="V3107" s="1047"/>
      <c r="W3107" s="1047"/>
      <c r="X3107" s="1047"/>
      <c r="Y3107" s="1047"/>
      <c r="Z3107" s="1047"/>
      <c r="AA3107" s="1047"/>
      <c r="AB3107" s="1070"/>
      <c r="AC3107" s="1070"/>
      <c r="AD3107" s="1070"/>
      <c r="AE3107" s="1070"/>
      <c r="AF3107" s="1070"/>
      <c r="AG3107" s="1070"/>
      <c r="AH3107" s="1070"/>
      <c r="AI3107" s="1070"/>
      <c r="AJ3107" s="1058"/>
      <c r="AK3107" s="1058"/>
      <c r="AL3107" s="1058">
        <v>0</v>
      </c>
      <c r="AM3107" s="1058">
        <v>0</v>
      </c>
      <c r="AN3107" s="1058">
        <v>0</v>
      </c>
      <c r="AO3107" s="1058">
        <v>0</v>
      </c>
      <c r="AP3107" s="1058">
        <v>0</v>
      </c>
      <c r="AQ3107" s="1058">
        <v>0</v>
      </c>
    </row>
    <row r="3108" spans="2:43" s="1044" customFormat="1" hidden="1" outlineLevel="1">
      <c r="B3108" s="1045"/>
      <c r="C3108" s="1053" t="s">
        <v>16</v>
      </c>
      <c r="D3108" s="868" t="s">
        <v>836</v>
      </c>
      <c r="E3108" s="1054" t="s">
        <v>1211</v>
      </c>
      <c r="F3108" s="1047"/>
      <c r="G3108" s="1047"/>
      <c r="H3108" s="1047"/>
      <c r="I3108" s="1047"/>
      <c r="J3108" s="1047"/>
      <c r="K3108" s="1047"/>
      <c r="L3108" s="1047"/>
      <c r="M3108" s="1047"/>
      <c r="N3108" s="1047"/>
      <c r="O3108" s="1047"/>
      <c r="P3108" s="1047"/>
      <c r="Q3108" s="1047"/>
      <c r="R3108" s="1047"/>
      <c r="S3108" s="1047"/>
      <c r="T3108" s="1047"/>
      <c r="U3108" s="1047"/>
      <c r="V3108" s="1047"/>
      <c r="W3108" s="1047"/>
      <c r="X3108" s="1047"/>
      <c r="Y3108" s="1047"/>
      <c r="Z3108" s="1047"/>
      <c r="AA3108" s="1047"/>
      <c r="AB3108" s="1070"/>
      <c r="AC3108" s="1070"/>
      <c r="AD3108" s="1070"/>
      <c r="AE3108" s="1070"/>
      <c r="AF3108" s="1070"/>
      <c r="AG3108" s="1070"/>
      <c r="AH3108" s="1070"/>
      <c r="AI3108" s="1070"/>
      <c r="AJ3108" s="1058"/>
      <c r="AK3108" s="1058"/>
      <c r="AL3108" s="1058">
        <v>0</v>
      </c>
      <c r="AM3108" s="1058">
        <v>0</v>
      </c>
      <c r="AN3108" s="1058">
        <v>0</v>
      </c>
      <c r="AO3108" s="1058">
        <v>0</v>
      </c>
      <c r="AP3108" s="1058">
        <v>0</v>
      </c>
      <c r="AQ3108" s="1058">
        <v>0</v>
      </c>
    </row>
    <row r="3109" spans="2:43" s="1044" customFormat="1" hidden="1" outlineLevel="1">
      <c r="B3109" s="1045"/>
      <c r="C3109" s="1053" t="s">
        <v>16</v>
      </c>
      <c r="D3109" s="868" t="s">
        <v>836</v>
      </c>
      <c r="E3109" s="1054" t="s">
        <v>1212</v>
      </c>
      <c r="F3109" s="1047"/>
      <c r="G3109" s="1047"/>
      <c r="H3109" s="1047"/>
      <c r="I3109" s="1047"/>
      <c r="J3109" s="1047"/>
      <c r="K3109" s="1047"/>
      <c r="L3109" s="1047"/>
      <c r="M3109" s="1047"/>
      <c r="N3109" s="1047"/>
      <c r="O3109" s="1047"/>
      <c r="P3109" s="1047"/>
      <c r="Q3109" s="1047"/>
      <c r="R3109" s="1047"/>
      <c r="S3109" s="1047"/>
      <c r="T3109" s="1047"/>
      <c r="U3109" s="1047"/>
      <c r="V3109" s="1047"/>
      <c r="W3109" s="1047"/>
      <c r="X3109" s="1047"/>
      <c r="Y3109" s="1047"/>
      <c r="Z3109" s="1047"/>
      <c r="AA3109" s="1047"/>
      <c r="AB3109" s="1070"/>
      <c r="AC3109" s="1070"/>
      <c r="AD3109" s="1070"/>
      <c r="AE3109" s="1070"/>
      <c r="AF3109" s="1070"/>
      <c r="AG3109" s="1070"/>
      <c r="AH3109" s="1070"/>
      <c r="AI3109" s="1070"/>
      <c r="AJ3109" s="1058"/>
      <c r="AK3109" s="1058"/>
      <c r="AL3109" s="1058">
        <v>0</v>
      </c>
      <c r="AM3109" s="1058">
        <v>0</v>
      </c>
      <c r="AN3109" s="1058">
        <v>0</v>
      </c>
      <c r="AO3109" s="1058">
        <v>0</v>
      </c>
      <c r="AP3109" s="1058">
        <v>0</v>
      </c>
      <c r="AQ3109" s="1058">
        <v>0</v>
      </c>
    </row>
    <row r="3110" spans="2:43" s="1044" customFormat="1" hidden="1" outlineLevel="1">
      <c r="B3110" s="1045"/>
      <c r="C3110" s="1053" t="s">
        <v>16</v>
      </c>
      <c r="D3110" s="868" t="s">
        <v>836</v>
      </c>
      <c r="E3110" s="1054" t="s">
        <v>1213</v>
      </c>
      <c r="F3110" s="1047"/>
      <c r="G3110" s="1047"/>
      <c r="H3110" s="1047"/>
      <c r="I3110" s="1047"/>
      <c r="J3110" s="1047"/>
      <c r="K3110" s="1047"/>
      <c r="L3110" s="1047"/>
      <c r="M3110" s="1047"/>
      <c r="N3110" s="1047"/>
      <c r="O3110" s="1047"/>
      <c r="P3110" s="1047"/>
      <c r="Q3110" s="1047"/>
      <c r="R3110" s="1047"/>
      <c r="S3110" s="1047"/>
      <c r="T3110" s="1047"/>
      <c r="U3110" s="1047"/>
      <c r="V3110" s="1047"/>
      <c r="W3110" s="1047"/>
      <c r="X3110" s="1047"/>
      <c r="Y3110" s="1047"/>
      <c r="Z3110" s="1047"/>
      <c r="AA3110" s="1047"/>
      <c r="AB3110" s="1070"/>
      <c r="AC3110" s="1070"/>
      <c r="AD3110" s="1070"/>
      <c r="AE3110" s="1070"/>
      <c r="AF3110" s="1070"/>
      <c r="AG3110" s="1070"/>
      <c r="AH3110" s="1070"/>
      <c r="AI3110" s="1070"/>
      <c r="AJ3110" s="1058"/>
      <c r="AK3110" s="1058"/>
      <c r="AL3110" s="1058">
        <v>0</v>
      </c>
      <c r="AM3110" s="1058">
        <v>0</v>
      </c>
      <c r="AN3110" s="1058">
        <v>0</v>
      </c>
      <c r="AO3110" s="1058">
        <v>0</v>
      </c>
      <c r="AP3110" s="1058">
        <v>0</v>
      </c>
      <c r="AQ3110" s="1058">
        <v>0</v>
      </c>
    </row>
    <row r="3111" spans="2:43" s="1044" customFormat="1" hidden="1" outlineLevel="1">
      <c r="B3111" s="1045"/>
      <c r="C3111" s="1053" t="s">
        <v>16</v>
      </c>
      <c r="D3111" s="868" t="s">
        <v>836</v>
      </c>
      <c r="E3111" s="1047" t="s">
        <v>861</v>
      </c>
      <c r="F3111" s="1047"/>
      <c r="G3111" s="1047"/>
      <c r="H3111" s="1047"/>
      <c r="I3111" s="1047"/>
      <c r="J3111" s="1047"/>
      <c r="K3111" s="1047"/>
      <c r="L3111" s="1047"/>
      <c r="M3111" s="1047"/>
      <c r="N3111" s="1047"/>
      <c r="O3111" s="1047"/>
      <c r="P3111" s="1047"/>
      <c r="Q3111" s="1047"/>
      <c r="R3111" s="1047"/>
      <c r="S3111" s="1047"/>
      <c r="T3111" s="1047"/>
      <c r="U3111" s="1047"/>
      <c r="V3111" s="1047"/>
      <c r="W3111" s="1047"/>
      <c r="X3111" s="1047"/>
      <c r="Y3111" s="1047"/>
      <c r="Z3111" s="1047"/>
      <c r="AA3111" s="1047"/>
      <c r="AB3111" s="1070"/>
      <c r="AC3111" s="1070"/>
      <c r="AD3111" s="1070"/>
      <c r="AE3111" s="1070"/>
      <c r="AF3111" s="1070"/>
      <c r="AG3111" s="1070"/>
      <c r="AH3111" s="1070"/>
      <c r="AI3111" s="1070"/>
      <c r="AJ3111" s="1058"/>
      <c r="AK3111" s="1058"/>
      <c r="AL3111" s="1058">
        <v>0</v>
      </c>
      <c r="AM3111" s="1058">
        <v>0</v>
      </c>
      <c r="AN3111" s="1058">
        <v>0</v>
      </c>
      <c r="AO3111" s="1058">
        <v>0</v>
      </c>
      <c r="AP3111" s="1058">
        <v>0</v>
      </c>
      <c r="AQ3111" s="1058">
        <v>0</v>
      </c>
    </row>
    <row r="3112" spans="2:43" s="1044" customFormat="1" hidden="1" outlineLevel="1">
      <c r="B3112" s="1045"/>
      <c r="C3112" s="1053" t="s">
        <v>16</v>
      </c>
      <c r="D3112" s="868" t="s">
        <v>836</v>
      </c>
      <c r="E3112" s="1047" t="s">
        <v>871</v>
      </c>
      <c r="F3112" s="1047"/>
      <c r="G3112" s="1047"/>
      <c r="H3112" s="1047"/>
      <c r="I3112" s="1047"/>
      <c r="J3112" s="1047"/>
      <c r="K3112" s="1047"/>
      <c r="L3112" s="1047"/>
      <c r="M3112" s="1047"/>
      <c r="N3112" s="1047"/>
      <c r="O3112" s="1047"/>
      <c r="P3112" s="1047"/>
      <c r="Q3112" s="1047"/>
      <c r="R3112" s="1047"/>
      <c r="S3112" s="1047"/>
      <c r="T3112" s="1047"/>
      <c r="U3112" s="1047"/>
      <c r="V3112" s="1047"/>
      <c r="W3112" s="1047"/>
      <c r="X3112" s="1047"/>
      <c r="Y3112" s="1047"/>
      <c r="Z3112" s="1047"/>
      <c r="AA3112" s="1047"/>
      <c r="AB3112" s="1070"/>
      <c r="AC3112" s="1070"/>
      <c r="AD3112" s="1070"/>
      <c r="AE3112" s="1070"/>
      <c r="AF3112" s="1070"/>
      <c r="AG3112" s="1070"/>
      <c r="AH3112" s="1070"/>
      <c r="AI3112" s="1070"/>
      <c r="AJ3112" s="1058"/>
      <c r="AK3112" s="1058"/>
      <c r="AL3112" s="1058">
        <v>0</v>
      </c>
      <c r="AM3112" s="1058">
        <v>0</v>
      </c>
      <c r="AN3112" s="1058">
        <v>0</v>
      </c>
      <c r="AO3112" s="1058">
        <v>0</v>
      </c>
      <c r="AP3112" s="1058">
        <v>0</v>
      </c>
      <c r="AQ3112" s="1058">
        <v>0</v>
      </c>
    </row>
    <row r="3113" spans="2:43" s="1044" customFormat="1" hidden="1" outlineLevel="1">
      <c r="B3113" s="1045"/>
      <c r="C3113" s="1053" t="s">
        <v>16</v>
      </c>
      <c r="D3113" s="868" t="s">
        <v>836</v>
      </c>
      <c r="E3113" s="1054" t="s">
        <v>1361</v>
      </c>
      <c r="F3113" s="1047"/>
      <c r="G3113" s="1047"/>
      <c r="H3113" s="1047"/>
      <c r="I3113" s="1047"/>
      <c r="J3113" s="1047"/>
      <c r="K3113" s="1047"/>
      <c r="L3113" s="1047"/>
      <c r="M3113" s="1047"/>
      <c r="N3113" s="1047"/>
      <c r="O3113" s="1047"/>
      <c r="P3113" s="1047"/>
      <c r="Q3113" s="1047"/>
      <c r="R3113" s="1047"/>
      <c r="S3113" s="1047"/>
      <c r="T3113" s="1047"/>
      <c r="U3113" s="1047"/>
      <c r="V3113" s="1047"/>
      <c r="W3113" s="1047"/>
      <c r="X3113" s="1047"/>
      <c r="Y3113" s="1047"/>
      <c r="Z3113" s="1047"/>
      <c r="AA3113" s="1047"/>
      <c r="AB3113" s="1070"/>
      <c r="AC3113" s="1070"/>
      <c r="AD3113" s="1070"/>
      <c r="AE3113" s="1070"/>
      <c r="AF3113" s="1070"/>
      <c r="AG3113" s="1070"/>
      <c r="AH3113" s="1070"/>
      <c r="AI3113" s="1070"/>
      <c r="AJ3113" s="1058"/>
      <c r="AK3113" s="1058"/>
      <c r="AL3113" s="1058">
        <v>0</v>
      </c>
      <c r="AM3113" s="1058">
        <v>0</v>
      </c>
      <c r="AN3113" s="1058">
        <v>0</v>
      </c>
      <c r="AO3113" s="1058">
        <v>0</v>
      </c>
      <c r="AP3113" s="1058">
        <v>0</v>
      </c>
      <c r="AQ3113" s="1058">
        <v>0</v>
      </c>
    </row>
    <row r="3114" spans="2:43" s="1044" customFormat="1" hidden="1" outlineLevel="1">
      <c r="B3114" s="1045"/>
      <c r="C3114" s="1053" t="s">
        <v>16</v>
      </c>
      <c r="D3114" s="868" t="s">
        <v>836</v>
      </c>
      <c r="E3114" s="1047" t="s">
        <v>1425</v>
      </c>
      <c r="F3114" s="1047"/>
      <c r="G3114" s="1047"/>
      <c r="H3114" s="1047"/>
      <c r="I3114" s="1047"/>
      <c r="J3114" s="1047"/>
      <c r="K3114" s="1047"/>
      <c r="L3114" s="1047"/>
      <c r="M3114" s="1047"/>
      <c r="N3114" s="1047"/>
      <c r="O3114" s="1047"/>
      <c r="P3114" s="1047"/>
      <c r="Q3114" s="1047"/>
      <c r="R3114" s="1047"/>
      <c r="S3114" s="1047"/>
      <c r="T3114" s="1047"/>
      <c r="U3114" s="1047"/>
      <c r="V3114" s="1047"/>
      <c r="W3114" s="1047"/>
      <c r="X3114" s="1047"/>
      <c r="Y3114" s="1047"/>
      <c r="Z3114" s="1047"/>
      <c r="AA3114" s="1047"/>
      <c r="AB3114" s="1070"/>
      <c r="AC3114" s="1070"/>
      <c r="AD3114" s="1070"/>
      <c r="AE3114" s="1070"/>
      <c r="AF3114" s="1070"/>
      <c r="AG3114" s="1070"/>
      <c r="AH3114" s="1070"/>
      <c r="AI3114" s="1070"/>
      <c r="AJ3114" s="1058"/>
      <c r="AK3114" s="1058"/>
      <c r="AL3114" s="1058">
        <v>0</v>
      </c>
      <c r="AM3114" s="1058">
        <v>0</v>
      </c>
      <c r="AN3114" s="1058">
        <v>0</v>
      </c>
      <c r="AO3114" s="1058">
        <v>0</v>
      </c>
      <c r="AP3114" s="1058">
        <v>0</v>
      </c>
      <c r="AQ3114" s="1058">
        <v>0</v>
      </c>
    </row>
    <row r="3115" spans="2:43" s="1044" customFormat="1" hidden="1" outlineLevel="1">
      <c r="B3115" s="1045"/>
      <c r="C3115" s="1053" t="s">
        <v>16</v>
      </c>
      <c r="D3115" s="868" t="s">
        <v>958</v>
      </c>
      <c r="E3115" s="592" t="s">
        <v>1430</v>
      </c>
      <c r="F3115" s="1047"/>
      <c r="G3115" s="1047"/>
      <c r="H3115" s="1047"/>
      <c r="I3115" s="1047"/>
      <c r="J3115" s="1047"/>
      <c r="K3115" s="1047"/>
      <c r="L3115" s="1047"/>
      <c r="M3115" s="1047"/>
      <c r="N3115" s="1047"/>
      <c r="O3115" s="1047"/>
      <c r="P3115" s="1047"/>
      <c r="Q3115" s="1047"/>
      <c r="R3115" s="1047"/>
      <c r="S3115" s="1047"/>
      <c r="T3115" s="1047"/>
      <c r="U3115" s="1047"/>
      <c r="V3115" s="1047"/>
      <c r="W3115" s="1047"/>
      <c r="X3115" s="1047"/>
      <c r="Y3115" s="1047"/>
      <c r="Z3115" s="1047"/>
      <c r="AA3115" s="1047"/>
      <c r="AB3115" s="1070"/>
      <c r="AC3115" s="1070"/>
      <c r="AD3115" s="1070"/>
      <c r="AE3115" s="1070"/>
      <c r="AF3115" s="1070"/>
      <c r="AG3115" s="1070"/>
      <c r="AH3115" s="1070"/>
      <c r="AI3115" s="1070"/>
      <c r="AJ3115" s="1058"/>
      <c r="AK3115" s="1058"/>
      <c r="AL3115" s="1058">
        <v>11238</v>
      </c>
      <c r="AM3115" s="1058">
        <v>11238</v>
      </c>
      <c r="AN3115" s="1058">
        <v>11238</v>
      </c>
      <c r="AO3115" s="1058">
        <v>11238</v>
      </c>
      <c r="AP3115" s="1058">
        <v>11238</v>
      </c>
      <c r="AQ3115" s="1058">
        <v>11238</v>
      </c>
    </row>
    <row r="3116" spans="2:43" s="1044" customFormat="1" hidden="1" outlineLevel="1">
      <c r="B3116" s="1045"/>
      <c r="C3116" s="1053" t="s">
        <v>16</v>
      </c>
      <c r="D3116" s="868" t="s">
        <v>836</v>
      </c>
      <c r="E3116" s="1047" t="s">
        <v>726</v>
      </c>
      <c r="F3116" s="1047"/>
      <c r="G3116" s="1047"/>
      <c r="H3116" s="1047"/>
      <c r="I3116" s="1047"/>
      <c r="J3116" s="1047"/>
      <c r="K3116" s="1047"/>
      <c r="L3116" s="1047"/>
      <c r="M3116" s="1047"/>
      <c r="N3116" s="1047"/>
      <c r="O3116" s="1047"/>
      <c r="P3116" s="1047"/>
      <c r="Q3116" s="1047"/>
      <c r="R3116" s="1047"/>
      <c r="S3116" s="1047"/>
      <c r="T3116" s="1047"/>
      <c r="U3116" s="1047"/>
      <c r="V3116" s="1047"/>
      <c r="W3116" s="1047"/>
      <c r="X3116" s="1047"/>
      <c r="Y3116" s="1047"/>
      <c r="Z3116" s="1047"/>
      <c r="AA3116" s="1047"/>
      <c r="AB3116" s="1070"/>
      <c r="AC3116" s="1070"/>
      <c r="AD3116" s="1070"/>
      <c r="AE3116" s="1070"/>
      <c r="AF3116" s="1070"/>
      <c r="AG3116" s="1070"/>
      <c r="AH3116" s="1070"/>
      <c r="AI3116" s="1070"/>
      <c r="AJ3116" s="1058"/>
      <c r="AK3116" s="1058"/>
      <c r="AL3116" s="1058">
        <v>3349</v>
      </c>
      <c r="AM3116" s="1058">
        <v>3349</v>
      </c>
      <c r="AN3116" s="1058">
        <v>3349</v>
      </c>
      <c r="AO3116" s="1058">
        <v>3349</v>
      </c>
      <c r="AP3116" s="1058">
        <v>3349</v>
      </c>
      <c r="AQ3116" s="1058">
        <v>3349</v>
      </c>
    </row>
    <row r="3117" spans="2:43" s="1044" customFormat="1" hidden="1" outlineLevel="1">
      <c r="B3117" s="1045"/>
      <c r="C3117" s="1053" t="s">
        <v>16</v>
      </c>
      <c r="D3117" s="868" t="s">
        <v>836</v>
      </c>
      <c r="E3117" s="1047" t="s">
        <v>1363</v>
      </c>
      <c r="F3117" s="1047"/>
      <c r="G3117" s="1047"/>
      <c r="H3117" s="1047"/>
      <c r="I3117" s="1047"/>
      <c r="J3117" s="1047"/>
      <c r="K3117" s="1047"/>
      <c r="L3117" s="1047"/>
      <c r="M3117" s="1047"/>
      <c r="N3117" s="1047"/>
      <c r="O3117" s="1047"/>
      <c r="P3117" s="1047"/>
      <c r="Q3117" s="1047"/>
      <c r="R3117" s="1047"/>
      <c r="S3117" s="1047"/>
      <c r="T3117" s="1047"/>
      <c r="U3117" s="1047"/>
      <c r="V3117" s="1047"/>
      <c r="W3117" s="1047"/>
      <c r="X3117" s="1047"/>
      <c r="Y3117" s="1047"/>
      <c r="Z3117" s="1047"/>
      <c r="AA3117" s="1047"/>
      <c r="AB3117" s="1070"/>
      <c r="AC3117" s="1070"/>
      <c r="AD3117" s="1070"/>
      <c r="AE3117" s="1070"/>
      <c r="AF3117" s="1070"/>
      <c r="AG3117" s="1070"/>
      <c r="AH3117" s="1070"/>
      <c r="AI3117" s="1070"/>
      <c r="AJ3117" s="1058"/>
      <c r="AK3117" s="1058"/>
      <c r="AL3117" s="1058">
        <v>2517</v>
      </c>
      <c r="AM3117" s="1058">
        <v>2517</v>
      </c>
      <c r="AN3117" s="1058">
        <v>2517</v>
      </c>
      <c r="AO3117" s="1058">
        <v>2517</v>
      </c>
      <c r="AP3117" s="1058">
        <v>2517</v>
      </c>
      <c r="AQ3117" s="1058">
        <v>2517</v>
      </c>
    </row>
    <row r="3118" spans="2:43" s="1044" customFormat="1" hidden="1" outlineLevel="1">
      <c r="B3118" s="1045"/>
      <c r="C3118" s="1053" t="s">
        <v>16</v>
      </c>
      <c r="D3118" s="868" t="s">
        <v>836</v>
      </c>
      <c r="E3118" s="1047" t="s">
        <v>1364</v>
      </c>
      <c r="F3118" s="1047"/>
      <c r="G3118" s="1047"/>
      <c r="H3118" s="1047"/>
      <c r="I3118" s="1047"/>
      <c r="J3118" s="1047"/>
      <c r="K3118" s="1047"/>
      <c r="L3118" s="1047"/>
      <c r="M3118" s="1047"/>
      <c r="N3118" s="1047"/>
      <c r="O3118" s="1047"/>
      <c r="P3118" s="1047"/>
      <c r="Q3118" s="1047"/>
      <c r="R3118" s="1047"/>
      <c r="S3118" s="1047"/>
      <c r="T3118" s="1047"/>
      <c r="U3118" s="1047"/>
      <c r="V3118" s="1047"/>
      <c r="W3118" s="1047"/>
      <c r="X3118" s="1047"/>
      <c r="Y3118" s="1047"/>
      <c r="Z3118" s="1047"/>
      <c r="AA3118" s="1047"/>
      <c r="AB3118" s="1070"/>
      <c r="AC3118" s="1070"/>
      <c r="AD3118" s="1070"/>
      <c r="AE3118" s="1070"/>
      <c r="AF3118" s="1070"/>
      <c r="AG3118" s="1070"/>
      <c r="AH3118" s="1070"/>
      <c r="AI3118" s="1070"/>
      <c r="AJ3118" s="1058"/>
      <c r="AK3118" s="1058"/>
      <c r="AL3118" s="1058">
        <v>8186</v>
      </c>
      <c r="AM3118" s="1058">
        <v>8186</v>
      </c>
      <c r="AN3118" s="1058">
        <v>8186</v>
      </c>
      <c r="AO3118" s="1058">
        <v>8186</v>
      </c>
      <c r="AP3118" s="1058">
        <v>8186</v>
      </c>
      <c r="AQ3118" s="1058">
        <v>8186</v>
      </c>
    </row>
    <row r="3119" spans="2:43" s="1044" customFormat="1" hidden="1" outlineLevel="1">
      <c r="B3119" s="1045"/>
      <c r="C3119" s="1053" t="s">
        <v>16</v>
      </c>
      <c r="D3119" s="868" t="s">
        <v>836</v>
      </c>
      <c r="E3119" s="1047" t="s">
        <v>1365</v>
      </c>
      <c r="F3119" s="1047"/>
      <c r="G3119" s="1047"/>
      <c r="H3119" s="1047"/>
      <c r="I3119" s="1047"/>
      <c r="J3119" s="1047"/>
      <c r="K3119" s="1047"/>
      <c r="L3119" s="1047"/>
      <c r="M3119" s="1047"/>
      <c r="N3119" s="1047"/>
      <c r="O3119" s="1047"/>
      <c r="P3119" s="1047"/>
      <c r="Q3119" s="1047"/>
      <c r="R3119" s="1047"/>
      <c r="S3119" s="1047"/>
      <c r="T3119" s="1047"/>
      <c r="U3119" s="1047"/>
      <c r="V3119" s="1047"/>
      <c r="W3119" s="1047"/>
      <c r="X3119" s="1047"/>
      <c r="Y3119" s="1047"/>
      <c r="Z3119" s="1047"/>
      <c r="AA3119" s="1047"/>
      <c r="AB3119" s="1070"/>
      <c r="AC3119" s="1070"/>
      <c r="AD3119" s="1070"/>
      <c r="AE3119" s="1070"/>
      <c r="AF3119" s="1070"/>
      <c r="AG3119" s="1070"/>
      <c r="AH3119" s="1070"/>
      <c r="AI3119" s="1070"/>
      <c r="AJ3119" s="1058"/>
      <c r="AK3119" s="1058"/>
      <c r="AL3119" s="1058">
        <v>899</v>
      </c>
      <c r="AM3119" s="1058">
        <v>899</v>
      </c>
      <c r="AN3119" s="1058">
        <v>899</v>
      </c>
      <c r="AO3119" s="1058">
        <v>899</v>
      </c>
      <c r="AP3119" s="1058">
        <v>899</v>
      </c>
      <c r="AQ3119" s="1058">
        <v>899</v>
      </c>
    </row>
    <row r="3120" spans="2:43" s="1044" customFormat="1" hidden="1" outlineLevel="1">
      <c r="B3120" s="1045"/>
      <c r="C3120" s="1053" t="s">
        <v>16</v>
      </c>
      <c r="D3120" s="868" t="s">
        <v>836</v>
      </c>
      <c r="E3120" s="1047" t="s">
        <v>730</v>
      </c>
      <c r="F3120" s="1047"/>
      <c r="G3120" s="1047"/>
      <c r="H3120" s="1047"/>
      <c r="I3120" s="1047"/>
      <c r="J3120" s="1047"/>
      <c r="K3120" s="1047"/>
      <c r="L3120" s="1047"/>
      <c r="M3120" s="1047"/>
      <c r="N3120" s="1047"/>
      <c r="O3120" s="1047"/>
      <c r="P3120" s="1047"/>
      <c r="Q3120" s="1047"/>
      <c r="R3120" s="1047"/>
      <c r="S3120" s="1047"/>
      <c r="T3120" s="1047"/>
      <c r="U3120" s="1047"/>
      <c r="V3120" s="1047"/>
      <c r="W3120" s="1047"/>
      <c r="X3120" s="1047"/>
      <c r="Y3120" s="1047"/>
      <c r="Z3120" s="1047"/>
      <c r="AA3120" s="1047"/>
      <c r="AB3120" s="1070"/>
      <c r="AC3120" s="1070"/>
      <c r="AD3120" s="1070"/>
      <c r="AE3120" s="1070"/>
      <c r="AF3120" s="1070"/>
      <c r="AG3120" s="1070"/>
      <c r="AH3120" s="1070"/>
      <c r="AI3120" s="1070"/>
      <c r="AJ3120" s="1058"/>
      <c r="AK3120" s="1058"/>
      <c r="AL3120" s="1058">
        <v>0</v>
      </c>
      <c r="AM3120" s="1058">
        <v>0</v>
      </c>
      <c r="AN3120" s="1058">
        <v>0</v>
      </c>
      <c r="AO3120" s="1058">
        <v>0</v>
      </c>
      <c r="AP3120" s="1058">
        <v>0</v>
      </c>
      <c r="AQ3120" s="1058">
        <v>0</v>
      </c>
    </row>
    <row r="3121" spans="2:43" s="1044" customFormat="1" hidden="1" outlineLevel="1">
      <c r="B3121" s="1045"/>
      <c r="C3121" s="1053" t="s">
        <v>16</v>
      </c>
      <c r="D3121" s="868" t="s">
        <v>958</v>
      </c>
      <c r="E3121" s="592" t="s">
        <v>1431</v>
      </c>
      <c r="F3121" s="1047"/>
      <c r="G3121" s="1047"/>
      <c r="H3121" s="1047"/>
      <c r="I3121" s="1047"/>
      <c r="J3121" s="1047"/>
      <c r="K3121" s="1047"/>
      <c r="L3121" s="1047"/>
      <c r="M3121" s="1047"/>
      <c r="N3121" s="1047"/>
      <c r="O3121" s="1047"/>
      <c r="P3121" s="1047"/>
      <c r="Q3121" s="1047"/>
      <c r="R3121" s="1047"/>
      <c r="S3121" s="1047"/>
      <c r="T3121" s="1047"/>
      <c r="U3121" s="1047"/>
      <c r="V3121" s="1047"/>
      <c r="W3121" s="1047"/>
      <c r="X3121" s="1047"/>
      <c r="Y3121" s="1047"/>
      <c r="Z3121" s="1047"/>
      <c r="AA3121" s="1047"/>
      <c r="AB3121" s="1070"/>
      <c r="AC3121" s="1070"/>
      <c r="AD3121" s="1070"/>
      <c r="AE3121" s="1070"/>
      <c r="AF3121" s="1070"/>
      <c r="AG3121" s="1070"/>
      <c r="AH3121" s="1070"/>
      <c r="AI3121" s="1070"/>
      <c r="AJ3121" s="1058"/>
      <c r="AK3121" s="1058"/>
      <c r="AL3121" s="1058">
        <v>0</v>
      </c>
      <c r="AM3121" s="1058">
        <v>0</v>
      </c>
      <c r="AN3121" s="1058">
        <v>0</v>
      </c>
      <c r="AO3121" s="1058">
        <v>0</v>
      </c>
      <c r="AP3121" s="1058">
        <v>0</v>
      </c>
      <c r="AQ3121" s="1058">
        <v>0</v>
      </c>
    </row>
    <row r="3122" spans="2:43" s="1044" customFormat="1" hidden="1" outlineLevel="1">
      <c r="B3122" s="1045"/>
      <c r="C3122" s="1053" t="s">
        <v>16</v>
      </c>
      <c r="D3122" s="868" t="s">
        <v>836</v>
      </c>
      <c r="E3122" s="1047" t="s">
        <v>731</v>
      </c>
      <c r="F3122" s="1047"/>
      <c r="G3122" s="1047"/>
      <c r="H3122" s="1047"/>
      <c r="I3122" s="1047"/>
      <c r="J3122" s="1047"/>
      <c r="K3122" s="1047"/>
      <c r="L3122" s="1047"/>
      <c r="M3122" s="1047"/>
      <c r="N3122" s="1047"/>
      <c r="O3122" s="1047"/>
      <c r="P3122" s="1047"/>
      <c r="Q3122" s="1047"/>
      <c r="R3122" s="1047"/>
      <c r="S3122" s="1047"/>
      <c r="T3122" s="1047"/>
      <c r="U3122" s="1047"/>
      <c r="V3122" s="1047"/>
      <c r="W3122" s="1047"/>
      <c r="X3122" s="1047"/>
      <c r="Y3122" s="1047"/>
      <c r="Z3122" s="1047"/>
      <c r="AA3122" s="1047"/>
      <c r="AB3122" s="1070"/>
      <c r="AC3122" s="1070"/>
      <c r="AD3122" s="1070"/>
      <c r="AE3122" s="1070"/>
      <c r="AF3122" s="1070"/>
      <c r="AG3122" s="1070"/>
      <c r="AH3122" s="1070"/>
      <c r="AI3122" s="1070"/>
      <c r="AJ3122" s="1058"/>
      <c r="AK3122" s="1058"/>
      <c r="AL3122" s="1058">
        <v>7821</v>
      </c>
      <c r="AM3122" s="1058">
        <v>7821</v>
      </c>
      <c r="AN3122" s="1058">
        <v>7821</v>
      </c>
      <c r="AO3122" s="1058">
        <v>7821</v>
      </c>
      <c r="AP3122" s="1058">
        <v>10500</v>
      </c>
      <c r="AQ3122" s="1058">
        <v>10500</v>
      </c>
    </row>
    <row r="3123" spans="2:43" s="1044" customFormat="1" hidden="1" outlineLevel="1">
      <c r="B3123" s="1045"/>
      <c r="C3123" s="1053" t="s">
        <v>16</v>
      </c>
      <c r="D3123" s="868" t="s">
        <v>836</v>
      </c>
      <c r="E3123" s="1054" t="s">
        <v>1453</v>
      </c>
      <c r="F3123" s="1047"/>
      <c r="G3123" s="1047"/>
      <c r="H3123" s="1047"/>
      <c r="I3123" s="1047"/>
      <c r="J3123" s="1047"/>
      <c r="K3123" s="1047"/>
      <c r="L3123" s="1047"/>
      <c r="M3123" s="1047"/>
      <c r="N3123" s="1047"/>
      <c r="O3123" s="1047"/>
      <c r="P3123" s="1047"/>
      <c r="Q3123" s="1047"/>
      <c r="R3123" s="1047"/>
      <c r="S3123" s="1047"/>
      <c r="T3123" s="1047"/>
      <c r="U3123" s="1047"/>
      <c r="V3123" s="1047"/>
      <c r="W3123" s="1047"/>
      <c r="X3123" s="1047"/>
      <c r="Y3123" s="1047"/>
      <c r="Z3123" s="1047"/>
      <c r="AA3123" s="1047"/>
      <c r="AB3123" s="1070"/>
      <c r="AC3123" s="1070"/>
      <c r="AD3123" s="1070"/>
      <c r="AE3123" s="1070"/>
      <c r="AF3123" s="1070"/>
      <c r="AG3123" s="1070"/>
      <c r="AH3123" s="1070"/>
      <c r="AI3123" s="1070"/>
      <c r="AJ3123" s="1058"/>
      <c r="AK3123" s="1058"/>
      <c r="AL3123" s="1058">
        <v>0</v>
      </c>
      <c r="AM3123" s="1058">
        <v>0</v>
      </c>
      <c r="AN3123" s="1058">
        <v>0</v>
      </c>
      <c r="AO3123" s="1058">
        <v>0</v>
      </c>
      <c r="AP3123" s="1058">
        <v>0</v>
      </c>
      <c r="AQ3123" s="1058">
        <v>0</v>
      </c>
    </row>
    <row r="3124" spans="2:43" s="1044" customFormat="1" hidden="1" outlineLevel="1">
      <c r="B3124" s="1045"/>
      <c r="C3124" s="1053" t="s">
        <v>16</v>
      </c>
      <c r="D3124" s="868" t="s">
        <v>836</v>
      </c>
      <c r="E3124" s="1047" t="s">
        <v>1426</v>
      </c>
      <c r="F3124" s="1047"/>
      <c r="G3124" s="1047"/>
      <c r="H3124" s="1047"/>
      <c r="I3124" s="1047"/>
      <c r="J3124" s="1047"/>
      <c r="K3124" s="1047"/>
      <c r="L3124" s="1047"/>
      <c r="M3124" s="1047"/>
      <c r="N3124" s="1047"/>
      <c r="O3124" s="1047"/>
      <c r="P3124" s="1047"/>
      <c r="Q3124" s="1047"/>
      <c r="R3124" s="1047"/>
      <c r="S3124" s="1047"/>
      <c r="T3124" s="1047"/>
      <c r="U3124" s="1047"/>
      <c r="V3124" s="1047"/>
      <c r="W3124" s="1047"/>
      <c r="X3124" s="1047"/>
      <c r="Y3124" s="1047"/>
      <c r="Z3124" s="1047"/>
      <c r="AA3124" s="1047"/>
      <c r="AB3124" s="1070"/>
      <c r="AC3124" s="1070"/>
      <c r="AD3124" s="1070"/>
      <c r="AE3124" s="1070"/>
      <c r="AF3124" s="1070"/>
      <c r="AG3124" s="1070"/>
      <c r="AH3124" s="1070"/>
      <c r="AI3124" s="1070"/>
      <c r="AJ3124" s="1058"/>
      <c r="AK3124" s="1058"/>
      <c r="AL3124" s="1058">
        <v>7946</v>
      </c>
      <c r="AM3124" s="1058">
        <v>7946</v>
      </c>
      <c r="AN3124" s="1058">
        <v>7946</v>
      </c>
      <c r="AO3124" s="1058">
        <v>7946</v>
      </c>
      <c r="AP3124" s="1058">
        <v>7946</v>
      </c>
      <c r="AQ3124" s="1058">
        <v>7946</v>
      </c>
    </row>
    <row r="3125" spans="2:43" s="1044" customFormat="1" hidden="1" outlineLevel="1">
      <c r="B3125" s="1045"/>
      <c r="C3125" s="1053" t="s">
        <v>16</v>
      </c>
      <c r="D3125" s="868" t="s">
        <v>836</v>
      </c>
      <c r="E3125" s="1047" t="s">
        <v>733</v>
      </c>
      <c r="F3125" s="1047"/>
      <c r="G3125" s="1047"/>
      <c r="H3125" s="1047"/>
      <c r="I3125" s="1047"/>
      <c r="J3125" s="1047"/>
      <c r="K3125" s="1047"/>
      <c r="L3125" s="1047"/>
      <c r="M3125" s="1047"/>
      <c r="N3125" s="1047"/>
      <c r="O3125" s="1047"/>
      <c r="P3125" s="1047"/>
      <c r="Q3125" s="1047"/>
      <c r="R3125" s="1047"/>
      <c r="S3125" s="1047"/>
      <c r="T3125" s="1047"/>
      <c r="U3125" s="1047"/>
      <c r="V3125" s="1047"/>
      <c r="W3125" s="1047"/>
      <c r="X3125" s="1047"/>
      <c r="Y3125" s="1047"/>
      <c r="Z3125" s="1047"/>
      <c r="AA3125" s="1047"/>
      <c r="AB3125" s="1070"/>
      <c r="AC3125" s="1070"/>
      <c r="AD3125" s="1070"/>
      <c r="AE3125" s="1070"/>
      <c r="AF3125" s="1070"/>
      <c r="AG3125" s="1070"/>
      <c r="AH3125" s="1070"/>
      <c r="AI3125" s="1070"/>
      <c r="AJ3125" s="1058"/>
      <c r="AK3125" s="1058"/>
      <c r="AL3125" s="1058">
        <v>0</v>
      </c>
      <c r="AM3125" s="1058">
        <v>0</v>
      </c>
      <c r="AN3125" s="1058">
        <v>0</v>
      </c>
      <c r="AO3125" s="1058">
        <v>0</v>
      </c>
      <c r="AP3125" s="1058">
        <v>0</v>
      </c>
      <c r="AQ3125" s="1058">
        <v>0</v>
      </c>
    </row>
    <row r="3126" spans="2:43" s="1044" customFormat="1" hidden="1" outlineLevel="1">
      <c r="B3126" s="1045"/>
      <c r="C3126" s="1053" t="s">
        <v>16</v>
      </c>
      <c r="D3126" s="868" t="s">
        <v>958</v>
      </c>
      <c r="E3126" s="592" t="s">
        <v>1432</v>
      </c>
      <c r="F3126" s="1047"/>
      <c r="G3126" s="1047"/>
      <c r="H3126" s="1047"/>
      <c r="I3126" s="1047"/>
      <c r="J3126" s="1047"/>
      <c r="K3126" s="1047"/>
      <c r="L3126" s="1047"/>
      <c r="M3126" s="1047"/>
      <c r="N3126" s="1047"/>
      <c r="O3126" s="1047"/>
      <c r="P3126" s="1047"/>
      <c r="Q3126" s="1047"/>
      <c r="R3126" s="1047"/>
      <c r="S3126" s="1047"/>
      <c r="T3126" s="1047"/>
      <c r="U3126" s="1047"/>
      <c r="V3126" s="1047"/>
      <c r="W3126" s="1047"/>
      <c r="X3126" s="1047"/>
      <c r="Y3126" s="1047"/>
      <c r="Z3126" s="1047"/>
      <c r="AA3126" s="1047"/>
      <c r="AB3126" s="1070"/>
      <c r="AC3126" s="1070"/>
      <c r="AD3126" s="1070"/>
      <c r="AE3126" s="1070"/>
      <c r="AF3126" s="1070"/>
      <c r="AG3126" s="1070"/>
      <c r="AH3126" s="1070"/>
      <c r="AI3126" s="1070"/>
      <c r="AJ3126" s="1058"/>
      <c r="AK3126" s="1058"/>
      <c r="AL3126" s="1058">
        <v>0</v>
      </c>
      <c r="AM3126" s="1058">
        <v>0</v>
      </c>
      <c r="AN3126" s="1058">
        <v>0</v>
      </c>
      <c r="AO3126" s="1058">
        <v>0</v>
      </c>
      <c r="AP3126" s="1058">
        <v>0</v>
      </c>
      <c r="AQ3126" s="1058">
        <v>0</v>
      </c>
    </row>
    <row r="3127" spans="2:43" s="1044" customFormat="1" hidden="1" outlineLevel="1">
      <c r="B3127" s="1045"/>
      <c r="C3127" s="1053" t="s">
        <v>16</v>
      </c>
      <c r="D3127" s="868" t="s">
        <v>836</v>
      </c>
      <c r="E3127" s="1047" t="s">
        <v>735</v>
      </c>
      <c r="F3127" s="1047"/>
      <c r="G3127" s="1047"/>
      <c r="H3127" s="1047"/>
      <c r="I3127" s="1047"/>
      <c r="J3127" s="1047"/>
      <c r="K3127" s="1047"/>
      <c r="L3127" s="1047"/>
      <c r="M3127" s="1047"/>
      <c r="N3127" s="1047"/>
      <c r="O3127" s="1047"/>
      <c r="P3127" s="1047"/>
      <c r="Q3127" s="1047"/>
      <c r="R3127" s="1047"/>
      <c r="S3127" s="1047"/>
      <c r="T3127" s="1047"/>
      <c r="U3127" s="1047"/>
      <c r="V3127" s="1047"/>
      <c r="W3127" s="1047"/>
      <c r="X3127" s="1047"/>
      <c r="Y3127" s="1047"/>
      <c r="Z3127" s="1047"/>
      <c r="AA3127" s="1047"/>
      <c r="AB3127" s="1070"/>
      <c r="AC3127" s="1070"/>
      <c r="AD3127" s="1070"/>
      <c r="AE3127" s="1070"/>
      <c r="AF3127" s="1070"/>
      <c r="AG3127" s="1070"/>
      <c r="AH3127" s="1070"/>
      <c r="AI3127" s="1070"/>
      <c r="AJ3127" s="1058"/>
      <c r="AK3127" s="1058"/>
      <c r="AL3127" s="1058">
        <v>71172</v>
      </c>
      <c r="AM3127" s="1058">
        <v>71172</v>
      </c>
      <c r="AN3127" s="1058">
        <v>64323</v>
      </c>
      <c r="AO3127" s="1058">
        <v>64323</v>
      </c>
      <c r="AP3127" s="1058">
        <v>48198</v>
      </c>
      <c r="AQ3127" s="1058">
        <v>48198</v>
      </c>
    </row>
    <row r="3128" spans="2:43" s="1044" customFormat="1" hidden="1" outlineLevel="1">
      <c r="B3128" s="1045"/>
      <c r="C3128" s="1053" t="s">
        <v>16</v>
      </c>
      <c r="D3128" s="868" t="s">
        <v>836</v>
      </c>
      <c r="E3128" s="1047" t="s">
        <v>855</v>
      </c>
      <c r="F3128" s="1047"/>
      <c r="G3128" s="1047"/>
      <c r="H3128" s="1047"/>
      <c r="I3128" s="1047"/>
      <c r="J3128" s="1047"/>
      <c r="K3128" s="1047"/>
      <c r="L3128" s="1047"/>
      <c r="M3128" s="1047"/>
      <c r="N3128" s="1047"/>
      <c r="O3128" s="1047"/>
      <c r="P3128" s="1047"/>
      <c r="Q3128" s="1047"/>
      <c r="R3128" s="1047"/>
      <c r="S3128" s="1047"/>
      <c r="T3128" s="1047"/>
      <c r="U3128" s="1047"/>
      <c r="V3128" s="1047"/>
      <c r="W3128" s="1047"/>
      <c r="X3128" s="1047"/>
      <c r="Y3128" s="1047"/>
      <c r="Z3128" s="1047"/>
      <c r="AA3128" s="1047"/>
      <c r="AB3128" s="1070"/>
      <c r="AC3128" s="1070"/>
      <c r="AD3128" s="1070"/>
      <c r="AE3128" s="1070"/>
      <c r="AF3128" s="1070"/>
      <c r="AG3128" s="1070"/>
      <c r="AH3128" s="1070"/>
      <c r="AI3128" s="1070"/>
      <c r="AJ3128" s="1058"/>
      <c r="AK3128" s="1058"/>
      <c r="AL3128" s="1058"/>
      <c r="AM3128" s="1058"/>
      <c r="AN3128" s="1058">
        <v>0</v>
      </c>
      <c r="AO3128" s="1058">
        <v>0</v>
      </c>
      <c r="AP3128" s="1058">
        <v>1833</v>
      </c>
      <c r="AQ3128" s="1058">
        <v>1833</v>
      </c>
    </row>
    <row r="3129" spans="2:43" s="1044" customFormat="1" hidden="1" outlineLevel="1">
      <c r="B3129" s="1045"/>
      <c r="C3129" s="1053" t="s">
        <v>16</v>
      </c>
      <c r="D3129" s="868" t="s">
        <v>836</v>
      </c>
      <c r="E3129" s="1047" t="s">
        <v>737</v>
      </c>
      <c r="F3129" s="1047"/>
      <c r="G3129" s="1047"/>
      <c r="H3129" s="1047"/>
      <c r="I3129" s="1047"/>
      <c r="J3129" s="1047"/>
      <c r="K3129" s="1047"/>
      <c r="L3129" s="1047"/>
      <c r="M3129" s="1047"/>
      <c r="N3129" s="1047"/>
      <c r="O3129" s="1047"/>
      <c r="P3129" s="1047"/>
      <c r="Q3129" s="1047"/>
      <c r="R3129" s="1047"/>
      <c r="S3129" s="1047"/>
      <c r="T3129" s="1047"/>
      <c r="U3129" s="1047"/>
      <c r="V3129" s="1047"/>
      <c r="W3129" s="1047"/>
      <c r="X3129" s="1047"/>
      <c r="Y3129" s="1047"/>
      <c r="Z3129" s="1047"/>
      <c r="AA3129" s="1047"/>
      <c r="AB3129" s="1070"/>
      <c r="AC3129" s="1070"/>
      <c r="AD3129" s="1070"/>
      <c r="AE3129" s="1070"/>
      <c r="AF3129" s="1070"/>
      <c r="AG3129" s="1070"/>
      <c r="AH3129" s="1070"/>
      <c r="AI3129" s="1070"/>
      <c r="AJ3129" s="1058"/>
      <c r="AK3129" s="1058"/>
      <c r="AL3129" s="1058">
        <v>0</v>
      </c>
      <c r="AM3129" s="1058">
        <v>0</v>
      </c>
      <c r="AN3129" s="1058">
        <v>0</v>
      </c>
      <c r="AO3129" s="1058">
        <v>0</v>
      </c>
      <c r="AP3129" s="1058">
        <v>0</v>
      </c>
      <c r="AQ3129" s="1058">
        <v>0</v>
      </c>
    </row>
    <row r="3130" spans="2:43" s="1044" customFormat="1" hidden="1" outlineLevel="1">
      <c r="B3130" s="1045"/>
      <c r="C3130" s="1053" t="s">
        <v>16</v>
      </c>
      <c r="D3130" s="868" t="s">
        <v>958</v>
      </c>
      <c r="E3130" s="592" t="s">
        <v>60</v>
      </c>
      <c r="F3130" s="1047"/>
      <c r="G3130" s="1047"/>
      <c r="H3130" s="1047"/>
      <c r="I3130" s="1047"/>
      <c r="J3130" s="1047"/>
      <c r="K3130" s="1047"/>
      <c r="L3130" s="1047"/>
      <c r="M3130" s="1047"/>
      <c r="N3130" s="1047"/>
      <c r="O3130" s="1047"/>
      <c r="P3130" s="1047"/>
      <c r="Q3130" s="1047"/>
      <c r="R3130" s="1047"/>
      <c r="S3130" s="1047"/>
      <c r="T3130" s="1047"/>
      <c r="U3130" s="1047"/>
      <c r="V3130" s="1047"/>
      <c r="W3130" s="1047"/>
      <c r="X3130" s="1047"/>
      <c r="Y3130" s="1047"/>
      <c r="Z3130" s="1047"/>
      <c r="AA3130" s="1047"/>
      <c r="AB3130" s="1070"/>
      <c r="AC3130" s="1070"/>
      <c r="AD3130" s="1070"/>
      <c r="AE3130" s="1070"/>
      <c r="AF3130" s="1070"/>
      <c r="AG3130" s="1070"/>
      <c r="AH3130" s="1070"/>
      <c r="AI3130" s="1070"/>
      <c r="AJ3130" s="1058"/>
      <c r="AK3130" s="1058"/>
      <c r="AL3130" s="1058">
        <v>0</v>
      </c>
      <c r="AM3130" s="1058">
        <v>0</v>
      </c>
      <c r="AN3130" s="1058">
        <v>0</v>
      </c>
      <c r="AO3130" s="1058">
        <v>0</v>
      </c>
      <c r="AP3130" s="1058">
        <v>0</v>
      </c>
      <c r="AQ3130" s="1058">
        <v>0</v>
      </c>
    </row>
    <row r="3131" spans="2:43" s="1044" customFormat="1" hidden="1" outlineLevel="1">
      <c r="B3131" s="1045"/>
      <c r="C3131" s="1053" t="s">
        <v>16</v>
      </c>
      <c r="D3131" s="868" t="s">
        <v>836</v>
      </c>
      <c r="E3131" s="1047" t="s">
        <v>738</v>
      </c>
      <c r="F3131" s="1047"/>
      <c r="G3131" s="1047"/>
      <c r="H3131" s="1047"/>
      <c r="I3131" s="1047"/>
      <c r="J3131" s="1047"/>
      <c r="K3131" s="1047"/>
      <c r="L3131" s="1047"/>
      <c r="M3131" s="1047"/>
      <c r="N3131" s="1047"/>
      <c r="O3131" s="1047"/>
      <c r="P3131" s="1047"/>
      <c r="Q3131" s="1047"/>
      <c r="R3131" s="1047"/>
      <c r="S3131" s="1047"/>
      <c r="T3131" s="1047"/>
      <c r="U3131" s="1047"/>
      <c r="V3131" s="1047"/>
      <c r="W3131" s="1047"/>
      <c r="X3131" s="1047"/>
      <c r="Y3131" s="1047"/>
      <c r="Z3131" s="1047"/>
      <c r="AA3131" s="1047"/>
      <c r="AB3131" s="1070"/>
      <c r="AC3131" s="1070"/>
      <c r="AD3131" s="1070"/>
      <c r="AE3131" s="1070"/>
      <c r="AF3131" s="1070"/>
      <c r="AG3131" s="1070"/>
      <c r="AH3131" s="1070"/>
      <c r="AI3131" s="1070"/>
      <c r="AJ3131" s="1058"/>
      <c r="AK3131" s="1058"/>
      <c r="AL3131" s="1058">
        <v>0</v>
      </c>
      <c r="AM3131" s="1058">
        <v>0</v>
      </c>
      <c r="AN3131" s="1058">
        <v>0</v>
      </c>
      <c r="AO3131" s="1058">
        <v>0</v>
      </c>
      <c r="AP3131" s="1058">
        <v>0</v>
      </c>
      <c r="AQ3131" s="1058">
        <v>0</v>
      </c>
    </row>
    <row r="3132" spans="2:43" s="1044" customFormat="1" hidden="1" outlineLevel="1">
      <c r="B3132" s="1045"/>
      <c r="C3132" s="1053" t="s">
        <v>16</v>
      </c>
      <c r="D3132" s="868" t="s">
        <v>2115</v>
      </c>
      <c r="E3132" s="1047" t="s">
        <v>1446</v>
      </c>
      <c r="F3132" s="1047"/>
      <c r="G3132" s="1047"/>
      <c r="H3132" s="1047"/>
      <c r="I3132" s="1047"/>
      <c r="J3132" s="1047"/>
      <c r="K3132" s="1047"/>
      <c r="L3132" s="1047"/>
      <c r="M3132" s="1047"/>
      <c r="N3132" s="1047"/>
      <c r="O3132" s="1047"/>
      <c r="P3132" s="1047"/>
      <c r="Q3132" s="1047"/>
      <c r="R3132" s="1047"/>
      <c r="S3132" s="1047"/>
      <c r="T3132" s="1047"/>
      <c r="U3132" s="1047"/>
      <c r="V3132" s="1047"/>
      <c r="W3132" s="1047"/>
      <c r="X3132" s="1047"/>
      <c r="Y3132" s="1047"/>
      <c r="Z3132" s="1047"/>
      <c r="AA3132" s="1047"/>
      <c r="AB3132" s="1070"/>
      <c r="AC3132" s="1070"/>
      <c r="AD3132" s="1070"/>
      <c r="AE3132" s="1070"/>
      <c r="AF3132" s="1070"/>
      <c r="AG3132" s="1070"/>
      <c r="AH3132" s="1070"/>
      <c r="AI3132" s="1070"/>
      <c r="AJ3132" s="1058"/>
      <c r="AK3132" s="1058"/>
      <c r="AL3132" s="1058">
        <v>0</v>
      </c>
      <c r="AM3132" s="1058">
        <v>0</v>
      </c>
      <c r="AN3132" s="1058">
        <v>0</v>
      </c>
      <c r="AO3132" s="1058">
        <v>0</v>
      </c>
      <c r="AP3132" s="1058">
        <v>0</v>
      </c>
      <c r="AQ3132" s="1058">
        <v>0</v>
      </c>
    </row>
    <row r="3133" spans="2:43" s="1044" customFormat="1" hidden="1" outlineLevel="1">
      <c r="B3133" s="1045"/>
      <c r="C3133" s="1053" t="s">
        <v>16</v>
      </c>
      <c r="D3133" s="868" t="s">
        <v>2115</v>
      </c>
      <c r="E3133" s="1047" t="s">
        <v>1447</v>
      </c>
      <c r="F3133" s="1047"/>
      <c r="G3133" s="1047"/>
      <c r="H3133" s="1047"/>
      <c r="I3133" s="1047"/>
      <c r="J3133" s="1047"/>
      <c r="K3133" s="1047"/>
      <c r="L3133" s="1047"/>
      <c r="M3133" s="1047"/>
      <c r="N3133" s="1047"/>
      <c r="O3133" s="1047"/>
      <c r="P3133" s="1047"/>
      <c r="Q3133" s="1047"/>
      <c r="R3133" s="1047"/>
      <c r="S3133" s="1047"/>
      <c r="T3133" s="1047"/>
      <c r="U3133" s="1047"/>
      <c r="V3133" s="1047"/>
      <c r="W3133" s="1047"/>
      <c r="X3133" s="1047"/>
      <c r="Y3133" s="1047"/>
      <c r="Z3133" s="1047"/>
      <c r="AA3133" s="1047"/>
      <c r="AB3133" s="1070"/>
      <c r="AC3133" s="1070"/>
      <c r="AD3133" s="1070"/>
      <c r="AE3133" s="1070"/>
      <c r="AF3133" s="1070"/>
      <c r="AG3133" s="1070"/>
      <c r="AH3133" s="1070"/>
      <c r="AI3133" s="1070"/>
      <c r="AJ3133" s="1058"/>
      <c r="AK3133" s="1058"/>
      <c r="AL3133" s="1058">
        <v>0</v>
      </c>
      <c r="AM3133" s="1058">
        <v>0</v>
      </c>
      <c r="AN3133" s="1058">
        <v>0</v>
      </c>
      <c r="AO3133" s="1058">
        <v>0</v>
      </c>
      <c r="AP3133" s="1058">
        <v>0</v>
      </c>
      <c r="AQ3133" s="1058">
        <v>0</v>
      </c>
    </row>
    <row r="3134" spans="2:43" s="1044" customFormat="1" hidden="1" outlineLevel="1">
      <c r="B3134" s="1045"/>
      <c r="C3134" s="1053" t="s">
        <v>16</v>
      </c>
      <c r="D3134" s="868" t="s">
        <v>2115</v>
      </c>
      <c r="E3134" s="1047" t="s">
        <v>1448</v>
      </c>
      <c r="F3134" s="1047"/>
      <c r="G3134" s="1047"/>
      <c r="H3134" s="1047"/>
      <c r="I3134" s="1047"/>
      <c r="J3134" s="1047"/>
      <c r="K3134" s="1047"/>
      <c r="L3134" s="1047"/>
      <c r="M3134" s="1047"/>
      <c r="N3134" s="1047"/>
      <c r="O3134" s="1047"/>
      <c r="P3134" s="1047"/>
      <c r="Q3134" s="1047"/>
      <c r="R3134" s="1047"/>
      <c r="S3134" s="1047"/>
      <c r="T3134" s="1047"/>
      <c r="U3134" s="1047"/>
      <c r="V3134" s="1047"/>
      <c r="W3134" s="1047"/>
      <c r="X3134" s="1047"/>
      <c r="Y3134" s="1047"/>
      <c r="Z3134" s="1047"/>
      <c r="AA3134" s="1047"/>
      <c r="AB3134" s="1070"/>
      <c r="AC3134" s="1070"/>
      <c r="AD3134" s="1070"/>
      <c r="AE3134" s="1070"/>
      <c r="AF3134" s="1070"/>
      <c r="AG3134" s="1070"/>
      <c r="AH3134" s="1070"/>
      <c r="AI3134" s="1070"/>
      <c r="AJ3134" s="1058"/>
      <c r="AK3134" s="1058"/>
      <c r="AL3134" s="1058">
        <v>0</v>
      </c>
      <c r="AM3134" s="1058">
        <v>0</v>
      </c>
      <c r="AN3134" s="1058">
        <v>0</v>
      </c>
      <c r="AO3134" s="1058">
        <v>0</v>
      </c>
      <c r="AP3134" s="1058">
        <v>0</v>
      </c>
      <c r="AQ3134" s="1058">
        <v>0</v>
      </c>
    </row>
    <row r="3135" spans="2:43" s="1044" customFormat="1" hidden="1" outlineLevel="1">
      <c r="B3135" s="1045"/>
      <c r="C3135" s="1053" t="s">
        <v>16</v>
      </c>
      <c r="D3135" s="868" t="s">
        <v>836</v>
      </c>
      <c r="E3135" s="1047" t="s">
        <v>1367</v>
      </c>
      <c r="F3135" s="1047"/>
      <c r="G3135" s="1047"/>
      <c r="H3135" s="1047"/>
      <c r="I3135" s="1047"/>
      <c r="J3135" s="1047"/>
      <c r="K3135" s="1047"/>
      <c r="L3135" s="1047"/>
      <c r="M3135" s="1047"/>
      <c r="N3135" s="1047"/>
      <c r="O3135" s="1047"/>
      <c r="P3135" s="1047"/>
      <c r="Q3135" s="1047"/>
      <c r="R3135" s="1047"/>
      <c r="S3135" s="1047"/>
      <c r="T3135" s="1047"/>
      <c r="U3135" s="1047"/>
      <c r="V3135" s="1047"/>
      <c r="W3135" s="1047"/>
      <c r="X3135" s="1047"/>
      <c r="Y3135" s="1047"/>
      <c r="Z3135" s="1047"/>
      <c r="AA3135" s="1047"/>
      <c r="AB3135" s="1070"/>
      <c r="AC3135" s="1070"/>
      <c r="AD3135" s="1070"/>
      <c r="AE3135" s="1070"/>
      <c r="AF3135" s="1070"/>
      <c r="AG3135" s="1070"/>
      <c r="AH3135" s="1070"/>
      <c r="AI3135" s="1070"/>
      <c r="AJ3135" s="1058"/>
      <c r="AK3135" s="1058"/>
      <c r="AL3135" s="1058">
        <v>3755</v>
      </c>
      <c r="AM3135" s="1058">
        <v>3755</v>
      </c>
      <c r="AN3135" s="1058">
        <v>3000</v>
      </c>
      <c r="AO3135" s="1058">
        <v>3000</v>
      </c>
      <c r="AP3135" s="1058">
        <v>3000</v>
      </c>
      <c r="AQ3135" s="1058">
        <v>3000</v>
      </c>
    </row>
    <row r="3136" spans="2:43" s="1044" customFormat="1" hidden="1" outlineLevel="1">
      <c r="B3136" s="1045"/>
      <c r="C3136" s="1053" t="s">
        <v>16</v>
      </c>
      <c r="D3136" s="868" t="s">
        <v>836</v>
      </c>
      <c r="E3136" s="1054" t="s">
        <v>1094</v>
      </c>
      <c r="F3136" s="1047"/>
      <c r="G3136" s="1047"/>
      <c r="H3136" s="1047"/>
      <c r="I3136" s="1047"/>
      <c r="J3136" s="1047"/>
      <c r="K3136" s="1047"/>
      <c r="L3136" s="1047"/>
      <c r="M3136" s="1047"/>
      <c r="N3136" s="1047"/>
      <c r="O3136" s="1047"/>
      <c r="P3136" s="1047"/>
      <c r="Q3136" s="1047"/>
      <c r="R3136" s="1047"/>
      <c r="S3136" s="1047"/>
      <c r="T3136" s="1047"/>
      <c r="U3136" s="1047"/>
      <c r="V3136" s="1047"/>
      <c r="W3136" s="1047"/>
      <c r="X3136" s="1047"/>
      <c r="Y3136" s="1047"/>
      <c r="Z3136" s="1047"/>
      <c r="AA3136" s="1047"/>
      <c r="AB3136" s="1070"/>
      <c r="AC3136" s="1070"/>
      <c r="AD3136" s="1070"/>
      <c r="AE3136" s="1070"/>
      <c r="AF3136" s="1070"/>
      <c r="AG3136" s="1070"/>
      <c r="AH3136" s="1070"/>
      <c r="AI3136" s="1070"/>
      <c r="AJ3136" s="1058"/>
      <c r="AK3136" s="1058"/>
      <c r="AL3136" s="1058">
        <v>7946</v>
      </c>
      <c r="AM3136" s="1058">
        <v>7946</v>
      </c>
      <c r="AN3136" s="1058">
        <v>7946</v>
      </c>
      <c r="AO3136" s="1058">
        <v>7946</v>
      </c>
      <c r="AP3136" s="1058">
        <v>7946</v>
      </c>
      <c r="AQ3136" s="1058">
        <v>7946</v>
      </c>
    </row>
    <row r="3137" spans="2:43" s="1044" customFormat="1" hidden="1" outlineLevel="1">
      <c r="B3137" s="1045"/>
      <c r="C3137" s="1053" t="s">
        <v>16</v>
      </c>
      <c r="D3137" s="868" t="s">
        <v>836</v>
      </c>
      <c r="E3137" s="1047" t="s">
        <v>859</v>
      </c>
      <c r="F3137" s="1047"/>
      <c r="G3137" s="1047"/>
      <c r="H3137" s="1047"/>
      <c r="I3137" s="1047"/>
      <c r="J3137" s="1047"/>
      <c r="K3137" s="1047"/>
      <c r="L3137" s="1047"/>
      <c r="M3137" s="1047"/>
      <c r="N3137" s="1047"/>
      <c r="O3137" s="1047"/>
      <c r="P3137" s="1047"/>
      <c r="Q3137" s="1047"/>
      <c r="R3137" s="1047"/>
      <c r="S3137" s="1047"/>
      <c r="T3137" s="1047"/>
      <c r="U3137" s="1047"/>
      <c r="V3137" s="1047"/>
      <c r="W3137" s="1047"/>
      <c r="X3137" s="1047"/>
      <c r="Y3137" s="1047"/>
      <c r="Z3137" s="1047"/>
      <c r="AA3137" s="1047"/>
      <c r="AB3137" s="1070"/>
      <c r="AC3137" s="1070"/>
      <c r="AD3137" s="1070"/>
      <c r="AE3137" s="1070"/>
      <c r="AF3137" s="1070"/>
      <c r="AG3137" s="1070"/>
      <c r="AH3137" s="1070"/>
      <c r="AI3137" s="1070"/>
      <c r="AJ3137" s="1058"/>
      <c r="AK3137" s="1058"/>
      <c r="AL3137" s="1058">
        <v>7946</v>
      </c>
      <c r="AM3137" s="1058">
        <v>7946</v>
      </c>
      <c r="AN3137" s="1058">
        <v>7946</v>
      </c>
      <c r="AO3137" s="1058">
        <v>7946</v>
      </c>
      <c r="AP3137" s="1058">
        <v>7946</v>
      </c>
      <c r="AQ3137" s="1058">
        <v>7946</v>
      </c>
    </row>
    <row r="3138" spans="2:43" s="1044" customFormat="1" hidden="1" outlineLevel="1">
      <c r="B3138" s="1045"/>
      <c r="C3138" s="1053" t="s">
        <v>16</v>
      </c>
      <c r="D3138" s="868" t="s">
        <v>836</v>
      </c>
      <c r="E3138" s="1047" t="s">
        <v>1427</v>
      </c>
      <c r="F3138" s="1047"/>
      <c r="G3138" s="1047"/>
      <c r="H3138" s="1047"/>
      <c r="I3138" s="1047"/>
      <c r="J3138" s="1047"/>
      <c r="K3138" s="1047"/>
      <c r="L3138" s="1047"/>
      <c r="M3138" s="1047"/>
      <c r="N3138" s="1047"/>
      <c r="O3138" s="1047"/>
      <c r="P3138" s="1047"/>
      <c r="Q3138" s="1047"/>
      <c r="R3138" s="1047"/>
      <c r="S3138" s="1047"/>
      <c r="T3138" s="1047"/>
      <c r="U3138" s="1047"/>
      <c r="V3138" s="1047"/>
      <c r="W3138" s="1047"/>
      <c r="X3138" s="1047"/>
      <c r="Y3138" s="1047"/>
      <c r="Z3138" s="1047"/>
      <c r="AA3138" s="1047"/>
      <c r="AB3138" s="1070"/>
      <c r="AC3138" s="1070"/>
      <c r="AD3138" s="1070"/>
      <c r="AE3138" s="1070"/>
      <c r="AF3138" s="1070"/>
      <c r="AG3138" s="1070"/>
      <c r="AH3138" s="1070"/>
      <c r="AI3138" s="1070"/>
      <c r="AJ3138" s="1058"/>
      <c r="AK3138" s="1058"/>
      <c r="AL3138" s="1058">
        <v>0</v>
      </c>
      <c r="AM3138" s="1058">
        <v>0</v>
      </c>
      <c r="AN3138" s="1058">
        <v>0</v>
      </c>
      <c r="AO3138" s="1058">
        <v>0</v>
      </c>
      <c r="AP3138" s="1058">
        <v>0</v>
      </c>
      <c r="AQ3138" s="1058">
        <v>0</v>
      </c>
    </row>
    <row r="3139" spans="2:43" s="1044" customFormat="1" hidden="1" outlineLevel="1">
      <c r="B3139" s="1045"/>
      <c r="C3139" s="1053" t="s">
        <v>16</v>
      </c>
      <c r="D3139" s="868" t="s">
        <v>1498</v>
      </c>
      <c r="E3139" s="616" t="s">
        <v>1844</v>
      </c>
      <c r="F3139" s="1047"/>
      <c r="G3139" s="1047"/>
      <c r="H3139" s="1047"/>
      <c r="I3139" s="1047"/>
      <c r="J3139" s="1047"/>
      <c r="K3139" s="1047"/>
      <c r="L3139" s="1047"/>
      <c r="M3139" s="1047"/>
      <c r="N3139" s="1047"/>
      <c r="O3139" s="1047"/>
      <c r="P3139" s="1047"/>
      <c r="Q3139" s="1047"/>
      <c r="R3139" s="1047"/>
      <c r="S3139" s="1047"/>
      <c r="T3139" s="1047"/>
      <c r="U3139" s="1047"/>
      <c r="V3139" s="1047"/>
      <c r="W3139" s="1047"/>
      <c r="X3139" s="1047"/>
      <c r="Y3139" s="1047"/>
      <c r="Z3139" s="1047"/>
      <c r="AA3139" s="1047"/>
      <c r="AB3139" s="1070"/>
      <c r="AC3139" s="1070"/>
      <c r="AD3139" s="1070"/>
      <c r="AE3139" s="1070"/>
      <c r="AF3139" s="1070"/>
      <c r="AG3139" s="1070"/>
      <c r="AH3139" s="1070"/>
      <c r="AI3139" s="1070"/>
      <c r="AJ3139" s="1058"/>
      <c r="AK3139" s="1058"/>
      <c r="AL3139" s="1058">
        <v>0</v>
      </c>
      <c r="AM3139" s="1058">
        <v>0</v>
      </c>
      <c r="AN3139" s="1058">
        <v>0</v>
      </c>
      <c r="AO3139" s="1058">
        <v>0</v>
      </c>
      <c r="AP3139" s="1058">
        <v>0</v>
      </c>
      <c r="AQ3139" s="1058">
        <v>0</v>
      </c>
    </row>
    <row r="3140" spans="2:43" s="1044" customFormat="1" hidden="1" outlineLevel="1">
      <c r="B3140" s="1045"/>
      <c r="C3140" s="1053" t="s">
        <v>16</v>
      </c>
      <c r="D3140" s="868" t="s">
        <v>1498</v>
      </c>
      <c r="E3140" s="593" t="s">
        <v>1434</v>
      </c>
      <c r="F3140" s="1047"/>
      <c r="G3140" s="1047"/>
      <c r="H3140" s="1047"/>
      <c r="I3140" s="1047"/>
      <c r="J3140" s="1047"/>
      <c r="K3140" s="1047"/>
      <c r="L3140" s="1047"/>
      <c r="M3140" s="1047"/>
      <c r="N3140" s="1047"/>
      <c r="O3140" s="1047"/>
      <c r="P3140" s="1047"/>
      <c r="Q3140" s="1047"/>
      <c r="R3140" s="1047"/>
      <c r="S3140" s="1047"/>
      <c r="T3140" s="1047"/>
      <c r="U3140" s="1047"/>
      <c r="V3140" s="1047"/>
      <c r="W3140" s="1047"/>
      <c r="X3140" s="1047"/>
      <c r="Y3140" s="1047"/>
      <c r="Z3140" s="1047"/>
      <c r="AA3140" s="1047"/>
      <c r="AB3140" s="1070"/>
      <c r="AC3140" s="1070"/>
      <c r="AD3140" s="1070"/>
      <c r="AE3140" s="1070"/>
      <c r="AF3140" s="1070"/>
      <c r="AG3140" s="1070"/>
      <c r="AH3140" s="1070"/>
      <c r="AI3140" s="1070"/>
      <c r="AJ3140" s="1058"/>
      <c r="AK3140" s="1058"/>
      <c r="AL3140" s="1058">
        <v>0</v>
      </c>
      <c r="AM3140" s="1058">
        <v>0</v>
      </c>
      <c r="AN3140" s="1058">
        <v>0</v>
      </c>
      <c r="AO3140" s="1058">
        <v>0</v>
      </c>
      <c r="AP3140" s="1058">
        <v>0</v>
      </c>
      <c r="AQ3140" s="1058">
        <v>0</v>
      </c>
    </row>
    <row r="3141" spans="2:43" s="1044" customFormat="1" hidden="1" outlineLevel="1">
      <c r="B3141" s="1045"/>
      <c r="C3141" s="1053" t="s">
        <v>16</v>
      </c>
      <c r="D3141" s="868" t="s">
        <v>1498</v>
      </c>
      <c r="E3141" s="593" t="s">
        <v>1435</v>
      </c>
      <c r="F3141" s="1047"/>
      <c r="G3141" s="1047"/>
      <c r="H3141" s="1047"/>
      <c r="I3141" s="1047"/>
      <c r="J3141" s="1047"/>
      <c r="K3141" s="1047"/>
      <c r="L3141" s="1047"/>
      <c r="M3141" s="1047"/>
      <c r="N3141" s="1047"/>
      <c r="O3141" s="1047"/>
      <c r="P3141" s="1047"/>
      <c r="Q3141" s="1047"/>
      <c r="R3141" s="1047"/>
      <c r="S3141" s="1047"/>
      <c r="T3141" s="1047"/>
      <c r="U3141" s="1047"/>
      <c r="V3141" s="1047"/>
      <c r="W3141" s="1047"/>
      <c r="X3141" s="1047"/>
      <c r="Y3141" s="1047"/>
      <c r="Z3141" s="1047"/>
      <c r="AA3141" s="1047"/>
      <c r="AB3141" s="1070"/>
      <c r="AC3141" s="1070"/>
      <c r="AD3141" s="1070"/>
      <c r="AE3141" s="1070"/>
      <c r="AF3141" s="1070"/>
      <c r="AG3141" s="1070"/>
      <c r="AH3141" s="1070"/>
      <c r="AI3141" s="1070"/>
      <c r="AJ3141" s="1058"/>
      <c r="AK3141" s="1058"/>
      <c r="AL3141" s="1058">
        <v>0</v>
      </c>
      <c r="AM3141" s="1058">
        <v>0</v>
      </c>
      <c r="AN3141" s="1058">
        <v>0</v>
      </c>
      <c r="AO3141" s="1058">
        <v>0</v>
      </c>
      <c r="AP3141" s="1058">
        <v>0</v>
      </c>
      <c r="AQ3141" s="1058">
        <v>0</v>
      </c>
    </row>
    <row r="3142" spans="2:43" s="1044" customFormat="1" hidden="1" outlineLevel="1">
      <c r="B3142" s="1045"/>
      <c r="C3142" s="1053" t="s">
        <v>16</v>
      </c>
      <c r="D3142" s="868" t="s">
        <v>1498</v>
      </c>
      <c r="E3142" s="593" t="s">
        <v>1436</v>
      </c>
      <c r="F3142" s="1047"/>
      <c r="G3142" s="1047"/>
      <c r="H3142" s="1047"/>
      <c r="I3142" s="1047"/>
      <c r="J3142" s="1047"/>
      <c r="K3142" s="1047"/>
      <c r="L3142" s="1047"/>
      <c r="M3142" s="1047"/>
      <c r="N3142" s="1047"/>
      <c r="O3142" s="1047"/>
      <c r="P3142" s="1047"/>
      <c r="Q3142" s="1047"/>
      <c r="R3142" s="1047"/>
      <c r="S3142" s="1047"/>
      <c r="T3142" s="1047"/>
      <c r="U3142" s="1047"/>
      <c r="V3142" s="1047"/>
      <c r="W3142" s="1047"/>
      <c r="X3142" s="1047"/>
      <c r="Y3142" s="1047"/>
      <c r="Z3142" s="1047"/>
      <c r="AA3142" s="1047"/>
      <c r="AB3142" s="1070"/>
      <c r="AC3142" s="1070"/>
      <c r="AD3142" s="1070"/>
      <c r="AE3142" s="1070"/>
      <c r="AF3142" s="1070"/>
      <c r="AG3142" s="1070"/>
      <c r="AH3142" s="1070"/>
      <c r="AI3142" s="1070"/>
      <c r="AJ3142" s="1058"/>
      <c r="AK3142" s="1058"/>
      <c r="AL3142" s="1058">
        <v>0</v>
      </c>
      <c r="AM3142" s="1058">
        <v>0</v>
      </c>
      <c r="AN3142" s="1058">
        <v>0</v>
      </c>
      <c r="AO3142" s="1058">
        <v>0</v>
      </c>
      <c r="AP3142" s="1058">
        <v>0</v>
      </c>
      <c r="AQ3142" s="1058">
        <v>0</v>
      </c>
    </row>
    <row r="3143" spans="2:43" s="1044" customFormat="1" hidden="1" outlineLevel="1">
      <c r="B3143" s="1045"/>
      <c r="C3143" s="1053" t="s">
        <v>16</v>
      </c>
      <c r="D3143" s="868" t="s">
        <v>1498</v>
      </c>
      <c r="E3143" s="616" t="s">
        <v>1668</v>
      </c>
      <c r="F3143" s="1047"/>
      <c r="G3143" s="1047"/>
      <c r="H3143" s="1047"/>
      <c r="I3143" s="1047"/>
      <c r="J3143" s="1047"/>
      <c r="K3143" s="1047"/>
      <c r="L3143" s="1047"/>
      <c r="M3143" s="1047"/>
      <c r="N3143" s="1047"/>
      <c r="O3143" s="1047"/>
      <c r="P3143" s="1047"/>
      <c r="Q3143" s="1047"/>
      <c r="R3143" s="1047"/>
      <c r="S3143" s="1047"/>
      <c r="T3143" s="1047"/>
      <c r="U3143" s="1047"/>
      <c r="V3143" s="1047"/>
      <c r="W3143" s="1047"/>
      <c r="X3143" s="1047"/>
      <c r="Y3143" s="1047"/>
      <c r="Z3143" s="1047"/>
      <c r="AA3143" s="1047"/>
      <c r="AB3143" s="1070"/>
      <c r="AC3143" s="1070"/>
      <c r="AD3143" s="1070"/>
      <c r="AE3143" s="1070"/>
      <c r="AF3143" s="1070"/>
      <c r="AG3143" s="1070"/>
      <c r="AH3143" s="1070"/>
      <c r="AI3143" s="1070"/>
      <c r="AJ3143" s="1058"/>
      <c r="AK3143" s="1058"/>
      <c r="AL3143" s="1058">
        <v>0</v>
      </c>
      <c r="AM3143" s="1058">
        <v>0</v>
      </c>
      <c r="AN3143" s="1058">
        <v>0</v>
      </c>
      <c r="AO3143" s="1058">
        <v>0</v>
      </c>
      <c r="AP3143" s="1058">
        <v>0</v>
      </c>
      <c r="AQ3143" s="1058">
        <v>0</v>
      </c>
    </row>
    <row r="3144" spans="2:43" s="1044" customFormat="1" hidden="1" outlineLevel="1">
      <c r="B3144" s="1045"/>
      <c r="C3144" s="1053" t="s">
        <v>16</v>
      </c>
      <c r="D3144" s="868" t="s">
        <v>1498</v>
      </c>
      <c r="E3144" s="593" t="s">
        <v>1437</v>
      </c>
      <c r="F3144" s="1047"/>
      <c r="G3144" s="1047"/>
      <c r="H3144" s="1047"/>
      <c r="I3144" s="1047"/>
      <c r="J3144" s="1047"/>
      <c r="K3144" s="1047"/>
      <c r="L3144" s="1047"/>
      <c r="M3144" s="1047"/>
      <c r="N3144" s="1047"/>
      <c r="O3144" s="1047"/>
      <c r="P3144" s="1047"/>
      <c r="Q3144" s="1047"/>
      <c r="R3144" s="1047"/>
      <c r="S3144" s="1047"/>
      <c r="T3144" s="1047"/>
      <c r="U3144" s="1047"/>
      <c r="V3144" s="1047"/>
      <c r="W3144" s="1047"/>
      <c r="X3144" s="1047"/>
      <c r="Y3144" s="1047"/>
      <c r="Z3144" s="1047"/>
      <c r="AA3144" s="1047"/>
      <c r="AB3144" s="1070"/>
      <c r="AC3144" s="1070"/>
      <c r="AD3144" s="1070"/>
      <c r="AE3144" s="1070"/>
      <c r="AF3144" s="1070"/>
      <c r="AG3144" s="1070"/>
      <c r="AH3144" s="1070"/>
      <c r="AI3144" s="1070"/>
      <c r="AJ3144" s="1058"/>
      <c r="AK3144" s="1058"/>
      <c r="AL3144" s="1058">
        <v>2164</v>
      </c>
      <c r="AM3144" s="1058">
        <v>2164</v>
      </c>
      <c r="AN3144" s="1058">
        <v>2164</v>
      </c>
      <c r="AO3144" s="1058">
        <v>2164</v>
      </c>
      <c r="AP3144" s="1058">
        <v>2164</v>
      </c>
      <c r="AQ3144" s="1058">
        <v>2164</v>
      </c>
    </row>
    <row r="3145" spans="2:43" s="1044" customFormat="1" hidden="1" outlineLevel="1">
      <c r="B3145" s="1045"/>
      <c r="C3145" s="1053" t="s">
        <v>16</v>
      </c>
      <c r="D3145" s="868" t="s">
        <v>1498</v>
      </c>
      <c r="E3145" s="593" t="s">
        <v>1438</v>
      </c>
      <c r="F3145" s="1047"/>
      <c r="G3145" s="1047"/>
      <c r="H3145" s="1047"/>
      <c r="I3145" s="1047"/>
      <c r="J3145" s="1047"/>
      <c r="K3145" s="1047"/>
      <c r="L3145" s="1047"/>
      <c r="M3145" s="1047"/>
      <c r="N3145" s="1047"/>
      <c r="O3145" s="1047"/>
      <c r="P3145" s="1047"/>
      <c r="Q3145" s="1047"/>
      <c r="R3145" s="1047"/>
      <c r="S3145" s="1047"/>
      <c r="T3145" s="1047"/>
      <c r="U3145" s="1047"/>
      <c r="V3145" s="1047"/>
      <c r="W3145" s="1047"/>
      <c r="X3145" s="1047"/>
      <c r="Y3145" s="1047"/>
      <c r="Z3145" s="1047"/>
      <c r="AA3145" s="1047"/>
      <c r="AB3145" s="1070"/>
      <c r="AC3145" s="1070"/>
      <c r="AD3145" s="1070"/>
      <c r="AE3145" s="1070"/>
      <c r="AF3145" s="1070"/>
      <c r="AG3145" s="1070"/>
      <c r="AH3145" s="1070"/>
      <c r="AI3145" s="1070"/>
      <c r="AJ3145" s="1058"/>
      <c r="AK3145" s="1058"/>
      <c r="AL3145" s="1058">
        <v>0</v>
      </c>
      <c r="AM3145" s="1058">
        <v>0</v>
      </c>
      <c r="AN3145" s="1058">
        <v>0</v>
      </c>
      <c r="AO3145" s="1058">
        <v>0</v>
      </c>
      <c r="AP3145" s="1058">
        <v>0</v>
      </c>
      <c r="AQ3145" s="1058">
        <v>0</v>
      </c>
    </row>
    <row r="3146" spans="2:43" s="1044" customFormat="1" hidden="1" outlineLevel="1">
      <c r="B3146" s="1045"/>
      <c r="C3146" s="1053" t="s">
        <v>16</v>
      </c>
      <c r="D3146" s="868" t="s">
        <v>1498</v>
      </c>
      <c r="E3146" s="593" t="s">
        <v>1439</v>
      </c>
      <c r="F3146" s="1047"/>
      <c r="G3146" s="1047"/>
      <c r="H3146" s="1047"/>
      <c r="I3146" s="1047"/>
      <c r="J3146" s="1047"/>
      <c r="K3146" s="1047"/>
      <c r="L3146" s="1047"/>
      <c r="M3146" s="1047"/>
      <c r="N3146" s="1047"/>
      <c r="O3146" s="1047"/>
      <c r="P3146" s="1047"/>
      <c r="Q3146" s="1047"/>
      <c r="R3146" s="1047"/>
      <c r="S3146" s="1047"/>
      <c r="T3146" s="1047"/>
      <c r="U3146" s="1047"/>
      <c r="V3146" s="1047"/>
      <c r="W3146" s="1047"/>
      <c r="X3146" s="1047"/>
      <c r="Y3146" s="1047"/>
      <c r="Z3146" s="1047"/>
      <c r="AA3146" s="1047"/>
      <c r="AB3146" s="1070"/>
      <c r="AC3146" s="1070"/>
      <c r="AD3146" s="1070"/>
      <c r="AE3146" s="1070"/>
      <c r="AF3146" s="1070"/>
      <c r="AG3146" s="1070"/>
      <c r="AH3146" s="1070"/>
      <c r="AI3146" s="1070"/>
      <c r="AJ3146" s="1058"/>
      <c r="AK3146" s="1058"/>
      <c r="AL3146" s="1058">
        <v>0</v>
      </c>
      <c r="AM3146" s="1058">
        <v>0</v>
      </c>
      <c r="AN3146" s="1058">
        <v>0</v>
      </c>
      <c r="AO3146" s="1058">
        <v>0</v>
      </c>
      <c r="AP3146" s="1058">
        <v>0</v>
      </c>
      <c r="AQ3146" s="1058">
        <v>0</v>
      </c>
    </row>
    <row r="3147" spans="2:43" s="1044" customFormat="1" hidden="1" outlineLevel="1">
      <c r="B3147" s="1045"/>
      <c r="C3147" s="1053" t="s">
        <v>16</v>
      </c>
      <c r="D3147" s="868" t="s">
        <v>1498</v>
      </c>
      <c r="E3147" s="593" t="s">
        <v>1440</v>
      </c>
      <c r="F3147" s="1047"/>
      <c r="G3147" s="1047"/>
      <c r="H3147" s="1047"/>
      <c r="I3147" s="1047"/>
      <c r="J3147" s="1047"/>
      <c r="K3147" s="1047"/>
      <c r="L3147" s="1047"/>
      <c r="M3147" s="1047"/>
      <c r="N3147" s="1047"/>
      <c r="O3147" s="1047"/>
      <c r="P3147" s="1047"/>
      <c r="Q3147" s="1047"/>
      <c r="R3147" s="1047"/>
      <c r="S3147" s="1047"/>
      <c r="T3147" s="1047"/>
      <c r="U3147" s="1047"/>
      <c r="V3147" s="1047"/>
      <c r="W3147" s="1047"/>
      <c r="X3147" s="1047"/>
      <c r="Y3147" s="1047"/>
      <c r="Z3147" s="1047"/>
      <c r="AA3147" s="1047"/>
      <c r="AB3147" s="1070"/>
      <c r="AC3147" s="1070"/>
      <c r="AD3147" s="1070"/>
      <c r="AE3147" s="1070"/>
      <c r="AF3147" s="1070"/>
      <c r="AG3147" s="1070"/>
      <c r="AH3147" s="1070"/>
      <c r="AI3147" s="1070"/>
      <c r="AJ3147" s="1058"/>
      <c r="AK3147" s="1058"/>
      <c r="AL3147" s="1058">
        <v>0</v>
      </c>
      <c r="AM3147" s="1058">
        <v>0</v>
      </c>
      <c r="AN3147" s="1058">
        <v>0</v>
      </c>
      <c r="AO3147" s="1058">
        <v>0</v>
      </c>
      <c r="AP3147" s="1058">
        <v>0</v>
      </c>
      <c r="AQ3147" s="1058">
        <v>0</v>
      </c>
    </row>
    <row r="3148" spans="2:43" s="1044" customFormat="1" hidden="1" outlineLevel="1">
      <c r="B3148" s="1045"/>
      <c r="C3148" s="1053" t="s">
        <v>16</v>
      </c>
      <c r="D3148" s="868" t="s">
        <v>1498</v>
      </c>
      <c r="E3148" s="593" t="s">
        <v>942</v>
      </c>
      <c r="F3148" s="1047"/>
      <c r="G3148" s="1047"/>
      <c r="H3148" s="1047"/>
      <c r="I3148" s="1047"/>
      <c r="J3148" s="1047"/>
      <c r="K3148" s="1047"/>
      <c r="L3148" s="1047"/>
      <c r="M3148" s="1047"/>
      <c r="N3148" s="1047"/>
      <c r="O3148" s="1047"/>
      <c r="P3148" s="1047"/>
      <c r="Q3148" s="1047"/>
      <c r="R3148" s="1047"/>
      <c r="S3148" s="1047"/>
      <c r="T3148" s="1047"/>
      <c r="U3148" s="1047"/>
      <c r="V3148" s="1047"/>
      <c r="W3148" s="1047"/>
      <c r="X3148" s="1047"/>
      <c r="Y3148" s="1047"/>
      <c r="Z3148" s="1047"/>
      <c r="AA3148" s="1047"/>
      <c r="AB3148" s="1070"/>
      <c r="AC3148" s="1070"/>
      <c r="AD3148" s="1070"/>
      <c r="AE3148" s="1070"/>
      <c r="AF3148" s="1070"/>
      <c r="AG3148" s="1070"/>
      <c r="AH3148" s="1070"/>
      <c r="AI3148" s="1070"/>
      <c r="AJ3148" s="1058"/>
      <c r="AK3148" s="1058"/>
      <c r="AL3148" s="1058">
        <v>0</v>
      </c>
      <c r="AM3148" s="1058">
        <v>0</v>
      </c>
      <c r="AN3148" s="1058">
        <v>0</v>
      </c>
      <c r="AO3148" s="1058">
        <v>0</v>
      </c>
      <c r="AP3148" s="1058">
        <v>0</v>
      </c>
      <c r="AQ3148" s="1058">
        <v>0</v>
      </c>
    </row>
    <row r="3149" spans="2:43" s="1044" customFormat="1" hidden="1" outlineLevel="1">
      <c r="B3149" s="1045"/>
      <c r="C3149" s="1053" t="s">
        <v>16</v>
      </c>
      <c r="D3149" s="868" t="s">
        <v>1498</v>
      </c>
      <c r="E3149" s="616" t="s">
        <v>1556</v>
      </c>
      <c r="F3149" s="1047"/>
      <c r="G3149" s="1047"/>
      <c r="H3149" s="1047"/>
      <c r="I3149" s="1047"/>
      <c r="J3149" s="1047"/>
      <c r="K3149" s="1047"/>
      <c r="L3149" s="1047"/>
      <c r="M3149" s="1047"/>
      <c r="N3149" s="1047"/>
      <c r="O3149" s="1047"/>
      <c r="P3149" s="1047"/>
      <c r="Q3149" s="1047"/>
      <c r="R3149" s="1047"/>
      <c r="S3149" s="1047"/>
      <c r="T3149" s="1047"/>
      <c r="U3149" s="1047"/>
      <c r="V3149" s="1047"/>
      <c r="W3149" s="1047"/>
      <c r="X3149" s="1047"/>
      <c r="Y3149" s="1047"/>
      <c r="Z3149" s="1047"/>
      <c r="AA3149" s="1047"/>
      <c r="AB3149" s="1070"/>
      <c r="AC3149" s="1070"/>
      <c r="AD3149" s="1070"/>
      <c r="AE3149" s="1070"/>
      <c r="AF3149" s="1070"/>
      <c r="AG3149" s="1070"/>
      <c r="AH3149" s="1070"/>
      <c r="AI3149" s="1070"/>
      <c r="AJ3149" s="1058"/>
      <c r="AK3149" s="1058"/>
      <c r="AL3149" s="1058">
        <v>0</v>
      </c>
      <c r="AM3149" s="1058">
        <v>0</v>
      </c>
      <c r="AN3149" s="1058">
        <v>0</v>
      </c>
      <c r="AO3149" s="1058">
        <v>0</v>
      </c>
      <c r="AP3149" s="1058">
        <v>0</v>
      </c>
      <c r="AQ3149" s="1058">
        <v>0</v>
      </c>
    </row>
    <row r="3150" spans="2:43" s="1044" customFormat="1" hidden="1" outlineLevel="1">
      <c r="B3150" s="1045"/>
      <c r="C3150" s="1053" t="s">
        <v>16</v>
      </c>
      <c r="D3150" s="868" t="s">
        <v>1498</v>
      </c>
      <c r="E3150" s="616" t="s">
        <v>1843</v>
      </c>
      <c r="F3150" s="1047"/>
      <c r="G3150" s="1047"/>
      <c r="H3150" s="1047"/>
      <c r="I3150" s="1047"/>
      <c r="J3150" s="1047"/>
      <c r="K3150" s="1047"/>
      <c r="L3150" s="1047"/>
      <c r="M3150" s="1047"/>
      <c r="N3150" s="1047"/>
      <c r="O3150" s="1047"/>
      <c r="P3150" s="1047"/>
      <c r="Q3150" s="1047"/>
      <c r="R3150" s="1047"/>
      <c r="S3150" s="1047"/>
      <c r="T3150" s="1047"/>
      <c r="U3150" s="1047"/>
      <c r="V3150" s="1047"/>
      <c r="W3150" s="1047"/>
      <c r="X3150" s="1047"/>
      <c r="Y3150" s="1047"/>
      <c r="Z3150" s="1047"/>
      <c r="AA3150" s="1047"/>
      <c r="AB3150" s="1070"/>
      <c r="AC3150" s="1070"/>
      <c r="AD3150" s="1070"/>
      <c r="AE3150" s="1070"/>
      <c r="AF3150" s="1070"/>
      <c r="AG3150" s="1070"/>
      <c r="AH3150" s="1070"/>
      <c r="AI3150" s="1070"/>
      <c r="AJ3150" s="1058"/>
      <c r="AK3150" s="1058"/>
      <c r="AL3150" s="1058">
        <v>0</v>
      </c>
      <c r="AM3150" s="1058">
        <v>0</v>
      </c>
      <c r="AN3150" s="1058">
        <v>0</v>
      </c>
      <c r="AO3150" s="1058">
        <v>0</v>
      </c>
      <c r="AP3150" s="1058">
        <v>0</v>
      </c>
      <c r="AQ3150" s="1058">
        <v>0</v>
      </c>
    </row>
    <row r="3151" spans="2:43" s="1044" customFormat="1" hidden="1" outlineLevel="1">
      <c r="B3151" s="1045"/>
      <c r="C3151" s="1053" t="s">
        <v>16</v>
      </c>
      <c r="D3151" s="868" t="s">
        <v>1542</v>
      </c>
      <c r="E3151" s="1047" t="s">
        <v>1441</v>
      </c>
      <c r="F3151" s="1047"/>
      <c r="G3151" s="1047"/>
      <c r="H3151" s="1047"/>
      <c r="I3151" s="1047"/>
      <c r="J3151" s="1047"/>
      <c r="K3151" s="1047"/>
      <c r="L3151" s="1047"/>
      <c r="M3151" s="1047"/>
      <c r="N3151" s="1047"/>
      <c r="O3151" s="1047"/>
      <c r="P3151" s="1047"/>
      <c r="Q3151" s="1047"/>
      <c r="R3151" s="1047"/>
      <c r="S3151" s="1047"/>
      <c r="T3151" s="1047"/>
      <c r="U3151" s="1047"/>
      <c r="V3151" s="1047"/>
      <c r="W3151" s="1047"/>
      <c r="X3151" s="1047"/>
      <c r="Y3151" s="1047"/>
      <c r="Z3151" s="1047"/>
      <c r="AA3151" s="1047"/>
      <c r="AB3151" s="1070"/>
      <c r="AC3151" s="1070"/>
      <c r="AD3151" s="1070"/>
      <c r="AE3151" s="1070"/>
      <c r="AF3151" s="1070"/>
      <c r="AG3151" s="1070"/>
      <c r="AH3151" s="1070"/>
      <c r="AI3151" s="1070"/>
      <c r="AJ3151" s="1058"/>
      <c r="AK3151" s="1058"/>
      <c r="AL3151" s="1058">
        <v>0</v>
      </c>
      <c r="AM3151" s="1058">
        <v>0</v>
      </c>
      <c r="AN3151" s="1058">
        <v>0</v>
      </c>
      <c r="AO3151" s="1058">
        <v>0</v>
      </c>
      <c r="AP3151" s="1058">
        <v>0</v>
      </c>
      <c r="AQ3151" s="1058">
        <v>0</v>
      </c>
    </row>
    <row r="3152" spans="2:43" s="1044" customFormat="1" hidden="1" outlineLevel="1">
      <c r="B3152" s="1045"/>
      <c r="C3152" s="1053" t="s">
        <v>16</v>
      </c>
      <c r="D3152" s="868" t="s">
        <v>2100</v>
      </c>
      <c r="E3152" s="1047" t="s">
        <v>1442</v>
      </c>
      <c r="F3152" s="1047"/>
      <c r="G3152" s="1047"/>
      <c r="H3152" s="1047"/>
      <c r="I3152" s="1047"/>
      <c r="J3152" s="1047"/>
      <c r="K3152" s="1047"/>
      <c r="L3152" s="1047"/>
      <c r="M3152" s="1047"/>
      <c r="N3152" s="1047"/>
      <c r="O3152" s="1047"/>
      <c r="P3152" s="1047"/>
      <c r="Q3152" s="1047"/>
      <c r="R3152" s="1047"/>
      <c r="S3152" s="1047"/>
      <c r="T3152" s="1047"/>
      <c r="U3152" s="1047"/>
      <c r="V3152" s="1047"/>
      <c r="W3152" s="1047"/>
      <c r="X3152" s="1047"/>
      <c r="Y3152" s="1047"/>
      <c r="Z3152" s="1047"/>
      <c r="AA3152" s="1047"/>
      <c r="AB3152" s="1070"/>
      <c r="AC3152" s="1070"/>
      <c r="AD3152" s="1070"/>
      <c r="AE3152" s="1070"/>
      <c r="AF3152" s="1070"/>
      <c r="AG3152" s="1070"/>
      <c r="AH3152" s="1070"/>
      <c r="AI3152" s="1070"/>
      <c r="AJ3152" s="1058"/>
      <c r="AK3152" s="1058"/>
      <c r="AL3152" s="1058">
        <v>0</v>
      </c>
      <c r="AM3152" s="1058">
        <v>0</v>
      </c>
      <c r="AN3152" s="1058">
        <v>0</v>
      </c>
      <c r="AO3152" s="1058">
        <v>0</v>
      </c>
      <c r="AP3152" s="1058">
        <v>0</v>
      </c>
      <c r="AQ3152" s="1058">
        <v>0</v>
      </c>
    </row>
    <row r="3153" spans="2:43" s="1044" customFormat="1" hidden="1" outlineLevel="1">
      <c r="B3153" s="1045"/>
      <c r="C3153" s="1053" t="s">
        <v>16</v>
      </c>
      <c r="D3153" s="868" t="s">
        <v>2100</v>
      </c>
      <c r="E3153" s="1047" t="s">
        <v>1443</v>
      </c>
      <c r="F3153" s="1047"/>
      <c r="G3153" s="1047"/>
      <c r="H3153" s="1047"/>
      <c r="I3153" s="1047"/>
      <c r="J3153" s="1047"/>
      <c r="K3153" s="1047"/>
      <c r="L3153" s="1047"/>
      <c r="M3153" s="1047"/>
      <c r="N3153" s="1047"/>
      <c r="O3153" s="1047"/>
      <c r="P3153" s="1047"/>
      <c r="Q3153" s="1047"/>
      <c r="R3153" s="1047"/>
      <c r="S3153" s="1047"/>
      <c r="T3153" s="1047"/>
      <c r="U3153" s="1047"/>
      <c r="V3153" s="1047"/>
      <c r="W3153" s="1047"/>
      <c r="X3153" s="1047"/>
      <c r="Y3153" s="1047"/>
      <c r="Z3153" s="1047"/>
      <c r="AA3153" s="1047"/>
      <c r="AB3153" s="1070"/>
      <c r="AC3153" s="1070"/>
      <c r="AD3153" s="1070"/>
      <c r="AE3153" s="1070"/>
      <c r="AF3153" s="1070"/>
      <c r="AG3153" s="1070"/>
      <c r="AH3153" s="1070"/>
      <c r="AI3153" s="1070"/>
      <c r="AJ3153" s="1058"/>
      <c r="AK3153" s="1058"/>
      <c r="AL3153" s="1058">
        <v>0</v>
      </c>
      <c r="AM3153" s="1058">
        <v>0</v>
      </c>
      <c r="AN3153" s="1058">
        <v>0</v>
      </c>
      <c r="AO3153" s="1058">
        <v>0</v>
      </c>
      <c r="AP3153" s="1058">
        <v>0</v>
      </c>
      <c r="AQ3153" s="1058">
        <v>0</v>
      </c>
    </row>
    <row r="3154" spans="2:43" s="1044" customFormat="1" hidden="1" outlineLevel="1">
      <c r="B3154" s="1045"/>
      <c r="C3154" s="1053" t="s">
        <v>16</v>
      </c>
      <c r="D3154" s="868" t="s">
        <v>2100</v>
      </c>
      <c r="E3154" s="1047" t="s">
        <v>1444</v>
      </c>
      <c r="F3154" s="1047"/>
      <c r="G3154" s="1047"/>
      <c r="H3154" s="1047"/>
      <c r="I3154" s="1047"/>
      <c r="J3154" s="1047"/>
      <c r="K3154" s="1047"/>
      <c r="L3154" s="1047"/>
      <c r="M3154" s="1047"/>
      <c r="N3154" s="1047"/>
      <c r="O3154" s="1047"/>
      <c r="P3154" s="1047"/>
      <c r="Q3154" s="1047"/>
      <c r="R3154" s="1047"/>
      <c r="S3154" s="1047"/>
      <c r="T3154" s="1047"/>
      <c r="U3154" s="1047"/>
      <c r="V3154" s="1047"/>
      <c r="W3154" s="1047"/>
      <c r="X3154" s="1047"/>
      <c r="Y3154" s="1047"/>
      <c r="Z3154" s="1047"/>
      <c r="AA3154" s="1047"/>
      <c r="AB3154" s="1070"/>
      <c r="AC3154" s="1070"/>
      <c r="AD3154" s="1070"/>
      <c r="AE3154" s="1070"/>
      <c r="AF3154" s="1070"/>
      <c r="AG3154" s="1070"/>
      <c r="AH3154" s="1070"/>
      <c r="AI3154" s="1070"/>
      <c r="AJ3154" s="1058"/>
      <c r="AK3154" s="1058"/>
      <c r="AL3154" s="1058">
        <v>0</v>
      </c>
      <c r="AM3154" s="1058">
        <v>0</v>
      </c>
      <c r="AN3154" s="1058">
        <v>0</v>
      </c>
      <c r="AO3154" s="1058">
        <v>0</v>
      </c>
      <c r="AP3154" s="1058">
        <v>0</v>
      </c>
      <c r="AQ3154" s="1058">
        <v>0</v>
      </c>
    </row>
    <row r="3155" spans="2:43" s="1044" customFormat="1" hidden="1" outlineLevel="1">
      <c r="B3155" s="1045"/>
      <c r="C3155" s="1053" t="s">
        <v>16</v>
      </c>
      <c r="D3155" s="868" t="s">
        <v>2100</v>
      </c>
      <c r="E3155" s="1047" t="s">
        <v>1445</v>
      </c>
      <c r="F3155" s="1047"/>
      <c r="G3155" s="1047"/>
      <c r="H3155" s="1047"/>
      <c r="I3155" s="1047"/>
      <c r="J3155" s="1047"/>
      <c r="K3155" s="1047"/>
      <c r="L3155" s="1047"/>
      <c r="M3155" s="1047"/>
      <c r="N3155" s="1047"/>
      <c r="O3155" s="1047"/>
      <c r="P3155" s="1047"/>
      <c r="Q3155" s="1047"/>
      <c r="R3155" s="1047"/>
      <c r="S3155" s="1047"/>
      <c r="T3155" s="1047"/>
      <c r="U3155" s="1047"/>
      <c r="V3155" s="1047"/>
      <c r="W3155" s="1047"/>
      <c r="X3155" s="1047"/>
      <c r="Y3155" s="1047"/>
      <c r="Z3155" s="1047"/>
      <c r="AA3155" s="1047"/>
      <c r="AB3155" s="1070"/>
      <c r="AC3155" s="1070"/>
      <c r="AD3155" s="1070"/>
      <c r="AE3155" s="1070"/>
      <c r="AF3155" s="1070"/>
      <c r="AG3155" s="1070"/>
      <c r="AH3155" s="1070"/>
      <c r="AI3155" s="1070"/>
      <c r="AJ3155" s="1058"/>
      <c r="AK3155" s="1058"/>
      <c r="AL3155" s="1058">
        <v>0</v>
      </c>
      <c r="AM3155" s="1058">
        <v>0</v>
      </c>
      <c r="AN3155" s="1058">
        <v>0</v>
      </c>
      <c r="AO3155" s="1058">
        <v>0</v>
      </c>
      <c r="AP3155" s="1058">
        <v>0</v>
      </c>
      <c r="AQ3155" s="1058">
        <v>0</v>
      </c>
    </row>
    <row r="3156" spans="2:43" s="1044" customFormat="1" hidden="1" outlineLevel="1">
      <c r="B3156" s="1045"/>
      <c r="C3156" s="1053" t="s">
        <v>16</v>
      </c>
      <c r="D3156" s="868" t="s">
        <v>2100</v>
      </c>
      <c r="E3156" s="1047" t="s">
        <v>1852</v>
      </c>
      <c r="F3156" s="1047"/>
      <c r="G3156" s="1047"/>
      <c r="H3156" s="1047"/>
      <c r="I3156" s="1047"/>
      <c r="J3156" s="1047"/>
      <c r="K3156" s="1047"/>
      <c r="L3156" s="1047"/>
      <c r="M3156" s="1047"/>
      <c r="N3156" s="1047"/>
      <c r="O3156" s="1047"/>
      <c r="P3156" s="1047"/>
      <c r="Q3156" s="1047"/>
      <c r="R3156" s="1047"/>
      <c r="S3156" s="1047"/>
      <c r="T3156" s="1047"/>
      <c r="U3156" s="1047"/>
      <c r="V3156" s="1047"/>
      <c r="W3156" s="1047"/>
      <c r="X3156" s="1047"/>
      <c r="Y3156" s="1047"/>
      <c r="Z3156" s="1047"/>
      <c r="AA3156" s="1047"/>
      <c r="AB3156" s="1070"/>
      <c r="AC3156" s="1070"/>
      <c r="AD3156" s="1070"/>
      <c r="AE3156" s="1070"/>
      <c r="AF3156" s="1070"/>
      <c r="AG3156" s="1070"/>
      <c r="AH3156" s="1070"/>
      <c r="AI3156" s="1070"/>
      <c r="AJ3156" s="1058"/>
      <c r="AK3156" s="1058"/>
      <c r="AL3156" s="1058">
        <v>0</v>
      </c>
      <c r="AM3156" s="1058">
        <v>0</v>
      </c>
      <c r="AN3156" s="1058">
        <v>0</v>
      </c>
      <c r="AO3156" s="1058">
        <v>0</v>
      </c>
      <c r="AP3156" s="1058">
        <v>0</v>
      </c>
      <c r="AQ3156" s="1058">
        <v>0</v>
      </c>
    </row>
    <row r="3157" spans="2:43" s="1044" customFormat="1" hidden="1" outlineLevel="1">
      <c r="B3157" s="1045"/>
      <c r="C3157" s="1053" t="s">
        <v>16</v>
      </c>
      <c r="D3157" s="868" t="s">
        <v>2100</v>
      </c>
      <c r="E3157" s="1047" t="s">
        <v>1853</v>
      </c>
      <c r="F3157" s="1047"/>
      <c r="G3157" s="1047"/>
      <c r="H3157" s="1047"/>
      <c r="I3157" s="1047"/>
      <c r="J3157" s="1047"/>
      <c r="K3157" s="1047"/>
      <c r="L3157" s="1047"/>
      <c r="M3157" s="1047"/>
      <c r="N3157" s="1047"/>
      <c r="O3157" s="1047"/>
      <c r="P3157" s="1047"/>
      <c r="Q3157" s="1047"/>
      <c r="R3157" s="1047"/>
      <c r="S3157" s="1047"/>
      <c r="T3157" s="1047"/>
      <c r="U3157" s="1047"/>
      <c r="V3157" s="1047"/>
      <c r="W3157" s="1047"/>
      <c r="X3157" s="1047"/>
      <c r="Y3157" s="1047"/>
      <c r="Z3157" s="1047"/>
      <c r="AA3157" s="1047"/>
      <c r="AB3157" s="1070"/>
      <c r="AC3157" s="1070"/>
      <c r="AD3157" s="1070"/>
      <c r="AE3157" s="1070"/>
      <c r="AF3157" s="1070"/>
      <c r="AG3157" s="1070"/>
      <c r="AH3157" s="1070"/>
      <c r="AI3157" s="1070"/>
      <c r="AJ3157" s="1058"/>
      <c r="AK3157" s="1058"/>
      <c r="AL3157" s="1058">
        <v>0</v>
      </c>
      <c r="AM3157" s="1058">
        <v>0</v>
      </c>
      <c r="AN3157" s="1058">
        <v>0</v>
      </c>
      <c r="AO3157" s="1058">
        <v>0</v>
      </c>
      <c r="AP3157" s="1058">
        <v>0</v>
      </c>
      <c r="AQ3157" s="1058">
        <v>0</v>
      </c>
    </row>
    <row r="3158" spans="2:43" s="1044" customFormat="1" hidden="1" outlineLevel="1">
      <c r="B3158" s="1045"/>
      <c r="C3158" s="1053" t="s">
        <v>16</v>
      </c>
      <c r="D3158" s="615" t="s">
        <v>1541</v>
      </c>
      <c r="E3158" s="1047" t="s">
        <v>83</v>
      </c>
      <c r="F3158" s="1047"/>
      <c r="G3158" s="1047"/>
      <c r="H3158" s="1047"/>
      <c r="I3158" s="1047"/>
      <c r="J3158" s="1047"/>
      <c r="K3158" s="1047"/>
      <c r="L3158" s="1047"/>
      <c r="M3158" s="1047"/>
      <c r="N3158" s="1047"/>
      <c r="O3158" s="1047"/>
      <c r="P3158" s="1047"/>
      <c r="Q3158" s="1047"/>
      <c r="R3158" s="1047"/>
      <c r="S3158" s="1047"/>
      <c r="T3158" s="1047"/>
      <c r="U3158" s="1047"/>
      <c r="V3158" s="1047"/>
      <c r="W3158" s="1047"/>
      <c r="X3158" s="1047"/>
      <c r="Y3158" s="1047"/>
      <c r="Z3158" s="1047"/>
      <c r="AA3158" s="1047"/>
      <c r="AB3158" s="1070"/>
      <c r="AC3158" s="1070"/>
      <c r="AD3158" s="1070"/>
      <c r="AE3158" s="1070"/>
      <c r="AF3158" s="1070"/>
      <c r="AG3158" s="1070"/>
      <c r="AH3158" s="1070"/>
      <c r="AI3158" s="1070"/>
      <c r="AJ3158" s="1058"/>
      <c r="AK3158" s="1058"/>
      <c r="AL3158" s="1058">
        <v>0</v>
      </c>
      <c r="AM3158" s="1058">
        <v>0</v>
      </c>
      <c r="AN3158" s="1058">
        <v>0</v>
      </c>
      <c r="AO3158" s="1058">
        <v>0</v>
      </c>
      <c r="AP3158" s="1058">
        <v>0</v>
      </c>
      <c r="AQ3158" s="1058">
        <v>0</v>
      </c>
    </row>
    <row r="3159" spans="2:43" s="1044" customFormat="1" hidden="1" outlineLevel="1">
      <c r="B3159" s="1045"/>
      <c r="C3159" s="1053" t="s">
        <v>16</v>
      </c>
      <c r="D3159" s="615" t="s">
        <v>1541</v>
      </c>
      <c r="E3159" s="1047" t="s">
        <v>84</v>
      </c>
      <c r="F3159" s="1047"/>
      <c r="G3159" s="1047"/>
      <c r="H3159" s="1047"/>
      <c r="I3159" s="1047"/>
      <c r="J3159" s="1047"/>
      <c r="K3159" s="1047"/>
      <c r="L3159" s="1047"/>
      <c r="M3159" s="1047"/>
      <c r="N3159" s="1047"/>
      <c r="O3159" s="1047"/>
      <c r="P3159" s="1047"/>
      <c r="Q3159" s="1047"/>
      <c r="R3159" s="1047"/>
      <c r="S3159" s="1047"/>
      <c r="T3159" s="1047"/>
      <c r="U3159" s="1047"/>
      <c r="V3159" s="1047"/>
      <c r="W3159" s="1047"/>
      <c r="X3159" s="1047"/>
      <c r="Y3159" s="1047"/>
      <c r="Z3159" s="1047"/>
      <c r="AA3159" s="1047"/>
      <c r="AB3159" s="1070"/>
      <c r="AC3159" s="1070"/>
      <c r="AD3159" s="1070"/>
      <c r="AE3159" s="1070"/>
      <c r="AF3159" s="1070"/>
      <c r="AG3159" s="1070"/>
      <c r="AH3159" s="1070"/>
      <c r="AI3159" s="1070"/>
      <c r="AJ3159" s="1058"/>
      <c r="AK3159" s="1058"/>
      <c r="AL3159" s="1058">
        <v>22000</v>
      </c>
      <c r="AM3159" s="1058">
        <v>22000</v>
      </c>
      <c r="AN3159" s="1058">
        <v>22000</v>
      </c>
      <c r="AO3159" s="1058">
        <v>22000</v>
      </c>
      <c r="AP3159" s="1058">
        <v>22000</v>
      </c>
      <c r="AQ3159" s="1058">
        <v>22000</v>
      </c>
    </row>
    <row r="3160" spans="2:43" s="1044" customFormat="1" hidden="1" outlineLevel="1">
      <c r="B3160" s="1045"/>
      <c r="C3160" s="1053" t="s">
        <v>16</v>
      </c>
      <c r="D3160" s="615" t="s">
        <v>1541</v>
      </c>
      <c r="E3160" s="1047" t="s">
        <v>85</v>
      </c>
      <c r="F3160" s="1047"/>
      <c r="G3160" s="1047"/>
      <c r="H3160" s="1047"/>
      <c r="I3160" s="1047"/>
      <c r="J3160" s="1047"/>
      <c r="K3160" s="1047"/>
      <c r="L3160" s="1047"/>
      <c r="M3160" s="1047"/>
      <c r="N3160" s="1047"/>
      <c r="O3160" s="1047"/>
      <c r="P3160" s="1047"/>
      <c r="Q3160" s="1047"/>
      <c r="R3160" s="1047"/>
      <c r="S3160" s="1047"/>
      <c r="T3160" s="1047"/>
      <c r="U3160" s="1047"/>
      <c r="V3160" s="1047"/>
      <c r="W3160" s="1047"/>
      <c r="X3160" s="1047"/>
      <c r="Y3160" s="1047"/>
      <c r="Z3160" s="1047"/>
      <c r="AA3160" s="1047"/>
      <c r="AB3160" s="1070"/>
      <c r="AC3160" s="1070"/>
      <c r="AD3160" s="1070"/>
      <c r="AE3160" s="1070"/>
      <c r="AF3160" s="1070"/>
      <c r="AG3160" s="1070"/>
      <c r="AH3160" s="1070"/>
      <c r="AI3160" s="1070"/>
      <c r="AJ3160" s="1058"/>
      <c r="AK3160" s="1058"/>
      <c r="AL3160" s="1058">
        <v>0</v>
      </c>
      <c r="AM3160" s="1058">
        <v>0</v>
      </c>
      <c r="AN3160" s="1058">
        <v>0</v>
      </c>
      <c r="AO3160" s="1058">
        <v>0</v>
      </c>
      <c r="AP3160" s="1058">
        <v>0</v>
      </c>
      <c r="AQ3160" s="1058">
        <v>0</v>
      </c>
    </row>
    <row r="3161" spans="2:43" s="1044" customFormat="1" hidden="1" outlineLevel="1">
      <c r="B3161" s="1045"/>
      <c r="C3161" s="1053" t="s">
        <v>16</v>
      </c>
      <c r="D3161" s="615" t="s">
        <v>1541</v>
      </c>
      <c r="E3161" s="1047" t="s">
        <v>86</v>
      </c>
      <c r="F3161" s="1047"/>
      <c r="G3161" s="1047"/>
      <c r="H3161" s="1047"/>
      <c r="I3161" s="1047"/>
      <c r="J3161" s="1047"/>
      <c r="K3161" s="1047"/>
      <c r="L3161" s="1047"/>
      <c r="M3161" s="1047"/>
      <c r="N3161" s="1047"/>
      <c r="O3161" s="1047"/>
      <c r="P3161" s="1047"/>
      <c r="Q3161" s="1047"/>
      <c r="R3161" s="1047"/>
      <c r="S3161" s="1047"/>
      <c r="T3161" s="1047"/>
      <c r="U3161" s="1047"/>
      <c r="V3161" s="1047"/>
      <c r="W3161" s="1047"/>
      <c r="X3161" s="1047"/>
      <c r="Y3161" s="1047"/>
      <c r="Z3161" s="1047"/>
      <c r="AA3161" s="1047"/>
      <c r="AB3161" s="1070"/>
      <c r="AC3161" s="1070"/>
      <c r="AD3161" s="1070"/>
      <c r="AE3161" s="1070"/>
      <c r="AF3161" s="1070"/>
      <c r="AG3161" s="1070"/>
      <c r="AH3161" s="1070"/>
      <c r="AI3161" s="1070"/>
      <c r="AJ3161" s="1058"/>
      <c r="AK3161" s="1058"/>
      <c r="AL3161" s="1058">
        <v>0</v>
      </c>
      <c r="AM3161" s="1058">
        <v>0</v>
      </c>
      <c r="AN3161" s="1058">
        <v>0</v>
      </c>
      <c r="AO3161" s="1058">
        <v>0</v>
      </c>
      <c r="AP3161" s="1058">
        <v>0</v>
      </c>
      <c r="AQ3161" s="1058">
        <v>0</v>
      </c>
    </row>
    <row r="3162" spans="2:43" s="1044" customFormat="1" hidden="1" outlineLevel="1">
      <c r="B3162" s="1045"/>
      <c r="C3162" s="1053" t="s">
        <v>16</v>
      </c>
      <c r="D3162" s="615" t="s">
        <v>1541</v>
      </c>
      <c r="E3162" s="1047" t="s">
        <v>87</v>
      </c>
      <c r="F3162" s="1047"/>
      <c r="G3162" s="1047"/>
      <c r="H3162" s="1047"/>
      <c r="I3162" s="1047"/>
      <c r="J3162" s="1047"/>
      <c r="K3162" s="1047"/>
      <c r="L3162" s="1047"/>
      <c r="M3162" s="1047"/>
      <c r="N3162" s="1047"/>
      <c r="O3162" s="1047"/>
      <c r="P3162" s="1047"/>
      <c r="Q3162" s="1047"/>
      <c r="R3162" s="1047"/>
      <c r="S3162" s="1047"/>
      <c r="T3162" s="1047"/>
      <c r="U3162" s="1047"/>
      <c r="V3162" s="1047"/>
      <c r="W3162" s="1047"/>
      <c r="X3162" s="1047"/>
      <c r="Y3162" s="1047"/>
      <c r="Z3162" s="1047"/>
      <c r="AA3162" s="1047"/>
      <c r="AB3162" s="1070"/>
      <c r="AC3162" s="1070"/>
      <c r="AD3162" s="1070"/>
      <c r="AE3162" s="1070"/>
      <c r="AF3162" s="1070"/>
      <c r="AG3162" s="1070"/>
      <c r="AH3162" s="1070"/>
      <c r="AI3162" s="1070"/>
      <c r="AJ3162" s="1058"/>
      <c r="AK3162" s="1058"/>
      <c r="AL3162" s="1058">
        <v>0</v>
      </c>
      <c r="AM3162" s="1058">
        <v>0</v>
      </c>
      <c r="AN3162" s="1058">
        <v>0</v>
      </c>
      <c r="AO3162" s="1058">
        <v>0</v>
      </c>
      <c r="AP3162" s="1058">
        <v>0</v>
      </c>
      <c r="AQ3162" s="1058">
        <v>0</v>
      </c>
    </row>
    <row r="3163" spans="2:43" s="1044" customFormat="1" hidden="1" outlineLevel="1">
      <c r="B3163" s="1045"/>
      <c r="C3163" s="1053" t="s">
        <v>16</v>
      </c>
      <c r="D3163" s="615" t="s">
        <v>1541</v>
      </c>
      <c r="E3163" s="1047" t="s">
        <v>88</v>
      </c>
      <c r="F3163" s="1047"/>
      <c r="G3163" s="1047"/>
      <c r="H3163" s="1047"/>
      <c r="I3163" s="1047"/>
      <c r="J3163" s="1047"/>
      <c r="K3163" s="1047"/>
      <c r="L3163" s="1047"/>
      <c r="M3163" s="1047"/>
      <c r="N3163" s="1047"/>
      <c r="O3163" s="1047"/>
      <c r="P3163" s="1047"/>
      <c r="Q3163" s="1047"/>
      <c r="R3163" s="1047"/>
      <c r="S3163" s="1047"/>
      <c r="T3163" s="1047"/>
      <c r="U3163" s="1047"/>
      <c r="V3163" s="1047"/>
      <c r="W3163" s="1047"/>
      <c r="X3163" s="1047"/>
      <c r="Y3163" s="1047"/>
      <c r="Z3163" s="1047"/>
      <c r="AA3163" s="1047"/>
      <c r="AB3163" s="1070"/>
      <c r="AC3163" s="1070"/>
      <c r="AD3163" s="1070"/>
      <c r="AE3163" s="1070"/>
      <c r="AF3163" s="1070"/>
      <c r="AG3163" s="1070"/>
      <c r="AH3163" s="1070"/>
      <c r="AI3163" s="1070"/>
      <c r="AJ3163" s="1058"/>
      <c r="AK3163" s="1058"/>
      <c r="AL3163" s="1058">
        <v>0</v>
      </c>
      <c r="AM3163" s="1058">
        <v>0</v>
      </c>
      <c r="AN3163" s="1058">
        <v>0</v>
      </c>
      <c r="AO3163" s="1058">
        <v>0</v>
      </c>
      <c r="AP3163" s="1058">
        <v>0</v>
      </c>
      <c r="AQ3163" s="1058">
        <v>0</v>
      </c>
    </row>
    <row r="3164" spans="2:43" s="1044" customFormat="1" hidden="1" outlineLevel="1">
      <c r="B3164" s="1045"/>
      <c r="C3164" s="1053" t="s">
        <v>16</v>
      </c>
      <c r="D3164" s="615" t="s">
        <v>1541</v>
      </c>
      <c r="E3164" s="1047" t="s">
        <v>89</v>
      </c>
      <c r="F3164" s="1047"/>
      <c r="G3164" s="1047"/>
      <c r="H3164" s="1047"/>
      <c r="I3164" s="1047"/>
      <c r="J3164" s="1047"/>
      <c r="K3164" s="1047"/>
      <c r="L3164" s="1047"/>
      <c r="M3164" s="1047"/>
      <c r="N3164" s="1047"/>
      <c r="O3164" s="1047"/>
      <c r="P3164" s="1047"/>
      <c r="Q3164" s="1047"/>
      <c r="R3164" s="1047"/>
      <c r="S3164" s="1047"/>
      <c r="T3164" s="1047"/>
      <c r="U3164" s="1047"/>
      <c r="V3164" s="1047"/>
      <c r="W3164" s="1047"/>
      <c r="X3164" s="1047"/>
      <c r="Y3164" s="1047"/>
      <c r="Z3164" s="1047"/>
      <c r="AA3164" s="1047"/>
      <c r="AB3164" s="1070"/>
      <c r="AC3164" s="1070"/>
      <c r="AD3164" s="1070"/>
      <c r="AE3164" s="1070"/>
      <c r="AF3164" s="1070"/>
      <c r="AG3164" s="1070"/>
      <c r="AH3164" s="1070"/>
      <c r="AI3164" s="1070"/>
      <c r="AJ3164" s="1058"/>
      <c r="AK3164" s="1058"/>
      <c r="AL3164" s="1058">
        <v>0</v>
      </c>
      <c r="AM3164" s="1058">
        <v>0</v>
      </c>
      <c r="AN3164" s="1058">
        <v>0</v>
      </c>
      <c r="AO3164" s="1058">
        <v>0</v>
      </c>
      <c r="AP3164" s="1058">
        <v>0</v>
      </c>
      <c r="AQ3164" s="1058">
        <v>0</v>
      </c>
    </row>
    <row r="3165" spans="2:43" s="1044" customFormat="1" hidden="1" outlineLevel="1">
      <c r="B3165" s="1045"/>
      <c r="C3165" s="1053" t="s">
        <v>16</v>
      </c>
      <c r="D3165" s="615" t="s">
        <v>1541</v>
      </c>
      <c r="E3165" s="1047" t="s">
        <v>2046</v>
      </c>
      <c r="F3165" s="1047"/>
      <c r="G3165" s="1047"/>
      <c r="H3165" s="1047"/>
      <c r="I3165" s="1047"/>
      <c r="J3165" s="1047"/>
      <c r="K3165" s="1047"/>
      <c r="L3165" s="1047"/>
      <c r="M3165" s="1047"/>
      <c r="N3165" s="1047"/>
      <c r="O3165" s="1047"/>
      <c r="P3165" s="1047"/>
      <c r="Q3165" s="1047"/>
      <c r="R3165" s="1047"/>
      <c r="S3165" s="1047"/>
      <c r="T3165" s="1047"/>
      <c r="U3165" s="1047"/>
      <c r="V3165" s="1047"/>
      <c r="W3165" s="1047"/>
      <c r="X3165" s="1047"/>
      <c r="Y3165" s="1047"/>
      <c r="Z3165" s="1047"/>
      <c r="AA3165" s="1047"/>
      <c r="AB3165" s="1070"/>
      <c r="AC3165" s="1070"/>
      <c r="AD3165" s="1070"/>
      <c r="AE3165" s="1070"/>
      <c r="AF3165" s="1070"/>
      <c r="AG3165" s="1070"/>
      <c r="AH3165" s="1070"/>
      <c r="AI3165" s="1070"/>
      <c r="AJ3165" s="1058"/>
      <c r="AK3165" s="1058"/>
      <c r="AL3165" s="1058">
        <v>0</v>
      </c>
      <c r="AM3165" s="1058">
        <v>0</v>
      </c>
      <c r="AN3165" s="1058">
        <v>0</v>
      </c>
      <c r="AO3165" s="1058">
        <v>0</v>
      </c>
      <c r="AP3165" s="1058">
        <v>0</v>
      </c>
      <c r="AQ3165" s="1058">
        <v>0</v>
      </c>
    </row>
    <row r="3166" spans="2:43" s="1044" customFormat="1" hidden="1" outlineLevel="1">
      <c r="B3166" s="1045"/>
      <c r="C3166" s="1053" t="s">
        <v>16</v>
      </c>
      <c r="D3166" s="1030"/>
      <c r="E3166" s="968" t="s">
        <v>2119</v>
      </c>
      <c r="F3166" s="968"/>
      <c r="G3166" s="968"/>
      <c r="H3166" s="968"/>
      <c r="I3166" s="968"/>
      <c r="J3166" s="968"/>
      <c r="K3166" s="968"/>
      <c r="L3166" s="968"/>
      <c r="M3166" s="968"/>
      <c r="N3166" s="968"/>
      <c r="O3166" s="968"/>
      <c r="P3166" s="968"/>
      <c r="Q3166" s="968"/>
      <c r="R3166" s="968"/>
      <c r="S3166" s="968"/>
      <c r="T3166" s="968"/>
      <c r="U3166" s="968"/>
      <c r="V3166" s="968"/>
      <c r="W3166" s="968"/>
      <c r="X3166" s="968"/>
      <c r="Y3166" s="968"/>
      <c r="Z3166" s="968"/>
      <c r="AA3166" s="968"/>
      <c r="AB3166" s="1073"/>
      <c r="AC3166" s="1073"/>
      <c r="AD3166" s="1073">
        <f t="shared" ref="AD3166:AK3166" si="488">SUM(AD3090:AD3165)</f>
        <v>0</v>
      </c>
      <c r="AE3166" s="1073">
        <f t="shared" si="488"/>
        <v>0</v>
      </c>
      <c r="AF3166" s="1073">
        <f t="shared" si="488"/>
        <v>0</v>
      </c>
      <c r="AG3166" s="1073">
        <f t="shared" si="488"/>
        <v>0</v>
      </c>
      <c r="AH3166" s="1073">
        <f t="shared" si="488"/>
        <v>0</v>
      </c>
      <c r="AI3166" s="1073">
        <f t="shared" si="488"/>
        <v>0</v>
      </c>
      <c r="AJ3166" s="1073">
        <f t="shared" si="488"/>
        <v>0</v>
      </c>
      <c r="AK3166" s="1073">
        <f t="shared" si="488"/>
        <v>0</v>
      </c>
      <c r="AL3166" s="1073">
        <f t="shared" ref="AL3166:AP3166" si="489">SUM(AL3091:AL3165)</f>
        <v>436588</v>
      </c>
      <c r="AM3166" s="1073">
        <f t="shared" si="489"/>
        <v>436588</v>
      </c>
      <c r="AN3166" s="1073">
        <f t="shared" si="489"/>
        <v>427293</v>
      </c>
      <c r="AO3166" s="1073">
        <f t="shared" si="489"/>
        <v>427293</v>
      </c>
      <c r="AP3166" s="1073">
        <f t="shared" si="489"/>
        <v>415680</v>
      </c>
      <c r="AQ3166" s="1073">
        <f>SUM(AQ3091:AQ3165)</f>
        <v>415680</v>
      </c>
    </row>
    <row r="3167" spans="2:43" s="1044" customFormat="1" hidden="1" outlineLevel="1">
      <c r="B3167" s="1045"/>
      <c r="C3167" s="1053"/>
      <c r="D3167" s="1048" t="s">
        <v>836</v>
      </c>
      <c r="E3167" s="1048" t="s">
        <v>2120</v>
      </c>
      <c r="F3167" s="1047"/>
      <c r="G3167" s="1047"/>
      <c r="H3167" s="1047"/>
      <c r="I3167" s="1047"/>
      <c r="J3167" s="1047"/>
      <c r="K3167" s="1047"/>
      <c r="L3167" s="1047"/>
      <c r="M3167" s="1047"/>
      <c r="N3167" s="1047"/>
      <c r="O3167" s="1047"/>
      <c r="P3167" s="1047"/>
      <c r="Q3167" s="1047"/>
      <c r="R3167" s="1047"/>
      <c r="S3167" s="1047"/>
      <c r="T3167" s="1047"/>
      <c r="U3167" s="1047"/>
      <c r="V3167" s="1047"/>
      <c r="W3167" s="1047"/>
      <c r="X3167" s="1047"/>
      <c r="Y3167" s="1047"/>
      <c r="Z3167" s="1047"/>
      <c r="AA3167" s="1047"/>
      <c r="AB3167" s="1070"/>
      <c r="AC3167" s="1070"/>
      <c r="AD3167" s="1070"/>
      <c r="AE3167" s="1070"/>
      <c r="AF3167" s="1070"/>
      <c r="AG3167" s="1070"/>
      <c r="AH3167" s="1070"/>
      <c r="AI3167" s="1070"/>
      <c r="AJ3167" s="1070"/>
      <c r="AK3167" s="1070"/>
      <c r="AL3167" s="1070">
        <f t="shared" ref="AL3167:AQ3173" si="490">SUMIF($D$3090:$D$3165,$D3167,AL$3090:AL$3165)</f>
        <v>401186</v>
      </c>
      <c r="AM3167" s="1070">
        <f t="shared" si="490"/>
        <v>401186</v>
      </c>
      <c r="AN3167" s="1070">
        <f t="shared" si="490"/>
        <v>391891</v>
      </c>
      <c r="AO3167" s="1070">
        <f t="shared" si="490"/>
        <v>391891</v>
      </c>
      <c r="AP3167" s="1070">
        <f t="shared" si="490"/>
        <v>380278</v>
      </c>
      <c r="AQ3167" s="1070">
        <f>SUMIF($D$3090:$D$3165,$D3167,AQ$3090:AQ$3165)</f>
        <v>380278</v>
      </c>
    </row>
    <row r="3168" spans="2:43" s="1044" customFormat="1" hidden="1" outlineLevel="1">
      <c r="B3168" s="1045"/>
      <c r="C3168" s="1053"/>
      <c r="D3168" s="1048" t="s">
        <v>958</v>
      </c>
      <c r="E3168" s="1048" t="s">
        <v>2121</v>
      </c>
      <c r="F3168" s="1047"/>
      <c r="G3168" s="1047"/>
      <c r="H3168" s="1047"/>
      <c r="I3168" s="1047"/>
      <c r="J3168" s="1047"/>
      <c r="K3168" s="1047"/>
      <c r="L3168" s="1047"/>
      <c r="M3168" s="1047"/>
      <c r="N3168" s="1047"/>
      <c r="O3168" s="1047"/>
      <c r="P3168" s="1047"/>
      <c r="Q3168" s="1047"/>
      <c r="R3168" s="1047"/>
      <c r="S3168" s="1047"/>
      <c r="T3168" s="1047"/>
      <c r="U3168" s="1047"/>
      <c r="V3168" s="1047"/>
      <c r="W3168" s="1047"/>
      <c r="X3168" s="1047"/>
      <c r="Y3168" s="1047"/>
      <c r="Z3168" s="1047"/>
      <c r="AA3168" s="1047"/>
      <c r="AB3168" s="1070"/>
      <c r="AC3168" s="1070"/>
      <c r="AD3168" s="1070"/>
      <c r="AE3168" s="1070"/>
      <c r="AF3168" s="1070"/>
      <c r="AG3168" s="1070"/>
      <c r="AH3168" s="1070"/>
      <c r="AI3168" s="1070"/>
      <c r="AJ3168" s="1070"/>
      <c r="AK3168" s="1070"/>
      <c r="AL3168" s="1070">
        <f t="shared" si="490"/>
        <v>11238</v>
      </c>
      <c r="AM3168" s="1070">
        <f t="shared" si="490"/>
        <v>11238</v>
      </c>
      <c r="AN3168" s="1070">
        <f t="shared" si="490"/>
        <v>11238</v>
      </c>
      <c r="AO3168" s="1070">
        <f t="shared" si="490"/>
        <v>11238</v>
      </c>
      <c r="AP3168" s="1070">
        <f t="shared" si="490"/>
        <v>11238</v>
      </c>
      <c r="AQ3168" s="1070">
        <f t="shared" si="490"/>
        <v>11238</v>
      </c>
    </row>
    <row r="3169" spans="2:44" s="1044" customFormat="1" ht="12" hidden="1" customHeight="1" outlineLevel="1">
      <c r="B3169" s="1045"/>
      <c r="C3169" s="1053"/>
      <c r="D3169" s="1048" t="s">
        <v>1498</v>
      </c>
      <c r="E3169" s="1048" t="s">
        <v>2122</v>
      </c>
      <c r="F3169" s="1047"/>
      <c r="G3169" s="1047"/>
      <c r="H3169" s="1047"/>
      <c r="I3169" s="1047"/>
      <c r="J3169" s="1047"/>
      <c r="K3169" s="1047"/>
      <c r="L3169" s="1047"/>
      <c r="M3169" s="1047"/>
      <c r="N3169" s="1047"/>
      <c r="O3169" s="1047"/>
      <c r="P3169" s="1047"/>
      <c r="Q3169" s="1047"/>
      <c r="R3169" s="1047"/>
      <c r="S3169" s="1047"/>
      <c r="T3169" s="1047"/>
      <c r="U3169" s="1047"/>
      <c r="V3169" s="1047"/>
      <c r="W3169" s="1047"/>
      <c r="X3169" s="1047"/>
      <c r="Y3169" s="1047"/>
      <c r="Z3169" s="1047"/>
      <c r="AA3169" s="1047"/>
      <c r="AB3169" s="1070"/>
      <c r="AC3169" s="1070"/>
      <c r="AD3169" s="1070"/>
      <c r="AE3169" s="1070"/>
      <c r="AF3169" s="1070"/>
      <c r="AG3169" s="1070"/>
      <c r="AH3169" s="1070"/>
      <c r="AI3169" s="1070"/>
      <c r="AJ3169" s="1070"/>
      <c r="AK3169" s="1070"/>
      <c r="AL3169" s="1070">
        <f t="shared" si="490"/>
        <v>2164</v>
      </c>
      <c r="AM3169" s="1070">
        <f t="shared" si="490"/>
        <v>2164</v>
      </c>
      <c r="AN3169" s="1070">
        <f t="shared" si="490"/>
        <v>2164</v>
      </c>
      <c r="AO3169" s="1070">
        <f t="shared" si="490"/>
        <v>2164</v>
      </c>
      <c r="AP3169" s="1070">
        <f t="shared" si="490"/>
        <v>2164</v>
      </c>
      <c r="AQ3169" s="1070">
        <f t="shared" si="490"/>
        <v>2164</v>
      </c>
    </row>
    <row r="3170" spans="2:44" s="1044" customFormat="1" hidden="1" outlineLevel="1">
      <c r="B3170" s="1045"/>
      <c r="C3170" s="1053"/>
      <c r="D3170" s="1048" t="s">
        <v>2100</v>
      </c>
      <c r="E3170" s="1048" t="s">
        <v>2123</v>
      </c>
      <c r="F3170" s="1047"/>
      <c r="G3170" s="1047"/>
      <c r="H3170" s="1047"/>
      <c r="I3170" s="1047"/>
      <c r="J3170" s="1047"/>
      <c r="K3170" s="1047"/>
      <c r="L3170" s="1047"/>
      <c r="M3170" s="1047"/>
      <c r="N3170" s="1047"/>
      <c r="O3170" s="1047"/>
      <c r="P3170" s="1047"/>
      <c r="Q3170" s="1047"/>
      <c r="R3170" s="1047"/>
      <c r="S3170" s="1047"/>
      <c r="T3170" s="1047"/>
      <c r="U3170" s="1047"/>
      <c r="V3170" s="1047"/>
      <c r="W3170" s="1047"/>
      <c r="X3170" s="1047"/>
      <c r="Y3170" s="1047"/>
      <c r="Z3170" s="1047"/>
      <c r="AA3170" s="1047"/>
      <c r="AB3170" s="1070"/>
      <c r="AC3170" s="1070"/>
      <c r="AD3170" s="1070"/>
      <c r="AE3170" s="1070"/>
      <c r="AF3170" s="1070"/>
      <c r="AG3170" s="1070"/>
      <c r="AH3170" s="1070"/>
      <c r="AI3170" s="1070"/>
      <c r="AJ3170" s="1070"/>
      <c r="AK3170" s="1070"/>
      <c r="AL3170" s="1070">
        <f t="shared" si="490"/>
        <v>0</v>
      </c>
      <c r="AM3170" s="1070">
        <f t="shared" si="490"/>
        <v>0</v>
      </c>
      <c r="AN3170" s="1070">
        <f t="shared" si="490"/>
        <v>0</v>
      </c>
      <c r="AO3170" s="1070">
        <f t="shared" si="490"/>
        <v>0</v>
      </c>
      <c r="AP3170" s="1070">
        <f t="shared" si="490"/>
        <v>0</v>
      </c>
      <c r="AQ3170" s="1070">
        <f t="shared" si="490"/>
        <v>0</v>
      </c>
    </row>
    <row r="3171" spans="2:44" s="1044" customFormat="1" hidden="1" outlineLevel="1">
      <c r="B3171" s="1045"/>
      <c r="C3171" s="1053"/>
      <c r="D3171" s="1048" t="s">
        <v>2115</v>
      </c>
      <c r="E3171" s="1048" t="s">
        <v>2124</v>
      </c>
      <c r="F3171" s="1047"/>
      <c r="G3171" s="1047"/>
      <c r="H3171" s="1047"/>
      <c r="I3171" s="1047"/>
      <c r="J3171" s="1047"/>
      <c r="K3171" s="1047"/>
      <c r="L3171" s="1047"/>
      <c r="M3171" s="1047"/>
      <c r="N3171" s="1047"/>
      <c r="O3171" s="1047"/>
      <c r="P3171" s="1047"/>
      <c r="Q3171" s="1047"/>
      <c r="R3171" s="1047"/>
      <c r="S3171" s="1047"/>
      <c r="T3171" s="1047"/>
      <c r="U3171" s="1047"/>
      <c r="V3171" s="1047"/>
      <c r="W3171" s="1047"/>
      <c r="X3171" s="1047"/>
      <c r="Y3171" s="1047"/>
      <c r="Z3171" s="1047"/>
      <c r="AA3171" s="1047"/>
      <c r="AB3171" s="1070"/>
      <c r="AC3171" s="1070"/>
      <c r="AD3171" s="1070"/>
      <c r="AE3171" s="1070"/>
      <c r="AF3171" s="1070"/>
      <c r="AG3171" s="1070"/>
      <c r="AH3171" s="1070"/>
      <c r="AI3171" s="1070"/>
      <c r="AJ3171" s="1070"/>
      <c r="AK3171" s="1070"/>
      <c r="AL3171" s="1070">
        <f t="shared" si="490"/>
        <v>0</v>
      </c>
      <c r="AM3171" s="1070">
        <f t="shared" si="490"/>
        <v>0</v>
      </c>
      <c r="AN3171" s="1070">
        <f t="shared" si="490"/>
        <v>0</v>
      </c>
      <c r="AO3171" s="1070">
        <f t="shared" si="490"/>
        <v>0</v>
      </c>
      <c r="AP3171" s="1070">
        <f t="shared" si="490"/>
        <v>0</v>
      </c>
      <c r="AQ3171" s="1070">
        <f t="shared" si="490"/>
        <v>0</v>
      </c>
    </row>
    <row r="3172" spans="2:44" s="1044" customFormat="1" hidden="1" outlineLevel="1">
      <c r="B3172" s="1045"/>
      <c r="C3172" s="1053"/>
      <c r="D3172" s="1048" t="s">
        <v>1542</v>
      </c>
      <c r="E3172" s="1048" t="s">
        <v>2125</v>
      </c>
      <c r="F3172" s="1047"/>
      <c r="G3172" s="1047"/>
      <c r="H3172" s="1047"/>
      <c r="I3172" s="1047"/>
      <c r="J3172" s="1047"/>
      <c r="K3172" s="1047"/>
      <c r="L3172" s="1047"/>
      <c r="M3172" s="1047"/>
      <c r="N3172" s="1047"/>
      <c r="O3172" s="1047"/>
      <c r="P3172" s="1047"/>
      <c r="Q3172" s="1047"/>
      <c r="R3172" s="1047"/>
      <c r="S3172" s="1047"/>
      <c r="T3172" s="1047"/>
      <c r="U3172" s="1047"/>
      <c r="V3172" s="1047"/>
      <c r="W3172" s="1047"/>
      <c r="X3172" s="1047"/>
      <c r="Y3172" s="1047"/>
      <c r="Z3172" s="1047"/>
      <c r="AA3172" s="1047"/>
      <c r="AB3172" s="1070"/>
      <c r="AC3172" s="1070"/>
      <c r="AD3172" s="1070"/>
      <c r="AE3172" s="1070"/>
      <c r="AF3172" s="1070"/>
      <c r="AG3172" s="1070"/>
      <c r="AH3172" s="1070"/>
      <c r="AI3172" s="1070"/>
      <c r="AJ3172" s="1070"/>
      <c r="AK3172" s="1070"/>
      <c r="AL3172" s="1070">
        <f t="shared" si="490"/>
        <v>0</v>
      </c>
      <c r="AM3172" s="1070">
        <f t="shared" si="490"/>
        <v>0</v>
      </c>
      <c r="AN3172" s="1070">
        <f t="shared" si="490"/>
        <v>0</v>
      </c>
      <c r="AO3172" s="1070">
        <f t="shared" si="490"/>
        <v>0</v>
      </c>
      <c r="AP3172" s="1070">
        <f t="shared" si="490"/>
        <v>0</v>
      </c>
      <c r="AQ3172" s="1070">
        <f t="shared" si="490"/>
        <v>0</v>
      </c>
      <c r="AR3172"/>
    </row>
    <row r="3173" spans="2:44" s="1044" customFormat="1" hidden="1" outlineLevel="1">
      <c r="B3173" s="1045"/>
      <c r="C3173" s="1053"/>
      <c r="D3173" s="1048" t="s">
        <v>1541</v>
      </c>
      <c r="E3173" s="1048" t="s">
        <v>2126</v>
      </c>
      <c r="F3173" s="1047"/>
      <c r="G3173" s="1047"/>
      <c r="H3173" s="1047"/>
      <c r="I3173" s="1047"/>
      <c r="J3173" s="1047"/>
      <c r="K3173" s="1047"/>
      <c r="L3173" s="1047"/>
      <c r="M3173" s="1047"/>
      <c r="N3173" s="1047"/>
      <c r="O3173" s="1047"/>
      <c r="P3173" s="1047"/>
      <c r="Q3173" s="1047"/>
      <c r="R3173" s="1047"/>
      <c r="S3173" s="1047"/>
      <c r="T3173" s="1047"/>
      <c r="U3173" s="1047"/>
      <c r="V3173" s="1047"/>
      <c r="W3173" s="1047"/>
      <c r="X3173" s="1047"/>
      <c r="Y3173" s="1047"/>
      <c r="Z3173" s="1047"/>
      <c r="AA3173" s="1047"/>
      <c r="AB3173" s="1070"/>
      <c r="AC3173" s="1070"/>
      <c r="AD3173" s="1070"/>
      <c r="AE3173" s="1070"/>
      <c r="AF3173" s="1070"/>
      <c r="AG3173" s="1070"/>
      <c r="AH3173" s="1070"/>
      <c r="AI3173" s="1070"/>
      <c r="AJ3173" s="1070"/>
      <c r="AK3173" s="1070"/>
      <c r="AL3173" s="1070">
        <f t="shared" si="490"/>
        <v>22000</v>
      </c>
      <c r="AM3173" s="1070">
        <f t="shared" si="490"/>
        <v>22000</v>
      </c>
      <c r="AN3173" s="1070">
        <f t="shared" si="490"/>
        <v>22000</v>
      </c>
      <c r="AO3173" s="1070">
        <f t="shared" si="490"/>
        <v>22000</v>
      </c>
      <c r="AP3173" s="1070">
        <f t="shared" si="490"/>
        <v>22000</v>
      </c>
      <c r="AQ3173" s="1070">
        <f t="shared" si="490"/>
        <v>22000</v>
      </c>
      <c r="AR3173"/>
    </row>
  </sheetData>
  <sortState xmlns:xlrd2="http://schemas.microsoft.com/office/spreadsheetml/2017/richdata2" ref="A2755:AQ2793">
    <sortCondition ref="B2755:B2793"/>
  </sortState>
  <mergeCells count="68">
    <mergeCell ref="AL2211:AM2211"/>
    <mergeCell ref="AJ2211:AK2211"/>
    <mergeCell ref="AH2211:AI2211"/>
    <mergeCell ref="AF2211:AG2211"/>
    <mergeCell ref="AF2196:AG2196"/>
    <mergeCell ref="AH2196:AI2196"/>
    <mergeCell ref="AH2129:AI2129"/>
    <mergeCell ref="AF2129:AG2129"/>
    <mergeCell ref="AF2133:AG2133"/>
    <mergeCell ref="AH2133:AI2133"/>
    <mergeCell ref="AF2143:AG2143"/>
    <mergeCell ref="AH2143:AI2143"/>
    <mergeCell ref="AL2129:AM2129"/>
    <mergeCell ref="AL2133:AM2133"/>
    <mergeCell ref="AL2143:AM2143"/>
    <mergeCell ref="AL2196:AM2196"/>
    <mergeCell ref="AJ2129:AK2129"/>
    <mergeCell ref="AJ2133:AK2133"/>
    <mergeCell ref="AJ2143:AK2143"/>
    <mergeCell ref="AJ2196:AK2196"/>
    <mergeCell ref="AP504:AQ504"/>
    <mergeCell ref="AN504:AO504"/>
    <mergeCell ref="AN837:AO837"/>
    <mergeCell ref="AL504:AM504"/>
    <mergeCell ref="AL837:AM837"/>
    <mergeCell ref="AP837:AQ837"/>
    <mergeCell ref="X590:Y590"/>
    <mergeCell ref="X504:Y504"/>
    <mergeCell ref="AD837:AE837"/>
    <mergeCell ref="AJ504:AK504"/>
    <mergeCell ref="AH504:AI504"/>
    <mergeCell ref="AF504:AG504"/>
    <mergeCell ref="AD504:AE504"/>
    <mergeCell ref="AH424:AI424"/>
    <mergeCell ref="AF889:AI889"/>
    <mergeCell ref="AH837:AI837"/>
    <mergeCell ref="AJ837:AK837"/>
    <mergeCell ref="AH590:AI590"/>
    <mergeCell ref="AF750:AG750"/>
    <mergeCell ref="AH750:AI750"/>
    <mergeCell ref="AH697:AI697"/>
    <mergeCell ref="AH645:AI645"/>
    <mergeCell ref="AD3089:AE3089"/>
    <mergeCell ref="AF3089:AI3089"/>
    <mergeCell ref="AN3089:AO3089"/>
    <mergeCell ref="AP3089:AQ3089"/>
    <mergeCell ref="AP889:AQ889"/>
    <mergeCell ref="AN889:AO889"/>
    <mergeCell ref="AN1549:AO1549"/>
    <mergeCell ref="AP1549:AQ1549"/>
    <mergeCell ref="AN2221:AO2221"/>
    <mergeCell ref="AP2221:AQ2221"/>
    <mergeCell ref="AD889:AE889"/>
    <mergeCell ref="AL2296:AM2296"/>
    <mergeCell ref="AN2296:AO2296"/>
    <mergeCell ref="AP2296:AQ2296"/>
    <mergeCell ref="AN2129:AO2129"/>
    <mergeCell ref="AP2129:AQ2129"/>
    <mergeCell ref="AN2206:AO2206"/>
    <mergeCell ref="AP2206:AQ2206"/>
    <mergeCell ref="AN2211:AO2211"/>
    <mergeCell ref="AP2211:AQ2211"/>
    <mergeCell ref="AN2133:AO2133"/>
    <mergeCell ref="AP2133:AQ2133"/>
    <mergeCell ref="AN2143:AO2143"/>
    <mergeCell ref="AP2143:AQ2143"/>
    <mergeCell ref="AN2196:AO2196"/>
    <mergeCell ref="AP2196:AQ2196"/>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2"/>
  <sheetViews>
    <sheetView showGridLines="0" workbookViewId="0">
      <pane xSplit="3" ySplit="6" topLeftCell="D10" activePane="bottomRight" state="frozen"/>
      <selection pane="topRight" activeCell="C1" sqref="C1"/>
      <selection pane="bottomLeft" activeCell="A7" sqref="A7"/>
      <selection pane="bottomRight" activeCell="D18" sqref="D18"/>
    </sheetView>
  </sheetViews>
  <sheetFormatPr defaultColWidth="9.140625" defaultRowHeight="12.75"/>
  <cols>
    <col min="1" max="1" width="87.28515625" style="1044" customWidth="1"/>
    <col min="2" max="2" width="15.140625" style="834" customWidth="1"/>
    <col min="3" max="3" width="15.140625" style="1044" customWidth="1"/>
    <col min="4" max="4" width="21.5703125" style="1044" customWidth="1"/>
    <col min="5" max="5" width="18.85546875" style="1044" customWidth="1"/>
    <col min="6" max="6" width="19.42578125" style="1044" customWidth="1"/>
    <col min="7" max="7" width="18.28515625" style="1044" customWidth="1"/>
    <col min="8" max="8" width="18.85546875" style="1044" customWidth="1"/>
    <col min="9" max="9" width="66.5703125" style="1044" customWidth="1"/>
    <col min="10" max="16384" width="9.140625" style="1044"/>
  </cols>
  <sheetData>
    <row r="1" spans="1:9" ht="15.75">
      <c r="A1" s="1212" t="s">
        <v>2140</v>
      </c>
      <c r="B1" s="1213"/>
      <c r="C1" s="136"/>
    </row>
    <row r="2" spans="1:9" ht="15" customHeight="1">
      <c r="A2" s="1317" t="s">
        <v>2144</v>
      </c>
      <c r="B2" s="1317"/>
      <c r="C2" s="1317"/>
    </row>
    <row r="3" spans="1:9" ht="15" customHeight="1">
      <c r="A3" s="1317"/>
      <c r="B3" s="1317"/>
      <c r="C3" s="1317"/>
    </row>
    <row r="4" spans="1:9">
      <c r="A4" s="1317"/>
      <c r="B4" s="1317"/>
      <c r="C4" s="1317"/>
      <c r="D4" s="1319" t="s">
        <v>2141</v>
      </c>
      <c r="E4" s="1320"/>
      <c r="F4" s="1320"/>
      <c r="G4" s="1320"/>
      <c r="H4" s="1321"/>
      <c r="I4" s="1325" t="s">
        <v>2133</v>
      </c>
    </row>
    <row r="5" spans="1:9">
      <c r="A5" s="1044" t="s">
        <v>2143</v>
      </c>
      <c r="D5" s="1322"/>
      <c r="E5" s="1323"/>
      <c r="F5" s="1323"/>
      <c r="G5" s="1323"/>
      <c r="H5" s="1324"/>
      <c r="I5" s="1326"/>
    </row>
    <row r="6" spans="1:9" ht="26.25">
      <c r="B6" s="1214" t="s">
        <v>2149</v>
      </c>
      <c r="C6" s="148" t="s">
        <v>2134</v>
      </c>
      <c r="D6" s="1211" t="s">
        <v>2135</v>
      </c>
      <c r="E6" s="1211" t="s">
        <v>2136</v>
      </c>
      <c r="F6" s="1211" t="s">
        <v>2137</v>
      </c>
      <c r="G6" s="1211" t="s">
        <v>2138</v>
      </c>
      <c r="H6" s="1211" t="s">
        <v>2139</v>
      </c>
    </row>
    <row r="8" spans="1:9">
      <c r="A8" s="1053" t="s">
        <v>99</v>
      </c>
      <c r="B8" s="1044"/>
      <c r="D8" s="369" t="s">
        <v>1797</v>
      </c>
      <c r="E8" s="369" t="s">
        <v>1796</v>
      </c>
      <c r="F8" s="369" t="s">
        <v>1796</v>
      </c>
      <c r="G8" s="696" t="s">
        <v>2042</v>
      </c>
      <c r="H8" s="696" t="s">
        <v>2042</v>
      </c>
    </row>
    <row r="9" spans="1:9">
      <c r="A9" s="1054" t="s">
        <v>2145</v>
      </c>
      <c r="B9" s="567">
        <v>227</v>
      </c>
      <c r="C9" s="1044" t="s">
        <v>2164</v>
      </c>
      <c r="D9" s="202" t="s">
        <v>2174</v>
      </c>
      <c r="E9" s="202" t="s">
        <v>2174</v>
      </c>
      <c r="F9" s="202" t="s">
        <v>2174</v>
      </c>
      <c r="G9" s="202" t="s">
        <v>2174</v>
      </c>
      <c r="H9" s="202" t="s">
        <v>2174</v>
      </c>
    </row>
    <row r="11" spans="1:9">
      <c r="A11" s="1053" t="s">
        <v>1053</v>
      </c>
      <c r="D11" s="369" t="s">
        <v>1798</v>
      </c>
      <c r="E11" s="369" t="s">
        <v>1854</v>
      </c>
      <c r="F11" s="369" t="s">
        <v>1854</v>
      </c>
      <c r="G11" s="696" t="s">
        <v>1850</v>
      </c>
      <c r="H11" s="696" t="s">
        <v>1850</v>
      </c>
    </row>
    <row r="12" spans="1:9">
      <c r="A12" s="1054" t="s">
        <v>2146</v>
      </c>
      <c r="B12" s="834">
        <v>310</v>
      </c>
      <c r="C12" s="1044" t="s">
        <v>2164</v>
      </c>
      <c r="D12" s="202" t="s">
        <v>2174</v>
      </c>
      <c r="E12" s="202" t="s">
        <v>2174</v>
      </c>
      <c r="F12" s="202" t="s">
        <v>2174</v>
      </c>
      <c r="G12" s="202" t="s">
        <v>2174</v>
      </c>
      <c r="H12" s="202" t="s">
        <v>2174</v>
      </c>
    </row>
    <row r="14" spans="1:9">
      <c r="A14" s="1053" t="s">
        <v>151</v>
      </c>
      <c r="D14" s="369" t="s">
        <v>1786</v>
      </c>
      <c r="E14" s="369" t="s">
        <v>1856</v>
      </c>
      <c r="F14" s="369" t="s">
        <v>1855</v>
      </c>
      <c r="G14" s="696" t="s">
        <v>2044</v>
      </c>
      <c r="H14" s="696" t="s">
        <v>2044</v>
      </c>
    </row>
    <row r="15" spans="1:9">
      <c r="A15" s="1054" t="s">
        <v>2147</v>
      </c>
      <c r="B15" s="834">
        <v>421</v>
      </c>
      <c r="C15" s="1044" t="s">
        <v>2164</v>
      </c>
      <c r="D15" s="202" t="s">
        <v>2174</v>
      </c>
      <c r="E15" s="202" t="s">
        <v>2174</v>
      </c>
      <c r="F15" s="202" t="s">
        <v>2174</v>
      </c>
      <c r="G15" s="202" t="s">
        <v>2174</v>
      </c>
      <c r="H15" s="202" t="s">
        <v>2174</v>
      </c>
    </row>
    <row r="17" spans="1:8">
      <c r="A17" s="1053" t="s">
        <v>1939</v>
      </c>
      <c r="D17" s="369" t="s">
        <v>159</v>
      </c>
      <c r="E17" s="1318" t="s">
        <v>159</v>
      </c>
      <c r="F17" s="1314"/>
      <c r="G17" s="1302" t="s">
        <v>159</v>
      </c>
      <c r="H17" s="1303"/>
    </row>
    <row r="18" spans="1:8">
      <c r="A18" s="1049" t="s">
        <v>2148</v>
      </c>
      <c r="B18" s="834">
        <v>579</v>
      </c>
      <c r="C18" s="1044" t="s">
        <v>2162</v>
      </c>
      <c r="D18" s="202"/>
      <c r="E18" s="202"/>
      <c r="F18" s="202"/>
      <c r="G18" s="202"/>
      <c r="H18" s="202"/>
    </row>
    <row r="20" spans="1:8">
      <c r="A20" s="1053" t="s">
        <v>1454</v>
      </c>
      <c r="D20" s="369" t="s">
        <v>1801</v>
      </c>
      <c r="E20" s="369" t="s">
        <v>1857</v>
      </c>
      <c r="F20" s="369" t="s">
        <v>1857</v>
      </c>
      <c r="G20" s="696" t="s">
        <v>2041</v>
      </c>
      <c r="H20" s="696" t="s">
        <v>2041</v>
      </c>
    </row>
    <row r="21" spans="1:8">
      <c r="A21" s="1054" t="s">
        <v>2150</v>
      </c>
      <c r="B21" s="834">
        <v>827</v>
      </c>
      <c r="C21" s="1044" t="s">
        <v>2163</v>
      </c>
      <c r="D21" s="202"/>
      <c r="E21" s="202"/>
      <c r="F21" s="202"/>
      <c r="G21" s="202"/>
      <c r="H21" s="202"/>
    </row>
    <row r="23" spans="1:8">
      <c r="A23" s="1053" t="s">
        <v>1197</v>
      </c>
      <c r="D23" s="31" t="s">
        <v>159</v>
      </c>
      <c r="E23" s="1300" t="s">
        <v>159</v>
      </c>
      <c r="F23" s="1301"/>
      <c r="G23" s="1302" t="s">
        <v>159</v>
      </c>
      <c r="H23" s="1303"/>
    </row>
    <row r="24" spans="1:8">
      <c r="A24" s="1054" t="s">
        <v>2151</v>
      </c>
      <c r="B24" s="834">
        <v>964</v>
      </c>
      <c r="C24" s="1044" t="s">
        <v>2161</v>
      </c>
      <c r="D24" s="202"/>
      <c r="E24" s="202"/>
      <c r="F24" s="202"/>
      <c r="G24" s="202"/>
      <c r="H24" s="202"/>
    </row>
    <row r="26" spans="1:8">
      <c r="A26" s="1205" t="s">
        <v>281</v>
      </c>
      <c r="D26" s="31" t="s">
        <v>159</v>
      </c>
      <c r="E26" s="1300" t="s">
        <v>159</v>
      </c>
      <c r="F26" s="1301"/>
      <c r="G26" s="1302" t="s">
        <v>159</v>
      </c>
      <c r="H26" s="1303"/>
    </row>
    <row r="27" spans="1:8">
      <c r="A27" s="202" t="s">
        <v>2166</v>
      </c>
      <c r="B27" s="834">
        <v>1574</v>
      </c>
      <c r="C27" s="1044" t="s">
        <v>2159</v>
      </c>
      <c r="D27" s="202"/>
      <c r="E27" s="202"/>
      <c r="F27" s="202"/>
      <c r="G27" s="202"/>
      <c r="H27" s="202"/>
    </row>
    <row r="29" spans="1:8">
      <c r="A29" s="1205" t="s">
        <v>711</v>
      </c>
      <c r="D29" s="31" t="s">
        <v>159</v>
      </c>
      <c r="E29" s="1300" t="s">
        <v>159</v>
      </c>
      <c r="F29" s="1301"/>
      <c r="G29" s="1302" t="s">
        <v>159</v>
      </c>
      <c r="H29" s="1303"/>
    </row>
    <row r="30" spans="1:8">
      <c r="A30" s="202" t="s">
        <v>2152</v>
      </c>
      <c r="B30" s="834">
        <v>2198</v>
      </c>
      <c r="C30" s="1044" t="s">
        <v>2160</v>
      </c>
      <c r="D30" s="202"/>
      <c r="E30" s="202"/>
      <c r="F30" s="202"/>
      <c r="G30" s="202"/>
      <c r="H30" s="202"/>
    </row>
    <row r="32" spans="1:8">
      <c r="A32" s="1053" t="s">
        <v>713</v>
      </c>
      <c r="D32" s="31" t="s">
        <v>159</v>
      </c>
      <c r="E32" s="1300" t="s">
        <v>159</v>
      </c>
      <c r="F32" s="1301"/>
      <c r="G32" s="1302" t="s">
        <v>159</v>
      </c>
      <c r="H32" s="1303"/>
    </row>
    <row r="33" spans="1:8">
      <c r="A33" s="202" t="s">
        <v>2152</v>
      </c>
      <c r="B33" s="834">
        <v>2273</v>
      </c>
      <c r="C33" s="1044" t="s">
        <v>2164</v>
      </c>
      <c r="D33" s="202" t="s">
        <v>2168</v>
      </c>
      <c r="E33" s="202" t="s">
        <v>2168</v>
      </c>
      <c r="F33" s="202" t="s">
        <v>2168</v>
      </c>
      <c r="G33" s="202" t="s">
        <v>2168</v>
      </c>
      <c r="H33" s="202" t="s">
        <v>2168</v>
      </c>
    </row>
    <row r="35" spans="1:8">
      <c r="A35" s="1053" t="s">
        <v>717</v>
      </c>
      <c r="D35" s="369" t="s">
        <v>2157</v>
      </c>
      <c r="E35" s="369" t="s">
        <v>2156</v>
      </c>
      <c r="F35" s="369" t="s">
        <v>2156</v>
      </c>
      <c r="G35" s="696" t="s">
        <v>2155</v>
      </c>
      <c r="H35" s="696" t="s">
        <v>2155</v>
      </c>
    </row>
    <row r="36" spans="1:8">
      <c r="A36" s="1050" t="s">
        <v>746</v>
      </c>
      <c r="B36" s="834">
        <v>2339</v>
      </c>
      <c r="C36" s="1044" t="s">
        <v>2164</v>
      </c>
      <c r="D36" s="202" t="s">
        <v>2167</v>
      </c>
      <c r="E36" s="202" t="s">
        <v>2167</v>
      </c>
      <c r="F36" s="202" t="s">
        <v>2167</v>
      </c>
      <c r="G36" s="202" t="s">
        <v>2167</v>
      </c>
      <c r="H36" s="202" t="s">
        <v>2167</v>
      </c>
    </row>
    <row r="37" spans="1:8">
      <c r="D37" s="1215"/>
      <c r="E37" s="1216"/>
      <c r="F37" s="1216"/>
      <c r="G37" s="1216"/>
      <c r="H37" s="1217"/>
    </row>
    <row r="38" spans="1:8">
      <c r="A38" s="1053" t="s">
        <v>1837</v>
      </c>
      <c r="D38" s="1327" t="s">
        <v>2154</v>
      </c>
      <c r="E38" s="1328"/>
      <c r="F38" s="1328"/>
      <c r="G38" s="1328"/>
      <c r="H38" s="1329"/>
    </row>
    <row r="39" spans="1:8">
      <c r="A39" s="202" t="s">
        <v>2153</v>
      </c>
      <c r="B39" s="834">
        <v>2351</v>
      </c>
      <c r="C39" s="1044" t="s">
        <v>2164</v>
      </c>
      <c r="D39" s="202" t="s">
        <v>2167</v>
      </c>
      <c r="E39" s="202" t="s">
        <v>2167</v>
      </c>
      <c r="F39" s="202" t="s">
        <v>2167</v>
      </c>
      <c r="G39" s="202" t="s">
        <v>2167</v>
      </c>
      <c r="H39" s="202" t="s">
        <v>2167</v>
      </c>
    </row>
    <row r="41" spans="1:8">
      <c r="A41" s="1053" t="s">
        <v>2127</v>
      </c>
      <c r="D41" s="31" t="s">
        <v>159</v>
      </c>
      <c r="E41" s="1300" t="s">
        <v>159</v>
      </c>
      <c r="F41" s="1301"/>
      <c r="G41" s="1302" t="s">
        <v>159</v>
      </c>
      <c r="H41" s="1303"/>
    </row>
    <row r="42" spans="1:8">
      <c r="A42" s="202" t="s">
        <v>2152</v>
      </c>
      <c r="B42" s="834">
        <v>3075</v>
      </c>
      <c r="C42" s="1044" t="s">
        <v>2165</v>
      </c>
      <c r="D42" s="202"/>
      <c r="E42" s="202"/>
      <c r="F42" s="202"/>
      <c r="G42" s="202"/>
      <c r="H42" s="202"/>
    </row>
  </sheetData>
  <mergeCells count="16">
    <mergeCell ref="E41:F41"/>
    <mergeCell ref="G41:H41"/>
    <mergeCell ref="D4:H5"/>
    <mergeCell ref="I4:I5"/>
    <mergeCell ref="E26:F26"/>
    <mergeCell ref="G26:H26"/>
    <mergeCell ref="E29:F29"/>
    <mergeCell ref="G29:H29"/>
    <mergeCell ref="D38:H38"/>
    <mergeCell ref="E32:F32"/>
    <mergeCell ref="G32:H32"/>
    <mergeCell ref="A2:C4"/>
    <mergeCell ref="E17:F17"/>
    <mergeCell ref="G17:H17"/>
    <mergeCell ref="E23:F23"/>
    <mergeCell ref="G23:H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AA607"/>
  <sheetViews>
    <sheetView showGridLines="0" workbookViewId="0">
      <selection activeCell="R580" sqref="R580"/>
    </sheetView>
  </sheetViews>
  <sheetFormatPr defaultRowHeight="12.75" outlineLevelRow="1" outlineLevelCol="1"/>
  <cols>
    <col min="1" max="1" width="4.28515625" style="216" customWidth="1"/>
    <col min="2" max="2" width="47" customWidth="1"/>
    <col min="3" max="3" width="9.28515625" customWidth="1"/>
    <col min="4" max="4" width="15.7109375" hidden="1" customWidth="1" outlineLevel="1"/>
    <col min="5" max="5" width="17.140625" hidden="1" customWidth="1" outlineLevel="1"/>
    <col min="6" max="9" width="15.85546875" hidden="1" customWidth="1" outlineLevel="1"/>
    <col min="10" max="10" width="14.42578125" hidden="1" customWidth="1" outlineLevel="1"/>
    <col min="11" max="11" width="13.42578125" hidden="1" customWidth="1" outlineLevel="1"/>
    <col min="12" max="12" width="13.85546875" hidden="1" customWidth="1" outlineLevel="1"/>
    <col min="13" max="13" width="16.5703125" style="156" hidden="1" customWidth="1" outlineLevel="1"/>
    <col min="14" max="14" width="21.85546875" hidden="1" customWidth="1" outlineLevel="1"/>
    <col min="15" max="15" width="20.140625" customWidth="1" collapsed="1"/>
    <col min="16" max="16" width="21" customWidth="1"/>
    <col min="17" max="17" width="21.28515625" customWidth="1"/>
    <col min="18" max="18" width="18.28515625" customWidth="1"/>
    <col min="19" max="19" width="19.140625" customWidth="1"/>
    <col min="20" max="20" width="18.5703125" customWidth="1"/>
    <col min="21" max="21" width="18.7109375" customWidth="1"/>
    <col min="22" max="22" width="20" customWidth="1"/>
    <col min="23" max="23" width="15.28515625" customWidth="1"/>
    <col min="24" max="24" width="16" customWidth="1"/>
    <col min="25" max="25" width="17.140625" customWidth="1"/>
    <col min="26" max="26" width="15.28515625" customWidth="1"/>
  </cols>
  <sheetData>
    <row r="1" spans="1:24" ht="15">
      <c r="B1" s="136" t="s">
        <v>818</v>
      </c>
      <c r="C1" s="216" t="s">
        <v>1190</v>
      </c>
      <c r="E1" s="137"/>
      <c r="K1" t="s">
        <v>1514</v>
      </c>
      <c r="O1" s="603" t="s">
        <v>1504</v>
      </c>
      <c r="P1" s="603" t="s">
        <v>1505</v>
      </c>
      <c r="Q1" s="603" t="s">
        <v>1506</v>
      </c>
      <c r="R1" s="603" t="s">
        <v>1507</v>
      </c>
      <c r="S1" s="603" t="s">
        <v>1508</v>
      </c>
      <c r="T1" s="603" t="s">
        <v>1509</v>
      </c>
      <c r="U1" s="642" t="s">
        <v>1515</v>
      </c>
      <c r="V1" s="646"/>
    </row>
    <row r="2" spans="1:24" ht="15">
      <c r="B2" s="605" t="s">
        <v>1195</v>
      </c>
      <c r="C2" s="139">
        <v>2020</v>
      </c>
      <c r="D2" s="140"/>
      <c r="E2" s="137"/>
      <c r="M2" s="138"/>
      <c r="O2" s="141" t="s">
        <v>820</v>
      </c>
      <c r="P2" s="141" t="s">
        <v>820</v>
      </c>
      <c r="Q2" s="141" t="s">
        <v>820</v>
      </c>
      <c r="R2" s="141" t="s">
        <v>820</v>
      </c>
      <c r="S2" s="141" t="s">
        <v>820</v>
      </c>
      <c r="T2" s="141" t="s">
        <v>820</v>
      </c>
      <c r="U2" s="643" t="s">
        <v>820</v>
      </c>
      <c r="V2" s="647"/>
    </row>
    <row r="3" spans="1:24" ht="15">
      <c r="B3" t="s">
        <v>2004</v>
      </c>
      <c r="D3" s="140"/>
      <c r="E3" s="137"/>
      <c r="M3" s="138"/>
      <c r="O3" s="142">
        <f>$C$2</f>
        <v>2020</v>
      </c>
      <c r="P3" s="142">
        <f>$C$2</f>
        <v>2020</v>
      </c>
      <c r="Q3" s="142">
        <f>$C$2-1</f>
        <v>2019</v>
      </c>
      <c r="R3" s="142">
        <f>$C$2-1</f>
        <v>2019</v>
      </c>
      <c r="S3" s="142">
        <f>$C$2</f>
        <v>2020</v>
      </c>
      <c r="T3" s="142">
        <f>$C$2</f>
        <v>2020</v>
      </c>
      <c r="U3" s="644">
        <f>$C$2-1</f>
        <v>2019</v>
      </c>
      <c r="V3" s="647"/>
    </row>
    <row r="4" spans="1:24" ht="15.75" thickBot="1">
      <c r="B4" s="355" t="s">
        <v>1136</v>
      </c>
      <c r="D4" s="140"/>
      <c r="E4" s="137"/>
      <c r="M4" s="138"/>
      <c r="O4" s="140"/>
      <c r="P4" s="140"/>
      <c r="Q4" s="140"/>
      <c r="R4" s="261"/>
      <c r="S4" s="140"/>
      <c r="T4" s="140"/>
      <c r="V4" s="647"/>
    </row>
    <row r="5" spans="1:24" ht="15.75" thickBot="1">
      <c r="D5" s="140"/>
      <c r="E5" s="137"/>
      <c r="M5" s="138" t="s">
        <v>819</v>
      </c>
      <c r="O5" s="1331" t="s">
        <v>1516</v>
      </c>
      <c r="P5" s="1332"/>
      <c r="Q5" s="1332"/>
      <c r="R5" s="1332"/>
      <c r="S5" s="1332"/>
      <c r="T5" s="1332"/>
      <c r="U5" s="1332"/>
      <c r="V5" s="647"/>
    </row>
    <row r="6" spans="1:24">
      <c r="B6" s="143"/>
      <c r="C6" s="144"/>
      <c r="M6" s="145">
        <f>SUMIF(Data!$1:$1,$C$2,Data!2368:2368)</f>
        <v>0</v>
      </c>
      <c r="V6" s="647"/>
    </row>
    <row r="7" spans="1:24" ht="15">
      <c r="B7" s="146" t="s">
        <v>821</v>
      </c>
      <c r="C7" s="147" t="s">
        <v>822</v>
      </c>
      <c r="D7" s="148" t="s">
        <v>823</v>
      </c>
      <c r="E7" s="148"/>
      <c r="F7" s="148" t="s">
        <v>823</v>
      </c>
      <c r="G7" s="148" t="s">
        <v>823</v>
      </c>
      <c r="H7" s="148" t="s">
        <v>823</v>
      </c>
      <c r="I7" s="148" t="s">
        <v>823</v>
      </c>
      <c r="J7" s="148" t="s">
        <v>823</v>
      </c>
      <c r="K7" s="148" t="s">
        <v>823</v>
      </c>
      <c r="L7" s="148"/>
      <c r="M7" s="149" t="s">
        <v>823</v>
      </c>
      <c r="N7" s="148" t="s">
        <v>824</v>
      </c>
      <c r="O7" s="148" t="s">
        <v>280</v>
      </c>
      <c r="P7" s="148" t="s">
        <v>1538</v>
      </c>
      <c r="Q7" s="148" t="s">
        <v>1513</v>
      </c>
      <c r="R7" s="148" t="s">
        <v>1513</v>
      </c>
      <c r="S7" s="148" t="s">
        <v>280</v>
      </c>
      <c r="T7" s="148" t="s">
        <v>280</v>
      </c>
      <c r="U7" s="148" t="s">
        <v>1513</v>
      </c>
      <c r="V7" s="647"/>
    </row>
    <row r="8" spans="1:24" ht="51" customHeight="1">
      <c r="B8" s="150" t="s">
        <v>1888</v>
      </c>
      <c r="C8" s="151" t="s">
        <v>825</v>
      </c>
      <c r="D8" s="152" t="s">
        <v>826</v>
      </c>
      <c r="E8" s="152"/>
      <c r="F8" s="152" t="s">
        <v>827</v>
      </c>
      <c r="G8" s="152" t="s">
        <v>828</v>
      </c>
      <c r="H8" s="152" t="s">
        <v>829</v>
      </c>
      <c r="I8" s="152" t="s">
        <v>830</v>
      </c>
      <c r="J8" s="152" t="s">
        <v>1196</v>
      </c>
      <c r="K8" s="152" t="s">
        <v>831</v>
      </c>
      <c r="L8" s="153" t="s">
        <v>1097</v>
      </c>
      <c r="M8" s="154" t="s">
        <v>832</v>
      </c>
      <c r="N8" s="789" t="s">
        <v>833</v>
      </c>
      <c r="O8" s="788" t="s">
        <v>834</v>
      </c>
      <c r="P8" s="155" t="s">
        <v>835</v>
      </c>
      <c r="Q8" s="155" t="s">
        <v>1517</v>
      </c>
      <c r="R8" s="155" t="s">
        <v>1575</v>
      </c>
      <c r="S8" s="155" t="s">
        <v>1511</v>
      </c>
      <c r="T8" s="155" t="s">
        <v>1512</v>
      </c>
      <c r="U8" s="645" t="s">
        <v>1576</v>
      </c>
      <c r="V8" s="647"/>
    </row>
    <row r="9" spans="1:24">
      <c r="B9" s="231"/>
      <c r="C9" s="144"/>
      <c r="O9" s="649"/>
      <c r="V9" s="647"/>
    </row>
    <row r="10" spans="1:24">
      <c r="A10" s="216" t="s">
        <v>836</v>
      </c>
      <c r="B10" s="158" t="s">
        <v>837</v>
      </c>
      <c r="C10" s="159">
        <v>228723</v>
      </c>
      <c r="D10" s="131">
        <f>SUMIF(Data!$1:$1,$C$2,Data!$154:$154)-SUMIF(Data!$1:$1,$C$2,Data!$3080:$3080)</f>
        <v>308549111</v>
      </c>
      <c r="E10" s="131"/>
      <c r="F10" s="131">
        <f>SUMIF(Data!$1:$1,$C$2,Data!2372:2372)</f>
        <v>173328115</v>
      </c>
      <c r="G10" s="131">
        <f>SUMIF(Data!$1:$1,$C$2,Data!518:518)</f>
        <v>27149928</v>
      </c>
      <c r="H10" s="131">
        <f>SUMIF(Data!$1:$1,$C$2,Data!770:770)</f>
        <v>39074138</v>
      </c>
      <c r="I10" s="131">
        <f>SUMIF(Data!$1:$1,$C$2,Data!903:903)</f>
        <v>26385085</v>
      </c>
      <c r="J10" s="131"/>
      <c r="N10" s="131">
        <f>SUMIF(Data!$1:$1,$C$2,Data!2234:2234)</f>
        <v>8288225</v>
      </c>
      <c r="O10" s="650">
        <f>SUM(D10:K10)+M10-N10</f>
        <v>566198152</v>
      </c>
      <c r="R10" s="208">
        <f>SUMIF(Data!$1:$1,$Q$3,Data!$2551:$2551)-SUMIF(Data!$1:$1,$Q$3,Data!$2584:$2584)</f>
        <v>570145267</v>
      </c>
      <c r="T10" s="131">
        <f>SUMIF(Data!$1:$1,$C$2,Data!$3080:$3080)</f>
        <v>33529665</v>
      </c>
      <c r="U10" s="610">
        <f>SUMIF(Data!$1:$1,$Q$3,Data!$2584:$2584)</f>
        <v>22581829</v>
      </c>
      <c r="V10" s="663">
        <f t="shared" ref="V10:V74" si="0">SUM(O10:U10)</f>
        <v>1192454913</v>
      </c>
      <c r="X10" s="156">
        <f>W10-V10</f>
        <v>-1192454913</v>
      </c>
    </row>
    <row r="11" spans="1:24">
      <c r="B11" s="161" t="s">
        <v>838</v>
      </c>
      <c r="C11" s="159">
        <v>228723</v>
      </c>
      <c r="I11" s="131"/>
      <c r="O11" s="649"/>
      <c r="R11" s="164"/>
      <c r="V11" s="663">
        <f t="shared" si="0"/>
        <v>0</v>
      </c>
      <c r="X11" s="156">
        <f t="shared" ref="X11:X75" si="1">W11-V11</f>
        <v>0</v>
      </c>
    </row>
    <row r="12" spans="1:24">
      <c r="B12" s="162" t="s">
        <v>839</v>
      </c>
      <c r="C12" s="159">
        <v>228723</v>
      </c>
      <c r="O12" s="649"/>
      <c r="R12" s="164"/>
      <c r="V12" s="663">
        <f t="shared" si="0"/>
        <v>0</v>
      </c>
      <c r="X12" s="156">
        <f t="shared" si="1"/>
        <v>0</v>
      </c>
    </row>
    <row r="13" spans="1:24">
      <c r="A13" s="216" t="s">
        <v>840</v>
      </c>
      <c r="B13" s="163" t="s">
        <v>841</v>
      </c>
      <c r="C13" s="159">
        <v>228723</v>
      </c>
      <c r="D13" s="131">
        <f>SUMIF(Data!$1:$1,$C$2,Data!210:210)</f>
        <v>55228148</v>
      </c>
      <c r="G13" s="131">
        <f>SUMIF(Data!$1:$1,$C$2,Data!573:573)</f>
        <v>2667849</v>
      </c>
      <c r="H13" s="131">
        <f>SUMIF(Data!$1:$1,$C$2,Data!783:783)</f>
        <v>9622317</v>
      </c>
      <c r="I13" s="131">
        <f>SUMIF(Data!$1:$1,$C$2,Data!958:958)</f>
        <v>2841135</v>
      </c>
      <c r="O13" s="649"/>
      <c r="P13" s="164">
        <f t="shared" ref="P13:P19" si="2">SUM(D13:K13)+M13-N13</f>
        <v>70359449</v>
      </c>
      <c r="Q13" s="164"/>
      <c r="R13" s="164"/>
      <c r="V13" s="663">
        <f t="shared" si="0"/>
        <v>70359449</v>
      </c>
      <c r="X13" s="156">
        <f t="shared" si="1"/>
        <v>-70359449</v>
      </c>
    </row>
    <row r="14" spans="1:24">
      <c r="A14" s="216" t="s">
        <v>840</v>
      </c>
      <c r="B14" s="163" t="s">
        <v>842</v>
      </c>
      <c r="C14" s="159">
        <v>228723</v>
      </c>
      <c r="D14" s="131">
        <f>SUMIF(Data!$1:$1,$C$2,Data!211:211)</f>
        <v>48497887</v>
      </c>
      <c r="G14" s="131">
        <f>SUMIF(Data!$1:$1,$C$2,Data!574:574)</f>
        <v>3353278</v>
      </c>
      <c r="H14" s="131">
        <f>SUMIF(Data!$1:$1,$C$2,Data!784:784)</f>
        <v>14226158</v>
      </c>
      <c r="I14" s="131">
        <f>SUMIF(Data!$1:$1,$C$2,Data!959:959)</f>
        <v>2940504</v>
      </c>
      <c r="O14" s="649"/>
      <c r="P14" s="164">
        <f t="shared" si="2"/>
        <v>69017827</v>
      </c>
      <c r="Q14" s="164"/>
      <c r="R14" s="164"/>
      <c r="V14" s="663">
        <f t="shared" si="0"/>
        <v>69017827</v>
      </c>
      <c r="X14" s="156">
        <f t="shared" si="1"/>
        <v>-69017827</v>
      </c>
    </row>
    <row r="15" spans="1:24">
      <c r="A15" s="216" t="s">
        <v>840</v>
      </c>
      <c r="B15" s="163" t="s">
        <v>843</v>
      </c>
      <c r="C15" s="159">
        <v>228723</v>
      </c>
      <c r="D15" s="131">
        <f>SUMIF(Data!$1:$1,$C$2,Data!212:212)</f>
        <v>23126275</v>
      </c>
      <c r="G15" s="131">
        <f>SUMIF(Data!$1:$1,$C$2,Data!575:575)</f>
        <v>1044523</v>
      </c>
      <c r="H15" s="131">
        <f>SUMIF(Data!$1:$1,$C$2,Data!785:785)</f>
        <v>2650481</v>
      </c>
      <c r="I15" s="131">
        <f>SUMIF(Data!$1:$1,$C$2,Data!960:960)</f>
        <v>1040659</v>
      </c>
      <c r="O15" s="649"/>
      <c r="P15" s="164">
        <f t="shared" si="2"/>
        <v>27861938</v>
      </c>
      <c r="Q15" s="164"/>
      <c r="R15" s="164"/>
      <c r="V15" s="663">
        <f t="shared" si="0"/>
        <v>27861938</v>
      </c>
      <c r="X15" s="156">
        <f t="shared" si="1"/>
        <v>-27861938</v>
      </c>
    </row>
    <row r="16" spans="1:24">
      <c r="A16" s="216" t="s">
        <v>840</v>
      </c>
      <c r="B16" s="163" t="s">
        <v>844</v>
      </c>
      <c r="C16" s="159">
        <v>228723</v>
      </c>
      <c r="D16" s="131">
        <f>SUMIF(Data!$1:$1,$C$2,Data!213:213)</f>
        <v>7613283</v>
      </c>
      <c r="G16" s="131">
        <f>SUMIF(Data!$1:$1,$C$2,Data!576:576)</f>
        <v>2653141</v>
      </c>
      <c r="H16" s="131">
        <f>SUMIF(Data!$1:$1,$C$2,Data!786:786)</f>
        <v>1730687</v>
      </c>
      <c r="I16" s="131">
        <f>SUMIF(Data!$1:$1,$C$2,Data!961:961)</f>
        <v>271544</v>
      </c>
      <c r="O16" s="649"/>
      <c r="P16" s="164">
        <f t="shared" si="2"/>
        <v>12268655</v>
      </c>
      <c r="Q16" s="164"/>
      <c r="R16" s="164"/>
      <c r="V16" s="663">
        <f t="shared" si="0"/>
        <v>12268655</v>
      </c>
      <c r="X16" s="156">
        <f t="shared" si="1"/>
        <v>-12268655</v>
      </c>
    </row>
    <row r="17" spans="1:24">
      <c r="A17" s="216" t="s">
        <v>840</v>
      </c>
      <c r="B17" s="163" t="s">
        <v>845</v>
      </c>
      <c r="C17" s="159">
        <v>228723</v>
      </c>
      <c r="D17" s="131">
        <f>SUMIF(Data!$1:$1,$C$2,Data!214:214)</f>
        <v>8923537</v>
      </c>
      <c r="G17" s="131">
        <f>SUMIF(Data!$1:$1,$C$2,Data!577:577)</f>
        <v>314683</v>
      </c>
      <c r="H17" s="131">
        <f>SUMIF(Data!$1:$1,$C$2,Data!787:787)</f>
        <v>633204</v>
      </c>
      <c r="I17" s="131">
        <f>SUMIF(Data!$1:$1,$C$2,Data!962:962)</f>
        <v>255572</v>
      </c>
      <c r="O17" s="649"/>
      <c r="P17" s="164">
        <f t="shared" si="2"/>
        <v>10126996</v>
      </c>
      <c r="Q17" s="164"/>
      <c r="R17" s="164"/>
      <c r="V17" s="663">
        <f t="shared" si="0"/>
        <v>10126996</v>
      </c>
      <c r="X17" s="156">
        <f t="shared" si="1"/>
        <v>-10126996</v>
      </c>
    </row>
    <row r="18" spans="1:24">
      <c r="A18" s="216" t="s">
        <v>840</v>
      </c>
      <c r="B18" s="163" t="s">
        <v>846</v>
      </c>
      <c r="C18" s="159">
        <v>228723</v>
      </c>
      <c r="D18" s="131">
        <f>SUMIF(Data!$1:$1,$C$2,Data!215:215)</f>
        <v>32604399</v>
      </c>
      <c r="G18" s="131">
        <f>SUMIF(Data!$1:$1,$C$2,Data!578:578)</f>
        <v>2052607</v>
      </c>
      <c r="H18" s="131">
        <f>SUMIF(Data!$1:$1,$C$2,Data!788:788)</f>
        <v>4153278</v>
      </c>
      <c r="I18" s="131">
        <f>SUMIF(Data!$1:$1,$C$2,Data!963:963)</f>
        <v>1539874</v>
      </c>
      <c r="O18" s="649"/>
      <c r="P18" s="164">
        <f t="shared" si="2"/>
        <v>40350158</v>
      </c>
      <c r="Q18" s="164"/>
      <c r="R18" s="164"/>
      <c r="V18" s="663">
        <f t="shared" si="0"/>
        <v>40350158</v>
      </c>
      <c r="X18" s="156">
        <f t="shared" si="1"/>
        <v>-40350158</v>
      </c>
    </row>
    <row r="19" spans="1:24">
      <c r="A19" s="216" t="s">
        <v>840</v>
      </c>
      <c r="B19" s="165" t="s">
        <v>847</v>
      </c>
      <c r="C19" s="159">
        <v>228723</v>
      </c>
      <c r="D19" s="131">
        <f>SUMIF(Data!$1:$1,$C$2,Data!216:216)</f>
        <v>9273893</v>
      </c>
      <c r="G19" s="131">
        <f>SUMIF(Data!$1:$1,$C$2,Data!579:579)</f>
        <v>208396</v>
      </c>
      <c r="H19" s="131">
        <f>SUMIF(Data!$1:$1,$C$2,Data!789:789)</f>
        <v>505450</v>
      </c>
      <c r="I19" s="131">
        <f>SUMIF(Data!$1:$1,$C$2,Data!964:964)</f>
        <v>212350</v>
      </c>
      <c r="O19" s="649"/>
      <c r="P19" s="164">
        <f t="shared" si="2"/>
        <v>10200089</v>
      </c>
      <c r="Q19" s="164"/>
      <c r="R19" s="164"/>
      <c r="V19" s="663">
        <f t="shared" si="0"/>
        <v>10200089</v>
      </c>
      <c r="X19" s="156">
        <f t="shared" si="1"/>
        <v>-10200089</v>
      </c>
    </row>
    <row r="20" spans="1:24" s="1044" customFormat="1">
      <c r="A20" s="834" t="s">
        <v>840</v>
      </c>
      <c r="B20" s="1234" t="s">
        <v>2176</v>
      </c>
      <c r="C20" s="159">
        <v>228723</v>
      </c>
      <c r="D20" s="131">
        <f>SUMIF(Data!$1:$1,$C$2,Data!217:217)</f>
        <v>20987423</v>
      </c>
      <c r="G20" s="131">
        <f>SUMIF(Data!$1:$1,$C$2,Data!580:580)</f>
        <v>0</v>
      </c>
      <c r="H20" s="131">
        <f>SUMIF(Data!$1:$1,$C$2,Data!790:790)</f>
        <v>1196545</v>
      </c>
      <c r="I20" s="131">
        <f>SUMIF(Data!$1:$1,$C$2,Data!965:965)</f>
        <v>0</v>
      </c>
      <c r="M20" s="156"/>
      <c r="O20" s="649"/>
      <c r="P20" s="164">
        <f t="shared" ref="P20" si="3">SUM(D20:K20)+M20-N20</f>
        <v>22183968</v>
      </c>
      <c r="Q20" s="164"/>
      <c r="R20" s="164"/>
      <c r="V20" s="663">
        <f t="shared" ref="V20" si="4">SUM(O20:U20)</f>
        <v>22183968</v>
      </c>
      <c r="X20" s="156">
        <f t="shared" ref="X20" si="5">W20-V20</f>
        <v>-22183968</v>
      </c>
    </row>
    <row r="21" spans="1:24">
      <c r="B21" s="161" t="s">
        <v>848</v>
      </c>
      <c r="C21" s="159">
        <v>228723</v>
      </c>
      <c r="O21" s="649"/>
      <c r="R21" s="164"/>
      <c r="V21" s="663">
        <f t="shared" si="0"/>
        <v>0</v>
      </c>
      <c r="X21" s="156">
        <f t="shared" si="1"/>
        <v>0</v>
      </c>
    </row>
    <row r="22" spans="1:24">
      <c r="A22" s="216" t="s">
        <v>836</v>
      </c>
      <c r="B22" s="158" t="s">
        <v>849</v>
      </c>
      <c r="C22" s="159">
        <v>229115</v>
      </c>
      <c r="D22" s="131">
        <f>SUMIF(Data!$1:$1,$C$2,Data!178:178)</f>
        <v>167441568</v>
      </c>
      <c r="E22" s="131"/>
      <c r="G22" s="131">
        <f>SUMIF(Data!$1:$1,$C$2,Data!542:542)</f>
        <v>11640581</v>
      </c>
      <c r="H22" s="131">
        <f>SUMIF(Data!$1:$1,$C$2,Data!813:813)</f>
        <v>21387701</v>
      </c>
      <c r="I22" s="131">
        <f>SUMIF(Data!$1:$1,$C$2,Data!927:927)</f>
        <v>13044250</v>
      </c>
      <c r="L22" s="131">
        <f>SUMIF(Data!$1:$1,$C$2,Data!2347:2347)</f>
        <v>49225809</v>
      </c>
      <c r="M22" s="156">
        <f>ROUND(L22*$M$6,0)</f>
        <v>0</v>
      </c>
      <c r="N22" s="131">
        <f>SUMIF(Data!$1:$1,$C$2,Data!2258:2258)</f>
        <v>13502981</v>
      </c>
      <c r="O22" s="650">
        <f t="shared" ref="O22:O87" si="6">SUM(D22:K22)+M22-N22</f>
        <v>200011119</v>
      </c>
      <c r="P22" s="166">
        <f>SUMIF(Data!$1:$1,$C$2,Data!2218:2218)</f>
        <v>4646618.49</v>
      </c>
      <c r="R22" s="208">
        <f>SUMIF(Data!$1:$1,$Q$3,Data!$2571:$2571)</f>
        <v>312261175</v>
      </c>
      <c r="V22" s="663">
        <f t="shared" si="0"/>
        <v>516918912.49000001</v>
      </c>
      <c r="X22" s="156">
        <f t="shared" si="1"/>
        <v>-516918912.49000001</v>
      </c>
    </row>
    <row r="23" spans="1:24">
      <c r="A23" s="216" t="s">
        <v>836</v>
      </c>
      <c r="B23" s="158" t="s">
        <v>726</v>
      </c>
      <c r="C23" s="159">
        <v>225511</v>
      </c>
      <c r="D23" s="131">
        <f>SUMIF(Data!$1:$1,$C$2,Data!167:167)</f>
        <v>221750099</v>
      </c>
      <c r="E23" s="131"/>
      <c r="G23" s="131">
        <f>SUMIF(Data!$1:$1,$C$2,Data!531:531)</f>
        <v>12649434</v>
      </c>
      <c r="H23" s="131">
        <f>SUMIF(Data!$1:$1,$C$2,Data!792:792)</f>
        <v>16934867</v>
      </c>
      <c r="I23" s="131">
        <f>SUMIF(Data!$1:$1,$C$2,Data!916:916)</f>
        <v>14484726</v>
      </c>
      <c r="L23" s="131">
        <f>SUMIF(Data!$1:$1,$C$2,Data!2337:2337)</f>
        <v>52770054</v>
      </c>
      <c r="M23" s="156">
        <f t="shared" ref="M23:M24" si="7">ROUND(L23*$M$6,0)</f>
        <v>0</v>
      </c>
      <c r="N23" s="131">
        <f>SUMIF(Data!$1:$1,$C$2,Data!2247:2247)</f>
        <v>15452905</v>
      </c>
      <c r="O23" s="650">
        <f t="shared" si="6"/>
        <v>250366221</v>
      </c>
      <c r="P23" s="167">
        <f>SUMIF(Data!$1:$1,$C$2,Data!2216:2216)</f>
        <v>5109773.5</v>
      </c>
      <c r="R23" s="208">
        <f>SUMIF(Data!$1:$1,$Q$3,Data!$2563:$2563)</f>
        <v>360651617</v>
      </c>
      <c r="V23" s="663">
        <f t="shared" si="0"/>
        <v>616127611.5</v>
      </c>
      <c r="X23" s="156">
        <f t="shared" si="1"/>
        <v>-616127611.5</v>
      </c>
    </row>
    <row r="24" spans="1:24">
      <c r="A24" s="216" t="s">
        <v>836</v>
      </c>
      <c r="B24" s="158" t="s">
        <v>731</v>
      </c>
      <c r="C24" s="159">
        <v>227216</v>
      </c>
      <c r="D24" s="131">
        <f>SUMIF(Data!$1:$1,$C$2,Data!173:173)</f>
        <v>112969831</v>
      </c>
      <c r="E24" s="131"/>
      <c r="G24" s="131">
        <f>SUMIF(Data!$1:$1,$C$2,Data!537:537)</f>
        <v>8994405</v>
      </c>
      <c r="H24" s="131">
        <f>SUMIF(Data!$1:$1,$C$2,Data!808:808)</f>
        <v>14845281</v>
      </c>
      <c r="I24" s="131">
        <f>SUMIF(Data!$1:$1,$C$2,Data!922:922)</f>
        <v>10313271</v>
      </c>
      <c r="L24" s="131">
        <f>SUMIF(Data!$1:$1,$C$2,Data!2342:2342)</f>
        <v>37562056</v>
      </c>
      <c r="M24" s="156">
        <f t="shared" si="7"/>
        <v>0</v>
      </c>
      <c r="N24" s="131">
        <f>SUMIF(Data!$1:$1,$C$2,Data!2253:2253)</f>
        <v>10012951</v>
      </c>
      <c r="O24" s="650">
        <f t="shared" si="6"/>
        <v>137109837</v>
      </c>
      <c r="P24" s="167">
        <f>SUMIF(Data!$1:$1,$C$2,Data!2217:2217)</f>
        <v>2317750</v>
      </c>
      <c r="R24" s="208">
        <f>SUMIF(Data!$1:$1,$Q$3,Data!$2573:$2573)</f>
        <v>310215849</v>
      </c>
      <c r="V24" s="663">
        <f t="shared" si="0"/>
        <v>449643436</v>
      </c>
      <c r="X24" s="156">
        <f t="shared" si="1"/>
        <v>-449643436</v>
      </c>
    </row>
    <row r="25" spans="1:24">
      <c r="A25" s="216" t="s">
        <v>836</v>
      </c>
      <c r="B25" s="158" t="s">
        <v>850</v>
      </c>
      <c r="C25" s="159">
        <v>228769</v>
      </c>
      <c r="D25" s="131">
        <f>SUMIF(Data!$1:$1,$C$2,Data!143:143)</f>
        <v>125093925</v>
      </c>
      <c r="E25" s="131"/>
      <c r="G25" s="131">
        <f>SUMIF(Data!$1:$1,$C$2,Data!507:507)</f>
        <v>9658509</v>
      </c>
      <c r="H25" s="131">
        <f>SUMIF(Data!$1:$1,$C$2,Data!752:752)</f>
        <v>12280603</v>
      </c>
      <c r="I25" s="131">
        <f>SUMIF(Data!$1:$1,$C$2,Data!892:892)</f>
        <v>9423354</v>
      </c>
      <c r="N25" s="131">
        <f>SUMIF(Data!$1:$1,$C$2,Data!2223:2223)</f>
        <v>12828175</v>
      </c>
      <c r="O25" s="650">
        <f t="shared" si="6"/>
        <v>143628216</v>
      </c>
      <c r="P25" s="167">
        <f>SUMIF(Data!$1:$1,$C$2,Data!2212:2212)</f>
        <v>275000</v>
      </c>
      <c r="R25" s="208">
        <f>SUMIF(Data!$1:$1,$Q$3,Data!$2541:$2541)</f>
        <v>311918978</v>
      </c>
      <c r="V25" s="663">
        <f t="shared" si="0"/>
        <v>455822194</v>
      </c>
      <c r="X25" s="156">
        <f t="shared" si="1"/>
        <v>-455822194</v>
      </c>
    </row>
    <row r="26" spans="1:24">
      <c r="A26" s="216" t="s">
        <v>836</v>
      </c>
      <c r="B26" s="158" t="s">
        <v>851</v>
      </c>
      <c r="C26" s="159">
        <v>228778</v>
      </c>
      <c r="D26" s="131">
        <f>SUMIF(Data!$1:$1,$C$2,Data!144:144)</f>
        <v>304458654.23126221</v>
      </c>
      <c r="E26" s="131"/>
      <c r="F26" s="131">
        <f>SUMIF(Data!$1:$1,$C$2,Data!2370:2370)</f>
        <v>378941810</v>
      </c>
      <c r="G26" s="131">
        <f>SUMIF(Data!$1:$1,$C$2,Data!508:508)</f>
        <v>18312376</v>
      </c>
      <c r="H26" s="131">
        <f>SUMIF(Data!$1:$1,$C$2,Data!753:753)</f>
        <v>28143074</v>
      </c>
      <c r="I26" s="131">
        <f>SUMIF(Data!$1:$1,$C$2,Data!893:893)</f>
        <v>26586369</v>
      </c>
      <c r="N26" s="131">
        <f>SUMIF(Data!$1:$1,$C$2,Data!2224:2224)</f>
        <v>19676338</v>
      </c>
      <c r="O26" s="650">
        <f t="shared" si="6"/>
        <v>736765945.23126221</v>
      </c>
      <c r="P26" s="168"/>
      <c r="R26" s="208">
        <f>SUMIF(Data!$1:$1,$Q$3,Data!$2542:$2542)</f>
        <v>477601226</v>
      </c>
      <c r="V26" s="663">
        <f t="shared" si="0"/>
        <v>1214367171.2312622</v>
      </c>
      <c r="X26" s="156">
        <f t="shared" si="1"/>
        <v>-1214367171.2312622</v>
      </c>
    </row>
    <row r="27" spans="1:24">
      <c r="A27" s="216" t="s">
        <v>836</v>
      </c>
      <c r="B27" s="158" t="s">
        <v>852</v>
      </c>
      <c r="C27" s="159">
        <v>228787</v>
      </c>
      <c r="D27" s="131">
        <f>SUMIF(Data!$1:$1,$C$2,Data!145:145)</f>
        <v>99582898</v>
      </c>
      <c r="E27" s="131"/>
      <c r="G27" s="131">
        <f>SUMIF(Data!$1:$1,$C$2,Data!509:509)</f>
        <v>9019585</v>
      </c>
      <c r="H27" s="131">
        <f>SUMIF(Data!$1:$1,$C$2,Data!754:754)</f>
        <v>8292174</v>
      </c>
      <c r="I27" s="131">
        <f>SUMIF(Data!$1:$1,$C$2,Data!894:894)</f>
        <v>10120371</v>
      </c>
      <c r="L27" s="131">
        <f>SUMIF(Data!$1:$1,$C$2,Data!2343:2343)</f>
        <v>2113004</v>
      </c>
      <c r="N27" s="131">
        <f>SUMIF(Data!$1:$1,$C$2,Data!2225:2225)</f>
        <v>8756475</v>
      </c>
      <c r="O27" s="650">
        <f t="shared" si="6"/>
        <v>118258553</v>
      </c>
      <c r="P27" s="167">
        <f>SUMIF(Data!$1:$1,$C$2,Data!2213:2213)</f>
        <v>3885819.4200000018</v>
      </c>
      <c r="R27" s="208">
        <f>SUMIF(Data!$1:$1,$Q$3,Data!$2543:$2543)</f>
        <v>272494083</v>
      </c>
      <c r="V27" s="663">
        <f t="shared" si="0"/>
        <v>394638455.42000002</v>
      </c>
      <c r="X27" s="156">
        <f t="shared" si="1"/>
        <v>-394638455.42000002</v>
      </c>
    </row>
    <row r="28" spans="1:24">
      <c r="A28" s="216" t="s">
        <v>836</v>
      </c>
      <c r="B28" s="169" t="s">
        <v>854</v>
      </c>
      <c r="C28" s="170">
        <v>229027</v>
      </c>
      <c r="D28" s="131">
        <f>SUMIF(Data!$1:$1,$C$2,Data!151:151)</f>
        <v>114621965</v>
      </c>
      <c r="E28" s="131"/>
      <c r="G28" s="131">
        <f>SUMIF(Data!$1:$1,$C$2,Data!515:515)</f>
        <v>8960872</v>
      </c>
      <c r="H28" s="131">
        <f>SUMIF(Data!$1:$1,$C$2,Data!760:760)</f>
        <v>12878929</v>
      </c>
      <c r="I28" s="131">
        <f>SUMIF(Data!$1:$1,$C$2,Data!900:900)</f>
        <v>12682356</v>
      </c>
      <c r="N28" s="131">
        <f>SUMIF(Data!$1:$1,$C$2,Data!2231:2231)</f>
        <v>16640763</v>
      </c>
      <c r="O28" s="650">
        <f t="shared" si="6"/>
        <v>132503359</v>
      </c>
      <c r="P28" s="171">
        <f>SUMIF(Data!$1:$1,$C$2,Data!2215:2215)</f>
        <v>780186.82</v>
      </c>
      <c r="R28" s="208">
        <f>SUMIF(Data!$1:$1,$Q$3,Data!$2549:$2549)</f>
        <v>183418781</v>
      </c>
      <c r="V28" s="663">
        <f t="shared" si="0"/>
        <v>316702326.81999999</v>
      </c>
      <c r="X28" s="156">
        <f t="shared" si="1"/>
        <v>-316702326.81999999</v>
      </c>
    </row>
    <row r="29" spans="1:24">
      <c r="A29" s="216" t="s">
        <v>836</v>
      </c>
      <c r="B29" s="158" t="s">
        <v>1230</v>
      </c>
      <c r="C29" s="159">
        <v>228459</v>
      </c>
      <c r="D29" s="131">
        <f>SUMIF(Data!$1:$1,$C$2,Data!187:187)</f>
        <v>120815161</v>
      </c>
      <c r="E29" s="131"/>
      <c r="G29" s="131">
        <f>SUMIF(Data!$1:$1,$C$2,Data!551:551)</f>
        <v>8516657</v>
      </c>
      <c r="H29" s="131">
        <f>SUMIF(Data!$1:$1,$C$2,Data!803:803)</f>
        <v>14519107</v>
      </c>
      <c r="I29" s="131">
        <f>SUMIF(Data!$1:$1,$C$2,Data!936:936)</f>
        <v>9722129</v>
      </c>
      <c r="L29" s="131">
        <f>SUMIF(Data!$1:$1,$C$2,Data!2350:2350)</f>
        <v>37162755</v>
      </c>
      <c r="M29" s="156">
        <f>ROUND(L29*$M$6,0)</f>
        <v>0</v>
      </c>
      <c r="N29" s="131">
        <f>SUMIF(Data!$1:$1,$C$2,Data!2267:2267)</f>
        <v>17369676</v>
      </c>
      <c r="O29" s="650">
        <f>SUM(D29:K29)+M29-N29</f>
        <v>136203378</v>
      </c>
      <c r="P29" s="397">
        <f>SUMIF(Data!$1:$1,$C$2,Data!2219:2219)</f>
        <v>200000</v>
      </c>
      <c r="R29" s="208">
        <f>SUMIF(Data!$1:$1,$Q$3,Data!$2569:$2569)</f>
        <v>238678109</v>
      </c>
      <c r="V29" s="663">
        <f>SUM(O29:U29)</f>
        <v>375081487</v>
      </c>
      <c r="X29" s="156">
        <f>W29-V29</f>
        <v>-375081487</v>
      </c>
    </row>
    <row r="30" spans="1:24">
      <c r="A30" s="216" t="s">
        <v>836</v>
      </c>
      <c r="B30" s="169" t="s">
        <v>737</v>
      </c>
      <c r="C30" s="159">
        <v>229179</v>
      </c>
      <c r="D30" s="131">
        <f>SUMIF(Data!$1:$1,$C$2,Data!180:180)</f>
        <v>63168756</v>
      </c>
      <c r="E30" s="131"/>
      <c r="G30" s="131">
        <f>SUMIF(Data!$1:$1,$C$2,Data!544:544)</f>
        <v>4158779</v>
      </c>
      <c r="H30" s="131">
        <f>SUMIF(Data!$1:$1,$C$2,Data!816:816)</f>
        <v>7133320</v>
      </c>
      <c r="I30" s="131">
        <f>SUMIF(Data!$1:$1,$C$2,Data!929:929)</f>
        <v>4451674</v>
      </c>
      <c r="L30" s="131">
        <f>SUMIF(Data!$1:$1,$C$2,Data!2349:2349)</f>
        <v>14846558</v>
      </c>
      <c r="M30" s="156">
        <f>ROUND(L30*$M$6,0)</f>
        <v>0</v>
      </c>
      <c r="N30" s="131">
        <f>SUMIF(Data!$1:$1,$C$2,Data!2260:2260)</f>
        <v>6249050</v>
      </c>
      <c r="O30" s="650">
        <f>SUM(D30:K30)+M30-N30</f>
        <v>72663479</v>
      </c>
      <c r="P30" s="168"/>
      <c r="R30" s="208">
        <f>SUMIF(Data!$1:$1,$Q$3,Data!$2578:$2578)</f>
        <v>77541183</v>
      </c>
      <c r="V30" s="663">
        <f>SUM(O30:U30)</f>
        <v>150204662</v>
      </c>
      <c r="X30" s="156">
        <f>W30-V30</f>
        <v>-150204662</v>
      </c>
    </row>
    <row r="31" spans="1:24">
      <c r="A31" s="216" t="s">
        <v>836</v>
      </c>
      <c r="B31" s="158" t="s">
        <v>853</v>
      </c>
      <c r="C31" s="159">
        <v>228796</v>
      </c>
      <c r="D31" s="131">
        <f>SUMIF(Data!$1:$1,$C$2,Data!146:146)</f>
        <v>87763535</v>
      </c>
      <c r="E31" s="131"/>
      <c r="G31" s="131">
        <f>SUMIF(Data!$1:$1,$C$2,Data!510:510)</f>
        <v>7231527</v>
      </c>
      <c r="H31" s="131">
        <f>SUMIF(Data!$1:$1,$C$2,Data!755:755)</f>
        <v>14556051</v>
      </c>
      <c r="I31" s="131">
        <f>SUMIF(Data!$1:$1,$C$2,Data!895:895)</f>
        <v>8317456</v>
      </c>
      <c r="K31" s="131">
        <f>SUMIF(Data!$1:$1,$C$2,Data!2309:2309)</f>
        <v>1570000</v>
      </c>
      <c r="N31" s="131">
        <f>SUMIF(Data!$1:$1,$C$2,Data!2226:2226)</f>
        <v>12707275</v>
      </c>
      <c r="O31" s="650">
        <f>SUM(D31:K31)+M31-N31</f>
        <v>106731294</v>
      </c>
      <c r="P31" s="167">
        <f>SUMIF(Data!$1:$1,$C$2,Data!2214:2214)</f>
        <v>284851.77</v>
      </c>
      <c r="R31" s="208">
        <f>SUMIF(Data!$1:$1,$Q$3,Data!$2544:$2544)</f>
        <v>130124360</v>
      </c>
      <c r="V31" s="663">
        <f>SUM(O31:U31)</f>
        <v>237140505.76999998</v>
      </c>
      <c r="X31" s="156">
        <f>W31-V31</f>
        <v>-237140505.76999998</v>
      </c>
    </row>
    <row r="32" spans="1:24">
      <c r="A32" s="216" t="s">
        <v>836</v>
      </c>
      <c r="B32" s="158" t="s">
        <v>855</v>
      </c>
      <c r="C32" s="159">
        <v>222831</v>
      </c>
      <c r="D32" s="131">
        <f>SUMIF(Data!$1:$1,$C$2,Data!179:179)</f>
        <v>29506087</v>
      </c>
      <c r="E32" s="131"/>
      <c r="G32" s="131">
        <f>SUMIF(Data!$1:$1,$C$2,Data!543:543)</f>
        <v>2090339</v>
      </c>
      <c r="H32" s="131">
        <f>SUMIF(Data!$1:$1,$C$2,Data!801:801)</f>
        <v>5122498</v>
      </c>
      <c r="I32" s="131">
        <f>SUMIF(Data!$1:$1,$C$2,Data!928:928)</f>
        <v>2381035</v>
      </c>
      <c r="L32" s="131">
        <f>SUMIF(Data!$1:$1,$C$2,Data!2348:2348)</f>
        <v>5320102</v>
      </c>
      <c r="M32" s="156">
        <f t="shared" ref="M32:M34" si="8">ROUND(L32*$M$6,0)</f>
        <v>0</v>
      </c>
      <c r="N32" s="131">
        <f>SUMIF(Data!$1:$1,$C$2,Data!2259:2259)</f>
        <v>2879547</v>
      </c>
      <c r="O32" s="650">
        <f t="shared" si="6"/>
        <v>36220412</v>
      </c>
      <c r="P32" s="131"/>
      <c r="Q32" s="131"/>
      <c r="R32" s="172">
        <f>SUMIF(Data!$1:$1,$Q$3,Data!$2572:$2572)</f>
        <v>41562764</v>
      </c>
      <c r="V32" s="663">
        <f t="shared" si="0"/>
        <v>77783176</v>
      </c>
      <c r="X32" s="156">
        <f t="shared" si="1"/>
        <v>-77783176</v>
      </c>
    </row>
    <row r="33" spans="1:24">
      <c r="A33" s="216" t="s">
        <v>836</v>
      </c>
      <c r="B33" s="158" t="s">
        <v>738</v>
      </c>
      <c r="C33" s="159">
        <v>226091</v>
      </c>
      <c r="D33" s="131">
        <f>SUMIF(Data!$1:$1,$C$2,Data!182:182)</f>
        <v>49642353</v>
      </c>
      <c r="E33" s="131"/>
      <c r="G33" s="131">
        <f>SUMIF(Data!$1:$1,$C$2,Data!546:546)</f>
        <v>2821602</v>
      </c>
      <c r="H33" s="131">
        <f>SUMIF(Data!$1:$1,$C$2,Data!797:797)</f>
        <v>8192093</v>
      </c>
      <c r="I33" s="131">
        <f>SUMIF(Data!$1:$1,$C$2,Data!931:931)</f>
        <v>3385259</v>
      </c>
      <c r="L33" s="131">
        <f>SUMIF(Data!$1:$1,$C$2,Data!2351:2351)</f>
        <v>14101882</v>
      </c>
      <c r="M33" s="156">
        <f t="shared" si="8"/>
        <v>0</v>
      </c>
      <c r="N33" s="131">
        <f>SUMIF(Data!$1:$1,$C$2,Data!2262:2262)</f>
        <v>6461238</v>
      </c>
      <c r="O33" s="650">
        <f t="shared" si="6"/>
        <v>57580069</v>
      </c>
      <c r="R33" s="208">
        <f>SUMIF(Data!$1:$1,$Q$3,Data!$2567:$2567)</f>
        <v>83931633</v>
      </c>
      <c r="V33" s="663">
        <f t="shared" si="0"/>
        <v>141511702</v>
      </c>
      <c r="X33" s="156">
        <f t="shared" si="1"/>
        <v>-141511702</v>
      </c>
    </row>
    <row r="34" spans="1:24">
      <c r="A34" s="216" t="s">
        <v>836</v>
      </c>
      <c r="B34" s="158" t="s">
        <v>856</v>
      </c>
      <c r="C34" s="159">
        <v>226833</v>
      </c>
      <c r="D34" s="131">
        <f>SUMIF(Data!$1:$1,$C$2,Data!171:171)</f>
        <v>20745590</v>
      </c>
      <c r="E34" s="131"/>
      <c r="G34" s="131">
        <f>SUMIF(Data!$1:$1,$C$2,Data!535:535)</f>
        <v>1323145</v>
      </c>
      <c r="H34" s="131">
        <f>SUMIF(Data!$1:$1,$C$2,Data!807:807)</f>
        <v>3629695</v>
      </c>
      <c r="I34" s="131">
        <f>SUMIF(Data!$1:$1,$C$2,Data!920:920)</f>
        <v>1462759</v>
      </c>
      <c r="L34" s="131">
        <f>SUMIF(Data!$1:$1,$C$2,Data!2341:2341)</f>
        <v>5061412</v>
      </c>
      <c r="M34" s="156">
        <f t="shared" si="8"/>
        <v>0</v>
      </c>
      <c r="N34" s="131">
        <f>SUMIF(Data!$1:$1,$C$2,Data!2251:2251)</f>
        <v>5196125</v>
      </c>
      <c r="O34" s="650">
        <f t="shared" si="6"/>
        <v>21965064</v>
      </c>
      <c r="R34" s="208">
        <f>SUMIF(Data!$1:$1,$Q$3,Data!$2575:$2575)</f>
        <v>35183763</v>
      </c>
      <c r="V34" s="663">
        <f t="shared" si="0"/>
        <v>57148827</v>
      </c>
      <c r="X34" s="156">
        <f t="shared" si="1"/>
        <v>-57148827</v>
      </c>
    </row>
    <row r="35" spans="1:24">
      <c r="A35" s="216" t="s">
        <v>836</v>
      </c>
      <c r="B35" s="158" t="s">
        <v>750</v>
      </c>
      <c r="C35" s="159">
        <v>227526</v>
      </c>
      <c r="D35" s="131">
        <f>SUMIF(Data!$1:$1,$C$2,Data!156:156)</f>
        <v>48230831</v>
      </c>
      <c r="E35" s="131"/>
      <c r="F35" s="131">
        <f>SUMIF(Data!$1:$1,$C$2,Data!2371:2371)</f>
        <v>28609940</v>
      </c>
      <c r="G35" s="131">
        <f>SUMIF(Data!$1:$1,$C$2,Data!520:520)</f>
        <v>2946116</v>
      </c>
      <c r="H35" s="131">
        <f>SUMIF(Data!$1:$1,$C$2,Data!773:773)</f>
        <v>5519098</v>
      </c>
      <c r="I35" s="131">
        <f>SUMIF(Data!$1:$1,$C$2,Data!905:905)</f>
        <v>3434723</v>
      </c>
      <c r="N35" s="131">
        <f>SUMIF(Data!$1:$1,$C$2,Data!2236:2236)</f>
        <v>6674016</v>
      </c>
      <c r="O35" s="650">
        <f t="shared" si="6"/>
        <v>82066692</v>
      </c>
      <c r="R35" s="208">
        <f>SUMIF(Data!$1:$1,$Q$3,Data!$2553:$2553)</f>
        <v>40878006</v>
      </c>
      <c r="V35" s="663">
        <f t="shared" si="0"/>
        <v>122944698</v>
      </c>
      <c r="X35" s="156">
        <f t="shared" si="1"/>
        <v>-122944698</v>
      </c>
    </row>
    <row r="36" spans="1:24">
      <c r="A36" s="216" t="s">
        <v>836</v>
      </c>
      <c r="B36" s="158" t="s">
        <v>857</v>
      </c>
      <c r="C36" s="159">
        <v>227881</v>
      </c>
      <c r="D36" s="131">
        <f>SUMIF(Data!$1:$1,$C$2,Data!186:186)</f>
        <v>58530469</v>
      </c>
      <c r="E36" s="131"/>
      <c r="G36" s="131">
        <f>SUMIF(Data!$1:$1,$C$2,Data!550:550)</f>
        <v>5811601</v>
      </c>
      <c r="H36" s="131">
        <f>SUMIF(Data!$1:$1,$C$2,Data!802:802)</f>
        <v>9127925</v>
      </c>
      <c r="I36" s="131">
        <f>SUMIF(Data!$1:$1,$C$2,Data!935:935)</f>
        <v>5672593</v>
      </c>
      <c r="L36" s="131">
        <f>SUMIF(Data!$1:$1,$C$2,Data!2355:2355)</f>
        <v>17329858</v>
      </c>
      <c r="M36" s="156">
        <f t="shared" ref="M36:M38" si="9">ROUND(L36*$M$6,0)</f>
        <v>0</v>
      </c>
      <c r="N36" s="131">
        <f>SUMIF(Data!$1:$1,$C$2,Data!2266:2266)</f>
        <v>5646170</v>
      </c>
      <c r="O36" s="650">
        <f t="shared" si="6"/>
        <v>73496418</v>
      </c>
      <c r="R36" s="208">
        <f>SUMIF(Data!$1:$1,$Q$3,Data!$2568:$2568)</f>
        <v>154563100</v>
      </c>
      <c r="V36" s="663">
        <f t="shared" si="0"/>
        <v>228059518</v>
      </c>
      <c r="X36" s="156">
        <f t="shared" si="1"/>
        <v>-228059518</v>
      </c>
    </row>
    <row r="37" spans="1:24">
      <c r="A37" s="216" t="s">
        <v>836</v>
      </c>
      <c r="B37" s="158" t="s">
        <v>858</v>
      </c>
      <c r="C37" s="159">
        <v>228431</v>
      </c>
      <c r="D37" s="131">
        <f>SUMIF(Data!$1:$1,$C$2,Data!175:175)</f>
        <v>39106062</v>
      </c>
      <c r="E37" s="131"/>
      <c r="G37" s="131">
        <f>SUMIF(Data!$1:$1,$C$2,Data!539:539)</f>
        <v>3042203</v>
      </c>
      <c r="H37" s="131">
        <f>SUMIF(Data!$1:$1,$C$2,Data!811:811)</f>
        <v>6423580</v>
      </c>
      <c r="I37" s="131">
        <f>SUMIF(Data!$1:$1,$C$2,Data!924:924)</f>
        <v>3311616</v>
      </c>
      <c r="L37" s="131">
        <f>SUMIF(Data!$1:$1,$C$2,Data!2344:2344)</f>
        <v>11636163</v>
      </c>
      <c r="M37" s="156">
        <f t="shared" si="9"/>
        <v>0</v>
      </c>
      <c r="N37" s="131">
        <f>SUMIF(Data!$1:$1,$C$2,Data!2255:2255)</f>
        <v>6440456</v>
      </c>
      <c r="O37" s="650">
        <f t="shared" si="6"/>
        <v>45443005</v>
      </c>
      <c r="R37" s="208">
        <f>SUMIF(Data!$1:$1,$Q$3,Data!$2576:$2576)</f>
        <v>83460589</v>
      </c>
      <c r="V37" s="663">
        <f t="shared" si="0"/>
        <v>128903594</v>
      </c>
      <c r="X37" s="156">
        <f t="shared" si="1"/>
        <v>-128903594</v>
      </c>
    </row>
    <row r="38" spans="1:24">
      <c r="A38" s="216" t="s">
        <v>836</v>
      </c>
      <c r="B38" s="158" t="s">
        <v>859</v>
      </c>
      <c r="C38" s="159">
        <v>228501</v>
      </c>
      <c r="D38" s="131">
        <f>SUMIF(Data!$1:$1,$C$2,Data!188:188)</f>
        <v>11001146</v>
      </c>
      <c r="E38" s="131"/>
      <c r="G38" s="131">
        <f>SUMIF(Data!$1:$1,$C$2,Data!552:552)</f>
        <v>793166</v>
      </c>
      <c r="H38" s="131">
        <f>SUMIF(Data!$1:$1,$C$2,Data!804:804)</f>
        <v>2502470</v>
      </c>
      <c r="I38" s="131">
        <f>SUMIF(Data!$1:$1,$C$2,Data!937:937)</f>
        <v>878394</v>
      </c>
      <c r="L38" s="131">
        <f>SUMIF(Data!$1:$1,$C$2,Data!2356:2356)</f>
        <v>2135523</v>
      </c>
      <c r="M38" s="156">
        <f t="shared" si="9"/>
        <v>0</v>
      </c>
      <c r="N38" s="131">
        <f>SUMIF(Data!$1:$1,$C$2,Data!2268:2268)</f>
        <v>1531018</v>
      </c>
      <c r="O38" s="650">
        <f t="shared" si="6"/>
        <v>13644158</v>
      </c>
      <c r="R38" s="208">
        <f>SUMIF(Data!$1:$1,$Q$3,Data!$2570:$2570)</f>
        <v>5952891</v>
      </c>
      <c r="V38" s="663">
        <f t="shared" si="0"/>
        <v>19597049</v>
      </c>
      <c r="X38" s="156">
        <f t="shared" si="1"/>
        <v>-19597049</v>
      </c>
    </row>
    <row r="39" spans="1:24">
      <c r="A39" s="216" t="s">
        <v>836</v>
      </c>
      <c r="B39" s="158" t="s">
        <v>860</v>
      </c>
      <c r="C39" s="159">
        <v>228529</v>
      </c>
      <c r="D39" s="131">
        <f>SUMIF(Data!$1:$1,$C$2,Data!157:157)</f>
        <v>45738384</v>
      </c>
      <c r="E39" s="131"/>
      <c r="G39" s="131">
        <f>SUMIF(Data!$1:$1,$C$2,Data!521:521)</f>
        <v>3037607</v>
      </c>
      <c r="H39" s="131">
        <f>SUMIF(Data!$1:$1,$C$2,Data!774:774)</f>
        <v>5242887</v>
      </c>
      <c r="I39" s="131">
        <f>SUMIF(Data!$1:$1,$C$2,Data!906:906)</f>
        <v>3308490</v>
      </c>
      <c r="N39" s="131">
        <f>SUMIF(Data!$1:$1,$C$2,Data!2237:2237)</f>
        <v>10736876</v>
      </c>
      <c r="O39" s="650">
        <f t="shared" si="6"/>
        <v>46590492</v>
      </c>
      <c r="R39" s="208">
        <f>SUMIF(Data!$1:$1,$Q$3,Data!$2554:$2554)</f>
        <v>71174877</v>
      </c>
      <c r="V39" s="663">
        <f t="shared" si="0"/>
        <v>117765369</v>
      </c>
      <c r="X39" s="156">
        <f t="shared" si="1"/>
        <v>-117765369</v>
      </c>
    </row>
    <row r="40" spans="1:24">
      <c r="A40" s="216" t="s">
        <v>836</v>
      </c>
      <c r="B40" s="169" t="s">
        <v>861</v>
      </c>
      <c r="C40" s="170">
        <v>226152</v>
      </c>
      <c r="D40" s="131">
        <f>SUMIF(Data!$1:$1,$C$2,Data!162:162)</f>
        <v>32088813</v>
      </c>
      <c r="E40" s="131"/>
      <c r="G40" s="131">
        <f>SUMIF(Data!$1:$1,$C$2,Data!526:526)</f>
        <v>2055320</v>
      </c>
      <c r="H40" s="131">
        <f>SUMIF(Data!$1:$1,$C$2,Data!779:779)</f>
        <v>2849655</v>
      </c>
      <c r="I40" s="131">
        <f>SUMIF(Data!$1:$1,$C$2,Data!911:911)</f>
        <v>2240441</v>
      </c>
      <c r="L40" s="131">
        <f>SUMIF(Data!$1:$1,$C$2,Data!2333:2333)</f>
        <v>6709910</v>
      </c>
      <c r="M40" s="156">
        <f t="shared" ref="M40:M46" si="10">ROUND(L40*$M$6,0)</f>
        <v>0</v>
      </c>
      <c r="N40" s="131">
        <f>SUMIF(Data!$1:$1,$C$2,Data!2242:2242)</f>
        <v>8591243</v>
      </c>
      <c r="O40" s="650">
        <f t="shared" si="6"/>
        <v>30642986</v>
      </c>
      <c r="R40" s="208">
        <f>SUMIF(Data!$1:$1,$Q$3,Data!$2557:$2557)</f>
        <v>23789547</v>
      </c>
      <c r="V40" s="663">
        <f t="shared" si="0"/>
        <v>54432533</v>
      </c>
      <c r="X40" s="156">
        <f t="shared" si="1"/>
        <v>-54432533</v>
      </c>
    </row>
    <row r="41" spans="1:24">
      <c r="A41" s="216" t="s">
        <v>836</v>
      </c>
      <c r="B41" s="158" t="s">
        <v>862</v>
      </c>
      <c r="C41" s="159">
        <v>224554</v>
      </c>
      <c r="D41" s="131">
        <f>SUMIF(Data!$1:$1,$C$2,Data!164:164)</f>
        <v>42111692</v>
      </c>
      <c r="E41" s="131"/>
      <c r="G41" s="131">
        <f>SUMIF(Data!$1:$1,$C$2,Data!528:528)</f>
        <v>2974187</v>
      </c>
      <c r="H41" s="131">
        <f>SUMIF(Data!$1:$1,$C$2,Data!781:781)</f>
        <v>6652994</v>
      </c>
      <c r="I41" s="131">
        <f>SUMIF(Data!$1:$1,$C$2,Data!913:913)</f>
        <v>3332718</v>
      </c>
      <c r="L41" s="131">
        <f>SUMIF(Data!$1:$1,$C$2,Data!2335:2335)</f>
        <v>10786313</v>
      </c>
      <c r="M41" s="156">
        <f t="shared" si="10"/>
        <v>0</v>
      </c>
      <c r="N41" s="131">
        <f>SUMIF(Data!$1:$1,$C$2,Data!2244:2244)</f>
        <v>5291817</v>
      </c>
      <c r="O41" s="650">
        <f t="shared" si="6"/>
        <v>49779774</v>
      </c>
      <c r="R41" s="208">
        <f>SUMIF(Data!$1:$1,$Q$3,Data!$2559:$2559)</f>
        <v>52643350</v>
      </c>
      <c r="V41" s="663">
        <f t="shared" si="0"/>
        <v>102423124</v>
      </c>
      <c r="X41" s="156">
        <f t="shared" si="1"/>
        <v>-102423124</v>
      </c>
    </row>
    <row r="42" spans="1:24">
      <c r="A42" s="216" t="s">
        <v>836</v>
      </c>
      <c r="B42" s="158" t="s">
        <v>863</v>
      </c>
      <c r="C42" s="159">
        <v>224147</v>
      </c>
      <c r="D42" s="131">
        <f>SUMIF(Data!$1:$1,$C$2,Data!159:159)</f>
        <v>51905781</v>
      </c>
      <c r="E42" s="131"/>
      <c r="G42" s="131">
        <f>SUMIF(Data!$1:$1,$C$2,Data!523:523)</f>
        <v>3158853</v>
      </c>
      <c r="H42" s="131">
        <f>SUMIF(Data!$1:$1,$C$2,Data!776:776)</f>
        <v>5077345</v>
      </c>
      <c r="I42" s="131">
        <f>SUMIF(Data!$1:$1,$C$2,Data!908:908)</f>
        <v>3598741</v>
      </c>
      <c r="L42" s="131">
        <f>SUMIF(Data!$1:$1,$C$2,Data!2331:2331)</f>
        <v>11136344</v>
      </c>
      <c r="M42" s="156">
        <f t="shared" si="10"/>
        <v>0</v>
      </c>
      <c r="N42" s="131">
        <f>SUMIF(Data!$1:$1,$C$2,Data!2239:2239)</f>
        <v>9896794</v>
      </c>
      <c r="O42" s="650">
        <f t="shared" si="6"/>
        <v>53843926</v>
      </c>
      <c r="R42" s="208">
        <f>SUMIF(Data!$1:$1,$Q$3,Data!$2555:$2555)</f>
        <v>64350604</v>
      </c>
      <c r="V42" s="663">
        <f t="shared" si="0"/>
        <v>118194530</v>
      </c>
      <c r="X42" s="156">
        <f t="shared" si="1"/>
        <v>-118194530</v>
      </c>
    </row>
    <row r="43" spans="1:24">
      <c r="A43" s="216" t="s">
        <v>836</v>
      </c>
      <c r="B43" s="158" t="s">
        <v>864</v>
      </c>
      <c r="C43" s="159">
        <v>228705</v>
      </c>
      <c r="D43" s="131">
        <f>SUMIF(Data!$1:$1,$C$2,Data!160:160)</f>
        <v>38836780</v>
      </c>
      <c r="E43" s="131"/>
      <c r="G43" s="131">
        <f>SUMIF(Data!$1:$1,$C$2,Data!524:524)</f>
        <v>3398551</v>
      </c>
      <c r="H43" s="131">
        <f>SUMIF(Data!$1:$1,$C$2,Data!777:777)</f>
        <v>5195445</v>
      </c>
      <c r="I43" s="131">
        <f>SUMIF(Data!$1:$1,$C$2,Data!909:909)</f>
        <v>2853108</v>
      </c>
      <c r="L43" s="131">
        <f>SUMIF(Data!$1:$1,$C$2,Data!2332:2332)</f>
        <v>8966056</v>
      </c>
      <c r="M43" s="156">
        <f t="shared" si="10"/>
        <v>0</v>
      </c>
      <c r="N43" s="131">
        <f>SUMIF(Data!$1:$1,$C$2,Data!2240:2240)</f>
        <v>6597321</v>
      </c>
      <c r="O43" s="650">
        <f t="shared" si="6"/>
        <v>43686563</v>
      </c>
      <c r="R43" s="208">
        <f>SUMIF(Data!$1:$1,$Q$3,Data!$2556:$2556)</f>
        <v>40437658</v>
      </c>
      <c r="V43" s="663">
        <f t="shared" si="0"/>
        <v>84124221</v>
      </c>
      <c r="X43" s="156">
        <f t="shared" si="1"/>
        <v>-84124221</v>
      </c>
    </row>
    <row r="44" spans="1:24">
      <c r="A44" s="216" t="s">
        <v>836</v>
      </c>
      <c r="B44" s="158" t="s">
        <v>865</v>
      </c>
      <c r="C44" s="159">
        <v>229063</v>
      </c>
      <c r="D44" s="131">
        <f>SUMIF(Data!$1:$1,$C$2,Data!176:176)</f>
        <v>51561004</v>
      </c>
      <c r="E44" s="131"/>
      <c r="G44" s="131">
        <f>SUMIF(Data!$1:$1,$C$2,Data!540:540)</f>
        <v>3523535</v>
      </c>
      <c r="H44" s="131">
        <f>SUMIF(Data!$1:$1,$C$2,Data!812:812)</f>
        <v>5310788</v>
      </c>
      <c r="I44" s="131">
        <f>SUMIF(Data!$1:$1,$C$2,Data!925:925)</f>
        <v>4342588</v>
      </c>
      <c r="L44" s="131">
        <f>SUMIF(Data!$1:$1,$C$2,Data!2345:2345)+SUMIF(Data!$1:$1,$C$2,Data!2346:2346)</f>
        <v>11659843</v>
      </c>
      <c r="M44" s="156">
        <f t="shared" si="10"/>
        <v>0</v>
      </c>
      <c r="N44" s="131">
        <f>SUMIF(Data!$1:$1,$C$2,Data!2256:2256)</f>
        <v>13268988</v>
      </c>
      <c r="O44" s="650">
        <f t="shared" si="6"/>
        <v>51468927</v>
      </c>
      <c r="R44" s="208">
        <f>SUMIF(Data!$1:$1,$Q$3,Data!$2577:$2577)</f>
        <v>62210273</v>
      </c>
      <c r="V44" s="663">
        <f t="shared" si="0"/>
        <v>113679200</v>
      </c>
      <c r="X44" s="156">
        <f t="shared" si="1"/>
        <v>-113679200</v>
      </c>
    </row>
    <row r="45" spans="1:24">
      <c r="A45" s="216" t="s">
        <v>836</v>
      </c>
      <c r="B45" s="158" t="s">
        <v>866</v>
      </c>
      <c r="C45" s="159">
        <v>225414</v>
      </c>
      <c r="D45" s="131">
        <f>SUMIF(Data!$1:$1,$C$2,Data!168:168)</f>
        <v>29180801</v>
      </c>
      <c r="E45" s="131"/>
      <c r="G45" s="131">
        <f>SUMIF(Data!$1:$1,$C$2,Data!532:532)</f>
        <v>2421700</v>
      </c>
      <c r="H45" s="131">
        <f>SUMIF(Data!$1:$1,$C$2,Data!793:793)</f>
        <v>3819432</v>
      </c>
      <c r="I45" s="131">
        <f>SUMIF(Data!$1:$1,$C$2,Data!917:917)</f>
        <v>2427054</v>
      </c>
      <c r="L45" s="131">
        <f>SUMIF(Data!$1:$1,$C$2,Data!2338:2338)</f>
        <v>8005116</v>
      </c>
      <c r="M45" s="156">
        <f t="shared" si="10"/>
        <v>0</v>
      </c>
      <c r="N45" s="131">
        <f>SUMIF(Data!$1:$1,$C$2,Data!2248:2248)</f>
        <v>8194828</v>
      </c>
      <c r="O45" s="650">
        <f t="shared" si="6"/>
        <v>29654159</v>
      </c>
      <c r="R45" s="208">
        <f>SUMIF(Data!$1:$1,$Q$3,Data!$2564:$2564)</f>
        <v>53589439</v>
      </c>
      <c r="V45" s="663">
        <f t="shared" si="0"/>
        <v>83243598</v>
      </c>
      <c r="X45" s="156">
        <f t="shared" si="1"/>
        <v>-83243598</v>
      </c>
    </row>
    <row r="46" spans="1:24">
      <c r="A46" s="216" t="s">
        <v>836</v>
      </c>
      <c r="B46" s="784" t="s">
        <v>867</v>
      </c>
      <c r="C46" s="785">
        <v>227377</v>
      </c>
      <c r="D46" s="131">
        <f>SUMIF(Data!$1:$1,$C$2,Data!149:149)</f>
        <v>0</v>
      </c>
      <c r="E46" s="131"/>
      <c r="G46" s="131">
        <f>SUMIF(Data!$1:$1,$C$2,Data!513:513)</f>
        <v>0</v>
      </c>
      <c r="H46" s="131">
        <f>SUMIF(Data!$1:$1,$C$2,Data!758:758)</f>
        <v>0</v>
      </c>
      <c r="I46" s="131">
        <f>SUMIF(Data!$1:$1,$C$2,Data!898:898)</f>
        <v>0</v>
      </c>
      <c r="L46" s="172">
        <f>SUMIF(Data!$1:$1,$C$2,Data!2330:2330)</f>
        <v>0</v>
      </c>
      <c r="M46" s="156">
        <f t="shared" si="10"/>
        <v>0</v>
      </c>
      <c r="N46" s="131">
        <f>SUMIF(Data!$1:$1,$C$2,Data!2229:2229)</f>
        <v>0</v>
      </c>
      <c r="O46" s="650">
        <f t="shared" si="6"/>
        <v>0</v>
      </c>
      <c r="R46" s="208">
        <f>SUMIF(Data!$1:$1,$Q$3,Data!$2547:$2547)</f>
        <v>0</v>
      </c>
      <c r="V46" s="663">
        <f t="shared" si="0"/>
        <v>0</v>
      </c>
      <c r="X46" s="156">
        <f t="shared" si="1"/>
        <v>0</v>
      </c>
    </row>
    <row r="47" spans="1:24">
      <c r="A47" s="216" t="s">
        <v>836</v>
      </c>
      <c r="B47" s="786" t="s">
        <v>870</v>
      </c>
      <c r="C47" s="785">
        <v>227368</v>
      </c>
      <c r="D47" s="131">
        <f>SUMIF(Data!$1:$1,$C$2,Data!148:148)</f>
        <v>0</v>
      </c>
      <c r="E47" s="131"/>
      <c r="G47" s="131">
        <f>SUMIF(Data!$1:$1,$C$2,Data!512:512)</f>
        <v>0</v>
      </c>
      <c r="H47" s="131">
        <f>SUMIF(Data!$1:$1,$C$2,Data!757:757)</f>
        <v>0</v>
      </c>
      <c r="I47" s="131">
        <f>SUMIF(Data!$1:$1,$C$2,Data!897:897)</f>
        <v>0</v>
      </c>
      <c r="L47" s="172">
        <f>SUMIF(Data!$1:$1,$C$2,Data!2329:2329)</f>
        <v>0</v>
      </c>
      <c r="M47" s="156">
        <f>ROUND(L47*$M$6,0)</f>
        <v>0</v>
      </c>
      <c r="N47" s="131">
        <f>SUMIF(Data!$1:$1,$C$2,Data!2228:2228)</f>
        <v>0</v>
      </c>
      <c r="O47" s="650">
        <f>SUM(D47:K47)+M47-N47</f>
        <v>0</v>
      </c>
      <c r="R47" s="208">
        <f>SUMIF(Data!$1:$1,$Q$3,Data!$2545:$2545)</f>
        <v>0</v>
      </c>
      <c r="V47" s="663">
        <f>SUM(O47:U47)</f>
        <v>0</v>
      </c>
      <c r="X47" s="156">
        <f>W47-V47</f>
        <v>0</v>
      </c>
    </row>
    <row r="48" spans="1:24">
      <c r="A48" s="216" t="s">
        <v>836</v>
      </c>
      <c r="B48" s="687" t="s">
        <v>1777</v>
      </c>
      <c r="C48" s="688">
        <v>227368</v>
      </c>
      <c r="D48" s="131">
        <f>SUMIF(Data!$1:$1,$C$2,Data!147:147)</f>
        <v>97104134</v>
      </c>
      <c r="E48" s="131"/>
      <c r="G48" s="131">
        <f>SUMIF(Data!$1:$1,$C$2,Data!511:511)</f>
        <v>6290411</v>
      </c>
      <c r="H48" s="131">
        <f>SUMIF(Data!$1:$1,$C$2,Data!756:756)</f>
        <v>11768959</v>
      </c>
      <c r="I48" s="131">
        <f>SUMIF(Data!$1:$1,$C$2,Data!896:896)</f>
        <v>7612238</v>
      </c>
      <c r="L48" s="172">
        <f>SUMIF(Data!$1:$1,$C$2,Data!2328:2328)</f>
        <v>0</v>
      </c>
      <c r="M48" s="156">
        <f>ROUND(L48*$M$6,0)</f>
        <v>0</v>
      </c>
      <c r="N48" s="131">
        <f>SUMIF(Data!$1:$1,$C$2,Data!2227:2227)</f>
        <v>18019713</v>
      </c>
      <c r="O48" s="650">
        <f t="shared" si="6"/>
        <v>104756029</v>
      </c>
      <c r="R48" s="208">
        <f>SUMIF(Data!$1:$1,$Q$3,Data!$2546:$2546)</f>
        <v>90949003</v>
      </c>
      <c r="V48" s="663">
        <f t="shared" si="0"/>
        <v>195705032</v>
      </c>
      <c r="X48" s="156">
        <f t="shared" si="1"/>
        <v>-195705032</v>
      </c>
    </row>
    <row r="49" spans="1:24">
      <c r="A49" s="216" t="s">
        <v>836</v>
      </c>
      <c r="B49" s="158" t="s">
        <v>868</v>
      </c>
      <c r="C49" s="159">
        <v>228802</v>
      </c>
      <c r="D49" s="131">
        <f>SUMIF(Data!$1:$1,$C$2,Data!152:152)</f>
        <v>36070813</v>
      </c>
      <c r="E49" s="131"/>
      <c r="G49" s="131">
        <f>SUMIF(Data!$1:$1,$C$2,Data!516:516)</f>
        <v>2834902</v>
      </c>
      <c r="H49" s="131">
        <f>SUMIF(Data!$1:$1,$C$2,Data!761:761)</f>
        <v>3342639</v>
      </c>
      <c r="I49" s="131">
        <f>SUMIF(Data!$1:$1,$C$2,Data!901:901)</f>
        <v>2486268</v>
      </c>
      <c r="L49" s="173"/>
      <c r="N49" s="131">
        <f>SUMIF(Data!$1:$1,$C$2,Data!2232:2232)</f>
        <v>9869850</v>
      </c>
      <c r="O49" s="650">
        <f>SUM(D49:K49)+M49-N49</f>
        <v>34864772</v>
      </c>
      <c r="R49" s="208">
        <f>SUMIF(Data!$1:$1,$Q$3,Data!$2550:$2550)</f>
        <v>47209824</v>
      </c>
      <c r="V49" s="663">
        <f>SUM(O49:U49)</f>
        <v>82074596</v>
      </c>
      <c r="X49" s="156">
        <f>W49-V49</f>
        <v>-82074596</v>
      </c>
    </row>
    <row r="50" spans="1:24">
      <c r="A50" s="216" t="s">
        <v>836</v>
      </c>
      <c r="B50" s="169" t="s">
        <v>869</v>
      </c>
      <c r="C50" s="159">
        <v>229018</v>
      </c>
      <c r="D50" s="131">
        <f>SUMIF(Data!$1:$1,$C$2,Data!150:150)</f>
        <v>31866072</v>
      </c>
      <c r="E50" s="131"/>
      <c r="G50" s="131">
        <f>SUMIF(Data!$1:$1,$C$2,Data!514:514)</f>
        <v>1306498</v>
      </c>
      <c r="H50" s="131">
        <f>SUMIF(Data!$1:$1,$C$2,Data!759:759)</f>
        <v>1873620</v>
      </c>
      <c r="I50" s="131">
        <f>SUMIF(Data!$1:$1,$C$2,Data!899:899)</f>
        <v>1853209</v>
      </c>
      <c r="L50" s="172"/>
      <c r="N50" s="131">
        <f>SUMIF(Data!$1:$1,$C$2,Data!2230:2230)</f>
        <v>12185988</v>
      </c>
      <c r="O50" s="650">
        <f>SUM(D50:K50)+M50-N50</f>
        <v>24713411</v>
      </c>
      <c r="R50" s="208">
        <f>SUMIF(Data!$1:$1,$Q$3,Data!$2548:$2548)</f>
        <v>-9101562</v>
      </c>
      <c r="V50" s="663">
        <f>SUM(O50:U50)</f>
        <v>15611849</v>
      </c>
      <c r="X50" s="156">
        <f>W50-V50</f>
        <v>-15611849</v>
      </c>
    </row>
    <row r="51" spans="1:24">
      <c r="A51" s="216" t="s">
        <v>836</v>
      </c>
      <c r="B51" s="158" t="s">
        <v>871</v>
      </c>
      <c r="C51" s="159">
        <v>229814</v>
      </c>
      <c r="D51" s="131">
        <f>SUMIF(Data!$1:$1,$C$2,Data!163:163)</f>
        <v>35174681</v>
      </c>
      <c r="E51" s="131"/>
      <c r="G51" s="131">
        <f>SUMIF(Data!$1:$1,$C$2,Data!527:527)</f>
        <v>2489874</v>
      </c>
      <c r="H51" s="131">
        <f>SUMIF(Data!$1:$1,$C$2,Data!780:780)</f>
        <v>4715187</v>
      </c>
      <c r="I51" s="131">
        <f>SUMIF(Data!$1:$1,$C$2,Data!912:912)</f>
        <v>2706866</v>
      </c>
      <c r="L51" s="131">
        <f>SUMIF(Data!$1:$1,$C$2,Data!2334:2334)</f>
        <v>7164408</v>
      </c>
      <c r="M51" s="156">
        <f t="shared" ref="M51:M57" si="11">ROUND(L51*$M$6,0)</f>
        <v>0</v>
      </c>
      <c r="N51" s="131">
        <f>SUMIF(Data!$1:$1,$C$2,Data!2243:2243)</f>
        <v>6228296</v>
      </c>
      <c r="O51" s="650">
        <f t="shared" si="6"/>
        <v>38858312</v>
      </c>
      <c r="R51" s="208">
        <f>SUMIF(Data!$1:$1,$Q$3,Data!$2558:$2558)</f>
        <v>49435605</v>
      </c>
      <c r="V51" s="663">
        <f t="shared" si="0"/>
        <v>88293917</v>
      </c>
      <c r="X51" s="156">
        <f t="shared" si="1"/>
        <v>-88293917</v>
      </c>
    </row>
    <row r="52" spans="1:24">
      <c r="A52" s="216" t="s">
        <v>836</v>
      </c>
      <c r="B52" s="169" t="s">
        <v>1528</v>
      </c>
      <c r="C52" s="639">
        <v>483036</v>
      </c>
      <c r="D52" s="131">
        <f>SUMIF(Data!$1:$1,$C$2,Data!158:158)</f>
        <v>17299692</v>
      </c>
      <c r="E52" s="190"/>
      <c r="F52" s="156"/>
      <c r="G52" s="131">
        <f>SUMIF(Data!$1:$1,$C$2,Data!522:522)</f>
        <v>652322</v>
      </c>
      <c r="H52" s="131">
        <f>SUMIF(Data!$1:$1,$C$2,Data!775:775)</f>
        <v>928600</v>
      </c>
      <c r="I52" s="131">
        <f>SUMIF(Data!$1:$1,$C$2,Data!907:907)</f>
        <v>872773</v>
      </c>
      <c r="N52" s="131">
        <f>SUMIF(Data!$1:$1,$C$2,Data!2238:2238)</f>
        <v>4542990</v>
      </c>
      <c r="O52" s="650">
        <f>SUM(D52:K52)+M52-N52</f>
        <v>15210397</v>
      </c>
      <c r="R52" s="208">
        <f>SUMIF(Data!$1:$1,$Q$3,Data!$2561:$2561)</f>
        <v>11993667</v>
      </c>
      <c r="V52" s="663">
        <f t="shared" si="0"/>
        <v>27204064</v>
      </c>
      <c r="X52" s="156">
        <f t="shared" si="1"/>
        <v>-27204064</v>
      </c>
    </row>
    <row r="53" spans="1:24">
      <c r="A53" s="216" t="s">
        <v>836</v>
      </c>
      <c r="B53" s="158" t="s">
        <v>872</v>
      </c>
      <c r="C53" s="159">
        <v>224545</v>
      </c>
      <c r="D53" s="131">
        <f>SUMIF(Data!$1:$1,$C$2,Data!165:165)</f>
        <v>22530738</v>
      </c>
      <c r="E53" s="131"/>
      <c r="G53" s="131">
        <f>SUMIF(Data!$1:$1,$C$2,Data!529:529)</f>
        <v>883858</v>
      </c>
      <c r="H53" s="131">
        <f>SUMIF(Data!$1:$1,$C$2,Data!782:782)</f>
        <v>1839395</v>
      </c>
      <c r="I53" s="131">
        <f>SUMIF(Data!$1:$1,$C$2,Data!914:914)</f>
        <v>1076411</v>
      </c>
      <c r="L53" s="131">
        <f>SUMIF(Data!$1:$1,$C$2,Data!2336:2336)</f>
        <v>1823883</v>
      </c>
      <c r="M53" s="156">
        <f t="shared" si="11"/>
        <v>0</v>
      </c>
      <c r="N53" s="131">
        <f>SUMIF(Data!$1:$1,$C$2,Data!2245:2245)</f>
        <v>7521587</v>
      </c>
      <c r="O53" s="650">
        <f t="shared" si="6"/>
        <v>18808815</v>
      </c>
      <c r="R53" s="208">
        <f>SUMIF(Data!$1:$1,$Q$3,Data!$2560:$2560)</f>
        <v>10322235</v>
      </c>
      <c r="V53" s="663">
        <f t="shared" si="0"/>
        <v>29131050</v>
      </c>
      <c r="X53" s="156">
        <f t="shared" si="1"/>
        <v>-29131050</v>
      </c>
    </row>
    <row r="54" spans="1:24">
      <c r="A54" s="216" t="s">
        <v>836</v>
      </c>
      <c r="B54" s="169" t="s">
        <v>873</v>
      </c>
      <c r="C54" s="170">
        <v>225502</v>
      </c>
      <c r="D54" s="131">
        <f>SUMIF(Data!$1:$1,$C$2,Data!170:170)</f>
        <v>14650338</v>
      </c>
      <c r="E54" s="131"/>
      <c r="G54" s="131">
        <f>SUMIF(Data!$1:$1,$C$2,Data!534:534)</f>
        <v>1199986</v>
      </c>
      <c r="H54" s="131">
        <f>SUMIF(Data!$1:$1,$C$2,Data!795:795)</f>
        <v>1810849</v>
      </c>
      <c r="I54" s="131">
        <f>SUMIF(Data!$1:$1,$C$2,Data!919:919)</f>
        <v>1405759</v>
      </c>
      <c r="L54" s="131">
        <f>SUMIF(Data!$1:$1,$C$2,Data!2340:2340)</f>
        <v>4275861</v>
      </c>
      <c r="M54" s="156">
        <f t="shared" si="11"/>
        <v>0</v>
      </c>
      <c r="N54" s="131">
        <f>SUMIF(Data!$1:$1,$C$2,Data!2250:2250)</f>
        <v>4120693</v>
      </c>
      <c r="O54" s="650">
        <f t="shared" si="6"/>
        <v>14946239</v>
      </c>
      <c r="R54" s="208">
        <f>SUMIF(Data!$1:$1,$Q$3,Data!$2566:$2566)</f>
        <v>19716905</v>
      </c>
      <c r="V54" s="663">
        <f t="shared" si="0"/>
        <v>34663144</v>
      </c>
      <c r="X54" s="156">
        <f t="shared" si="1"/>
        <v>-34663144</v>
      </c>
    </row>
    <row r="55" spans="1:24">
      <c r="A55" s="216" t="s">
        <v>836</v>
      </c>
      <c r="B55" s="158" t="s">
        <v>874</v>
      </c>
      <c r="C55" s="159">
        <v>227924</v>
      </c>
      <c r="D55" s="131">
        <f>SUMIF(Data!$1:$1,$C$2,Data!189:189)</f>
        <v>5035990</v>
      </c>
      <c r="E55" s="131"/>
      <c r="G55" s="131">
        <f>SUMIF(Data!$1:$1,$C$2,Data!553:553)</f>
        <v>134923</v>
      </c>
      <c r="H55" s="131">
        <f>SUMIF(Data!$1:$1,$C$2,Data!805:805)</f>
        <v>310383</v>
      </c>
      <c r="I55" s="131">
        <f>SUMIF(Data!$1:$1,$C$2,Data!938:938)</f>
        <v>205496</v>
      </c>
      <c r="L55" s="131">
        <f>SUMIF(Data!$1:$1,$C$2,Data!2357:2357)</f>
        <v>410738</v>
      </c>
      <c r="M55" s="156">
        <f t="shared" si="11"/>
        <v>0</v>
      </c>
      <c r="N55" s="131">
        <f>SUMIF(Data!$1:$1,$C$2,Data!2269:2269)</f>
        <v>0</v>
      </c>
      <c r="O55" s="650">
        <f t="shared" si="6"/>
        <v>5686792</v>
      </c>
      <c r="R55" s="208"/>
      <c r="V55" s="663">
        <f t="shared" si="0"/>
        <v>5686792</v>
      </c>
      <c r="X55" s="156">
        <f t="shared" si="1"/>
        <v>-5686792</v>
      </c>
    </row>
    <row r="56" spans="1:24">
      <c r="A56" s="216" t="s">
        <v>836</v>
      </c>
      <c r="B56" s="169" t="s">
        <v>1529</v>
      </c>
      <c r="C56" s="641">
        <v>870501</v>
      </c>
      <c r="D56" s="131">
        <f>SUMIF(Data!$1:$1,$C$2,Data!161:161)</f>
        <v>31565412</v>
      </c>
      <c r="E56" s="131"/>
      <c r="G56" s="131">
        <f>SUMIF(Data!$1:$1,$C$2,Data!525:525)</f>
        <v>1484824</v>
      </c>
      <c r="H56" s="131">
        <f>SUMIF(Data!$1:$1,$C$2,Data!778:778)</f>
        <v>1933134</v>
      </c>
      <c r="I56" s="131">
        <f>SUMIF(Data!$1:$1,$C$2,Data!910:910)</f>
        <v>2069733</v>
      </c>
      <c r="N56" s="131">
        <f>SUMIF(Data!$1:$1,$C$2,Data!2241:2241)</f>
        <v>7687249</v>
      </c>
      <c r="O56" s="650">
        <f>SUM(D56:K56)+M56-N56</f>
        <v>29365854</v>
      </c>
      <c r="R56" s="208">
        <f>SUMIF(Data!$1:$1,$Q$3,Data!$2562:$2562)</f>
        <v>30298894</v>
      </c>
      <c r="V56" s="663">
        <f t="shared" si="0"/>
        <v>59664748</v>
      </c>
      <c r="X56" s="156">
        <f t="shared" si="1"/>
        <v>-59664748</v>
      </c>
    </row>
    <row r="57" spans="1:24">
      <c r="A57" s="216" t="s">
        <v>836</v>
      </c>
      <c r="B57" s="158" t="s">
        <v>875</v>
      </c>
      <c r="C57" s="159">
        <v>225432</v>
      </c>
      <c r="D57" s="131">
        <f>SUMIF(Data!$1:$1,$C$2,Data!169:169)</f>
        <v>25549503</v>
      </c>
      <c r="E57" s="131"/>
      <c r="G57" s="131">
        <f>SUMIF(Data!$1:$1,$C$2,Data!533:533)</f>
        <v>2474566</v>
      </c>
      <c r="H57" s="131">
        <f>SUMIF(Data!$1:$1,$C$2,Data!794:794)</f>
        <v>3432459</v>
      </c>
      <c r="I57" s="131">
        <f>SUMIF(Data!$1:$1,$C$2,Data!918:918)</f>
        <v>2911997</v>
      </c>
      <c r="L57" s="131">
        <f>SUMIF(Data!$1:$1,$C$2,Data!2339:2339)</f>
        <v>11752877</v>
      </c>
      <c r="M57" s="156">
        <f t="shared" si="11"/>
        <v>0</v>
      </c>
      <c r="N57" s="131">
        <f>SUMIF(Data!$1:$1,$C$2,Data!2249:2249)</f>
        <v>7501551</v>
      </c>
      <c r="O57" s="650">
        <f t="shared" si="6"/>
        <v>26866974</v>
      </c>
      <c r="R57" s="208">
        <f>SUMIF(Data!$1:$1,$Q$3,Data!$2565:$2565)</f>
        <v>65819688</v>
      </c>
      <c r="V57" s="663">
        <f t="shared" si="0"/>
        <v>92686662</v>
      </c>
      <c r="X57" s="156">
        <f t="shared" si="1"/>
        <v>-92686662</v>
      </c>
    </row>
    <row r="58" spans="1:24">
      <c r="A58" s="216" t="s">
        <v>836</v>
      </c>
      <c r="B58" s="158" t="s">
        <v>876</v>
      </c>
      <c r="C58" s="159">
        <v>228714</v>
      </c>
      <c r="D58" s="172">
        <f>SUMIF(Data!$1:$1,$C$2,Data!155:155)</f>
        <v>22161422</v>
      </c>
      <c r="E58" s="172"/>
      <c r="F58" s="173"/>
      <c r="G58" s="131">
        <f>SUMIF(Data!$1:$1,$C$2,Data!519:519)</f>
        <v>1081622</v>
      </c>
      <c r="H58" s="131">
        <f>SUMIF(Data!$1:$1,$C$2,Data!772:772)</f>
        <v>1911668</v>
      </c>
      <c r="I58" s="131">
        <f>SUMIF(Data!$1:$1,$C$2,Data!904:904)</f>
        <v>1054560</v>
      </c>
      <c r="J58" s="173"/>
      <c r="K58" s="173"/>
      <c r="L58" s="173"/>
      <c r="M58" s="174"/>
      <c r="N58" s="172">
        <f>SUMIF(Data!$1:$1,$C$2,Data!2235:2235)</f>
        <v>8277736</v>
      </c>
      <c r="O58" s="650">
        <f t="shared" si="6"/>
        <v>17931536</v>
      </c>
      <c r="P58" s="173"/>
      <c r="Q58" s="173"/>
      <c r="R58" s="208">
        <f>SUMIF(Data!$1:$1,$Q$3,Data!$2552:$2552)</f>
        <v>21182278</v>
      </c>
      <c r="S58" s="173"/>
      <c r="T58" s="173"/>
      <c r="V58" s="663">
        <f t="shared" si="0"/>
        <v>39113814</v>
      </c>
      <c r="X58" s="156">
        <f t="shared" si="1"/>
        <v>-39113814</v>
      </c>
    </row>
    <row r="59" spans="1:24">
      <c r="A59" s="216" t="s">
        <v>877</v>
      </c>
      <c r="B59" s="175" t="s">
        <v>878</v>
      </c>
      <c r="C59" s="170">
        <v>223506</v>
      </c>
      <c r="D59" s="131">
        <f>SUMIF(Data!$1:$1,$C$2,Data!379:379)</f>
        <v>5990395</v>
      </c>
      <c r="E59" s="131"/>
      <c r="F59" s="131"/>
      <c r="G59" s="131"/>
      <c r="H59" s="131"/>
      <c r="I59" s="131"/>
      <c r="J59" s="131">
        <f>SUMIF(Data!$1:$1,$C$2,Data!597:597)+SUMIF(Data!$1:$1,$C$2,Data!844:844)</f>
        <v>2494625</v>
      </c>
      <c r="L59" s="131"/>
      <c r="N59" s="156"/>
      <c r="O59" s="650">
        <f t="shared" si="6"/>
        <v>8485020</v>
      </c>
      <c r="Q59" s="131">
        <f>SUMIF(Data!$1:$1,$Q$3,Data!$2424:$2424)</f>
        <v>23510066</v>
      </c>
      <c r="R59" s="131">
        <f>SUMIF(Data!$1:$1,$Q$3,Data!$2476:$2476)</f>
        <v>9099168</v>
      </c>
      <c r="V59" s="663">
        <f t="shared" si="0"/>
        <v>41094254</v>
      </c>
      <c r="X59" s="156">
        <f t="shared" si="1"/>
        <v>-41094254</v>
      </c>
    </row>
    <row r="60" spans="1:24">
      <c r="A60" s="216" t="s">
        <v>877</v>
      </c>
      <c r="B60" s="175" t="s">
        <v>879</v>
      </c>
      <c r="C60" s="170">
        <v>226806</v>
      </c>
      <c r="D60" s="172">
        <f>SUMIF(Data!$1:$1,$C$2,Data!400:400)</f>
        <v>8049768</v>
      </c>
      <c r="E60" s="131"/>
      <c r="J60" s="131">
        <f>SUMIF(Data!$1:$1,$C$2,Data!618:618)+SUMIF(Data!$1:$1,$C$2,Data!865:865)</f>
        <v>3322867</v>
      </c>
      <c r="L60" s="131"/>
      <c r="N60" s="156"/>
      <c r="O60" s="650">
        <f t="shared" si="6"/>
        <v>11372635</v>
      </c>
      <c r="Q60" s="131">
        <f>SUMIF(Data!$1:$1,$Q$3,Data!$2445:$2445)</f>
        <v>28295755</v>
      </c>
      <c r="R60" s="131">
        <f>SUMIF(Data!$1:$1,$Q$3,Data!$2497:$2497)</f>
        <v>9170673</v>
      </c>
      <c r="V60" s="663">
        <f t="shared" si="0"/>
        <v>48839063</v>
      </c>
      <c r="X60" s="156">
        <f t="shared" si="1"/>
        <v>-48839063</v>
      </c>
    </row>
    <row r="61" spans="1:24">
      <c r="A61" s="216" t="s">
        <v>877</v>
      </c>
      <c r="B61" s="175" t="s">
        <v>137</v>
      </c>
      <c r="C61" s="176">
        <v>409315</v>
      </c>
      <c r="D61" s="131">
        <f>SUMIF(Data!$1:$1,$C$2,Data!410:410)</f>
        <v>42172061</v>
      </c>
      <c r="E61" s="131"/>
      <c r="J61" s="131">
        <f>SUMIF(Data!$1:$1,$C$2,Data!628:628)+SUMIF(Data!$1:$1,$C$2,Data!875:875)</f>
        <v>9689636</v>
      </c>
      <c r="L61" s="131"/>
      <c r="N61" s="156"/>
      <c r="O61" s="650">
        <f t="shared" si="6"/>
        <v>51861697</v>
      </c>
      <c r="Q61" s="131">
        <f>SUMIF(Data!$1:$1,$Q$3,Data!$2455:$2455)</f>
        <v>53934103</v>
      </c>
      <c r="R61" s="131">
        <f>SUMIF(Data!$1:$1,$Q$3,Data!$2507:$2507)</f>
        <v>22589007</v>
      </c>
      <c r="V61" s="663">
        <f t="shared" si="0"/>
        <v>128384807</v>
      </c>
      <c r="X61" s="156">
        <f t="shared" si="1"/>
        <v>-128384807</v>
      </c>
    </row>
    <row r="62" spans="1:24">
      <c r="A62" s="216" t="s">
        <v>877</v>
      </c>
      <c r="B62" s="158" t="s">
        <v>880</v>
      </c>
      <c r="C62" s="159">
        <v>222576</v>
      </c>
      <c r="D62" s="131">
        <f>SUMIF(Data!$1:$1,$C$2,Data!375:375)</f>
        <v>14847413</v>
      </c>
      <c r="E62" s="131"/>
      <c r="J62" s="131">
        <f>SUMIF(Data!$1:$1,$C$2,Data!593:593)+SUMIF(Data!$1:$1,$C$2,Data!840:840)</f>
        <v>5651686</v>
      </c>
      <c r="L62" s="131"/>
      <c r="N62" s="156"/>
      <c r="O62" s="650">
        <f t="shared" si="6"/>
        <v>20499099</v>
      </c>
      <c r="Q62" s="131">
        <f>SUMIF(Data!$1:$1,$Q$3,Data!$2420:$2420)</f>
        <v>21067011</v>
      </c>
      <c r="R62" s="131">
        <f>SUMIF(Data!$1:$1,$Q$3,Data!$2472:$2472)</f>
        <v>14506839</v>
      </c>
      <c r="V62" s="663">
        <f t="shared" si="0"/>
        <v>56072949</v>
      </c>
      <c r="X62" s="156">
        <f t="shared" si="1"/>
        <v>-56072949</v>
      </c>
    </row>
    <row r="63" spans="1:24">
      <c r="A63" s="216" t="s">
        <v>877</v>
      </c>
      <c r="B63" s="158" t="s">
        <v>881</v>
      </c>
      <c r="C63" s="159">
        <v>222992</v>
      </c>
      <c r="D63" s="131">
        <f>SUMIF(Data!$1:$1,$C$2,Data!377:377)</f>
        <v>49927319</v>
      </c>
      <c r="E63" s="131"/>
      <c r="J63" s="131">
        <f>SUMIF(Data!$1:$1,$C$2,Data!595:595)+SUMIF(Data!$1:$1,$C$2,Data!842:842)</f>
        <v>19022939</v>
      </c>
      <c r="L63" s="131"/>
      <c r="N63" s="156"/>
      <c r="O63" s="650">
        <f t="shared" si="6"/>
        <v>68950258</v>
      </c>
      <c r="Q63" s="131">
        <f>SUMIF(Data!$1:$1,$Q$3,Data!$2422:$2422)</f>
        <v>196320613</v>
      </c>
      <c r="R63" s="131">
        <f>SUMIF(Data!$1:$1,$Q$3,Data!$2474:$2474)</f>
        <v>66946013</v>
      </c>
      <c r="V63" s="663">
        <f t="shared" si="0"/>
        <v>332216884</v>
      </c>
      <c r="X63" s="156">
        <f t="shared" si="1"/>
        <v>-332216884</v>
      </c>
    </row>
    <row r="64" spans="1:24">
      <c r="A64" s="216" t="s">
        <v>877</v>
      </c>
      <c r="B64" s="158" t="s">
        <v>882</v>
      </c>
      <c r="C64" s="159">
        <v>223427</v>
      </c>
      <c r="D64" s="131">
        <f>SUMIF(Data!$1:$1,$C$2,Data!378:378)</f>
        <v>24601520</v>
      </c>
      <c r="E64" s="131"/>
      <c r="J64" s="131">
        <f>SUMIF(Data!$1:$1,$C$2,Data!596:596)+SUMIF(Data!$1:$1,$C$2,Data!843:843)</f>
        <v>6191646</v>
      </c>
      <c r="L64" s="131"/>
      <c r="N64" s="156"/>
      <c r="O64" s="650">
        <f t="shared" si="6"/>
        <v>30793166</v>
      </c>
      <c r="Q64" s="131">
        <f>SUMIF(Data!$1:$1,$Q$3,Data!$2423:$2423)</f>
        <v>1939201</v>
      </c>
      <c r="R64" s="131">
        <f>SUMIF(Data!$1:$1,$Q$3,Data!$2475:$2475)</f>
        <v>60568848</v>
      </c>
      <c r="V64" s="663">
        <f t="shared" si="0"/>
        <v>93301215</v>
      </c>
      <c r="X64" s="156">
        <f t="shared" si="1"/>
        <v>-93301215</v>
      </c>
    </row>
    <row r="65" spans="1:24">
      <c r="A65" s="216" t="s">
        <v>877</v>
      </c>
      <c r="B65" s="177" t="s">
        <v>883</v>
      </c>
      <c r="C65" s="159">
        <v>223524</v>
      </c>
      <c r="D65" s="131"/>
      <c r="E65" s="131"/>
      <c r="J65" s="131"/>
      <c r="L65" s="131"/>
      <c r="N65" s="156"/>
      <c r="O65" s="650">
        <f t="shared" si="6"/>
        <v>0</v>
      </c>
      <c r="Q65" s="131"/>
      <c r="R65" s="131"/>
      <c r="V65" s="663">
        <f t="shared" si="0"/>
        <v>0</v>
      </c>
      <c r="X65" s="156">
        <f t="shared" si="1"/>
        <v>0</v>
      </c>
    </row>
    <row r="66" spans="1:24">
      <c r="A66" s="216" t="s">
        <v>877</v>
      </c>
      <c r="B66" s="158" t="s">
        <v>884</v>
      </c>
      <c r="C66" s="159">
        <v>223816</v>
      </c>
      <c r="D66" s="131">
        <f>SUMIF(Data!$1:$1,$C$2,Data!380:380)</f>
        <v>16380840</v>
      </c>
      <c r="E66" s="131"/>
      <c r="J66" s="131">
        <f>SUMIF(Data!$1:$1,$C$2,Data!598:598)+SUMIF(Data!$1:$1,$C$2,Data!845:845)</f>
        <v>4553956</v>
      </c>
      <c r="L66" s="131"/>
      <c r="N66" s="156"/>
      <c r="O66" s="650">
        <f t="shared" si="6"/>
        <v>20934796</v>
      </c>
      <c r="Q66" s="131">
        <f>SUMIF(Data!$1:$1,$Q$3,Data!$2425:$2425)</f>
        <v>13352061</v>
      </c>
      <c r="R66" s="131">
        <f>SUMIF(Data!$1:$1,$Q$3,Data!$2477:$2477)</f>
        <v>39425313</v>
      </c>
      <c r="V66" s="663">
        <f t="shared" si="0"/>
        <v>73712170</v>
      </c>
      <c r="X66" s="156">
        <f t="shared" si="1"/>
        <v>-73712170</v>
      </c>
    </row>
    <row r="67" spans="1:24">
      <c r="A67" s="216" t="s">
        <v>877</v>
      </c>
      <c r="B67" s="158" t="s">
        <v>885</v>
      </c>
      <c r="C67" s="159">
        <v>247834</v>
      </c>
      <c r="D67" s="131">
        <f>SUMIF(Data!$1:$1,$C$2,Data!385:385)</f>
        <v>39834020</v>
      </c>
      <c r="E67" s="131"/>
      <c r="J67" s="131">
        <f>SUMIF(Data!$1:$1,$C$2,Data!603:603)+SUMIF(Data!$1:$1,$C$2,Data!850:850)</f>
        <v>9374816</v>
      </c>
      <c r="L67" s="131"/>
      <c r="N67" s="156"/>
      <c r="O67" s="650">
        <f t="shared" si="6"/>
        <v>49208836</v>
      </c>
      <c r="Q67" s="131">
        <f>SUMIF(Data!$1:$1,$Q$3,Data!$2430:$2430)</f>
        <v>106276226</v>
      </c>
      <c r="R67" s="131">
        <f>SUMIF(Data!$1:$1,$Q$3,Data!$2482:$2482)</f>
        <v>40182049</v>
      </c>
      <c r="V67" s="663">
        <f t="shared" si="0"/>
        <v>195667111</v>
      </c>
      <c r="X67" s="156">
        <f t="shared" si="1"/>
        <v>-195667111</v>
      </c>
    </row>
    <row r="68" spans="1:24">
      <c r="A68" s="216" t="s">
        <v>877</v>
      </c>
      <c r="B68" s="158" t="s">
        <v>886</v>
      </c>
      <c r="C68" s="159">
        <v>224350</v>
      </c>
      <c r="D68" s="131">
        <f>SUMIF(Data!$1:$1,$C$2,Data!387:387)</f>
        <v>16479471</v>
      </c>
      <c r="E68" s="131"/>
      <c r="J68" s="131">
        <f>SUMIF(Data!$1:$1,$C$2,Data!605:605)+SUMIF(Data!$1:$1,$C$2,Data!852:852)</f>
        <v>6908130</v>
      </c>
      <c r="L68" s="131"/>
      <c r="N68" s="156"/>
      <c r="O68" s="650">
        <f t="shared" si="6"/>
        <v>23387601</v>
      </c>
      <c r="Q68" s="131">
        <f>SUMIF(Data!$1:$1,$Q$3,Data!$2432:$2432)</f>
        <v>54449297</v>
      </c>
      <c r="R68" s="131">
        <f>SUMIF(Data!$1:$1,$Q$3,Data!$2484:$2484)</f>
        <v>12574086</v>
      </c>
      <c r="V68" s="663">
        <f t="shared" si="0"/>
        <v>90410984</v>
      </c>
      <c r="X68" s="156">
        <f t="shared" si="1"/>
        <v>-90410984</v>
      </c>
    </row>
    <row r="69" spans="1:24">
      <c r="A69" s="216" t="s">
        <v>877</v>
      </c>
      <c r="B69" s="177" t="s">
        <v>887</v>
      </c>
      <c r="C69" s="159">
        <v>224572</v>
      </c>
      <c r="D69" s="131"/>
      <c r="E69" s="131"/>
      <c r="J69" s="131"/>
      <c r="L69" s="131"/>
      <c r="N69" s="156"/>
      <c r="O69" s="650">
        <f t="shared" si="6"/>
        <v>0</v>
      </c>
      <c r="Q69" s="131"/>
      <c r="R69" s="131"/>
      <c r="V69" s="663">
        <f t="shared" si="0"/>
        <v>0</v>
      </c>
      <c r="X69" s="156">
        <f t="shared" si="1"/>
        <v>0</v>
      </c>
    </row>
    <row r="70" spans="1:24">
      <c r="A70" s="216" t="s">
        <v>877</v>
      </c>
      <c r="B70" s="177" t="s">
        <v>888</v>
      </c>
      <c r="C70" s="159">
        <v>224615</v>
      </c>
      <c r="D70" s="131"/>
      <c r="E70" s="131"/>
      <c r="J70" s="131"/>
      <c r="L70" s="131"/>
      <c r="N70" s="156"/>
      <c r="O70" s="650">
        <f t="shared" si="6"/>
        <v>0</v>
      </c>
      <c r="Q70" s="131"/>
      <c r="R70" s="131"/>
      <c r="V70" s="663">
        <f t="shared" si="0"/>
        <v>0</v>
      </c>
      <c r="X70" s="156">
        <f t="shared" si="1"/>
        <v>0</v>
      </c>
    </row>
    <row r="71" spans="1:24">
      <c r="A71" s="216" t="s">
        <v>877</v>
      </c>
      <c r="B71" s="158" t="s">
        <v>889</v>
      </c>
      <c r="C71" s="159">
        <v>224642</v>
      </c>
      <c r="D71" s="131">
        <f>SUMIF(Data!$1:$1,$C$2,Data!388:388)</f>
        <v>32105981</v>
      </c>
      <c r="E71" s="131"/>
      <c r="J71" s="131">
        <f>SUMIF(Data!$1:$1,$C$2,Data!606:606)+SUMIF(Data!$1:$1,$C$2,Data!853:853)</f>
        <v>11026012</v>
      </c>
      <c r="L71" s="131"/>
      <c r="N71" s="156"/>
      <c r="O71" s="650">
        <f t="shared" si="6"/>
        <v>43131993</v>
      </c>
      <c r="Q71" s="131">
        <f>SUMIF(Data!$1:$1,$Q$3,Data!$2433:$2433)</f>
        <v>61284007</v>
      </c>
      <c r="R71" s="131">
        <f>SUMIF(Data!$1:$1,$Q$3,Data!$2485:$2485)</f>
        <v>25133302</v>
      </c>
      <c r="V71" s="663">
        <f t="shared" si="0"/>
        <v>129549302</v>
      </c>
      <c r="X71" s="156">
        <f t="shared" si="1"/>
        <v>-129549302</v>
      </c>
    </row>
    <row r="72" spans="1:24">
      <c r="A72" s="216" t="s">
        <v>877</v>
      </c>
      <c r="B72" s="158" t="s">
        <v>120</v>
      </c>
      <c r="C72" s="159">
        <v>225423</v>
      </c>
      <c r="D72" s="131">
        <f>SUMIF(Data!$1:$1,$C$2,Data!393:393)</f>
        <v>68575955</v>
      </c>
      <c r="E72" s="131"/>
      <c r="J72" s="131">
        <f>SUMIF(Data!$1:$1,$C$2,Data!611:611)+SUMIF(Data!$1:$1,$C$2,Data!858:858)</f>
        <v>20564412</v>
      </c>
      <c r="L72" s="131"/>
      <c r="N72" s="156"/>
      <c r="O72" s="650">
        <f t="shared" si="6"/>
        <v>89140367</v>
      </c>
      <c r="Q72" s="131">
        <f>SUMIF(Data!$1:$1,$Q$3,Data!$2438:$2438)</f>
        <v>152465955</v>
      </c>
      <c r="R72" s="131">
        <f>SUMIF(Data!$1:$1,$Q$3,Data!$2490:$2490)</f>
        <v>76925390</v>
      </c>
      <c r="V72" s="663">
        <f t="shared" si="0"/>
        <v>318531712</v>
      </c>
      <c r="X72" s="156">
        <f t="shared" si="1"/>
        <v>-318531712</v>
      </c>
    </row>
    <row r="73" spans="1:24">
      <c r="A73" s="216" t="s">
        <v>877</v>
      </c>
      <c r="B73" s="158" t="s">
        <v>891</v>
      </c>
      <c r="C73" s="159">
        <v>226134</v>
      </c>
      <c r="D73" s="131">
        <f>SUMIF(Data!$1:$1,$C$2,Data!396:396)</f>
        <v>11496521</v>
      </c>
      <c r="E73" s="131"/>
      <c r="J73" s="131">
        <f>SUMIF(Data!$1:$1,$C$2,Data!614:614)+SUMIF(Data!$1:$1,$C$2,Data!861:861)</f>
        <v>5307966</v>
      </c>
      <c r="L73" s="131"/>
      <c r="N73" s="156"/>
      <c r="O73" s="650">
        <f t="shared" si="6"/>
        <v>16804487</v>
      </c>
      <c r="Q73" s="131">
        <f>SUMIF(Data!$1:$1,$Q$3,Data!$2441:$2441)</f>
        <v>35954285</v>
      </c>
      <c r="R73" s="131">
        <f>SUMIF(Data!$1:$1,$Q$3,Data!$2493:$2493)</f>
        <v>7536617</v>
      </c>
      <c r="V73" s="663">
        <f t="shared" si="0"/>
        <v>60295389</v>
      </c>
      <c r="X73" s="156">
        <f t="shared" si="1"/>
        <v>-60295389</v>
      </c>
    </row>
    <row r="74" spans="1:24">
      <c r="A74" s="216" t="s">
        <v>877</v>
      </c>
      <c r="B74" s="169" t="s">
        <v>892</v>
      </c>
      <c r="C74" s="170">
        <v>227182</v>
      </c>
      <c r="D74" s="172">
        <f>SUMIF(Data!$1:$1,$C$2,Data!398:398)</f>
        <v>78657933</v>
      </c>
      <c r="E74" s="131"/>
      <c r="J74" s="131">
        <f>SUMIF(Data!$1:$1,$C$2,Data!616:616)+SUMIF(Data!$1:$1,$C$2,Data!863:863)</f>
        <v>19878129</v>
      </c>
      <c r="L74" s="131"/>
      <c r="N74" s="156"/>
      <c r="O74" s="650">
        <f t="shared" si="6"/>
        <v>98536062</v>
      </c>
      <c r="Q74" s="131">
        <f>SUMIF(Data!$1:$1,$Q$3,Data!$2443:$2443)</f>
        <v>152277079</v>
      </c>
      <c r="R74" s="131">
        <f>SUMIF(Data!$1:$1,$Q$3,Data!$2495:$2495)</f>
        <v>80966660</v>
      </c>
      <c r="V74" s="663">
        <f t="shared" si="0"/>
        <v>331779801</v>
      </c>
      <c r="X74" s="156">
        <f t="shared" si="1"/>
        <v>-331779801</v>
      </c>
    </row>
    <row r="75" spans="1:24">
      <c r="A75" s="216" t="s">
        <v>877</v>
      </c>
      <c r="B75" s="158" t="s">
        <v>893</v>
      </c>
      <c r="C75" s="159">
        <v>226578</v>
      </c>
      <c r="D75" s="172">
        <f>SUMIF(Data!$1:$1,$C$2,Data!399:399)</f>
        <v>12500515</v>
      </c>
      <c r="E75" s="131"/>
      <c r="J75" s="131">
        <f>SUMIF(Data!$1:$1,$C$2,Data!617:617)+SUMIF(Data!$1:$1,$C$2,Data!864:864)</f>
        <v>4760280</v>
      </c>
      <c r="L75" s="131"/>
      <c r="N75" s="156"/>
      <c r="O75" s="650">
        <f t="shared" si="6"/>
        <v>17260795</v>
      </c>
      <c r="Q75" s="131">
        <f>SUMIF(Data!$1:$1,$Q$3,Data!$2444:$2444)</f>
        <v>20175004</v>
      </c>
      <c r="R75" s="131">
        <f>SUMIF(Data!$1:$1,$Q$3,Data!$2496:$2496)</f>
        <v>13453670</v>
      </c>
      <c r="V75" s="663">
        <f t="shared" ref="V75:V141" si="12">SUM(O75:U75)</f>
        <v>50889469</v>
      </c>
      <c r="X75" s="156">
        <f t="shared" si="1"/>
        <v>-50889469</v>
      </c>
    </row>
    <row r="76" spans="1:24">
      <c r="A76" s="216" t="s">
        <v>877</v>
      </c>
      <c r="B76" s="177" t="s">
        <v>915</v>
      </c>
      <c r="C76" s="159">
        <v>226930</v>
      </c>
      <c r="D76" s="131"/>
      <c r="E76" s="131"/>
      <c r="J76" s="131"/>
      <c r="L76" s="131"/>
      <c r="N76" s="156"/>
      <c r="O76" s="650">
        <f>SUM(D76:K76)+M76-N76</f>
        <v>0</v>
      </c>
      <c r="Q76" s="131"/>
      <c r="R76" s="131"/>
      <c r="V76" s="663">
        <f>SUM(O76:U76)</f>
        <v>0</v>
      </c>
      <c r="X76" s="156">
        <f>W76-V76</f>
        <v>0</v>
      </c>
    </row>
    <row r="77" spans="1:24">
      <c r="A77" s="216" t="s">
        <v>877</v>
      </c>
      <c r="B77" s="158" t="s">
        <v>894</v>
      </c>
      <c r="C77" s="159">
        <v>227146</v>
      </c>
      <c r="D77" s="172">
        <f>SUMIF(Data!$1:$1,$C$2,Data!401:401)</f>
        <v>13362835</v>
      </c>
      <c r="E77" s="131"/>
      <c r="J77" s="131">
        <f>SUMIF(Data!$1:$1,$C$2,Data!619:619)+SUMIF(Data!$1:$1,$C$2,Data!866:866)</f>
        <v>2819154</v>
      </c>
      <c r="L77" s="131"/>
      <c r="N77" s="156"/>
      <c r="O77" s="650">
        <f t="shared" si="6"/>
        <v>16181989</v>
      </c>
      <c r="Q77" s="131">
        <f>SUMIF(Data!$1:$1,$Q$3,Data!$2446:$2446)</f>
        <v>4225699</v>
      </c>
      <c r="R77" s="131">
        <f>SUMIF(Data!$1:$1,$Q$3,Data!$2498:$2498)</f>
        <v>14804719</v>
      </c>
      <c r="V77" s="663">
        <f t="shared" si="12"/>
        <v>35212407</v>
      </c>
      <c r="X77" s="156">
        <f t="shared" ref="X77:X143" si="13">W77-V77</f>
        <v>-35212407</v>
      </c>
    </row>
    <row r="78" spans="1:24">
      <c r="A78" s="216" t="s">
        <v>877</v>
      </c>
      <c r="B78" s="175" t="s">
        <v>895</v>
      </c>
      <c r="C78" s="159">
        <v>224110</v>
      </c>
      <c r="D78" s="172">
        <f>SUMIF(Data!$1:$1,$C$2,Data!402:402)</f>
        <v>11723836</v>
      </c>
      <c r="E78" s="131"/>
      <c r="J78" s="131">
        <f>SUMIF(Data!$1:$1,$C$2,Data!620:620)+SUMIF(Data!$1:$1,$C$2,Data!867:867)</f>
        <v>2855060</v>
      </c>
      <c r="L78" s="131"/>
      <c r="N78" s="156"/>
      <c r="O78" s="650">
        <f t="shared" si="6"/>
        <v>14578896</v>
      </c>
      <c r="Q78" s="131">
        <f>SUMIF(Data!$1:$1,$Q$3,Data!$2447:$2447)</f>
        <v>2994555</v>
      </c>
      <c r="R78" s="131">
        <f>SUMIF(Data!$1:$1,$Q$3,Data!$2499:$2499)</f>
        <v>19735931</v>
      </c>
      <c r="V78" s="663">
        <f t="shared" si="12"/>
        <v>37309382</v>
      </c>
      <c r="X78" s="156">
        <f t="shared" si="13"/>
        <v>-37309382</v>
      </c>
    </row>
    <row r="79" spans="1:24">
      <c r="A79" s="216" t="s">
        <v>877</v>
      </c>
      <c r="B79" s="177" t="s">
        <v>896</v>
      </c>
      <c r="C79" s="159">
        <v>227191</v>
      </c>
      <c r="D79" s="131"/>
      <c r="E79" s="131"/>
      <c r="J79" s="131"/>
      <c r="L79" s="131"/>
      <c r="N79" s="156"/>
      <c r="O79" s="650">
        <f t="shared" si="6"/>
        <v>0</v>
      </c>
      <c r="Q79" s="131"/>
      <c r="R79" s="131"/>
      <c r="V79" s="663">
        <f t="shared" si="12"/>
        <v>0</v>
      </c>
      <c r="X79" s="156">
        <f t="shared" si="13"/>
        <v>0</v>
      </c>
    </row>
    <row r="80" spans="1:24">
      <c r="A80" s="216" t="s">
        <v>877</v>
      </c>
      <c r="B80" s="178" t="s">
        <v>897</v>
      </c>
      <c r="C80" s="159">
        <v>420398</v>
      </c>
      <c r="D80" s="131"/>
      <c r="E80" s="131"/>
      <c r="J80" s="131"/>
      <c r="L80" s="131"/>
      <c r="N80" s="156"/>
      <c r="O80" s="650">
        <f t="shared" si="6"/>
        <v>0</v>
      </c>
      <c r="Q80" s="131"/>
      <c r="R80" s="131"/>
      <c r="V80" s="663">
        <f t="shared" si="12"/>
        <v>0</v>
      </c>
      <c r="X80" s="156">
        <f t="shared" si="13"/>
        <v>0</v>
      </c>
    </row>
    <row r="81" spans="1:24">
      <c r="A81" s="216" t="s">
        <v>877</v>
      </c>
      <c r="B81" s="178" t="s">
        <v>898</v>
      </c>
      <c r="C81" s="159">
        <v>246354</v>
      </c>
      <c r="D81" s="131"/>
      <c r="E81" s="131"/>
      <c r="J81" s="131"/>
      <c r="L81" s="131"/>
      <c r="N81" s="156"/>
      <c r="O81" s="650">
        <f t="shared" si="6"/>
        <v>0</v>
      </c>
      <c r="Q81" s="131"/>
      <c r="R81" s="131"/>
      <c r="V81" s="663">
        <f t="shared" si="12"/>
        <v>0</v>
      </c>
      <c r="X81" s="156">
        <f t="shared" si="13"/>
        <v>0</v>
      </c>
    </row>
    <row r="82" spans="1:24">
      <c r="A82" s="216" t="s">
        <v>877</v>
      </c>
      <c r="B82" s="177" t="s">
        <v>899</v>
      </c>
      <c r="C82" s="159">
        <v>227766</v>
      </c>
      <c r="D82" s="131"/>
      <c r="E82" s="131"/>
      <c r="J82" s="131"/>
      <c r="L82" s="131"/>
      <c r="N82" s="156"/>
      <c r="O82" s="650">
        <f t="shared" si="6"/>
        <v>0</v>
      </c>
      <c r="Q82" s="131"/>
      <c r="R82" s="131"/>
      <c r="V82" s="663">
        <f t="shared" si="12"/>
        <v>0</v>
      </c>
      <c r="X82" s="156">
        <f t="shared" si="13"/>
        <v>0</v>
      </c>
    </row>
    <row r="83" spans="1:24">
      <c r="A83" s="216" t="s">
        <v>877</v>
      </c>
      <c r="B83" s="178" t="s">
        <v>900</v>
      </c>
      <c r="C83" s="159">
        <v>227924</v>
      </c>
      <c r="D83" s="131"/>
      <c r="E83" s="131"/>
      <c r="J83" s="131"/>
      <c r="L83" s="131"/>
      <c r="N83" s="156"/>
      <c r="O83" s="650">
        <f t="shared" si="6"/>
        <v>0</v>
      </c>
      <c r="Q83" s="131"/>
      <c r="R83" s="131"/>
      <c r="V83" s="663">
        <f t="shared" si="12"/>
        <v>0</v>
      </c>
      <c r="X83" s="156">
        <f t="shared" si="13"/>
        <v>0</v>
      </c>
    </row>
    <row r="84" spans="1:24">
      <c r="A84" s="216" t="s">
        <v>877</v>
      </c>
      <c r="B84" s="158" t="s">
        <v>901</v>
      </c>
      <c r="C84" s="159">
        <v>227979</v>
      </c>
      <c r="D84" s="131">
        <f>SUMIF(Data!$1:$1,$C$2,Data!408:408)</f>
        <v>42079966</v>
      </c>
      <c r="E84" s="131"/>
      <c r="J84" s="131">
        <f>SUMIF(Data!$1:$1,$C$2,Data!626:626)+SUMIF(Data!$1:$1,$C$2,Data!873:873)</f>
        <v>12998658</v>
      </c>
      <c r="L84" s="131"/>
      <c r="N84" s="156"/>
      <c r="O84" s="650">
        <f t="shared" si="6"/>
        <v>55078624</v>
      </c>
      <c r="Q84" s="131">
        <f>SUMIF(Data!$1:$1,$Q$3,Data!$2453:$2453)</f>
        <v>69383250</v>
      </c>
      <c r="R84" s="131">
        <f>SUMIF(Data!$1:$1,$Q$3,Data!$2505:$2505)</f>
        <v>44940388</v>
      </c>
      <c r="V84" s="663">
        <f t="shared" si="12"/>
        <v>169402262</v>
      </c>
      <c r="X84" s="156">
        <f t="shared" si="13"/>
        <v>-169402262</v>
      </c>
    </row>
    <row r="85" spans="1:24">
      <c r="A85" s="216" t="s">
        <v>877</v>
      </c>
      <c r="B85" s="158" t="s">
        <v>902</v>
      </c>
      <c r="C85" s="159">
        <v>228158</v>
      </c>
      <c r="D85" s="131">
        <f>SUMIF(Data!$1:$1,$C$2,Data!409:409)</f>
        <v>13387699</v>
      </c>
      <c r="E85" s="131"/>
      <c r="J85" s="131">
        <f>SUMIF(Data!$1:$1,$C$2,Data!627:627)+SUMIF(Data!$1:$1,$C$2,Data!874:874)</f>
        <v>5167416</v>
      </c>
      <c r="L85" s="131"/>
      <c r="N85" s="156"/>
      <c r="O85" s="650">
        <f t="shared" si="6"/>
        <v>18555115</v>
      </c>
      <c r="Q85" s="131">
        <f>SUMIF(Data!$1:$1,$Q$3,Data!$2454:$2454)</f>
        <v>10813210</v>
      </c>
      <c r="R85" s="131">
        <f>SUMIF(Data!$1:$1,$Q$3,Data!$2506:$2506)</f>
        <v>16312605</v>
      </c>
      <c r="V85" s="663">
        <f t="shared" si="12"/>
        <v>45680930</v>
      </c>
      <c r="X85" s="156">
        <f t="shared" si="13"/>
        <v>-45680930</v>
      </c>
    </row>
    <row r="86" spans="1:24">
      <c r="A86" s="216" t="s">
        <v>877</v>
      </c>
      <c r="B86" s="178" t="s">
        <v>903</v>
      </c>
      <c r="C86" s="159">
        <v>227854</v>
      </c>
      <c r="D86" s="131"/>
      <c r="E86" s="131"/>
      <c r="J86" s="131"/>
      <c r="L86" s="131"/>
      <c r="N86" s="156"/>
      <c r="O86" s="650">
        <f t="shared" si="6"/>
        <v>0</v>
      </c>
      <c r="Q86" s="131"/>
      <c r="R86" s="131"/>
      <c r="V86" s="663">
        <f t="shared" si="12"/>
        <v>0</v>
      </c>
      <c r="X86" s="156">
        <f t="shared" si="13"/>
        <v>0</v>
      </c>
    </row>
    <row r="87" spans="1:24">
      <c r="A87" s="216" t="s">
        <v>877</v>
      </c>
      <c r="B87" s="158" t="s">
        <v>904</v>
      </c>
      <c r="C87" s="159">
        <v>228547</v>
      </c>
      <c r="D87" s="131">
        <f>SUMIF(Data!$1:$1,$C$2,Data!412:412)</f>
        <v>56831712</v>
      </c>
      <c r="E87" s="131"/>
      <c r="J87" s="131">
        <f>SUMIF(Data!$1:$1,$C$2,Data!630:630)+SUMIF(Data!$1:$1,$C$2,Data!877:877)</f>
        <v>22105383</v>
      </c>
      <c r="L87" s="131"/>
      <c r="N87" s="156"/>
      <c r="O87" s="650">
        <f t="shared" si="6"/>
        <v>78937095</v>
      </c>
      <c r="Q87" s="131">
        <f>SUMIF(Data!$1:$1,$Q$3,Data!$2457:$2457)</f>
        <v>244974129</v>
      </c>
      <c r="R87" s="131">
        <f>SUMIF(Data!$1:$1,$Q$3,Data!$2509:$2509)</f>
        <v>55682936</v>
      </c>
      <c r="V87" s="663">
        <f t="shared" si="12"/>
        <v>379594160</v>
      </c>
      <c r="X87" s="156">
        <f t="shared" si="13"/>
        <v>-379594160</v>
      </c>
    </row>
    <row r="88" spans="1:24">
      <c r="A88" s="216" t="s">
        <v>877</v>
      </c>
      <c r="B88" s="169" t="s">
        <v>143</v>
      </c>
      <c r="C88" s="159">
        <v>225308</v>
      </c>
      <c r="D88" s="131">
        <f>SUMIF(Data!$1:$1,$C$2,Data!416:416)</f>
        <v>11926817</v>
      </c>
      <c r="E88" s="131"/>
      <c r="J88" s="131">
        <f>SUMIF(Data!$1:$1,$C$2,Data!634:634)+SUMIF(Data!$1:$1,$C$2,Data!881:881)</f>
        <v>3010402</v>
      </c>
      <c r="L88" s="131"/>
      <c r="N88" s="156"/>
      <c r="O88" s="650">
        <f t="shared" ref="O88:O130" si="14">SUM(D88:K88)+M88-N88</f>
        <v>14937219</v>
      </c>
      <c r="Q88" s="131">
        <f>SUMIF(Data!$1:$1,$Q$3,Data!$2461:$2461)</f>
        <v>15339294</v>
      </c>
      <c r="R88" s="131">
        <f>SUMIF(Data!$1:$1,$Q$3,Data!$2513:$2513)</f>
        <v>7249164</v>
      </c>
      <c r="V88" s="663">
        <f t="shared" si="12"/>
        <v>37525677</v>
      </c>
      <c r="X88" s="156">
        <f t="shared" si="13"/>
        <v>-37525677</v>
      </c>
    </row>
    <row r="89" spans="1:24">
      <c r="A89" s="216" t="s">
        <v>877</v>
      </c>
      <c r="B89" s="158" t="s">
        <v>908</v>
      </c>
      <c r="C89" s="159">
        <v>229355</v>
      </c>
      <c r="D89" s="131">
        <f>SUMIF(Data!$1:$1,$C$2,Data!417:417)</f>
        <v>18081394</v>
      </c>
      <c r="E89" s="131"/>
      <c r="J89" s="131">
        <f>SUMIF(Data!$1:$1,$C$2,Data!635:635)+SUMIF(Data!$1:$1,$C$2,Data!882:882)</f>
        <v>5863755</v>
      </c>
      <c r="L89" s="131"/>
      <c r="N89" s="156"/>
      <c r="O89" s="650">
        <f t="shared" si="14"/>
        <v>23945149</v>
      </c>
      <c r="Q89" s="131">
        <f>SUMIF(Data!$1:$1,$Q$3,Data!$2462:$2462)</f>
        <v>26115573</v>
      </c>
      <c r="R89" s="131">
        <f>SUMIF(Data!$1:$1,$Q$3,Data!$2514:$2514)</f>
        <v>21843430</v>
      </c>
      <c r="V89" s="663">
        <f t="shared" si="12"/>
        <v>71904152</v>
      </c>
      <c r="X89" s="156">
        <f t="shared" si="13"/>
        <v>-71904152</v>
      </c>
    </row>
    <row r="90" spans="1:24">
      <c r="A90" s="216" t="s">
        <v>877</v>
      </c>
      <c r="B90" s="158" t="s">
        <v>909</v>
      </c>
      <c r="C90" s="159">
        <v>222567</v>
      </c>
      <c r="D90" s="131">
        <f>SUMIF(Data!$1:$1,$C$2,Data!374:374)</f>
        <v>7772636</v>
      </c>
      <c r="E90" s="131"/>
      <c r="J90" s="131">
        <f>SUMIF(Data!$1:$1,$C$2,Data!592:592)+SUMIF(Data!$1:$1,$C$2,Data!839:839)</f>
        <v>2724938</v>
      </c>
      <c r="L90" s="131"/>
      <c r="N90" s="156"/>
      <c r="O90" s="650">
        <f t="shared" si="14"/>
        <v>10497574</v>
      </c>
      <c r="Q90" s="131">
        <f>SUMIF(Data!$1:$1,$Q$3,Data!$2419:$2419)</f>
        <v>17296711</v>
      </c>
      <c r="R90" s="131">
        <f>SUMIF(Data!$1:$1,$Q$3,Data!$2471:$2471)</f>
        <v>8857943</v>
      </c>
      <c r="V90" s="663">
        <f t="shared" si="12"/>
        <v>36652228</v>
      </c>
      <c r="X90" s="156">
        <f t="shared" si="13"/>
        <v>-36652228</v>
      </c>
    </row>
    <row r="91" spans="1:24">
      <c r="A91" s="216" t="s">
        <v>877</v>
      </c>
      <c r="B91" s="158" t="s">
        <v>910</v>
      </c>
      <c r="C91" s="159">
        <v>222822</v>
      </c>
      <c r="D91" s="131">
        <f>SUMIF(Data!$1:$1,$C$2,Data!376:376)</f>
        <v>8556451</v>
      </c>
      <c r="E91" s="131"/>
      <c r="J91" s="131">
        <f>SUMIF(Data!$1:$1,$C$2,Data!594:594)+SUMIF(Data!$1:$1,$C$2,Data!841:841)</f>
        <v>2272840</v>
      </c>
      <c r="L91" s="131"/>
      <c r="N91" s="156"/>
      <c r="O91" s="650">
        <f t="shared" si="14"/>
        <v>10829291</v>
      </c>
      <c r="Q91" s="131">
        <f>SUMIF(Data!$1:$1,$Q$3,Data!$2421:$2421)</f>
        <v>6220538</v>
      </c>
      <c r="R91" s="131">
        <f>SUMIF(Data!$1:$1,$Q$3,Data!$2473:$2473)</f>
        <v>6271023</v>
      </c>
      <c r="V91" s="663">
        <f t="shared" si="12"/>
        <v>23320852</v>
      </c>
      <c r="X91" s="156">
        <f t="shared" si="13"/>
        <v>-23320852</v>
      </c>
    </row>
    <row r="92" spans="1:24">
      <c r="A92" s="216" t="s">
        <v>877</v>
      </c>
      <c r="B92" s="177" t="s">
        <v>911</v>
      </c>
      <c r="C92" s="159">
        <v>223773</v>
      </c>
      <c r="D92" s="131"/>
      <c r="E92" s="131"/>
      <c r="J92" s="131"/>
      <c r="L92" s="131"/>
      <c r="N92" s="156"/>
      <c r="O92" s="650">
        <f t="shared" si="14"/>
        <v>0</v>
      </c>
      <c r="Q92" s="131"/>
      <c r="R92" s="131"/>
      <c r="V92" s="663">
        <f t="shared" si="12"/>
        <v>0</v>
      </c>
      <c r="X92" s="156">
        <f t="shared" si="13"/>
        <v>0</v>
      </c>
    </row>
    <row r="93" spans="1:24">
      <c r="A93" s="216" t="s">
        <v>877</v>
      </c>
      <c r="B93" s="158" t="s">
        <v>912</v>
      </c>
      <c r="C93" s="159">
        <v>223898</v>
      </c>
      <c r="D93" s="131">
        <f>SUMIF(Data!$1:$1,$C$2,Data!381:381)</f>
        <v>5352835</v>
      </c>
      <c r="E93" s="131"/>
      <c r="J93" s="131">
        <f>SUMIF(Data!$1:$1,$C$2,Data!599:599)+SUMIF(Data!$1:$1,$C$2,Data!846:846)</f>
        <v>1348852</v>
      </c>
      <c r="L93" s="131"/>
      <c r="N93" s="156"/>
      <c r="O93" s="650">
        <f t="shared" si="14"/>
        <v>6701687</v>
      </c>
      <c r="Q93" s="131">
        <f>SUMIF(Data!$1:$1,$Q$3,Data!$2426:$2426)</f>
        <v>1174942</v>
      </c>
      <c r="R93" s="131">
        <f>SUMIF(Data!$1:$1,$Q$3,Data!$2478:$2478)</f>
        <v>4929103</v>
      </c>
      <c r="V93" s="663">
        <f t="shared" si="12"/>
        <v>12805732</v>
      </c>
      <c r="X93" s="156">
        <f t="shared" si="13"/>
        <v>-12805732</v>
      </c>
    </row>
    <row r="94" spans="1:24">
      <c r="A94" s="216" t="s">
        <v>877</v>
      </c>
      <c r="B94" s="158" t="s">
        <v>167</v>
      </c>
      <c r="C94" s="159">
        <v>223320</v>
      </c>
      <c r="D94" s="131">
        <f>SUMIF(Data!$1:$1,$C$2,Data!383:383)</f>
        <v>6804529</v>
      </c>
      <c r="E94" s="131"/>
      <c r="J94" s="131">
        <f>SUMIF(Data!$1:$1,$C$2,Data!601:601)+SUMIF(Data!$1:$1,$C$2,Data!848:848)</f>
        <v>1671627</v>
      </c>
      <c r="L94" s="131"/>
      <c r="N94" s="156"/>
      <c r="O94" s="650">
        <f t="shared" si="14"/>
        <v>8476156</v>
      </c>
      <c r="Q94" s="131">
        <f>SUMIF(Data!$1:$1,$Q$3,Data!$2428:$2428)</f>
        <v>2293641</v>
      </c>
      <c r="R94" s="131">
        <f>SUMIF(Data!$1:$1,$Q$3,Data!$2480:$2480)</f>
        <v>2765132</v>
      </c>
      <c r="V94" s="663">
        <f t="shared" si="12"/>
        <v>13534929</v>
      </c>
      <c r="X94" s="156">
        <f t="shared" si="13"/>
        <v>-13534929</v>
      </c>
    </row>
    <row r="95" spans="1:24">
      <c r="A95" s="216" t="s">
        <v>877</v>
      </c>
      <c r="B95" s="158" t="s">
        <v>112</v>
      </c>
      <c r="C95" s="159">
        <v>226408</v>
      </c>
      <c r="D95" s="131">
        <f>SUMIF(Data!$1:$1,$C$2,Data!384:384)</f>
        <v>6533437</v>
      </c>
      <c r="E95" s="131"/>
      <c r="J95" s="131">
        <f>SUMIF(Data!$1:$1,$C$2,Data!602:602)+SUMIF(Data!$1:$1,$C$2,Data!849:849)</f>
        <v>3423550</v>
      </c>
      <c r="L95" s="131"/>
      <c r="N95" s="156"/>
      <c r="O95" s="650">
        <f t="shared" si="14"/>
        <v>9956987</v>
      </c>
      <c r="Q95" s="131">
        <f>SUMIF(Data!$1:$1,$Q$3,Data!$2429:$2429)</f>
        <v>22567888</v>
      </c>
      <c r="R95" s="131">
        <f>SUMIF(Data!$1:$1,$Q$3,Data!$2481:$2481)</f>
        <v>7223980</v>
      </c>
      <c r="V95" s="663">
        <f t="shared" si="12"/>
        <v>39748855</v>
      </c>
      <c r="X95" s="156">
        <f t="shared" si="13"/>
        <v>-39748855</v>
      </c>
    </row>
    <row r="96" spans="1:24">
      <c r="A96" s="216" t="s">
        <v>877</v>
      </c>
      <c r="B96" s="158" t="s">
        <v>913</v>
      </c>
      <c r="C96" s="159">
        <v>225070</v>
      </c>
      <c r="D96" s="131">
        <f>SUMIF(Data!$1:$1,$C$2,Data!391:391)</f>
        <v>7092138</v>
      </c>
      <c r="E96" s="131"/>
      <c r="J96" s="131">
        <f>SUMIF(Data!$1:$1,$C$2,Data!609:609)+SUMIF(Data!$1:$1,$C$2,Data!856:856)</f>
        <v>2340119</v>
      </c>
      <c r="L96" s="131"/>
      <c r="N96" s="156"/>
      <c r="O96" s="650">
        <f t="shared" si="14"/>
        <v>9432257</v>
      </c>
      <c r="Q96" s="131">
        <f>SUMIF(Data!$1:$1,$Q$3,Data!$2436:$2436)</f>
        <v>14491190</v>
      </c>
      <c r="R96" s="131">
        <f>SUMIF(Data!$1:$1,$Q$3,Data!$2488:$2488)</f>
        <v>4683836</v>
      </c>
      <c r="V96" s="663">
        <f t="shared" si="12"/>
        <v>28607283</v>
      </c>
      <c r="X96" s="156">
        <f t="shared" si="13"/>
        <v>-28607283</v>
      </c>
    </row>
    <row r="97" spans="1:24">
      <c r="A97" s="216" t="s">
        <v>877</v>
      </c>
      <c r="B97" s="158" t="s">
        <v>119</v>
      </c>
      <c r="C97" s="159">
        <v>225371</v>
      </c>
      <c r="D97" s="131">
        <f>SUMIF(Data!$1:$1,$C$2,Data!392:392)</f>
        <v>7091106</v>
      </c>
      <c r="E97" s="131"/>
      <c r="J97" s="131">
        <f>SUMIF(Data!$1:$1,$C$2,Data!610:610)+SUMIF(Data!$1:$1,$C$2,Data!857:857)</f>
        <v>1793014</v>
      </c>
      <c r="L97" s="131"/>
      <c r="N97" s="156"/>
      <c r="O97" s="650">
        <f t="shared" si="14"/>
        <v>8884120</v>
      </c>
      <c r="Q97" s="131">
        <f>SUMIF(Data!$1:$1,$Q$3,Data!$2437:$2437)</f>
        <v>1879627</v>
      </c>
      <c r="R97" s="131">
        <f>SUMIF(Data!$1:$1,$Q$3,Data!$2489:$2489)</f>
        <v>4662749</v>
      </c>
      <c r="V97" s="663">
        <f t="shared" si="12"/>
        <v>15426496</v>
      </c>
      <c r="X97" s="156">
        <f t="shared" si="13"/>
        <v>-15426496</v>
      </c>
    </row>
    <row r="98" spans="1:24">
      <c r="A98" s="216" t="s">
        <v>877</v>
      </c>
      <c r="B98" s="180" t="s">
        <v>914</v>
      </c>
      <c r="C98" s="159">
        <v>225520</v>
      </c>
      <c r="D98" s="131">
        <f>SUMIF(Data!$1:$1,$C$2,Data!394:394)</f>
        <v>10170883</v>
      </c>
      <c r="E98" s="131"/>
      <c r="J98" s="131">
        <f>SUMIF(Data!$1:$1,$C$2,Data!612:612)+SUMIF(Data!$1:$1,$C$2,Data!859:859)</f>
        <v>2367723</v>
      </c>
      <c r="L98" s="131"/>
      <c r="N98" s="156"/>
      <c r="O98" s="650">
        <f t="shared" si="14"/>
        <v>12538606</v>
      </c>
      <c r="Q98" s="131">
        <f>SUMIF(Data!$1:$1,$Q$3,Data!$2439:$2439)</f>
        <v>9691119</v>
      </c>
      <c r="R98" s="131">
        <f>SUMIF(Data!$1:$1,$Q$3,Data!$2491:$2491)</f>
        <v>4456035</v>
      </c>
      <c r="V98" s="663">
        <f t="shared" si="12"/>
        <v>26685760</v>
      </c>
      <c r="X98" s="156">
        <f t="shared" si="13"/>
        <v>-26685760</v>
      </c>
    </row>
    <row r="99" spans="1:24">
      <c r="A99" s="216" t="s">
        <v>877</v>
      </c>
      <c r="B99" s="169" t="s">
        <v>890</v>
      </c>
      <c r="C99" s="159">
        <v>226019</v>
      </c>
      <c r="D99" s="131">
        <f>SUMIF(Data!$1:$1,$C$2,Data!395:395)</f>
        <v>9242271</v>
      </c>
      <c r="E99" s="131"/>
      <c r="J99" s="131">
        <f>SUMIF(Data!$1:$1,$C$2,Data!613:613)+SUMIF(Data!$1:$1,$C$2,Data!860:860)</f>
        <v>3350630</v>
      </c>
      <c r="L99" s="131"/>
      <c r="N99" s="156"/>
      <c r="O99" s="650">
        <f>SUM(D99:K99)+M99-N99</f>
        <v>12592901</v>
      </c>
      <c r="Q99" s="131">
        <f>SUMIF(Data!$1:$1,$Q$3,Data!$2440:$2440)</f>
        <v>6602588</v>
      </c>
      <c r="R99" s="131">
        <f>SUMIF(Data!$1:$1,$Q$3,Data!$2492:$2492)</f>
        <v>8576482</v>
      </c>
      <c r="V99" s="663">
        <f>SUM(O99:U99)</f>
        <v>27771971</v>
      </c>
      <c r="X99" s="156">
        <f>W99-V99</f>
        <v>-27771971</v>
      </c>
    </row>
    <row r="100" spans="1:24">
      <c r="A100" s="216" t="s">
        <v>906</v>
      </c>
      <c r="B100" s="181" t="s">
        <v>739</v>
      </c>
      <c r="C100" s="159">
        <v>441760</v>
      </c>
      <c r="D100" s="131">
        <f>SUMIF(Data!$1:$1,$C$2,Data!183:183)</f>
        <v>14297451</v>
      </c>
      <c r="E100" s="131"/>
      <c r="G100" s="131">
        <f>SUMIF(Data!$1:$1,$C$2,Data!547:547)</f>
        <v>575796</v>
      </c>
      <c r="H100" s="131">
        <f>SUMIF(Data!$1:$1,$C$2,Data!798:798)</f>
        <v>1368070</v>
      </c>
      <c r="I100" s="131">
        <f>SUMIF(Data!$1:$1,$C$2,Data!932:932)</f>
        <v>990645</v>
      </c>
      <c r="J100" s="131"/>
      <c r="L100" s="131">
        <f>SUMIF(Data!$1:$1,$C$2,Data!2352:2352)</f>
        <v>2580521</v>
      </c>
      <c r="M100" s="156">
        <f>ROUND(L100*$M$6,0)</f>
        <v>0</v>
      </c>
      <c r="N100" s="131">
        <f>SUMIF(Data!$1:$1,$C$2,Data!2263:2263)</f>
        <v>1333692</v>
      </c>
      <c r="O100" s="651">
        <f t="shared" si="14"/>
        <v>15898270</v>
      </c>
      <c r="Q100" s="131"/>
      <c r="R100" s="607">
        <f>SUMIF(Data!$1:$1,$Q$3,Data!$2526:$2526)</f>
        <v>7187488</v>
      </c>
      <c r="V100" s="663">
        <f t="shared" si="12"/>
        <v>23085758</v>
      </c>
      <c r="X100" s="156">
        <f t="shared" si="13"/>
        <v>-23085758</v>
      </c>
    </row>
    <row r="101" spans="1:24">
      <c r="A101" s="216" t="s">
        <v>877</v>
      </c>
      <c r="B101" s="158" t="s">
        <v>124</v>
      </c>
      <c r="C101" s="159">
        <v>226204</v>
      </c>
      <c r="D101" s="131">
        <f>SUMIF(Data!$1:$1,$C$2,Data!397:397)</f>
        <v>10424439</v>
      </c>
      <c r="E101" s="131"/>
      <c r="J101" s="131">
        <f>SUMIF(Data!$1:$1,$C$2,Data!615:615)+SUMIF(Data!$1:$1,$C$2,Data!862:862)</f>
        <v>3641225</v>
      </c>
      <c r="L101" s="131"/>
      <c r="N101" s="156"/>
      <c r="O101" s="650">
        <f t="shared" si="14"/>
        <v>14065664</v>
      </c>
      <c r="Q101" s="131">
        <f>SUMIF(Data!$1:$1,$Q$3,Data!$2442:$2442)</f>
        <v>31325219</v>
      </c>
      <c r="R101" s="131">
        <f>SUMIF(Data!$1:$1,$Q$3,Data!$2494:$2494)</f>
        <v>10535213</v>
      </c>
      <c r="V101" s="663">
        <f t="shared" si="12"/>
        <v>55926096</v>
      </c>
      <c r="X101" s="156">
        <f t="shared" si="13"/>
        <v>-55926096</v>
      </c>
    </row>
    <row r="102" spans="1:24">
      <c r="A102" s="216" t="s">
        <v>877</v>
      </c>
      <c r="B102" s="169" t="s">
        <v>916</v>
      </c>
      <c r="C102" s="159">
        <v>227225</v>
      </c>
      <c r="D102" s="131">
        <f>SUMIF(Data!$1:$1,$C$2,Data!403:403)</f>
        <v>4967759</v>
      </c>
      <c r="E102" s="131"/>
      <c r="J102" s="131">
        <f>SUMIF(Data!$1:$1,$C$2,Data!621:621)+SUMIF(Data!$1:$1,$C$2,Data!868:868)</f>
        <v>1553251</v>
      </c>
      <c r="L102" s="131"/>
      <c r="N102" s="156"/>
      <c r="O102" s="650">
        <f t="shared" si="14"/>
        <v>6521010</v>
      </c>
      <c r="Q102" s="131">
        <f>SUMIF(Data!$1:$1,$Q$3,Data!$2448:$2448)</f>
        <v>3187208</v>
      </c>
      <c r="R102" s="131">
        <f>SUMIF(Data!$1:$1,$Q$3,Data!$2500:$2500)</f>
        <v>3862155</v>
      </c>
      <c r="V102" s="663">
        <f t="shared" si="12"/>
        <v>13570373</v>
      </c>
      <c r="X102" s="156">
        <f t="shared" si="13"/>
        <v>-13570373</v>
      </c>
    </row>
    <row r="103" spans="1:24">
      <c r="A103" s="216" t="s">
        <v>877</v>
      </c>
      <c r="B103" s="158" t="s">
        <v>917</v>
      </c>
      <c r="C103" s="159">
        <v>227304</v>
      </c>
      <c r="D103" s="131">
        <f>SUMIF(Data!$1:$1,$C$2,Data!404:404)</f>
        <v>9641570</v>
      </c>
      <c r="E103" s="131"/>
      <c r="J103" s="131">
        <f>SUMIF(Data!$1:$1,$C$2,Data!622:622)+SUMIF(Data!$1:$1,$C$2,Data!869:869)</f>
        <v>3322363</v>
      </c>
      <c r="L103" s="131"/>
      <c r="N103" s="156"/>
      <c r="O103" s="650">
        <f t="shared" si="14"/>
        <v>12963933</v>
      </c>
      <c r="Q103" s="131">
        <f>SUMIF(Data!$1:$1,$Q$3,Data!$2449:$2449)</f>
        <v>23863032</v>
      </c>
      <c r="R103" s="131">
        <f>SUMIF(Data!$1:$1,$Q$3,Data!$2501:$2501)</f>
        <v>11192706</v>
      </c>
      <c r="V103" s="663">
        <f t="shared" si="12"/>
        <v>48019671</v>
      </c>
      <c r="X103" s="156">
        <f t="shared" si="13"/>
        <v>-48019671</v>
      </c>
    </row>
    <row r="104" spans="1:24">
      <c r="A104" s="216" t="s">
        <v>877</v>
      </c>
      <c r="B104" s="158" t="s">
        <v>133</v>
      </c>
      <c r="C104" s="159">
        <v>227401</v>
      </c>
      <c r="D104" s="131">
        <f>SUMIF(Data!$1:$1,$C$2,Data!406:406)</f>
        <v>7941653</v>
      </c>
      <c r="E104" s="131"/>
      <c r="J104" s="131">
        <f>SUMIF(Data!$1:$1,$C$2,Data!624:624)+SUMIF(Data!$1:$1,$C$2,Data!871:871)</f>
        <v>1890390</v>
      </c>
      <c r="L104" s="131"/>
      <c r="N104" s="156"/>
      <c r="O104" s="650">
        <f t="shared" si="14"/>
        <v>9832043</v>
      </c>
      <c r="Q104" s="131">
        <f>SUMIF(Data!$1:$1,$Q$3,Data!$2451:$2451)</f>
        <v>2941468</v>
      </c>
      <c r="R104" s="131">
        <f>SUMIF(Data!$1:$1,$Q$3,Data!$2503:$2503)</f>
        <v>7131226</v>
      </c>
      <c r="V104" s="663">
        <f t="shared" si="12"/>
        <v>19904737</v>
      </c>
      <c r="X104" s="156">
        <f t="shared" si="13"/>
        <v>-19904737</v>
      </c>
    </row>
    <row r="105" spans="1:24">
      <c r="A105" s="216" t="s">
        <v>877</v>
      </c>
      <c r="B105" s="158" t="s">
        <v>918</v>
      </c>
      <c r="C105" s="159">
        <v>228316</v>
      </c>
      <c r="D105" s="131">
        <f>SUMIF(Data!$1:$1,$C$2,Data!411:411)</f>
        <v>8462710</v>
      </c>
      <c r="E105" s="131"/>
      <c r="J105" s="131">
        <f>SUMIF(Data!$1:$1,$C$2,Data!629:629)+SUMIF(Data!$1:$1,$C$2,Data!876:876)</f>
        <v>2364320</v>
      </c>
      <c r="L105" s="131"/>
      <c r="N105" s="156"/>
      <c r="O105" s="650">
        <f t="shared" si="14"/>
        <v>10827030</v>
      </c>
      <c r="Q105" s="131">
        <f>SUMIF(Data!$1:$1,$Q$3,Data!$2456:$2456)</f>
        <v>5557488</v>
      </c>
      <c r="R105" s="131">
        <f>SUMIF(Data!$1:$1,$Q$3,Data!$2508:$2508)</f>
        <v>7556069</v>
      </c>
      <c r="V105" s="663">
        <f t="shared" si="12"/>
        <v>23940587</v>
      </c>
      <c r="X105" s="156">
        <f t="shared" si="13"/>
        <v>-23940587</v>
      </c>
    </row>
    <row r="106" spans="1:24">
      <c r="A106" s="216" t="s">
        <v>877</v>
      </c>
      <c r="B106" s="158" t="s">
        <v>919</v>
      </c>
      <c r="C106" s="159">
        <v>228608</v>
      </c>
      <c r="D106" s="131">
        <f>SUMIF(Data!$1:$1,$C$2,Data!413:413)</f>
        <v>7022460</v>
      </c>
      <c r="E106" s="131"/>
      <c r="J106" s="131">
        <f>SUMIF(Data!$1:$1,$C$2,Data!631:631)+SUMIF(Data!$1:$1,$C$2,Data!878:878)</f>
        <v>2441066</v>
      </c>
      <c r="L106" s="131"/>
      <c r="N106" s="156"/>
      <c r="O106" s="650">
        <f t="shared" si="14"/>
        <v>9463526</v>
      </c>
      <c r="Q106" s="131">
        <f>SUMIF(Data!$1:$1,$Q$3,Data!$2458:$2458)</f>
        <v>6243498</v>
      </c>
      <c r="R106" s="131">
        <f>SUMIF(Data!$1:$1,$Q$3,Data!$2510:$2510)</f>
        <v>11316689</v>
      </c>
      <c r="V106" s="663">
        <f t="shared" si="12"/>
        <v>27023713</v>
      </c>
      <c r="X106" s="156">
        <f t="shared" si="13"/>
        <v>-27023713</v>
      </c>
    </row>
    <row r="107" spans="1:24">
      <c r="A107" s="216" t="s">
        <v>877</v>
      </c>
      <c r="B107" s="158" t="s">
        <v>920</v>
      </c>
      <c r="C107" s="159">
        <v>228699</v>
      </c>
      <c r="D107" s="131">
        <f>SUMIF(Data!$1:$1,$C$2,Data!414:414)</f>
        <v>7484440</v>
      </c>
      <c r="E107" s="131"/>
      <c r="J107" s="131">
        <f>SUMIF(Data!$1:$1,$C$2,Data!632:632)+SUMIF(Data!$1:$1,$C$2,Data!879:879)</f>
        <v>2217425</v>
      </c>
      <c r="L107" s="131"/>
      <c r="N107" s="156"/>
      <c r="O107" s="650">
        <f t="shared" si="14"/>
        <v>9701865</v>
      </c>
      <c r="Q107" s="131">
        <f>SUMIF(Data!$1:$1,$Q$3,Data!$2459:$2459)</f>
        <v>6532330</v>
      </c>
      <c r="R107" s="131">
        <f>SUMIF(Data!$1:$1,$Q$3,Data!$2511:$2511)</f>
        <v>6173965</v>
      </c>
      <c r="V107" s="663">
        <f t="shared" si="12"/>
        <v>22408160</v>
      </c>
      <c r="X107" s="156">
        <f t="shared" si="13"/>
        <v>-22408160</v>
      </c>
    </row>
    <row r="108" spans="1:24">
      <c r="A108" s="216" t="s">
        <v>877</v>
      </c>
      <c r="B108" s="158" t="s">
        <v>905</v>
      </c>
      <c r="C108" s="159">
        <v>229072</v>
      </c>
      <c r="D108" s="131">
        <f>SUMIF(Data!$1:$1,$C$2,Data!415:415)</f>
        <v>7048806</v>
      </c>
      <c r="E108" s="131"/>
      <c r="J108" s="131">
        <f>SUMIF(Data!$1:$1,$C$2,Data!633:633)+SUMIF(Data!$1:$1,$C$2,Data!880:880)</f>
        <v>2560404</v>
      </c>
      <c r="L108" s="131"/>
      <c r="N108" s="156"/>
      <c r="O108" s="650">
        <f>SUM(D108:K108)+M108-N108</f>
        <v>9609210</v>
      </c>
      <c r="Q108" s="131">
        <f>SUMIF(Data!$1:$1,$Q$3,Data!$2460:$2460)</f>
        <v>14516319</v>
      </c>
      <c r="R108" s="131">
        <f>SUMIF(Data!$1:$1,$Q$3,Data!$2512:$2512)</f>
        <v>12475770</v>
      </c>
      <c r="V108" s="663">
        <f>SUM(O108:U108)</f>
        <v>36601299</v>
      </c>
      <c r="X108" s="156">
        <f>W108-V108</f>
        <v>-36601299</v>
      </c>
    </row>
    <row r="109" spans="1:24">
      <c r="A109" s="216" t="s">
        <v>906</v>
      </c>
      <c r="B109" s="181" t="s">
        <v>921</v>
      </c>
      <c r="C109" s="159">
        <v>229319</v>
      </c>
      <c r="D109" s="131">
        <f>SUMIF(Data!$1:$1,$C$2,Data!204:204)</f>
        <v>27009390</v>
      </c>
      <c r="E109" s="131"/>
      <c r="G109" s="131">
        <f>SUMIF(Data!$1:$1,$C$2,Data!567:567)</f>
        <v>1205703</v>
      </c>
      <c r="H109" s="131">
        <f>SUMIF(Data!$1:$1,$C$2,Data!817:817)</f>
        <v>2808206</v>
      </c>
      <c r="I109" s="131">
        <f>SUMIF(Data!$1:$1,$C$2,Data!952:952)</f>
        <v>2307071</v>
      </c>
      <c r="J109" s="131"/>
      <c r="L109" s="131"/>
      <c r="N109" s="131">
        <f>SUMIF(Data!$1:$1,$C$2,Data!2282:2282)</f>
        <v>485825</v>
      </c>
      <c r="O109" s="651">
        <f t="shared" si="14"/>
        <v>32844545</v>
      </c>
      <c r="Q109" s="131"/>
      <c r="R109" s="607">
        <f>SUMIF(Data!$1:$1,$Q$3,Data!$2529:$2529)</f>
        <v>7135153</v>
      </c>
      <c r="V109" s="663">
        <f t="shared" si="12"/>
        <v>39979698</v>
      </c>
      <c r="X109" s="156">
        <f t="shared" si="13"/>
        <v>-39979698</v>
      </c>
    </row>
    <row r="110" spans="1:24">
      <c r="A110" s="216" t="s">
        <v>906</v>
      </c>
      <c r="B110" s="179" t="s">
        <v>907</v>
      </c>
      <c r="C110" s="159">
        <v>228680</v>
      </c>
      <c r="D110" s="131">
        <f>SUMIF(Data!$1:$1,$C$2,Data!207:207)</f>
        <v>34904948</v>
      </c>
      <c r="E110" s="131"/>
      <c r="G110" s="131">
        <f>SUMIF(Data!$1:$1,$C$2,Data!570:570)</f>
        <v>1773181</v>
      </c>
      <c r="H110" s="131">
        <f>SUMIF(Data!$1:$1,$C$2,Data!820:820)</f>
        <v>3392035</v>
      </c>
      <c r="I110" s="131">
        <f>SUMIF(Data!$1:$1,$C$2,Data!955:955)</f>
        <v>2729653</v>
      </c>
      <c r="J110" s="131"/>
      <c r="L110" s="131"/>
      <c r="N110" s="131">
        <f>SUMIF(Data!$1:$1,$C$2,Data!2285:2285)</f>
        <v>510325</v>
      </c>
      <c r="O110" s="651">
        <f>SUM(D110:K110)+M110-N110</f>
        <v>42289492</v>
      </c>
      <c r="Q110" s="131"/>
      <c r="R110" s="607">
        <f>SUMIF(Data!$1:$1,$Q$3,Data!$2532:$2532)</f>
        <v>14083664</v>
      </c>
      <c r="V110" s="663">
        <f>SUM(O110:U110)</f>
        <v>56373156</v>
      </c>
      <c r="X110" s="156">
        <f>W110-V110</f>
        <v>-56373156</v>
      </c>
    </row>
    <row r="111" spans="1:24">
      <c r="A111" s="216" t="s">
        <v>877</v>
      </c>
      <c r="B111" s="158" t="s">
        <v>922</v>
      </c>
      <c r="C111" s="159">
        <v>229504</v>
      </c>
      <c r="D111" s="131">
        <f>SUMIF(Data!$1:$1,$C$2,Data!418:418)</f>
        <v>5338450</v>
      </c>
      <c r="E111" s="131"/>
      <c r="J111" s="131">
        <f>SUMIF(Data!$1:$1,$C$2,Data!636:636)+SUMIF(Data!$1:$1,$C$2,Data!883:883)</f>
        <v>1722393</v>
      </c>
      <c r="L111" s="131"/>
      <c r="O111" s="650">
        <f t="shared" si="14"/>
        <v>7060843</v>
      </c>
      <c r="Q111" s="131">
        <f>SUMIF(Data!$1:$1,$Q$3,Data!$2463:$2463)</f>
        <v>2721282</v>
      </c>
      <c r="R111" s="131">
        <f>SUMIF(Data!$1:$1,$Q$3,Data!$2515:$2515)</f>
        <v>4886531</v>
      </c>
      <c r="V111" s="663">
        <f t="shared" si="12"/>
        <v>14668656</v>
      </c>
      <c r="X111" s="156">
        <f t="shared" si="13"/>
        <v>-14668656</v>
      </c>
    </row>
    <row r="112" spans="1:24">
      <c r="A112" s="216" t="s">
        <v>877</v>
      </c>
      <c r="B112" s="158" t="s">
        <v>923</v>
      </c>
      <c r="C112" s="159">
        <v>229540</v>
      </c>
      <c r="D112" s="131">
        <f>SUMIF(Data!$1:$1,$C$2,Data!419:419)</f>
        <v>5535061</v>
      </c>
      <c r="E112" s="131"/>
      <c r="J112" s="131">
        <f>SUMIF(Data!$1:$1,$C$2,Data!637:637)+SUMIF(Data!$1:$1,$C$2,Data!884:884)</f>
        <v>2268079</v>
      </c>
      <c r="L112" s="131"/>
      <c r="O112" s="650">
        <f t="shared" si="14"/>
        <v>7803140</v>
      </c>
      <c r="Q112" s="131">
        <f>SUMIF(Data!$1:$1,$Q$3,Data!$2464:$2464)</f>
        <v>11588962</v>
      </c>
      <c r="R112" s="131">
        <f>SUMIF(Data!$1:$1,$Q$3,Data!$2516:$2516)</f>
        <v>9312815</v>
      </c>
      <c r="V112" s="663">
        <f t="shared" si="12"/>
        <v>28704917</v>
      </c>
      <c r="X112" s="156">
        <f t="shared" si="13"/>
        <v>-28704917</v>
      </c>
    </row>
    <row r="113" spans="1:24">
      <c r="A113" s="216" t="s">
        <v>877</v>
      </c>
      <c r="B113" s="158" t="s">
        <v>924</v>
      </c>
      <c r="C113" s="159">
        <v>229799</v>
      </c>
      <c r="D113" s="131">
        <f>SUMIF(Data!$1:$1,$C$2,Data!420:420)</f>
        <v>9059678</v>
      </c>
      <c r="E113" s="131"/>
      <c r="J113" s="131">
        <f>SUMIF(Data!$1:$1,$C$2,Data!638:638)+SUMIF(Data!$1:$1,$C$2,Data!885:885)</f>
        <v>2739354</v>
      </c>
      <c r="L113" s="131"/>
      <c r="O113" s="650">
        <f t="shared" si="14"/>
        <v>11799032</v>
      </c>
      <c r="Q113" s="131">
        <f>SUMIF(Data!$1:$1,$Q$3,Data!$2465:$2465)</f>
        <v>14032739</v>
      </c>
      <c r="R113" s="131">
        <f>SUMIF(Data!$1:$1,$Q$3,Data!$2517:$2517)</f>
        <v>8803947</v>
      </c>
      <c r="V113" s="663">
        <f t="shared" si="12"/>
        <v>34635718</v>
      </c>
      <c r="X113" s="156">
        <f t="shared" si="13"/>
        <v>-34635718</v>
      </c>
    </row>
    <row r="114" spans="1:24">
      <c r="A114" s="216" t="s">
        <v>877</v>
      </c>
      <c r="B114" s="158" t="s">
        <v>925</v>
      </c>
      <c r="C114" s="159">
        <v>229841</v>
      </c>
      <c r="D114" s="131">
        <f>SUMIF(Data!$1:$1,$C$2,Data!422:422)</f>
        <v>9645284</v>
      </c>
      <c r="E114" s="131"/>
      <c r="J114" s="131">
        <f>SUMIF(Data!$1:$1,$C$2,Data!640:640)+SUMIF(Data!$1:$1,$C$2,Data!887:887)</f>
        <v>3100171</v>
      </c>
      <c r="L114" s="131"/>
      <c r="O114" s="650">
        <f t="shared" si="14"/>
        <v>12745455</v>
      </c>
      <c r="Q114" s="131">
        <f>SUMIF(Data!$1:$1,$Q$3,Data!$2467:$2467)</f>
        <v>7267859</v>
      </c>
      <c r="R114" s="131">
        <f>SUMIF(Data!$1:$1,$Q$3,Data!$2519:$2519)</f>
        <v>19100874</v>
      </c>
      <c r="V114" s="663">
        <f t="shared" si="12"/>
        <v>39114188</v>
      </c>
      <c r="X114" s="156">
        <f t="shared" si="13"/>
        <v>-39114188</v>
      </c>
    </row>
    <row r="115" spans="1:24">
      <c r="A115" s="216" t="s">
        <v>877</v>
      </c>
      <c r="B115" s="158" t="s">
        <v>926</v>
      </c>
      <c r="C115" s="159">
        <v>223922</v>
      </c>
      <c r="D115" s="131">
        <f>SUMIF(Data!$1:$1,$C$2,Data!382:382)</f>
        <v>2933293</v>
      </c>
      <c r="E115" s="131"/>
      <c r="J115" s="131">
        <f>SUMIF(Data!$1:$1,$C$2,Data!600:600)+SUMIF(Data!$1:$1,$C$2,Data!847:847)</f>
        <v>673931</v>
      </c>
      <c r="L115" s="131"/>
      <c r="O115" s="650">
        <f t="shared" si="14"/>
        <v>3607224</v>
      </c>
      <c r="Q115" s="131">
        <f>SUMIF(Data!$1:$1,$Q$3,Data!$2427:$2427)</f>
        <v>574714</v>
      </c>
      <c r="R115" s="131">
        <f>SUMIF(Data!$1:$1,$Q$3,Data!$2479:$2479)</f>
        <v>2342738</v>
      </c>
      <c r="V115" s="663">
        <f t="shared" si="12"/>
        <v>6524676</v>
      </c>
      <c r="X115" s="156">
        <f t="shared" si="13"/>
        <v>-6524676</v>
      </c>
    </row>
    <row r="116" spans="1:24">
      <c r="A116" s="216" t="s">
        <v>877</v>
      </c>
      <c r="B116" s="158" t="s">
        <v>927</v>
      </c>
      <c r="C116" s="159">
        <v>224891</v>
      </c>
      <c r="D116" s="131">
        <f>SUMIF(Data!$1:$1,$C$2,Data!389:389)</f>
        <v>2538541</v>
      </c>
      <c r="E116" s="131"/>
      <c r="J116" s="131">
        <f>SUMIF(Data!$1:$1,$C$2,Data!607:607)+SUMIF(Data!$1:$1,$C$2,Data!854:854)</f>
        <v>689536</v>
      </c>
      <c r="L116" s="131"/>
      <c r="O116" s="650">
        <f t="shared" si="14"/>
        <v>3228077</v>
      </c>
      <c r="Q116" s="131">
        <f>SUMIF(Data!$1:$1,$Q$3,Data!$2434:$2434)</f>
        <v>2474830</v>
      </c>
      <c r="R116" s="131">
        <f>SUMIF(Data!$1:$1,$Q$3,Data!$2486:$2486)</f>
        <v>1448058</v>
      </c>
      <c r="V116" s="663">
        <f t="shared" si="12"/>
        <v>7150965</v>
      </c>
      <c r="X116" s="156">
        <f t="shared" si="13"/>
        <v>-7150965</v>
      </c>
    </row>
    <row r="117" spans="1:24">
      <c r="A117" s="216" t="s">
        <v>877</v>
      </c>
      <c r="B117" s="158" t="s">
        <v>928</v>
      </c>
      <c r="C117" s="159">
        <v>224961</v>
      </c>
      <c r="D117" s="131">
        <f>SUMIF(Data!$1:$1,$C$2,Data!390:390)</f>
        <v>4608371</v>
      </c>
      <c r="E117" s="131"/>
      <c r="J117" s="131">
        <f>SUMIF(Data!$1:$1,$C$2,Data!608:608)+SUMIF(Data!$1:$1,$C$2,Data!855:855)</f>
        <v>1405090</v>
      </c>
      <c r="L117" s="131"/>
      <c r="O117" s="650">
        <f t="shared" si="14"/>
        <v>6013461</v>
      </c>
      <c r="Q117" s="131">
        <f>SUMIF(Data!$1:$1,$Q$3,Data!$2435:$2435)</f>
        <v>13869957</v>
      </c>
      <c r="R117" s="131">
        <f>SUMIF(Data!$1:$1,$Q$3,Data!$2487:$2487)</f>
        <v>2900554</v>
      </c>
      <c r="V117" s="663">
        <f t="shared" si="12"/>
        <v>22783972</v>
      </c>
      <c r="X117" s="156">
        <f t="shared" si="13"/>
        <v>-22783972</v>
      </c>
    </row>
    <row r="118" spans="1:24">
      <c r="A118" s="216" t="s">
        <v>906</v>
      </c>
      <c r="B118" s="181" t="s">
        <v>929</v>
      </c>
      <c r="C118" s="159">
        <v>226107</v>
      </c>
      <c r="D118" s="131">
        <f>SUMIF(Data!$1:$1,$C$2,Data!184:184)</f>
        <v>10449161</v>
      </c>
      <c r="E118" s="131"/>
      <c r="G118" s="131">
        <f>SUMIF(Data!$1:$1,$C$2,Data!548:548)</f>
        <v>511452</v>
      </c>
      <c r="H118" s="131">
        <f>SUMIF(Data!$1:$1,$C$2,Data!799:799)</f>
        <v>1131300</v>
      </c>
      <c r="I118" s="131">
        <f>SUMIF(Data!$1:$1,$C$2,Data!933:933)</f>
        <v>816470</v>
      </c>
      <c r="J118" s="131"/>
      <c r="L118" s="131">
        <f>SUMIF(Data!$1:$1,$C$2,Data!2353:2353)</f>
        <v>1694343</v>
      </c>
      <c r="M118" s="156">
        <f t="shared" ref="M118" si="15">ROUND(L118*$M$6,0)</f>
        <v>0</v>
      </c>
      <c r="N118" s="131">
        <f>SUMIF(Data!$1:$1,$C$2,Data!2264:2264)</f>
        <v>918315</v>
      </c>
      <c r="O118" s="651">
        <f t="shared" si="14"/>
        <v>11990068</v>
      </c>
      <c r="R118" s="607">
        <f>SUMIF(Data!$1:$1,$Q$3,Data!$2527:$2527)</f>
        <v>5199475</v>
      </c>
      <c r="V118" s="663">
        <f t="shared" si="12"/>
        <v>17189543</v>
      </c>
      <c r="X118" s="156">
        <f t="shared" si="13"/>
        <v>-17189543</v>
      </c>
    </row>
    <row r="119" spans="1:24">
      <c r="A119" s="216" t="s">
        <v>906</v>
      </c>
      <c r="B119" s="182" t="s">
        <v>930</v>
      </c>
      <c r="C119" s="159">
        <v>226116</v>
      </c>
      <c r="D119" s="131">
        <f>SUMIF(Data!$1:$1,$C$2,Data!185:185)</f>
        <v>12934838</v>
      </c>
      <c r="E119" s="131"/>
      <c r="G119" s="131">
        <f>SUMIF(Data!$1:$1,$C$2,Data!549:549)</f>
        <v>528036</v>
      </c>
      <c r="H119" s="131">
        <f>SUMIF(Data!$1:$1,$C$2,Data!800:800)</f>
        <v>1335184</v>
      </c>
      <c r="I119" s="131">
        <f>SUMIF(Data!$1:$1,$C$2,Data!934:934)</f>
        <v>1047652</v>
      </c>
      <c r="J119" s="131"/>
      <c r="L119" s="131">
        <f>SUMIF(Data!$1:$1,$C$2,Data!2354:2354)</f>
        <v>2157784</v>
      </c>
      <c r="M119" s="156">
        <f>ROUND(L119*$M$6,0)</f>
        <v>0</v>
      </c>
      <c r="N119" s="131">
        <f>SUMIF(Data!$1:$1,$C$2,Data!2265:2265)</f>
        <v>1272753</v>
      </c>
      <c r="O119" s="651">
        <f>SUM(D119:K119)+M119-N119</f>
        <v>14572957</v>
      </c>
      <c r="R119" s="607">
        <f>SUMIF(Data!$1:$1,$Q$3,Data!$2528:$2528)</f>
        <v>6472716</v>
      </c>
      <c r="V119" s="663">
        <f>SUM(O119:U119)</f>
        <v>21045673</v>
      </c>
      <c r="X119" s="156">
        <f>W119-V119</f>
        <v>-21045673</v>
      </c>
    </row>
    <row r="120" spans="1:24">
      <c r="A120" s="216" t="s">
        <v>877</v>
      </c>
      <c r="B120" s="178" t="s">
        <v>931</v>
      </c>
      <c r="C120" s="1109">
        <v>488730</v>
      </c>
      <c r="D120" s="131"/>
      <c r="E120" s="131"/>
      <c r="J120" s="131"/>
      <c r="L120" s="131"/>
      <c r="O120" s="650">
        <f t="shared" si="14"/>
        <v>0</v>
      </c>
      <c r="V120" s="663">
        <f t="shared" si="12"/>
        <v>0</v>
      </c>
      <c r="X120" s="156">
        <f t="shared" si="13"/>
        <v>0</v>
      </c>
    </row>
    <row r="121" spans="1:24">
      <c r="A121" s="216" t="s">
        <v>877</v>
      </c>
      <c r="B121" s="158" t="s">
        <v>132</v>
      </c>
      <c r="C121" s="159">
        <v>227386</v>
      </c>
      <c r="D121" s="131">
        <f>SUMIF(Data!$1:$1,$C$2,Data!405:405)</f>
        <v>4861783</v>
      </c>
      <c r="E121" s="131"/>
      <c r="J121" s="131">
        <f>SUMIF(Data!$1:$1,$C$2,Data!623:623)+SUMIF(Data!$1:$1,$C$2,Data!870:870)</f>
        <v>1477278</v>
      </c>
      <c r="L121" s="131"/>
      <c r="O121" s="650">
        <f t="shared" si="14"/>
        <v>6339061</v>
      </c>
      <c r="Q121" s="131">
        <f>SUMIF(Data!$1:$1,$Q$3,Data!$2450:$2450)</f>
        <v>6826243</v>
      </c>
      <c r="R121" s="131">
        <f>SUMIF(Data!$1:$1,$Q$3,Data!$2502:$2502)</f>
        <v>3794342</v>
      </c>
      <c r="V121" s="663">
        <f t="shared" si="12"/>
        <v>16959646</v>
      </c>
      <c r="X121" s="156">
        <f t="shared" si="13"/>
        <v>-16959646</v>
      </c>
    </row>
    <row r="122" spans="1:24">
      <c r="A122" s="216" t="s">
        <v>877</v>
      </c>
      <c r="B122" s="158" t="s">
        <v>933</v>
      </c>
      <c r="C122" s="159">
        <v>227687</v>
      </c>
      <c r="D122" s="131">
        <f>SUMIF(Data!$1:$1,$C$2,Data!407:407)</f>
        <v>3863091</v>
      </c>
      <c r="E122" s="131"/>
      <c r="J122" s="131">
        <f>SUMIF(Data!$1:$1,$C$2,Data!625:625)+SUMIF(Data!$1:$1,$C$2,Data!872:872)</f>
        <v>739889</v>
      </c>
      <c r="L122" s="131"/>
      <c r="O122" s="650">
        <f t="shared" si="14"/>
        <v>4602980</v>
      </c>
      <c r="Q122" s="131">
        <f>SUMIF(Data!$1:$1,$Q$3,Data!$2452:$2452)</f>
        <v>34736</v>
      </c>
      <c r="R122" s="131">
        <f>SUMIF(Data!$1:$1,$Q$3,Data!$2504:$2504)</f>
        <v>3151878</v>
      </c>
      <c r="V122" s="663">
        <f t="shared" si="12"/>
        <v>7789594</v>
      </c>
      <c r="X122" s="156">
        <f t="shared" si="13"/>
        <v>-7789594</v>
      </c>
    </row>
    <row r="123" spans="1:24">
      <c r="A123" s="216" t="s">
        <v>877</v>
      </c>
      <c r="B123" s="180" t="s">
        <v>934</v>
      </c>
      <c r="C123" s="159">
        <v>382911</v>
      </c>
      <c r="D123" s="131"/>
      <c r="E123" s="131"/>
      <c r="J123" s="131"/>
      <c r="L123" s="131"/>
      <c r="O123" s="650">
        <f t="shared" si="14"/>
        <v>0</v>
      </c>
      <c r="V123" s="663">
        <f t="shared" si="12"/>
        <v>0</v>
      </c>
      <c r="X123" s="156">
        <f t="shared" si="13"/>
        <v>0</v>
      </c>
    </row>
    <row r="124" spans="1:24" s="1044" customFormat="1">
      <c r="A124" s="834" t="s">
        <v>906</v>
      </c>
      <c r="B124" s="786" t="s">
        <v>1910</v>
      </c>
      <c r="C124" s="1075" t="s">
        <v>162</v>
      </c>
      <c r="D124" s="131">
        <f>SUMIF(Data!$1:$1,$C$2,Data!208:208)</f>
        <v>5962649</v>
      </c>
      <c r="E124" s="131"/>
      <c r="G124" s="131">
        <f>SUMIF(Data!$1:$1,$C$2,Data!571:571)</f>
        <v>254010</v>
      </c>
      <c r="H124" s="131">
        <f>SUMIF(Data!$1:$1,$C$2,Data!821:821)</f>
        <v>361312</v>
      </c>
      <c r="I124" s="131">
        <f>SUMIF(Data!$1:$1,$C$2,Data!956:956)</f>
        <v>256976</v>
      </c>
      <c r="J124" s="131"/>
      <c r="L124" s="131"/>
      <c r="M124" s="156"/>
      <c r="N124" s="131">
        <f>SUMIF(Data!$1:$1,$C$2,Data!2286:2287)</f>
        <v>974444</v>
      </c>
      <c r="O124" s="651">
        <f>SUM(D124:K124)+M124-N124</f>
        <v>5860503</v>
      </c>
      <c r="R124" s="607">
        <f>SUMIF(Data!$1:$1,$Q$3,Data!$2534:$2534)</f>
        <v>1241507</v>
      </c>
      <c r="V124" s="663">
        <f>SUM(O124:U124)</f>
        <v>7102010</v>
      </c>
      <c r="X124" s="156">
        <f>W124-V124</f>
        <v>-7102010</v>
      </c>
    </row>
    <row r="125" spans="1:24">
      <c r="A125" s="216" t="s">
        <v>906</v>
      </c>
      <c r="B125" s="181" t="s">
        <v>935</v>
      </c>
      <c r="C125" s="159">
        <v>408394</v>
      </c>
      <c r="D125" s="131">
        <f>SUMIF(Data!$1:$1,$C$2,Data!206:206)</f>
        <v>6556685</v>
      </c>
      <c r="E125" s="131"/>
      <c r="G125" s="131">
        <f>SUMIF(Data!$1:$1,$C$2,Data!569:569)</f>
        <v>275063</v>
      </c>
      <c r="H125" s="131">
        <f>SUMIF(Data!$1:$1,$C$2,Data!819:819)</f>
        <v>551937</v>
      </c>
      <c r="I125" s="131">
        <f>SUMIF(Data!$1:$1,$C$2,Data!954:954)</f>
        <v>422582</v>
      </c>
      <c r="J125" s="131"/>
      <c r="L125" s="131"/>
      <c r="N125" s="131">
        <f>SUMIF(Data!$1:$1,$C$2,Data!2284:2284)</f>
        <v>126328</v>
      </c>
      <c r="O125" s="651">
        <f t="shared" si="14"/>
        <v>7679939</v>
      </c>
      <c r="R125" s="607">
        <f>SUMIF(Data!$1:$1,$Q$3,Data!$2531:$2531)</f>
        <v>1371882</v>
      </c>
      <c r="V125" s="663">
        <f t="shared" si="12"/>
        <v>9051821</v>
      </c>
      <c r="X125" s="156">
        <f t="shared" si="13"/>
        <v>-9051821</v>
      </c>
    </row>
    <row r="126" spans="1:24" s="1044" customFormat="1">
      <c r="A126" s="834" t="s">
        <v>906</v>
      </c>
      <c r="B126" s="786" t="s">
        <v>1911</v>
      </c>
      <c r="C126" s="1075" t="s">
        <v>162</v>
      </c>
      <c r="D126" s="131">
        <f>SUMIF(Data!$1:$1,$C$2,Data!209:209)</f>
        <v>3717575</v>
      </c>
      <c r="E126" s="131"/>
      <c r="G126" s="131">
        <f>SUMIF(Data!$1:$1,$C$2,Data!572:572)</f>
        <v>147799</v>
      </c>
      <c r="H126" s="131">
        <f>SUMIF(Data!$1:$1,$C$2,Data!822:822)</f>
        <v>254770</v>
      </c>
      <c r="I126" s="131">
        <f>SUMIF(Data!$1:$1,$C$2,Data!957:957)</f>
        <v>194159</v>
      </c>
      <c r="J126" s="131"/>
      <c r="L126" s="131"/>
      <c r="M126" s="156"/>
      <c r="N126" s="131">
        <f>SUMIF(Data!$1:$1,$C$2,Data!2287:2288)</f>
        <v>718725</v>
      </c>
      <c r="O126" s="651">
        <f>SUM(D126:K126)+M126-N126</f>
        <v>3595578</v>
      </c>
      <c r="R126" s="607">
        <f>SUMIF(Data!$1:$1,$Q$3,Data!$2533:$2533)</f>
        <v>826762</v>
      </c>
      <c r="V126" s="663">
        <f t="shared" ref="V126" si="16">SUM(O126:U126)</f>
        <v>4422340</v>
      </c>
      <c r="X126" s="156">
        <f t="shared" ref="X126" si="17">W126-V126</f>
        <v>-4422340</v>
      </c>
    </row>
    <row r="127" spans="1:24">
      <c r="A127" s="216" t="s">
        <v>906</v>
      </c>
      <c r="B127" s="181" t="s">
        <v>936</v>
      </c>
      <c r="C127" s="159">
        <v>229328</v>
      </c>
      <c r="D127" s="131">
        <f>SUMIF(Data!$1:$1,$C$2,Data!205:205)</f>
        <v>11688197</v>
      </c>
      <c r="E127" s="131"/>
      <c r="G127" s="131">
        <f>SUMIF(Data!$1:$1,$C$2,Data!568:568)</f>
        <v>640854</v>
      </c>
      <c r="H127" s="131">
        <f>SUMIF(Data!$1:$1,$C$2,Data!818:818)</f>
        <v>1330224</v>
      </c>
      <c r="I127" s="131">
        <f>SUMIF(Data!$1:$1,$C$2,Data!953:953)</f>
        <v>1039324</v>
      </c>
      <c r="J127" s="131"/>
      <c r="L127" s="131"/>
      <c r="N127" s="131">
        <f>SUMIF(Data!$1:$1,$C$2,Data!2283:2283)</f>
        <v>943234</v>
      </c>
      <c r="O127" s="651">
        <f t="shared" si="14"/>
        <v>13755365</v>
      </c>
      <c r="R127" s="607">
        <f>SUMIF(Data!$1:$1,$Q$3,Data!$2530:$2530)</f>
        <v>4093533</v>
      </c>
      <c r="V127" s="663">
        <f t="shared" si="12"/>
        <v>17848898</v>
      </c>
      <c r="X127" s="156">
        <f t="shared" si="13"/>
        <v>-17848898</v>
      </c>
    </row>
    <row r="128" spans="1:24">
      <c r="A128" s="216" t="s">
        <v>877</v>
      </c>
      <c r="B128" s="158" t="s">
        <v>937</v>
      </c>
      <c r="C128" s="159">
        <v>229832</v>
      </c>
      <c r="D128" s="131">
        <f>SUMIF(Data!$1:$1,$C$2,Data!421:421)</f>
        <v>3929862</v>
      </c>
      <c r="E128" s="131"/>
      <c r="J128" s="131">
        <f>SUMIF(Data!$1:$1,$C$2,Data!639:639)+SUMIF(Data!$1:$1,$C$2,Data!886:886)</f>
        <v>1122378</v>
      </c>
      <c r="L128" s="131"/>
      <c r="O128" s="650">
        <f t="shared" si="14"/>
        <v>5052240</v>
      </c>
      <c r="Q128" s="131">
        <f>SUMIF(Data!$1:$1,$Q$3,Data!$2466:$2466)</f>
        <v>7950266</v>
      </c>
      <c r="R128" s="131">
        <f>SUMIF(Data!$1:$1,$Q$3,Data!$2518:$2518)</f>
        <v>3962951</v>
      </c>
      <c r="V128" s="663">
        <f t="shared" si="12"/>
        <v>16965457</v>
      </c>
      <c r="X128" s="156">
        <f t="shared" si="13"/>
        <v>-16965457</v>
      </c>
    </row>
    <row r="129" spans="1:24">
      <c r="A129" s="216" t="s">
        <v>877</v>
      </c>
      <c r="B129" s="183" t="s">
        <v>938</v>
      </c>
      <c r="C129" s="184"/>
      <c r="D129" s="131">
        <f>SUMIF(Data!$1:$1,$C$2,Data!373:373)</f>
        <v>66832870</v>
      </c>
      <c r="E129" s="131"/>
      <c r="J129" s="131">
        <f>SUMIF(Data!$1:$1,$C$2,Data!591:591)+SUMIF(Data!$1:$1,$C$2,Data!838:838)</f>
        <v>21665801</v>
      </c>
      <c r="L129" s="131"/>
      <c r="O129" s="650">
        <f t="shared" si="14"/>
        <v>88498671</v>
      </c>
      <c r="Q129" s="131">
        <f>SUMIF(Data!$1:$1,$Q$3,Data!$2418:$2418)</f>
        <v>176545503</v>
      </c>
      <c r="R129" s="131">
        <f>SUMIF(Data!$1:$1,$Q$3,Data!$2470:$2470)</f>
        <v>56682644</v>
      </c>
      <c r="V129" s="663">
        <f t="shared" si="12"/>
        <v>321726818</v>
      </c>
      <c r="X129" s="156">
        <f t="shared" si="13"/>
        <v>-321726818</v>
      </c>
    </row>
    <row r="130" spans="1:24">
      <c r="A130" s="216" t="s">
        <v>877</v>
      </c>
      <c r="B130" s="185" t="s">
        <v>939</v>
      </c>
      <c r="C130" s="184"/>
      <c r="D130" s="131">
        <f>SUMIF(Data!$1:$1,$C$2,Data!386:386)</f>
        <v>96423538</v>
      </c>
      <c r="E130" s="131"/>
      <c r="J130" s="131">
        <f>SUMIF(Data!$1:$1,$C$2,Data!604:604)+SUMIF(Data!$1:$1,$C$2,Data!851:851)</f>
        <v>30410351</v>
      </c>
      <c r="L130" s="131"/>
      <c r="O130" s="650">
        <f t="shared" si="14"/>
        <v>126833889</v>
      </c>
      <c r="Q130" s="131">
        <f>SUMIF(Data!$1:$1,$Q$3,Data!$2431:$2431)</f>
        <v>257730336</v>
      </c>
      <c r="R130" s="131">
        <f>SUMIF(Data!$1:$1,$Q$3,Data!$2483:$2483)</f>
        <v>71216814</v>
      </c>
      <c r="V130" s="663">
        <f t="shared" si="12"/>
        <v>455781039</v>
      </c>
      <c r="X130" s="156">
        <f t="shared" si="13"/>
        <v>-455781039</v>
      </c>
    </row>
    <row r="131" spans="1:24">
      <c r="A131" s="216" t="s">
        <v>940</v>
      </c>
      <c r="B131" s="187" t="s">
        <v>941</v>
      </c>
      <c r="C131" s="159">
        <v>223214</v>
      </c>
      <c r="D131" s="131">
        <f>SUMIF(Data!$1:$1,$C$2,Data!197:197)</f>
        <v>145469479</v>
      </c>
      <c r="E131" s="131"/>
      <c r="G131" s="131">
        <f>SUMIF(Data!$1:$1,$C$2,Data!561:561)</f>
        <v>6051046</v>
      </c>
      <c r="H131" s="131">
        <f>SUMIF(Data!$1:$1,$C$2,Data!771:771)</f>
        <v>8698942</v>
      </c>
      <c r="I131" s="131">
        <f>SUMIF(Data!$1:$1,$C$2,Data!946:946)</f>
        <v>6415374</v>
      </c>
      <c r="K131" s="131">
        <f>SUMIF(Data!$1:$1,$C$2,Data!2305:2305)+SUMIF(Data!$1:$1,$C$2,Data!2318:2318)</f>
        <v>2689193</v>
      </c>
      <c r="N131" s="172">
        <f>SUMIF(Data!$1:$1,$C$2,Data!2277:2277)</f>
        <v>18546547</v>
      </c>
      <c r="O131" s="649"/>
      <c r="P131" s="131"/>
      <c r="Q131" s="131"/>
      <c r="R131" s="1333"/>
      <c r="T131" s="156">
        <f t="shared" ref="T131:T142" si="18">SUM(D131:K131)+M131-N131</f>
        <v>150777487</v>
      </c>
      <c r="U131" s="610">
        <f>SUMIF(Data!$1:$1,$Q$3,Data!$2592:$2592)</f>
        <v>59692493</v>
      </c>
      <c r="V131" s="663">
        <f t="shared" si="12"/>
        <v>210469980</v>
      </c>
      <c r="X131" s="156">
        <f t="shared" si="13"/>
        <v>-210469980</v>
      </c>
    </row>
    <row r="132" spans="1:24">
      <c r="A132" s="216" t="s">
        <v>940</v>
      </c>
      <c r="B132" s="187" t="s">
        <v>942</v>
      </c>
      <c r="C132" s="159">
        <v>229337</v>
      </c>
      <c r="D132" s="131">
        <f>SUMIF(Data!$1:$1,$C$2,Data!199:199)</f>
        <v>148184642</v>
      </c>
      <c r="E132" s="131"/>
      <c r="G132" s="131">
        <f>SUMIF(Data!$1:$1,$C$2,Data!563:563)</f>
        <v>7334402</v>
      </c>
      <c r="H132" s="131">
        <f>SUMIF(Data!$1:$1,$C$2,Data!814:814)</f>
        <v>19150856</v>
      </c>
      <c r="I132" s="131">
        <f>SUMIF(Data!$1:$1,$C$2,Data!948:948)</f>
        <v>11610247</v>
      </c>
      <c r="K132" s="131">
        <f>SUMIF(Data!$1:$1,$C$2,Data!2307:2307)+SUMIF(Data!$1:$1,$C$2,Data!2320:2320)</f>
        <v>3090000</v>
      </c>
      <c r="L132" s="131">
        <f>SUMIF(Data!$1:$1,$C$2,Data!2359:2359)</f>
        <v>23372396</v>
      </c>
      <c r="M132" s="156">
        <f t="shared" ref="M132:M134" si="19">ROUND(L132*$M$6,0)</f>
        <v>0</v>
      </c>
      <c r="N132" s="131">
        <f>SUMIF(Data!$1:$1,$C$2,Data!2279:2279)</f>
        <v>21872890</v>
      </c>
      <c r="O132" s="649"/>
      <c r="P132" s="131"/>
      <c r="Q132" s="131"/>
      <c r="R132" s="1334"/>
      <c r="T132" s="156">
        <f t="shared" si="18"/>
        <v>167497257</v>
      </c>
      <c r="U132" s="610">
        <f>SUMIF(Data!$1:$1,$Q$3,Data!$2594:$2594)</f>
        <v>44011035</v>
      </c>
      <c r="V132" s="663">
        <f t="shared" si="12"/>
        <v>211508292</v>
      </c>
      <c r="X132" s="156">
        <f t="shared" si="13"/>
        <v>-211508292</v>
      </c>
    </row>
    <row r="133" spans="1:24">
      <c r="A133" s="216" t="s">
        <v>940</v>
      </c>
      <c r="B133" s="187" t="s">
        <v>1501</v>
      </c>
      <c r="C133" s="159" t="s">
        <v>932</v>
      </c>
      <c r="D133" s="131">
        <f>SUMIF(Data!$1:$1,$C$2,Data!200:200)</f>
        <v>70254352</v>
      </c>
      <c r="E133" s="131"/>
      <c r="G133" s="131">
        <f>SUMIF(Data!$1:$1,$C$2,Data!564:564)</f>
        <v>3021255</v>
      </c>
      <c r="H133" s="131">
        <f>SUMIF(Data!$1:$1,$C$2,Data!815:815)</f>
        <v>4990564</v>
      </c>
      <c r="I133" s="131">
        <f>SUMIF(Data!$1:$1,$C$2,Data!949:949)</f>
        <v>3023479</v>
      </c>
      <c r="K133" s="131">
        <f>SUMIF(Data!$1:$1,$C$2,Data!2308:2308)+SUMIF(Data!$1:$1,$C$2,Data!2321:2321)</f>
        <v>2821450</v>
      </c>
      <c r="L133" s="131">
        <f>SUMIF(Data!$1:$1,$C$2,Data!2360:2360)</f>
        <v>6234075</v>
      </c>
      <c r="M133" s="156">
        <f t="shared" ref="M133" si="20">ROUND(L133*$M$6,0)</f>
        <v>0</v>
      </c>
      <c r="N133" s="131">
        <f>SUMIF(Data!$1:$1,$C$2,Data!2280:2280)</f>
        <v>14061732</v>
      </c>
      <c r="O133" s="649"/>
      <c r="P133" s="131"/>
      <c r="Q133" s="131"/>
      <c r="R133" s="1334"/>
      <c r="T133" s="156">
        <f t="shared" si="18"/>
        <v>70049368</v>
      </c>
      <c r="U133" s="610">
        <f>SUMIF(Data!$1:$1,$Q$3,Data!$2595:$2595)</f>
        <v>10151693</v>
      </c>
      <c r="V133" s="663">
        <f t="shared" si="12"/>
        <v>80201061</v>
      </c>
      <c r="X133" s="156">
        <f t="shared" si="13"/>
        <v>-80201061</v>
      </c>
    </row>
    <row r="134" spans="1:24">
      <c r="A134" s="216" t="s">
        <v>940</v>
      </c>
      <c r="B134" s="187" t="s">
        <v>1440</v>
      </c>
      <c r="C134" s="159">
        <v>228909</v>
      </c>
      <c r="D134" s="131">
        <f>SUMIF(Data!$1:$1,$C$2,Data!198:198)</f>
        <v>95901581</v>
      </c>
      <c r="E134" s="131"/>
      <c r="G134" s="131">
        <f>SUMIF(Data!$1:$1,$C$2,Data!562:562)</f>
        <v>4334521</v>
      </c>
      <c r="H134" s="131">
        <f>SUMIF(Data!$1:$1,$C$2,Data!810:810)</f>
        <v>6501213</v>
      </c>
      <c r="I134" s="131">
        <f>SUMIF(Data!$1:$1,$C$2,Data!947:947)</f>
        <v>4586571</v>
      </c>
      <c r="K134" s="131">
        <f>SUMIF(Data!$1:$1,$C$2,Data!2306:2306)+SUMIF(Data!$1:$1,$C$2,Data!2319:2319)</f>
        <v>2169613</v>
      </c>
      <c r="L134" s="131">
        <f>SUMIF(Data!$1:$1,$C$2,Data!2358:2358)</f>
        <v>17091856</v>
      </c>
      <c r="M134" s="156">
        <f t="shared" si="19"/>
        <v>0</v>
      </c>
      <c r="N134" s="131">
        <f>SUMIF(Data!$1:$1,$C$2,Data!2278:2278)</f>
        <v>10985046</v>
      </c>
      <c r="O134" s="649"/>
      <c r="P134" s="131"/>
      <c r="Q134" s="131"/>
      <c r="R134" s="1334"/>
      <c r="T134" s="156">
        <f t="shared" si="18"/>
        <v>102508453</v>
      </c>
      <c r="U134" s="610">
        <f>SUMIF(Data!$1:$1,$Q$3,Data!$2593:$2593)</f>
        <v>1815921</v>
      </c>
      <c r="V134" s="663">
        <f t="shared" si="12"/>
        <v>104324374</v>
      </c>
      <c r="X134" s="156">
        <f t="shared" si="13"/>
        <v>-104324374</v>
      </c>
    </row>
    <row r="135" spans="1:24">
      <c r="A135" s="216" t="s">
        <v>940</v>
      </c>
      <c r="B135" s="187" t="s">
        <v>943</v>
      </c>
      <c r="C135" s="159">
        <v>229300</v>
      </c>
      <c r="D135" s="131">
        <f>SUMIF(Data!$1:$1,$C$2,Data!192:192)</f>
        <v>188280861</v>
      </c>
      <c r="E135" s="131"/>
      <c r="G135" s="131">
        <f>SUMIF(Data!$1:$1,$C$2,Data!556:556)</f>
        <v>10359475</v>
      </c>
      <c r="H135" s="131">
        <f>SUMIF(Data!$1:$1,$C$2,Data!764:764)</f>
        <v>24310015</v>
      </c>
      <c r="I135" s="131">
        <f>SUMIF(Data!$1:$1,$C$2,Data!941:941)</f>
        <v>11877234</v>
      </c>
      <c r="K135" s="131">
        <f>SUMIF(Data!$1:$1,$C$2,Data!2300:2300)+SUMIF(Data!$1:$1,$C$2,Data!2313:2313)</f>
        <v>3638014</v>
      </c>
      <c r="N135" s="131">
        <f>SUMIF(Data!$1:$1,$C$2,Data!2272:2272)</f>
        <v>18749650</v>
      </c>
      <c r="O135" s="649"/>
      <c r="P135" s="131"/>
      <c r="Q135" s="131"/>
      <c r="R135" s="1334"/>
      <c r="T135" s="156">
        <f t="shared" si="18"/>
        <v>219715949</v>
      </c>
      <c r="U135" s="610">
        <f>SUMIF(Data!$1:$1,$Q$3,Data!$2588:$2588)</f>
        <v>40213693</v>
      </c>
      <c r="V135" s="663">
        <f t="shared" si="12"/>
        <v>259929642</v>
      </c>
      <c r="X135" s="156">
        <f t="shared" si="13"/>
        <v>-259929642</v>
      </c>
    </row>
    <row r="136" spans="1:24">
      <c r="A136" s="216" t="s">
        <v>940</v>
      </c>
      <c r="B136" s="187" t="s">
        <v>944</v>
      </c>
      <c r="C136" s="159">
        <v>228644</v>
      </c>
      <c r="D136" s="131">
        <f>SUMIF(Data!$1:$1,$C$2,Data!193:193)</f>
        <v>147460472</v>
      </c>
      <c r="E136" s="131"/>
      <c r="G136" s="131">
        <f>SUMIF(Data!$1:$1,$C$2,Data!557:557)</f>
        <v>8041582</v>
      </c>
      <c r="H136" s="131">
        <f>SUMIF(Data!$1:$1,$C$2,Data!765:765)</f>
        <v>20939282</v>
      </c>
      <c r="I136" s="131">
        <f>SUMIF(Data!$1:$1,$C$2,Data!942:942)</f>
        <v>8774050</v>
      </c>
      <c r="K136" s="131">
        <f>SUMIF(Data!$1:$1,$C$2,Data!2301:2301)+SUMIF(Data!$1:$1,$C$2,Data!2314:2314)</f>
        <v>14505180</v>
      </c>
      <c r="N136" s="131">
        <f>SUMIF(Data!$1:$1,$C$2,Data!2273:2273)</f>
        <v>15895613</v>
      </c>
      <c r="O136" s="649"/>
      <c r="P136" s="131"/>
      <c r="Q136" s="131"/>
      <c r="R136" s="1334"/>
      <c r="T136" s="156">
        <f t="shared" si="18"/>
        <v>183824953</v>
      </c>
      <c r="U136" s="610">
        <f>SUMIF(Data!$1:$1,$Q$3,Data!$2589:$2589)</f>
        <v>30598820</v>
      </c>
      <c r="V136" s="663">
        <f t="shared" si="12"/>
        <v>214423773</v>
      </c>
      <c r="X136" s="156">
        <f t="shared" si="13"/>
        <v>-214423773</v>
      </c>
    </row>
    <row r="137" spans="1:24">
      <c r="A137" s="216" t="s">
        <v>940</v>
      </c>
      <c r="B137" s="188" t="s">
        <v>945</v>
      </c>
      <c r="C137" s="159">
        <v>416801</v>
      </c>
      <c r="D137" s="131">
        <f>SUMIF(Data!$1:$1,$C$2,Data!195:195)</f>
        <v>202092811</v>
      </c>
      <c r="E137" s="131"/>
      <c r="G137" s="131">
        <f>SUMIF(Data!$1:$1,$C$2,Data!559:559)</f>
        <v>4056507</v>
      </c>
      <c r="H137" s="131">
        <f>SUMIF(Data!$1:$1,$C$2,Data!766:766)</f>
        <v>7009502</v>
      </c>
      <c r="I137" s="131">
        <f>SUMIF(Data!$1:$1,$C$2,Data!944:944)</f>
        <v>4987337</v>
      </c>
      <c r="K137" s="131">
        <f>SUMIF(Data!$1:$1,$C$2,Data!2303:2303)+SUMIF(Data!$1:$1,$C$2,Data!2316:2316)</f>
        <v>8905058</v>
      </c>
      <c r="N137" s="131">
        <f>SUMIF(Data!$1:$1,$C$2,Data!2275:2275)</f>
        <v>11327000</v>
      </c>
      <c r="O137" s="649"/>
      <c r="P137" s="131"/>
      <c r="Q137" s="131"/>
      <c r="R137" s="1334"/>
      <c r="T137" s="156">
        <f t="shared" si="18"/>
        <v>215724215</v>
      </c>
      <c r="U137" s="610">
        <f>SUMIF(Data!$1:$1,$Q$3,Data!$2590:$2590)</f>
        <v>262489</v>
      </c>
      <c r="V137" s="663">
        <f t="shared" si="12"/>
        <v>215986704</v>
      </c>
      <c r="X137" s="156">
        <f t="shared" si="13"/>
        <v>-215986704</v>
      </c>
    </row>
    <row r="138" spans="1:24">
      <c r="A138" s="216" t="s">
        <v>940</v>
      </c>
      <c r="B138" s="187" t="s">
        <v>946</v>
      </c>
      <c r="C138" s="159">
        <v>228653</v>
      </c>
      <c r="D138" s="131">
        <f>SUMIF(Data!$1:$1,$C$2,Data!191:191)</f>
        <v>267775848</v>
      </c>
      <c r="E138" s="131"/>
      <c r="G138" s="131">
        <f>SUMIF(Data!$1:$1,$C$2,Data!555:555)</f>
        <v>8686561</v>
      </c>
      <c r="H138" s="131">
        <f>SUMIF(Data!$1:$1,$C$2,Data!763:763)</f>
        <v>57778532</v>
      </c>
      <c r="I138" s="131">
        <f>SUMIF(Data!$1:$1,$C$2,Data!940:940)</f>
        <v>28388128</v>
      </c>
      <c r="K138" s="131">
        <f>SUMIF(Data!$1:$1,$C$2,Data!2299:2299)+SUMIF(Data!$1:$1,$C$2,Data!2312:2312)</f>
        <v>3481442</v>
      </c>
      <c r="N138" s="131">
        <f>SUMIF(Data!$1:$1,$C$2,Data!2271:2271)</f>
        <v>22424400</v>
      </c>
      <c r="O138" s="649"/>
      <c r="P138" s="131"/>
      <c r="Q138" s="131"/>
      <c r="R138" s="1334"/>
      <c r="T138" s="156">
        <f t="shared" si="18"/>
        <v>343686111</v>
      </c>
      <c r="U138" s="610">
        <f>SUMIF(Data!$1:$1,$Q$3,Data!$2587:$2587)</f>
        <v>48740553</v>
      </c>
      <c r="V138" s="663">
        <f t="shared" si="12"/>
        <v>392426664</v>
      </c>
      <c r="X138" s="156">
        <f t="shared" si="13"/>
        <v>-392426664</v>
      </c>
    </row>
    <row r="139" spans="1:24">
      <c r="A139" s="216" t="s">
        <v>940</v>
      </c>
      <c r="B139" s="187" t="s">
        <v>1510</v>
      </c>
      <c r="C139" s="159">
        <v>228635</v>
      </c>
      <c r="D139" s="131">
        <f>SUMIF(Data!$1:$1,$C$2,Data!190:190)</f>
        <v>169568982</v>
      </c>
      <c r="E139" s="131"/>
      <c r="G139" s="131">
        <f>SUMIF(Data!$1:$1,$C$2,Data!554:554)</f>
        <v>9310808</v>
      </c>
      <c r="H139" s="131">
        <f>SUMIF(Data!$1:$1,$C$2,Data!762:762)</f>
        <v>14180288</v>
      </c>
      <c r="I139" s="131">
        <f>SUMIF(Data!$1:$1,$C$2,Data!939:939)</f>
        <v>8948674</v>
      </c>
      <c r="K139" s="131">
        <f>SUMIF(Data!$1:$1,$C$2,Data!2298:2298)+SUMIF(Data!$1:$1,$C$2,Data!2311:2311)</f>
        <v>6026364</v>
      </c>
      <c r="N139" s="131">
        <f>SUMIF(Data!$1:$1,$C$2,Data!2270:2270)</f>
        <v>18515700</v>
      </c>
      <c r="O139" s="649"/>
      <c r="P139" s="131"/>
      <c r="Q139" s="131"/>
      <c r="R139" s="1334"/>
      <c r="T139" s="156">
        <f t="shared" si="18"/>
        <v>189519416</v>
      </c>
      <c r="U139" s="610">
        <f>SUMIF(Data!$1:$1,$Q$3,Data!$2586:$2586)</f>
        <v>26161864</v>
      </c>
      <c r="V139" s="663">
        <f t="shared" si="12"/>
        <v>215681280</v>
      </c>
      <c r="X139" s="156">
        <f t="shared" si="13"/>
        <v>-215681280</v>
      </c>
    </row>
    <row r="140" spans="1:24">
      <c r="A140" s="216" t="s">
        <v>940</v>
      </c>
      <c r="B140" s="187" t="s">
        <v>947</v>
      </c>
      <c r="C140" s="189" t="s">
        <v>932</v>
      </c>
      <c r="D140" s="131">
        <f>SUMIF(Data!$1:$1,$C$2,Data!196:196)</f>
        <v>48604141</v>
      </c>
      <c r="E140" s="131"/>
      <c r="G140" s="131">
        <f>SUMIF(Data!$1:$1,$C$2,Data!560:560)</f>
        <v>2468616</v>
      </c>
      <c r="H140" s="131">
        <f>SUMIF(Data!$1:$1,$C$2,Data!767:875)</f>
        <v>4412027</v>
      </c>
      <c r="I140" s="131">
        <f>SUMIF(Data!$1:$1,$C$2,Data!945:945)</f>
        <v>2832665</v>
      </c>
      <c r="K140" s="131">
        <f>SUMIF(Data!$1:$1,$C$2,Data!2304:2304)+SUMIF(Data!$1:$1,$C$2,Data!2317:2317)</f>
        <v>2989205</v>
      </c>
      <c r="N140" s="131">
        <f>SUMIF(Data!$1:$1,$C$2,Data!2276:2276)</f>
        <v>3721550</v>
      </c>
      <c r="O140" s="650"/>
      <c r="R140" s="1335"/>
      <c r="T140" s="156">
        <f t="shared" si="18"/>
        <v>57585104</v>
      </c>
      <c r="U140" s="610">
        <f>SUMIF(Data!$1:$1,$Q$3,Data!$2591:$2591)</f>
        <v>58132912</v>
      </c>
      <c r="V140" s="663">
        <f t="shared" si="12"/>
        <v>115718016</v>
      </c>
      <c r="X140" s="156">
        <f t="shared" si="13"/>
        <v>-115718016</v>
      </c>
    </row>
    <row r="141" spans="1:24" s="1044" customFormat="1">
      <c r="A141" s="834" t="s">
        <v>940</v>
      </c>
      <c r="B141" s="1105" t="s">
        <v>1937</v>
      </c>
      <c r="C141" s="1075" t="s">
        <v>932</v>
      </c>
      <c r="D141" s="131">
        <f>SUMIF(Data!$1:$1,$C$2,Data!201:201)</f>
        <v>10985359</v>
      </c>
      <c r="E141" s="131"/>
      <c r="G141" s="131">
        <f>SUMIF(Data!$1:$1,$C$2,Data!565:565)</f>
        <v>0</v>
      </c>
      <c r="H141" s="131"/>
      <c r="I141" s="131">
        <f>SUMIF(Data!$1:$1,$C$2,Data!950:950)</f>
        <v>0</v>
      </c>
      <c r="K141" s="131"/>
      <c r="M141" s="156"/>
      <c r="N141" s="131"/>
      <c r="O141" s="650"/>
      <c r="R141" s="613"/>
      <c r="T141" s="156">
        <f t="shared" si="18"/>
        <v>10985359</v>
      </c>
      <c r="U141" s="610">
        <f>SUMIF(Data!$1:$1,$Q$3,Data!$2596:$2596)</f>
        <v>3383352</v>
      </c>
      <c r="V141" s="663">
        <f t="shared" si="12"/>
        <v>14368711</v>
      </c>
      <c r="X141" s="156"/>
    </row>
    <row r="142" spans="1:24" s="1044" customFormat="1">
      <c r="A142" s="834" t="s">
        <v>940</v>
      </c>
      <c r="B142" s="1105" t="s">
        <v>1938</v>
      </c>
      <c r="C142" s="1075" t="s">
        <v>932</v>
      </c>
      <c r="D142" s="131">
        <f>SUMIF(Data!$1:$1,$C$2,Data!194:194)</f>
        <v>32285815</v>
      </c>
      <c r="E142" s="131"/>
      <c r="G142" s="131">
        <f>SUMIF(Data!$1:$1,$C$2,Data!558:558)</f>
        <v>898415</v>
      </c>
      <c r="H142" s="131">
        <f>SUMIF(Data!$1:$1,$C$2,Data!768:768)</f>
        <v>1750151</v>
      </c>
      <c r="I142" s="131">
        <f>SUMIF(Data!$1:$1,$C$2,Data!943:943)</f>
        <v>1133935</v>
      </c>
      <c r="K142" s="131">
        <f>SUMIF(Data!$1:$1,$C$2,Data!2302:2302)</f>
        <v>1249500</v>
      </c>
      <c r="M142" s="156"/>
      <c r="N142" s="131">
        <f>SUMIF(Data!$1:$1,$C$2,Data!2274:2274)</f>
        <v>0</v>
      </c>
      <c r="O142" s="650"/>
      <c r="R142" s="613"/>
      <c r="T142" s="156">
        <f t="shared" si="18"/>
        <v>37317816</v>
      </c>
      <c r="U142" s="610">
        <f>SUMIF(Data!$1:$1,$Q$3,Data!$2597:$2597)</f>
        <v>3631944</v>
      </c>
      <c r="V142" s="663">
        <f t="shared" ref="V142" si="21">SUM(O142:U142)</f>
        <v>40949760</v>
      </c>
      <c r="X142" s="156"/>
    </row>
    <row r="143" spans="1:24">
      <c r="A143" s="216" t="s">
        <v>836</v>
      </c>
      <c r="B143" s="169" t="s">
        <v>1530</v>
      </c>
      <c r="C143" s="639">
        <v>443711</v>
      </c>
      <c r="D143" s="131">
        <f>SUMIF(Data!$1:$1,$C$2,Data!174:174)</f>
        <v>24512594</v>
      </c>
      <c r="E143" s="131"/>
      <c r="G143" s="131">
        <f>SUMIF(Data!$1:$1,$C$2,Data!538:538)</f>
        <v>1175313</v>
      </c>
      <c r="H143" s="131">
        <f>SUMIF(Data!$1:$1,$C$2,Data!809:809)</f>
        <v>1499997</v>
      </c>
      <c r="I143" s="131">
        <f>SUMIF(Data!$1:$1,$C$2,Data!923:923)</f>
        <v>1732175</v>
      </c>
      <c r="N143" s="131">
        <f>SUMIF(Data!$1:$1,$C$2,Data!2254:2254)</f>
        <v>7827584</v>
      </c>
      <c r="O143" s="650">
        <f>SUM(D143:K143)+M143-N143</f>
        <v>21092495</v>
      </c>
      <c r="R143" s="131">
        <f>SUMIF(Data!$1:$1,$Q$3,Data!$2574:$2574)</f>
        <v>24792120</v>
      </c>
      <c r="V143" s="663">
        <f t="shared" ref="V143:V168" si="22">SUM(O143:U143)</f>
        <v>45884615</v>
      </c>
      <c r="X143" s="156">
        <f t="shared" si="13"/>
        <v>-45884615</v>
      </c>
    </row>
    <row r="144" spans="1:24">
      <c r="B144" s="191" t="s">
        <v>948</v>
      </c>
      <c r="C144" s="192"/>
      <c r="O144" s="650"/>
      <c r="T144" s="156"/>
      <c r="V144" s="663">
        <f t="shared" si="22"/>
        <v>0</v>
      </c>
      <c r="X144" s="156">
        <f t="shared" ref="X144:X168" si="23">W144-V144</f>
        <v>0</v>
      </c>
    </row>
    <row r="145" spans="1:24">
      <c r="A145" s="216" t="s">
        <v>949</v>
      </c>
      <c r="B145" s="193" t="s">
        <v>950</v>
      </c>
      <c r="D145" s="237">
        <f>SUMIF(Data!$1:$1,$C$2,Data!1179:1179)</f>
        <v>5000000</v>
      </c>
      <c r="O145" s="649"/>
      <c r="T145" s="164">
        <f>SUM(D145:K145)+M145-N145</f>
        <v>5000000</v>
      </c>
      <c r="V145" s="663">
        <f t="shared" si="22"/>
        <v>5000000</v>
      </c>
      <c r="X145" s="156">
        <f t="shared" si="23"/>
        <v>-5000000</v>
      </c>
    </row>
    <row r="146" spans="1:24">
      <c r="A146" s="216" t="s">
        <v>951</v>
      </c>
      <c r="B146" s="193" t="s">
        <v>952</v>
      </c>
      <c r="D146" s="131"/>
      <c r="K146" s="131">
        <f>SUMIF(Data!$1:$1,$C$2,Data!1098:1098)</f>
        <v>1066551</v>
      </c>
      <c r="O146" s="649"/>
      <c r="T146" s="164">
        <f>SUM(D146:K146)+M146-N146</f>
        <v>1066551</v>
      </c>
      <c r="V146" s="663">
        <f t="shared" si="22"/>
        <v>1066551</v>
      </c>
      <c r="X146" s="156">
        <f t="shared" si="23"/>
        <v>-1066551</v>
      </c>
    </row>
    <row r="147" spans="1:24">
      <c r="A147" s="216" t="s">
        <v>951</v>
      </c>
      <c r="B147" s="193" t="s">
        <v>953</v>
      </c>
      <c r="D147" s="131"/>
      <c r="K147" s="131">
        <f>SUMIF(Data!$1:$1,$C$2,Data!1099:1099)</f>
        <v>1883810</v>
      </c>
      <c r="O147" s="649"/>
      <c r="T147" s="164">
        <f>SUM(D147:K147)+M147-N147</f>
        <v>1883810</v>
      </c>
      <c r="V147" s="663">
        <f t="shared" si="22"/>
        <v>1883810</v>
      </c>
      <c r="X147" s="156">
        <f t="shared" si="23"/>
        <v>-1883810</v>
      </c>
    </row>
    <row r="148" spans="1:24">
      <c r="A148" s="216" t="s">
        <v>949</v>
      </c>
      <c r="B148" s="193" t="s">
        <v>954</v>
      </c>
      <c r="D148" s="237">
        <f>SUMIF(Data!$1:$1,$C$2,Data!1192:1192)</f>
        <v>9940024</v>
      </c>
      <c r="O148" s="649"/>
      <c r="T148" s="164">
        <f>SUM(D148:K148)+M148-N148</f>
        <v>9940024</v>
      </c>
      <c r="V148" s="663">
        <f t="shared" si="22"/>
        <v>9940024</v>
      </c>
      <c r="X148" s="156">
        <f t="shared" si="23"/>
        <v>-9940024</v>
      </c>
    </row>
    <row r="149" spans="1:24">
      <c r="B149" s="191" t="s">
        <v>955</v>
      </c>
      <c r="O149" s="649"/>
      <c r="T149" s="164"/>
      <c r="V149" s="663">
        <f t="shared" si="22"/>
        <v>0</v>
      </c>
      <c r="X149" s="156">
        <f t="shared" si="23"/>
        <v>0</v>
      </c>
    </row>
    <row r="150" spans="1:24">
      <c r="A150" s="216" t="s">
        <v>949</v>
      </c>
      <c r="B150" s="194" t="s">
        <v>956</v>
      </c>
      <c r="D150" s="237">
        <f>SUMIF(Data!$1:$1,$C$2,Data!1213:1213)</f>
        <v>0</v>
      </c>
      <c r="O150" s="649"/>
      <c r="P150" s="164">
        <f>SUM(D150:K150)+M150-N150</f>
        <v>0</v>
      </c>
      <c r="Q150" s="164"/>
      <c r="R150" s="164"/>
      <c r="V150" s="663">
        <f t="shared" si="22"/>
        <v>0</v>
      </c>
      <c r="X150" s="156">
        <f t="shared" si="23"/>
        <v>0</v>
      </c>
    </row>
    <row r="151" spans="1:24">
      <c r="B151" s="191" t="s">
        <v>957</v>
      </c>
      <c r="O151" s="649"/>
      <c r="T151" s="156"/>
      <c r="V151" s="663">
        <f t="shared" si="22"/>
        <v>0</v>
      </c>
      <c r="X151" s="156">
        <f t="shared" si="23"/>
        <v>0</v>
      </c>
    </row>
    <row r="152" spans="1:24">
      <c r="A152" s="216" t="s">
        <v>958</v>
      </c>
      <c r="B152" s="195" t="s">
        <v>1012</v>
      </c>
      <c r="D152" s="131">
        <f>SUMIF(Data!$1:$1,$C$2,Data!141:141)+SUMIF(Data!$1:$1,$C$2,Data!153:153)+SUMIF(Data!$1:$1,$C$2,Data!166:166)+SUMIF(Data!$1:$1,$C$2,Data!172:172)+SUMIF(Data!$1:$1,$C$2,Data!177:177)+SUMIF(Data!$1:$1,$C$2,Data!181:181)</f>
        <v>59997515</v>
      </c>
      <c r="E152" s="141" t="s">
        <v>1982</v>
      </c>
      <c r="G152" s="131">
        <f>SUMIF(Data!$1:$1,$C$2,Data!506:506)+SUMIF(Data!$1:$1,$C$2,Data!517:517)+SUMIF(Data!$1:$1,$C$2,Data!530:530)+SUMIF(Data!$1:$1,$C$2,Data!536:536)+SUMIF(Data!$1:$1,$C$2,Data!545:545)+SUMIF(Data!$1:$1,$C$2,Data!541:541)</f>
        <v>1041687</v>
      </c>
      <c r="H152" s="131">
        <f>SUMIF(Data!$1:$1,$C$2,Data!769:769)+SUMIF(Data!$1:$1,$C$2,Data!791:791)+SUMIF(Data!$1:$1,$C$2,Data!796:796)+SUMIF(Data!$1:$1,$C$2,Data!806:806)+SUMIF(Data!$1:$1,$C$2,Data!824:824)+SUMIF(Data!$1:$1,$C$2,Data!825:825)</f>
        <v>2325188</v>
      </c>
      <c r="I152" s="131">
        <f>SUMIF(Data!$1:$1,$C$2,Data!891:891)+SUMIF(Data!$1:$1,$C$2,Data!902:902)+SUMIF(Data!$1:$1,$C$2,Data!915:915)+SUMIF(Data!$1:$1,$C$2,Data!921:921)+SUMIF(Data!$1:$1,$C$2,Data!930:930)+SUMIF(Data!$1:$1,$C$2,Data!926:926)</f>
        <v>4153387</v>
      </c>
      <c r="K152" s="131">
        <f>SUMIF(Data!$1:$1,$C$2,Data!2297:2297)+SUMIF(Data!$1:$1,$C$2,Data!2310:2310)</f>
        <v>1256000</v>
      </c>
      <c r="N152" s="131">
        <f>SUMIF(Data!$1:$1,$C$2,Data!2252:2252)+SUMIF(Data!$1:$1,$C$2,Data!2246:2246)</f>
        <v>9074572</v>
      </c>
      <c r="O152" s="650"/>
      <c r="S152" s="156">
        <f>SUM(D152:K152)+M152-N152</f>
        <v>59699205</v>
      </c>
      <c r="V152" s="663">
        <f t="shared" si="22"/>
        <v>59699205</v>
      </c>
      <c r="X152" s="156">
        <f t="shared" si="23"/>
        <v>-59699205</v>
      </c>
    </row>
    <row r="153" spans="1:24">
      <c r="A153" s="335" t="s">
        <v>949</v>
      </c>
      <c r="B153" s="194" t="s">
        <v>160</v>
      </c>
      <c r="D153" s="237">
        <f>SUMIF(Data!$1:$1,$C$2,Data!139:139)-D158-D148-D145-D150-D162-D164-D165-D166-D159</f>
        <v>172228387</v>
      </c>
      <c r="E153" s="196">
        <f>SUM(P22:P28)*-1</f>
        <v>-17015148.23</v>
      </c>
      <c r="G153" s="131">
        <f>SUMIF(Data!$1:$1,$C$2,Data!505:505)</f>
        <v>1422421</v>
      </c>
      <c r="H153" s="131">
        <f>SUMIF(Data!$1:$1,$C$2,Data!751:751)</f>
        <v>3438293</v>
      </c>
      <c r="I153" s="131">
        <f>SUMIF(Data!$1:$1,$C$2,Data!890:890)</f>
        <v>1236397</v>
      </c>
      <c r="K153" s="131"/>
      <c r="O153" s="650"/>
      <c r="S153" s="1139">
        <f ca="1">SUM(D153:K153)+M153-N153-T153</f>
        <v>27879805.770000011</v>
      </c>
      <c r="T153" s="1140">
        <f ca="1">SUMIF(Data!$1:$1,$C$2,Data!1230:1230)-T145-T148</f>
        <v>133430544</v>
      </c>
      <c r="V153" s="663">
        <f t="shared" ca="1" si="22"/>
        <v>161310349.77000001</v>
      </c>
      <c r="X153" s="156">
        <f t="shared" ca="1" si="23"/>
        <v>-161310349.77000001</v>
      </c>
    </row>
    <row r="154" spans="1:24">
      <c r="B154" s="197" t="s">
        <v>959</v>
      </c>
      <c r="O154" s="649"/>
      <c r="V154" s="663">
        <f t="shared" si="22"/>
        <v>0</v>
      </c>
      <c r="X154" s="156">
        <f t="shared" si="23"/>
        <v>0</v>
      </c>
    </row>
    <row r="155" spans="1:24">
      <c r="A155" s="216" t="s">
        <v>960</v>
      </c>
      <c r="B155" s="198" t="s">
        <v>961</v>
      </c>
      <c r="D155" s="131">
        <f>SUMIF(Data!$1:$1,$C$2,Data!203:203)</f>
        <v>3043910</v>
      </c>
      <c r="G155" s="131">
        <f>SUMIF(Data!$1:$1,$C$2,Data!566:566)</f>
        <v>373848</v>
      </c>
      <c r="H155" s="131">
        <f>SUMIF(Data!$1:$1,$C$2,Data!823:823)</f>
        <v>5465338</v>
      </c>
      <c r="I155" s="131">
        <f>SUMIF(Data!$1:$1,$C$2,Data!951:951)</f>
        <v>199870</v>
      </c>
      <c r="L155" s="131">
        <f>SUMIF(Data!$1:$1,$C$2,Data!2361:2361)</f>
        <v>8662500</v>
      </c>
      <c r="M155" s="156">
        <f>ROUND(L155*$M$6,0)</f>
        <v>0</v>
      </c>
      <c r="O155" s="649"/>
      <c r="S155" s="156">
        <f>SUM(D155:K155)+M155-N155</f>
        <v>9082966</v>
      </c>
      <c r="V155" s="663">
        <f t="shared" si="22"/>
        <v>9082966</v>
      </c>
      <c r="X155" s="156">
        <f t="shared" si="23"/>
        <v>-9082966</v>
      </c>
    </row>
    <row r="156" spans="1:24">
      <c r="B156" s="197" t="s">
        <v>962</v>
      </c>
      <c r="O156" s="649"/>
      <c r="V156" s="663">
        <f t="shared" si="22"/>
        <v>0</v>
      </c>
      <c r="X156" s="156">
        <f t="shared" si="23"/>
        <v>0</v>
      </c>
    </row>
    <row r="157" spans="1:24">
      <c r="B157" s="191" t="s">
        <v>963</v>
      </c>
      <c r="O157" s="649"/>
      <c r="V157" s="663">
        <f t="shared" si="22"/>
        <v>0</v>
      </c>
      <c r="X157" s="156">
        <f t="shared" si="23"/>
        <v>0</v>
      </c>
    </row>
    <row r="158" spans="1:24">
      <c r="A158" s="216" t="s">
        <v>964</v>
      </c>
      <c r="B158" s="194" t="s">
        <v>221</v>
      </c>
      <c r="D158" s="131">
        <f>SUMIF(Data!$1:$1,$C$2,Data!$1177:$1177)+SUMIF(Data!$1:$1,$C$2,Data!$1178:$1178)+SUMIF(Data!$1:$1,$C$2,Data!$1203:$1203)+SUMIF(Data!$1:$1,$C$2,Data!$1204:$1204)</f>
        <v>45105243</v>
      </c>
      <c r="K158" s="131">
        <f>SUMIF(Data!$1:$1,$C$2,Data!1100:1100)+SUMIF(Data!$1:$1,$C$2,Data!1101:1101)+SUMIF(Data!$1:$1,$C$2,Data!1065:1065)+SUMIF(Data!$1:$1,$C$2,Data!1066:1066)</f>
        <v>3339193</v>
      </c>
      <c r="O158" s="649"/>
      <c r="T158" s="164">
        <f>SUM(D158:K158)+M158-N158</f>
        <v>48444436</v>
      </c>
      <c r="V158" s="663">
        <f t="shared" si="22"/>
        <v>48444436</v>
      </c>
      <c r="X158" s="156">
        <f t="shared" si="23"/>
        <v>-48444436</v>
      </c>
    </row>
    <row r="159" spans="1:24">
      <c r="A159" s="216" t="s">
        <v>949</v>
      </c>
      <c r="B159" s="194" t="s">
        <v>240</v>
      </c>
      <c r="D159" s="237">
        <f>SUMIF(Data!$1:$1,$C$2,Data!1209:1209)</f>
        <v>0</v>
      </c>
      <c r="O159" s="649"/>
      <c r="S159" s="156">
        <f>SUM(D159:K159)+M159-N159</f>
        <v>0</v>
      </c>
      <c r="V159" s="663">
        <f t="shared" si="22"/>
        <v>0</v>
      </c>
      <c r="X159" s="156">
        <f t="shared" si="23"/>
        <v>0</v>
      </c>
    </row>
    <row r="160" spans="1:24">
      <c r="B160" s="191" t="s">
        <v>965</v>
      </c>
      <c r="O160" s="649"/>
      <c r="V160" s="663">
        <f t="shared" si="22"/>
        <v>0</v>
      </c>
      <c r="X160" s="156">
        <f t="shared" si="23"/>
        <v>0</v>
      </c>
    </row>
    <row r="161" spans="1:24">
      <c r="B161" s="199" t="s">
        <v>966</v>
      </c>
      <c r="O161" s="649"/>
      <c r="V161" s="663">
        <f t="shared" si="22"/>
        <v>0</v>
      </c>
      <c r="X161" s="156">
        <f t="shared" si="23"/>
        <v>0</v>
      </c>
    </row>
    <row r="162" spans="1:24">
      <c r="A162" s="216" t="s">
        <v>949</v>
      </c>
      <c r="B162" s="200" t="s">
        <v>967</v>
      </c>
      <c r="D162" s="237">
        <f>SUMIF(Data!$1:$1,$C$2,Data!1135:1135)</f>
        <v>580123673</v>
      </c>
      <c r="O162" s="649"/>
      <c r="S162" s="156">
        <f>SUM(D162:K162)+M162-N162</f>
        <v>580123673</v>
      </c>
      <c r="V162" s="663">
        <f t="shared" si="22"/>
        <v>580123673</v>
      </c>
      <c r="X162" s="156">
        <f t="shared" si="23"/>
        <v>-580123673</v>
      </c>
    </row>
    <row r="163" spans="1:24">
      <c r="A163" s="216" t="s">
        <v>968</v>
      </c>
      <c r="B163" s="201" t="s">
        <v>969</v>
      </c>
      <c r="D163" s="202" t="s">
        <v>970</v>
      </c>
      <c r="O163" s="649"/>
      <c r="S163" s="346">
        <f>SUMIF(Data!$1:$1,$C$2,Data!1141:1141)+SUMIF(Data!$1:$1,$C$2,Data!1142:1142)++SUMIF(Data!$1:$1,$C$2,Data!1147:1147)+SUMIF(Data!$1:$1,$C$2,Data!142:142)</f>
        <v>18620000</v>
      </c>
      <c r="V163" s="663">
        <f t="shared" si="22"/>
        <v>18620000</v>
      </c>
      <c r="X163" s="156">
        <f t="shared" si="23"/>
        <v>-18620000</v>
      </c>
    </row>
    <row r="164" spans="1:24">
      <c r="A164" s="216" t="s">
        <v>949</v>
      </c>
      <c r="B164" s="200" t="s">
        <v>971</v>
      </c>
      <c r="D164" s="237">
        <f>SUMIF(Data!$1:$1,$C$2,Data!1132:1132)</f>
        <v>0</v>
      </c>
      <c r="O164" s="649"/>
      <c r="S164" s="156">
        <f>SUM(D164:K164)+M164-N164</f>
        <v>0</v>
      </c>
      <c r="V164" s="663">
        <f t="shared" si="22"/>
        <v>0</v>
      </c>
      <c r="X164" s="156">
        <f t="shared" si="23"/>
        <v>0</v>
      </c>
    </row>
    <row r="165" spans="1:24">
      <c r="A165" s="216" t="s">
        <v>949</v>
      </c>
      <c r="B165" s="200" t="s">
        <v>1784</v>
      </c>
      <c r="D165" s="237">
        <f>SUMIF(Data!$1:$1,$C$2,Data!1185:1185)</f>
        <v>10206794</v>
      </c>
      <c r="O165" s="649"/>
      <c r="S165" s="156">
        <f>SUM(D165:K165)+M165-N165</f>
        <v>10206794</v>
      </c>
      <c r="V165" s="663">
        <f t="shared" si="22"/>
        <v>10206794</v>
      </c>
      <c r="X165" s="156">
        <f t="shared" si="23"/>
        <v>-10206794</v>
      </c>
    </row>
    <row r="166" spans="1:24">
      <c r="A166" s="216" t="s">
        <v>949</v>
      </c>
      <c r="B166" s="200" t="s">
        <v>199</v>
      </c>
      <c r="D166" s="237">
        <f>SUMIF(Data!$1:$1,$C$2,Data!1133:1133)</f>
        <v>0</v>
      </c>
      <c r="O166" s="649"/>
      <c r="S166" s="156">
        <f>SUM(D166:K166)+M166-N166</f>
        <v>0</v>
      </c>
      <c r="V166" s="663">
        <f t="shared" si="22"/>
        <v>0</v>
      </c>
      <c r="X166" s="156">
        <f t="shared" si="23"/>
        <v>0</v>
      </c>
    </row>
    <row r="167" spans="1:24">
      <c r="O167" s="649"/>
      <c r="V167" s="663">
        <f t="shared" si="22"/>
        <v>0</v>
      </c>
      <c r="X167" s="156">
        <f t="shared" si="23"/>
        <v>0</v>
      </c>
    </row>
    <row r="168" spans="1:24" s="203" customFormat="1">
      <c r="A168" s="296"/>
      <c r="M168" s="204"/>
      <c r="O168" s="652"/>
      <c r="V168" s="664">
        <f t="shared" si="22"/>
        <v>0</v>
      </c>
      <c r="X168" s="156">
        <f t="shared" si="23"/>
        <v>0</v>
      </c>
    </row>
    <row r="169" spans="1:24" s="206" customFormat="1" ht="15">
      <c r="A169" s="297"/>
      <c r="B169" s="206" t="s">
        <v>1502</v>
      </c>
      <c r="C169" s="640">
        <f t="shared" ref="C169:X169" si="24">SUM(C10:C168)</f>
        <v>31144193</v>
      </c>
      <c r="D169" s="207">
        <f t="shared" si="24"/>
        <v>6320402229.2312622</v>
      </c>
      <c r="E169" s="207">
        <f t="shared" si="24"/>
        <v>-17015148.23</v>
      </c>
      <c r="F169" s="207">
        <f t="shared" si="24"/>
        <v>580879865</v>
      </c>
      <c r="G169" s="207">
        <f t="shared" si="24"/>
        <v>273307192</v>
      </c>
      <c r="H169" s="207">
        <f t="shared" si="24"/>
        <v>528279389</v>
      </c>
      <c r="I169" s="207">
        <f t="shared" si="24"/>
        <v>331221563</v>
      </c>
      <c r="J169" s="207">
        <f t="shared" si="24"/>
        <v>292864916</v>
      </c>
      <c r="K169" s="207">
        <f t="shared" si="24"/>
        <v>60680573</v>
      </c>
      <c r="L169" s="207">
        <f t="shared" si="24"/>
        <v>393750000</v>
      </c>
      <c r="M169" s="207">
        <f t="shared" si="24"/>
        <v>0</v>
      </c>
      <c r="N169" s="207">
        <f t="shared" si="24"/>
        <v>505132829</v>
      </c>
      <c r="O169" s="653">
        <f t="shared" si="24"/>
        <v>4967169373.2312622</v>
      </c>
      <c r="P169" s="207">
        <f t="shared" si="24"/>
        <v>279869080</v>
      </c>
      <c r="Q169" s="207">
        <f t="shared" si="24"/>
        <v>1973148606</v>
      </c>
      <c r="R169" s="207">
        <f t="shared" si="24"/>
        <v>5438930989</v>
      </c>
      <c r="S169" s="207">
        <f t="shared" ca="1" si="24"/>
        <v>705612443.76999998</v>
      </c>
      <c r="T169" s="207">
        <f t="shared" ca="1" si="24"/>
        <v>1982486518</v>
      </c>
      <c r="U169" s="207">
        <f t="shared" si="24"/>
        <v>349378598</v>
      </c>
      <c r="V169" s="665">
        <f t="shared" ca="1" si="24"/>
        <v>15696595608.001263</v>
      </c>
      <c r="W169" s="207">
        <f t="shared" si="24"/>
        <v>0</v>
      </c>
      <c r="X169" s="207">
        <f t="shared" ca="1" si="24"/>
        <v>-15641277137.001263</v>
      </c>
    </row>
    <row r="170" spans="1:24" s="173" customFormat="1">
      <c r="A170" s="298"/>
      <c r="B170" s="173" t="s">
        <v>1503</v>
      </c>
      <c r="D170" s="208">
        <f t="shared" ref="D170:N170" si="25">COUNT(D10:D168)</f>
        <v>130</v>
      </c>
      <c r="E170" s="208">
        <f t="shared" si="25"/>
        <v>1</v>
      </c>
      <c r="F170" s="208">
        <f t="shared" si="25"/>
        <v>3</v>
      </c>
      <c r="G170" s="208">
        <f t="shared" si="25"/>
        <v>71</v>
      </c>
      <c r="H170" s="208">
        <f t="shared" si="25"/>
        <v>70</v>
      </c>
      <c r="I170" s="208">
        <f t="shared" si="25"/>
        <v>71</v>
      </c>
      <c r="J170" s="208">
        <f t="shared" si="25"/>
        <v>50</v>
      </c>
      <c r="K170" s="208">
        <f t="shared" si="25"/>
        <v>16</v>
      </c>
      <c r="L170" s="208">
        <f t="shared" si="25"/>
        <v>33</v>
      </c>
      <c r="M170" s="208">
        <f t="shared" si="25"/>
        <v>32</v>
      </c>
      <c r="N170" s="208">
        <f t="shared" si="25"/>
        <v>60</v>
      </c>
      <c r="O170" s="654"/>
      <c r="V170" s="666"/>
    </row>
    <row r="171" spans="1:24" s="173" customFormat="1">
      <c r="A171" s="298"/>
      <c r="B171" s="330" t="s">
        <v>1536</v>
      </c>
      <c r="D171" s="209"/>
      <c r="O171" s="654"/>
      <c r="S171" s="174"/>
      <c r="V171" s="666"/>
    </row>
    <row r="172" spans="1:24" s="173" customFormat="1">
      <c r="A172" s="298" t="s">
        <v>836</v>
      </c>
      <c r="B172" s="173" t="s">
        <v>972</v>
      </c>
      <c r="D172" s="235">
        <f t="shared" ref="D172:D182" si="26">SUMIF($A$10:$A$168,$A172,D$10:D$168)</f>
        <v>2637922685.2312622</v>
      </c>
      <c r="F172" s="172">
        <f t="shared" ref="F172:U182" si="27">SUMIF($A$10:$A$168,$A172,F$10:F$168)</f>
        <v>580879865</v>
      </c>
      <c r="G172" s="172">
        <f t="shared" si="27"/>
        <v>187699677</v>
      </c>
      <c r="H172" s="172">
        <f t="shared" si="27"/>
        <v>300078040</v>
      </c>
      <c r="I172" s="172">
        <f t="shared" si="27"/>
        <v>214148045</v>
      </c>
      <c r="J172" s="172">
        <f t="shared" si="27"/>
        <v>0</v>
      </c>
      <c r="K172" s="172">
        <f t="shared" si="27"/>
        <v>1570000</v>
      </c>
      <c r="L172" s="172">
        <f t="shared" si="27"/>
        <v>331956525</v>
      </c>
      <c r="M172" s="172">
        <f t="shared" si="27"/>
        <v>0</v>
      </c>
      <c r="N172" s="172">
        <f t="shared" si="27"/>
        <v>332674488</v>
      </c>
      <c r="O172" s="655">
        <f t="shared" si="27"/>
        <v>3589623824.2312622</v>
      </c>
      <c r="P172" s="172">
        <f t="shared" si="27"/>
        <v>17500000</v>
      </c>
      <c r="Q172" s="172">
        <f t="shared" si="27"/>
        <v>0</v>
      </c>
      <c r="R172" s="172">
        <f t="shared" si="27"/>
        <v>4421397779</v>
      </c>
      <c r="S172" s="172">
        <f t="shared" si="27"/>
        <v>0</v>
      </c>
      <c r="T172" s="172">
        <f t="shared" si="27"/>
        <v>33529665</v>
      </c>
      <c r="U172" s="172">
        <f t="shared" si="27"/>
        <v>22581829</v>
      </c>
      <c r="V172" s="663">
        <f t="shared" ref="V172:V182" si="28">SUM(O172:U172)</f>
        <v>8084633097.2312622</v>
      </c>
    </row>
    <row r="173" spans="1:24" s="173" customFormat="1">
      <c r="A173" s="298" t="s">
        <v>877</v>
      </c>
      <c r="B173" s="173" t="s">
        <v>973</v>
      </c>
      <c r="D173" s="235">
        <f t="shared" si="26"/>
        <v>936193916</v>
      </c>
      <c r="F173" s="172">
        <f t="shared" si="27"/>
        <v>0</v>
      </c>
      <c r="G173" s="172">
        <f t="shared" si="27"/>
        <v>0</v>
      </c>
      <c r="H173" s="172">
        <f t="shared" si="27"/>
        <v>0</v>
      </c>
      <c r="I173" s="172">
        <f t="shared" si="27"/>
        <v>0</v>
      </c>
      <c r="J173" s="172">
        <f t="shared" si="27"/>
        <v>292864916</v>
      </c>
      <c r="K173" s="172">
        <f t="shared" si="27"/>
        <v>0</v>
      </c>
      <c r="L173" s="172">
        <f t="shared" si="27"/>
        <v>0</v>
      </c>
      <c r="M173" s="172">
        <f t="shared" si="27"/>
        <v>0</v>
      </c>
      <c r="N173" s="172">
        <f t="shared" si="27"/>
        <v>0</v>
      </c>
      <c r="O173" s="655">
        <f t="shared" si="27"/>
        <v>1229058832</v>
      </c>
      <c r="P173" s="172">
        <f t="shared" si="27"/>
        <v>0</v>
      </c>
      <c r="Q173" s="172">
        <f t="shared" si="27"/>
        <v>1973148606</v>
      </c>
      <c r="R173" s="172">
        <f t="shared" si="27"/>
        <v>969921030</v>
      </c>
      <c r="S173" s="172">
        <f t="shared" si="27"/>
        <v>0</v>
      </c>
      <c r="T173" s="172">
        <f t="shared" si="27"/>
        <v>0</v>
      </c>
      <c r="U173" s="172">
        <f t="shared" si="27"/>
        <v>0</v>
      </c>
      <c r="V173" s="663">
        <f t="shared" si="28"/>
        <v>4172128468</v>
      </c>
    </row>
    <row r="174" spans="1:24" s="173" customFormat="1">
      <c r="A174" s="298" t="s">
        <v>940</v>
      </c>
      <c r="B174" s="173" t="s">
        <v>786</v>
      </c>
      <c r="D174" s="235">
        <f t="shared" si="26"/>
        <v>1526864343</v>
      </c>
      <c r="E174" s="210"/>
      <c r="F174" s="172">
        <f t="shared" si="27"/>
        <v>0</v>
      </c>
      <c r="G174" s="172">
        <f t="shared" si="27"/>
        <v>64563188</v>
      </c>
      <c r="H174" s="172">
        <f t="shared" si="27"/>
        <v>169721372</v>
      </c>
      <c r="I174" s="172">
        <f t="shared" si="27"/>
        <v>92577694</v>
      </c>
      <c r="J174" s="172">
        <f t="shared" si="27"/>
        <v>0</v>
      </c>
      <c r="K174" s="172">
        <f t="shared" si="27"/>
        <v>51565019</v>
      </c>
      <c r="L174" s="172">
        <f t="shared" si="27"/>
        <v>46698327</v>
      </c>
      <c r="M174" s="172">
        <f t="shared" si="27"/>
        <v>0</v>
      </c>
      <c r="N174" s="172">
        <f t="shared" si="27"/>
        <v>156100128</v>
      </c>
      <c r="O174" s="655">
        <f t="shared" si="27"/>
        <v>0</v>
      </c>
      <c r="P174" s="172">
        <f t="shared" si="27"/>
        <v>0</v>
      </c>
      <c r="Q174" s="172">
        <f t="shared" si="27"/>
        <v>0</v>
      </c>
      <c r="R174" s="172">
        <f t="shared" si="27"/>
        <v>0</v>
      </c>
      <c r="S174" s="172">
        <f t="shared" si="27"/>
        <v>0</v>
      </c>
      <c r="T174" s="172">
        <f t="shared" si="27"/>
        <v>1749191488</v>
      </c>
      <c r="U174" s="172">
        <f t="shared" si="27"/>
        <v>326796769</v>
      </c>
      <c r="V174" s="663">
        <f t="shared" si="28"/>
        <v>2075988257</v>
      </c>
    </row>
    <row r="175" spans="1:24" s="173" customFormat="1">
      <c r="A175" s="298" t="s">
        <v>906</v>
      </c>
      <c r="B175" s="173" t="s">
        <v>974</v>
      </c>
      <c r="D175" s="235">
        <f t="shared" si="26"/>
        <v>127520894</v>
      </c>
      <c r="F175" s="172">
        <f t="shared" si="27"/>
        <v>0</v>
      </c>
      <c r="G175" s="172">
        <f t="shared" si="27"/>
        <v>5911894</v>
      </c>
      <c r="H175" s="172">
        <f t="shared" si="27"/>
        <v>12533038</v>
      </c>
      <c r="I175" s="172">
        <f t="shared" si="27"/>
        <v>9804532</v>
      </c>
      <c r="J175" s="172">
        <f t="shared" si="27"/>
        <v>0</v>
      </c>
      <c r="K175" s="172">
        <f t="shared" si="27"/>
        <v>0</v>
      </c>
      <c r="L175" s="172">
        <f t="shared" si="27"/>
        <v>6432648</v>
      </c>
      <c r="M175" s="172">
        <f t="shared" si="27"/>
        <v>0</v>
      </c>
      <c r="N175" s="172">
        <f t="shared" si="27"/>
        <v>7283641</v>
      </c>
      <c r="O175" s="655">
        <f t="shared" si="27"/>
        <v>148486717</v>
      </c>
      <c r="P175" s="172">
        <f t="shared" si="27"/>
        <v>0</v>
      </c>
      <c r="Q175" s="172">
        <f t="shared" si="27"/>
        <v>0</v>
      </c>
      <c r="R175" s="172">
        <f t="shared" si="27"/>
        <v>47612180</v>
      </c>
      <c r="S175" s="172">
        <f t="shared" si="27"/>
        <v>0</v>
      </c>
      <c r="T175" s="172">
        <f t="shared" si="27"/>
        <v>0</v>
      </c>
      <c r="U175" s="172">
        <f t="shared" si="27"/>
        <v>0</v>
      </c>
      <c r="V175" s="663">
        <f t="shared" si="28"/>
        <v>196098897</v>
      </c>
    </row>
    <row r="176" spans="1:24" s="173" customFormat="1">
      <c r="A176" s="298" t="s">
        <v>958</v>
      </c>
      <c r="B176" s="173" t="s">
        <v>975</v>
      </c>
      <c r="D176" s="235">
        <f t="shared" si="26"/>
        <v>59997515</v>
      </c>
      <c r="F176" s="172">
        <f t="shared" si="27"/>
        <v>0</v>
      </c>
      <c r="G176" s="172">
        <f t="shared" si="27"/>
        <v>1041687</v>
      </c>
      <c r="H176" s="172">
        <f t="shared" si="27"/>
        <v>2325188</v>
      </c>
      <c r="I176" s="172">
        <f t="shared" si="27"/>
        <v>4153387</v>
      </c>
      <c r="J176" s="172">
        <f t="shared" si="27"/>
        <v>0</v>
      </c>
      <c r="K176" s="172">
        <f t="shared" si="27"/>
        <v>1256000</v>
      </c>
      <c r="L176" s="172">
        <f t="shared" si="27"/>
        <v>0</v>
      </c>
      <c r="M176" s="172">
        <f t="shared" si="27"/>
        <v>0</v>
      </c>
      <c r="N176" s="172">
        <f t="shared" si="27"/>
        <v>9074572</v>
      </c>
      <c r="O176" s="655">
        <f t="shared" si="27"/>
        <v>0</v>
      </c>
      <c r="P176" s="172">
        <f t="shared" si="27"/>
        <v>0</v>
      </c>
      <c r="Q176" s="172">
        <f t="shared" si="27"/>
        <v>0</v>
      </c>
      <c r="R176" s="172">
        <f t="shared" si="27"/>
        <v>0</v>
      </c>
      <c r="S176" s="172">
        <f t="shared" si="27"/>
        <v>59699205</v>
      </c>
      <c r="T176" s="172">
        <f t="shared" si="27"/>
        <v>0</v>
      </c>
      <c r="U176" s="172">
        <f t="shared" si="27"/>
        <v>0</v>
      </c>
      <c r="V176" s="663">
        <f t="shared" si="28"/>
        <v>59699205</v>
      </c>
    </row>
    <row r="177" spans="1:23" s="173" customFormat="1">
      <c r="A177" s="298" t="s">
        <v>976</v>
      </c>
      <c r="B177" s="173" t="s">
        <v>977</v>
      </c>
      <c r="D177" s="172">
        <f t="shared" si="26"/>
        <v>3043910</v>
      </c>
      <c r="F177" s="172">
        <f t="shared" si="27"/>
        <v>0</v>
      </c>
      <c r="G177" s="172">
        <f t="shared" si="27"/>
        <v>373848</v>
      </c>
      <c r="H177" s="172">
        <f t="shared" si="27"/>
        <v>5465338</v>
      </c>
      <c r="I177" s="172">
        <f t="shared" si="27"/>
        <v>199870</v>
      </c>
      <c r="J177" s="172">
        <f t="shared" si="27"/>
        <v>0</v>
      </c>
      <c r="K177" s="172">
        <f t="shared" si="27"/>
        <v>0</v>
      </c>
      <c r="L177" s="172">
        <f t="shared" si="27"/>
        <v>8662500</v>
      </c>
      <c r="M177" s="172">
        <f t="shared" si="27"/>
        <v>0</v>
      </c>
      <c r="N177" s="172">
        <f t="shared" si="27"/>
        <v>0</v>
      </c>
      <c r="O177" s="655">
        <f t="shared" si="27"/>
        <v>0</v>
      </c>
      <c r="P177" s="172">
        <f t="shared" si="27"/>
        <v>0</v>
      </c>
      <c r="Q177" s="172">
        <f t="shared" si="27"/>
        <v>0</v>
      </c>
      <c r="R177" s="172">
        <f t="shared" si="27"/>
        <v>0</v>
      </c>
      <c r="S177" s="172">
        <f t="shared" si="27"/>
        <v>9082966</v>
      </c>
      <c r="T177" s="172">
        <f t="shared" si="27"/>
        <v>0</v>
      </c>
      <c r="U177" s="172">
        <f t="shared" si="27"/>
        <v>0</v>
      </c>
      <c r="V177" s="663">
        <f t="shared" si="28"/>
        <v>9082966</v>
      </c>
    </row>
    <row r="178" spans="1:23" s="173" customFormat="1">
      <c r="A178" s="298" t="s">
        <v>964</v>
      </c>
      <c r="B178" s="173" t="s">
        <v>221</v>
      </c>
      <c r="D178" s="172">
        <f t="shared" si="26"/>
        <v>45105243</v>
      </c>
      <c r="E178" s="211" t="s">
        <v>978</v>
      </c>
      <c r="F178" s="172">
        <f t="shared" si="27"/>
        <v>0</v>
      </c>
      <c r="G178" s="172">
        <f t="shared" si="27"/>
        <v>0</v>
      </c>
      <c r="H178" s="172">
        <f t="shared" si="27"/>
        <v>0</v>
      </c>
      <c r="I178" s="172">
        <f t="shared" si="27"/>
        <v>0</v>
      </c>
      <c r="J178" s="172">
        <f t="shared" si="27"/>
        <v>0</v>
      </c>
      <c r="K178" s="172">
        <f t="shared" si="27"/>
        <v>3339193</v>
      </c>
      <c r="L178" s="172">
        <f t="shared" si="27"/>
        <v>0</v>
      </c>
      <c r="M178" s="172">
        <f t="shared" si="27"/>
        <v>0</v>
      </c>
      <c r="N178" s="172">
        <f t="shared" si="27"/>
        <v>0</v>
      </c>
      <c r="O178" s="655">
        <f t="shared" si="27"/>
        <v>0</v>
      </c>
      <c r="P178" s="172">
        <f t="shared" si="27"/>
        <v>0</v>
      </c>
      <c r="Q178" s="172">
        <f t="shared" si="27"/>
        <v>0</v>
      </c>
      <c r="R178" s="172">
        <f t="shared" si="27"/>
        <v>0</v>
      </c>
      <c r="S178" s="172">
        <f t="shared" si="27"/>
        <v>0</v>
      </c>
      <c r="T178" s="172">
        <f t="shared" si="27"/>
        <v>48444436</v>
      </c>
      <c r="U178" s="172">
        <f t="shared" si="27"/>
        <v>0</v>
      </c>
      <c r="V178" s="663">
        <f t="shared" si="28"/>
        <v>48444436</v>
      </c>
    </row>
    <row r="179" spans="1:23" s="173" customFormat="1">
      <c r="A179" s="298" t="s">
        <v>949</v>
      </c>
      <c r="B179" s="173" t="s">
        <v>979</v>
      </c>
      <c r="D179" s="237">
        <f t="shared" si="26"/>
        <v>777498878</v>
      </c>
      <c r="E179" s="212">
        <f>D179+D178</f>
        <v>822604121</v>
      </c>
      <c r="F179" s="172">
        <f t="shared" si="27"/>
        <v>0</v>
      </c>
      <c r="G179" s="172">
        <f t="shared" si="27"/>
        <v>1422421</v>
      </c>
      <c r="H179" s="172">
        <f t="shared" si="27"/>
        <v>3438293</v>
      </c>
      <c r="I179" s="172">
        <f t="shared" si="27"/>
        <v>1236397</v>
      </c>
      <c r="J179" s="172">
        <f t="shared" si="27"/>
        <v>0</v>
      </c>
      <c r="K179" s="172">
        <f t="shared" si="27"/>
        <v>0</v>
      </c>
      <c r="L179" s="172">
        <f t="shared" si="27"/>
        <v>0</v>
      </c>
      <c r="M179" s="172">
        <f t="shared" si="27"/>
        <v>0</v>
      </c>
      <c r="N179" s="172">
        <f t="shared" si="27"/>
        <v>0</v>
      </c>
      <c r="O179" s="655">
        <f t="shared" si="27"/>
        <v>0</v>
      </c>
      <c r="P179" s="172">
        <f t="shared" si="27"/>
        <v>0</v>
      </c>
      <c r="Q179" s="172">
        <f t="shared" si="27"/>
        <v>0</v>
      </c>
      <c r="R179" s="172">
        <f t="shared" si="27"/>
        <v>0</v>
      </c>
      <c r="S179" s="172">
        <f t="shared" ca="1" si="27"/>
        <v>618210272.76999998</v>
      </c>
      <c r="T179" s="172">
        <f t="shared" ca="1" si="27"/>
        <v>148370568</v>
      </c>
      <c r="U179" s="172">
        <f t="shared" si="27"/>
        <v>0</v>
      </c>
      <c r="V179" s="663">
        <f t="shared" ca="1" si="28"/>
        <v>766580840.76999998</v>
      </c>
    </row>
    <row r="180" spans="1:23" s="173" customFormat="1">
      <c r="A180" s="298" t="s">
        <v>968</v>
      </c>
      <c r="B180" s="173" t="s">
        <v>980</v>
      </c>
      <c r="D180" s="172">
        <f t="shared" si="26"/>
        <v>0</v>
      </c>
      <c r="E180" s="174"/>
      <c r="F180" s="172">
        <f t="shared" si="27"/>
        <v>0</v>
      </c>
      <c r="G180" s="172">
        <f t="shared" si="27"/>
        <v>0</v>
      </c>
      <c r="H180" s="172">
        <f t="shared" si="27"/>
        <v>0</v>
      </c>
      <c r="I180" s="172">
        <f t="shared" si="27"/>
        <v>0</v>
      </c>
      <c r="J180" s="172">
        <f t="shared" si="27"/>
        <v>0</v>
      </c>
      <c r="K180" s="172">
        <f t="shared" si="27"/>
        <v>0</v>
      </c>
      <c r="L180" s="172">
        <f t="shared" si="27"/>
        <v>0</v>
      </c>
      <c r="M180" s="172">
        <f t="shared" si="27"/>
        <v>0</v>
      </c>
      <c r="N180" s="172">
        <f t="shared" si="27"/>
        <v>0</v>
      </c>
      <c r="O180" s="655">
        <f t="shared" si="27"/>
        <v>0</v>
      </c>
      <c r="P180" s="172">
        <f t="shared" si="27"/>
        <v>0</v>
      </c>
      <c r="Q180" s="172">
        <f t="shared" si="27"/>
        <v>0</v>
      </c>
      <c r="R180" s="172">
        <f t="shared" si="27"/>
        <v>0</v>
      </c>
      <c r="S180" s="172">
        <f t="shared" si="27"/>
        <v>18620000</v>
      </c>
      <c r="T180" s="172">
        <f t="shared" si="27"/>
        <v>0</v>
      </c>
      <c r="U180" s="172">
        <f t="shared" si="27"/>
        <v>0</v>
      </c>
      <c r="V180" s="663">
        <f t="shared" si="28"/>
        <v>18620000</v>
      </c>
    </row>
    <row r="181" spans="1:23" s="173" customFormat="1">
      <c r="A181" s="298" t="s">
        <v>840</v>
      </c>
      <c r="B181" s="173" t="s">
        <v>981</v>
      </c>
      <c r="D181" s="235">
        <f t="shared" si="26"/>
        <v>206254845</v>
      </c>
      <c r="F181" s="172">
        <f t="shared" si="27"/>
        <v>0</v>
      </c>
      <c r="G181" s="172">
        <f t="shared" si="27"/>
        <v>12294477</v>
      </c>
      <c r="H181" s="172">
        <f t="shared" si="27"/>
        <v>34718120</v>
      </c>
      <c r="I181" s="172">
        <f t="shared" si="27"/>
        <v>9101638</v>
      </c>
      <c r="J181" s="172">
        <f t="shared" si="27"/>
        <v>0</v>
      </c>
      <c r="K181" s="172">
        <f t="shared" si="27"/>
        <v>0</v>
      </c>
      <c r="L181" s="172">
        <f t="shared" si="27"/>
        <v>0</v>
      </c>
      <c r="M181" s="172">
        <f t="shared" si="27"/>
        <v>0</v>
      </c>
      <c r="N181" s="172">
        <f t="shared" si="27"/>
        <v>0</v>
      </c>
      <c r="O181" s="655">
        <f t="shared" si="27"/>
        <v>0</v>
      </c>
      <c r="P181" s="172">
        <f t="shared" si="27"/>
        <v>262369080</v>
      </c>
      <c r="Q181" s="172">
        <f t="shared" si="27"/>
        <v>0</v>
      </c>
      <c r="R181" s="172">
        <f t="shared" si="27"/>
        <v>0</v>
      </c>
      <c r="S181" s="172">
        <f t="shared" si="27"/>
        <v>0</v>
      </c>
      <c r="T181" s="172">
        <f t="shared" si="27"/>
        <v>0</v>
      </c>
      <c r="U181" s="172">
        <f t="shared" si="27"/>
        <v>0</v>
      </c>
      <c r="V181" s="663">
        <f t="shared" si="28"/>
        <v>262369080</v>
      </c>
    </row>
    <row r="182" spans="1:23" s="173" customFormat="1">
      <c r="A182" s="298" t="s">
        <v>951</v>
      </c>
      <c r="B182" s="609" t="s">
        <v>982</v>
      </c>
      <c r="C182" s="609"/>
      <c r="D182" s="213">
        <f t="shared" si="26"/>
        <v>0</v>
      </c>
      <c r="F182" s="213">
        <f t="shared" si="27"/>
        <v>0</v>
      </c>
      <c r="G182" s="213">
        <f t="shared" si="27"/>
        <v>0</v>
      </c>
      <c r="H182" s="213">
        <f t="shared" si="27"/>
        <v>0</v>
      </c>
      <c r="I182" s="213">
        <f t="shared" si="27"/>
        <v>0</v>
      </c>
      <c r="J182" s="213">
        <f t="shared" si="27"/>
        <v>0</v>
      </c>
      <c r="K182" s="213">
        <f t="shared" si="27"/>
        <v>2950361</v>
      </c>
      <c r="L182" s="213">
        <f t="shared" si="27"/>
        <v>0</v>
      </c>
      <c r="M182" s="213">
        <f t="shared" si="27"/>
        <v>0</v>
      </c>
      <c r="N182" s="213">
        <f t="shared" si="27"/>
        <v>0</v>
      </c>
      <c r="O182" s="656">
        <f t="shared" si="27"/>
        <v>0</v>
      </c>
      <c r="P182" s="213">
        <f t="shared" si="27"/>
        <v>0</v>
      </c>
      <c r="Q182" s="213">
        <f t="shared" si="27"/>
        <v>0</v>
      </c>
      <c r="R182" s="213">
        <f t="shared" si="27"/>
        <v>0</v>
      </c>
      <c r="S182" s="213">
        <f t="shared" si="27"/>
        <v>0</v>
      </c>
      <c r="T182" s="213">
        <f t="shared" si="27"/>
        <v>2950361</v>
      </c>
      <c r="U182" s="213">
        <f t="shared" si="27"/>
        <v>0</v>
      </c>
      <c r="V182" s="664">
        <f t="shared" si="28"/>
        <v>2950361</v>
      </c>
    </row>
    <row r="183" spans="1:23" s="206" customFormat="1" ht="15">
      <c r="A183" s="297"/>
      <c r="B183" s="206" t="s">
        <v>983</v>
      </c>
      <c r="D183" s="214">
        <f>SUM(D172:D182)</f>
        <v>6320402229.2312622</v>
      </c>
      <c r="E183" s="207"/>
      <c r="F183" s="214">
        <f t="shared" ref="F183:L183" si="29">SUM(F172:F182)</f>
        <v>580879865</v>
      </c>
      <c r="G183" s="214">
        <f t="shared" si="29"/>
        <v>273307192</v>
      </c>
      <c r="H183" s="214">
        <f t="shared" si="29"/>
        <v>528279389</v>
      </c>
      <c r="I183" s="214">
        <f t="shared" si="29"/>
        <v>331221563</v>
      </c>
      <c r="J183" s="214">
        <f t="shared" si="29"/>
        <v>292864916</v>
      </c>
      <c r="K183" s="214">
        <f t="shared" si="29"/>
        <v>60680573</v>
      </c>
      <c r="L183" s="214">
        <f t="shared" si="29"/>
        <v>393750000</v>
      </c>
      <c r="M183" s="214">
        <f t="shared" ref="M183" si="30">SUM(M172:M182)</f>
        <v>0</v>
      </c>
      <c r="N183" s="214">
        <f>SUM(N172:N182)</f>
        <v>505132829</v>
      </c>
      <c r="O183" s="653">
        <f t="shared" ref="O183:T183" si="31">SUM(O172:O182)</f>
        <v>4967169373.2312622</v>
      </c>
      <c r="P183" s="214">
        <f t="shared" si="31"/>
        <v>279869080</v>
      </c>
      <c r="Q183" s="214">
        <f t="shared" si="31"/>
        <v>1973148606</v>
      </c>
      <c r="R183" s="214">
        <f t="shared" si="31"/>
        <v>5438930989</v>
      </c>
      <c r="S183" s="214">
        <f t="shared" ca="1" si="31"/>
        <v>705612443.76999998</v>
      </c>
      <c r="T183" s="214">
        <f t="shared" ca="1" si="31"/>
        <v>1982486518</v>
      </c>
      <c r="U183" s="214">
        <f t="shared" ref="U183:V183" si="32">SUM(U172:U182)</f>
        <v>349378598</v>
      </c>
      <c r="V183" s="667">
        <f t="shared" ca="1" si="32"/>
        <v>15696595608.001263</v>
      </c>
    </row>
    <row r="184" spans="1:23" s="173" customFormat="1">
      <c r="A184" s="298"/>
      <c r="D184" s="174">
        <f>D169-D183</f>
        <v>0</v>
      </c>
      <c r="F184" s="174">
        <f t="shared" ref="F184:L184" si="33">F169-F183</f>
        <v>0</v>
      </c>
      <c r="G184" s="174">
        <f t="shared" si="33"/>
        <v>0</v>
      </c>
      <c r="H184" s="174">
        <f t="shared" si="33"/>
        <v>0</v>
      </c>
      <c r="I184" s="174">
        <f t="shared" si="33"/>
        <v>0</v>
      </c>
      <c r="J184" s="174">
        <f t="shared" si="33"/>
        <v>0</v>
      </c>
      <c r="K184" s="174">
        <f t="shared" si="33"/>
        <v>0</v>
      </c>
      <c r="L184" s="174">
        <f t="shared" si="33"/>
        <v>0</v>
      </c>
      <c r="M184" s="174">
        <f t="shared" ref="M184" si="34">M169-M183</f>
        <v>0</v>
      </c>
      <c r="N184" s="174">
        <f>N169-N183</f>
        <v>0</v>
      </c>
      <c r="O184" s="657">
        <f t="shared" ref="O184:T184" si="35">O169-O183</f>
        <v>0</v>
      </c>
      <c r="P184" s="174">
        <f t="shared" si="35"/>
        <v>0</v>
      </c>
      <c r="Q184" s="174">
        <f t="shared" si="35"/>
        <v>0</v>
      </c>
      <c r="R184" s="174">
        <f t="shared" si="35"/>
        <v>0</v>
      </c>
      <c r="S184" s="174">
        <f t="shared" ca="1" si="35"/>
        <v>0</v>
      </c>
      <c r="T184" s="174">
        <f t="shared" ca="1" si="35"/>
        <v>0</v>
      </c>
      <c r="U184" s="174">
        <f t="shared" ref="U184:V184" si="36">U169-U183</f>
        <v>0</v>
      </c>
      <c r="V184" s="666">
        <f t="shared" ca="1" si="36"/>
        <v>0</v>
      </c>
    </row>
    <row r="185" spans="1:23" s="173" customFormat="1">
      <c r="A185" s="298"/>
      <c r="F185" s="174"/>
      <c r="M185" s="174"/>
      <c r="O185" s="654"/>
      <c r="V185" s="666"/>
    </row>
    <row r="186" spans="1:23" s="173" customFormat="1">
      <c r="A186" s="298"/>
      <c r="B186" s="330" t="s">
        <v>1539</v>
      </c>
      <c r="D186" s="172">
        <f>SUMIF(Data!$1:$1,$C$2,Data!219:219)-SUMIF(Data!$1:$1,$C$2,Data!131:131)-SUMIF(Data!$1:$1,$C$2,Data!133:133)-SUMIF(Data!$1:$1,$C$2,Data!134:134)-SUMIF(Data!$1:$1,$C$2,Data!136:136)-SUMIF(Data!$1:$1,$C$2,Data!137:137)-SUMIF(Data!$1:$1,$C$2,Data!138:138)-SUMIF(Data!$1:$1,$C$2,Data!140:140)-SUMIF(Data!$1:$1,$C$2,Data!$3080:$3080)-SUMIF(Data!$1:$1,$C$2,Data!$142:$142)</f>
        <v>6320402229.2312622</v>
      </c>
      <c r="F186" s="172">
        <f>SUMIF(Data!$1:$1,$C$2,Data!2373:2373)</f>
        <v>580879865</v>
      </c>
      <c r="G186" s="172">
        <f>SUMIF(Data!$1:$1,$C$2,Data!581:581)</f>
        <v>273307192</v>
      </c>
      <c r="H186" s="172">
        <f>SUMIF(Data!$1:$1,$C$2,Data!829:829)+SUMIF(Data!$1:$1,$C$2,Data!751:751)-SUMIF(Data!$1:$1,$C$2,Data!826:826)</f>
        <v>528279389</v>
      </c>
      <c r="I186" s="172">
        <f>SUMIF(Data!$1:$1,$C$2,Data!966:966)</f>
        <v>331221563</v>
      </c>
      <c r="J186" s="172">
        <f>SUMIF(Data!$1:$1,$C$2,Data!641:641)+SUMIF(Data!$1:$1,$C$2,Data!888:888)</f>
        <v>292864916</v>
      </c>
      <c r="K186" s="172">
        <f>SUMIF(Data!$1:$1,$C$2,Data!2322:2322)+SUMIF(Data!$1:$1,$C$2,Data!1102:1102)+SUMIF(Data!$1:$1,$C$2,Data!1065:1065)+SUMIF(Data!$1:$1,$C$2,Data!1066:1066)</f>
        <v>60680573</v>
      </c>
      <c r="L186" s="172">
        <f>SUMIF(Data!$1:$1,$C$2,Data!2362:2362)</f>
        <v>393750000</v>
      </c>
      <c r="M186" s="215" t="s">
        <v>162</v>
      </c>
      <c r="N186" s="172">
        <f>SUMIF(Data!$1:$1,$C$2,Data!2288:2288)</f>
        <v>505132829</v>
      </c>
      <c r="O186" s="654"/>
      <c r="V186" s="666"/>
    </row>
    <row r="187" spans="1:23" s="173" customFormat="1">
      <c r="A187" s="298"/>
      <c r="D187" s="174">
        <f t="shared" ref="D187:L187" si="37">D183-D186</f>
        <v>0</v>
      </c>
      <c r="F187" s="174">
        <f t="shared" si="37"/>
        <v>0</v>
      </c>
      <c r="G187" s="174">
        <f t="shared" si="37"/>
        <v>0</v>
      </c>
      <c r="H187" s="174">
        <f t="shared" si="37"/>
        <v>0</v>
      </c>
      <c r="I187" s="174">
        <f t="shared" si="37"/>
        <v>0</v>
      </c>
      <c r="J187" s="174">
        <f t="shared" si="37"/>
        <v>0</v>
      </c>
      <c r="K187" s="174">
        <f t="shared" si="37"/>
        <v>0</v>
      </c>
      <c r="L187" s="174">
        <f t="shared" si="37"/>
        <v>0</v>
      </c>
      <c r="M187" s="174"/>
      <c r="N187" s="174">
        <f>N183-N186</f>
        <v>0</v>
      </c>
      <c r="O187" s="658"/>
      <c r="P187" s="604"/>
      <c r="Q187" s="604"/>
      <c r="R187" s="604"/>
      <c r="S187" s="604"/>
      <c r="T187" s="604"/>
      <c r="U187" s="604"/>
      <c r="V187" s="666"/>
    </row>
    <row r="188" spans="1:23" s="173" customFormat="1" ht="15">
      <c r="A188" s="298"/>
      <c r="B188" s="206" t="s">
        <v>1537</v>
      </c>
      <c r="D188" s="174"/>
      <c r="F188" s="174"/>
      <c r="G188" s="174"/>
      <c r="H188" s="174"/>
      <c r="I188" s="174"/>
      <c r="J188" s="174"/>
      <c r="K188" s="174"/>
      <c r="L188" s="174"/>
      <c r="M188" s="174"/>
      <c r="N188" s="174"/>
      <c r="O188" s="655"/>
      <c r="P188" s="298"/>
      <c r="Q188" s="298"/>
      <c r="S188" s="298"/>
      <c r="T188" s="298"/>
      <c r="V188" s="666"/>
    </row>
    <row r="189" spans="1:23" s="173" customFormat="1">
      <c r="A189" s="298"/>
      <c r="B189" s="173" t="s">
        <v>972</v>
      </c>
      <c r="D189" s="131">
        <f>SUMIF(Data!$1:$1,$C$2,Data!$228:$228)-SUMIF(Data!$1:$1,$C$2,Data!$3080:$3080)</f>
        <v>2637922685.2312622</v>
      </c>
      <c r="F189" s="131">
        <f>SUMIF(Data!$1:$1,$C$2,Data!$2373:$2373)</f>
        <v>580879865</v>
      </c>
      <c r="G189" s="131">
        <f>SUMIF(Data!$1:$1,$C$2,Data!$582:$582)</f>
        <v>187699677</v>
      </c>
      <c r="H189" s="131">
        <f>SUMIF(Data!$1:$1,$C$2,Data!$830:$830)</f>
        <v>300078040</v>
      </c>
      <c r="I189" s="131">
        <f>SUMIF(Data!$1:$1,$C$2,Data!$967:$967)</f>
        <v>214148045</v>
      </c>
      <c r="J189" s="613" t="s">
        <v>162</v>
      </c>
      <c r="K189" s="131">
        <f ca="1">SUMIF(Data!$1:$1,$C$2,Data!$2324:$2324)</f>
        <v>1570000</v>
      </c>
      <c r="L189" s="131">
        <f>SUMIF(Data!$1:$1,$C$2,Data!$2363:$2363)</f>
        <v>331956525</v>
      </c>
      <c r="M189" s="131"/>
      <c r="N189" s="131">
        <f>SUMIF(Data!$1:$1,$C$2,Data!$2289:$2289)+SUMIF(Data!$1:$1,$C$2,Data!$2247:$2247)+SUMIF(Data!$1:$1,$C$2,Data!$2248:$2248)+SUMIF(Data!$1:$1,$C$2,Data!$2249:$2249)+SUMIF(Data!$1:$1,$C$2,Data!$2250:$2250)</f>
        <v>332674488</v>
      </c>
      <c r="O189" s="650">
        <f t="shared" ref="O189:O192" ca="1" si="38">SUM(D189:K189)+M189-N189</f>
        <v>3589623824.2312622</v>
      </c>
      <c r="P189" s="172">
        <f>SUMIF(Data!$1:$1,$P$3,Data!$2220:$2220)</f>
        <v>17500000</v>
      </c>
      <c r="Q189" s="298" t="s">
        <v>162</v>
      </c>
      <c r="R189" s="131">
        <f>SUMIF(Data!$1:$1,$R$3,Data!$2579:$2579)-U10</f>
        <v>4421397779</v>
      </c>
      <c r="S189" s="298" t="s">
        <v>162</v>
      </c>
      <c r="T189" s="131">
        <f>SUMIF(Data!$1:$1,$C$2,Data!$3080:$3080)</f>
        <v>33529665</v>
      </c>
      <c r="U189" s="131">
        <f>SUMIF(Data!$1:$1,$U$3,Data!$2584:$2584)</f>
        <v>22581829</v>
      </c>
      <c r="V189" s="663">
        <f t="shared" ref="V189:V200" ca="1" si="39">SUM(O189:U189)</f>
        <v>8084633097.2312622</v>
      </c>
    </row>
    <row r="190" spans="1:23" s="173" customFormat="1" ht="15">
      <c r="A190" s="298"/>
      <c r="B190" s="608" t="s">
        <v>973</v>
      </c>
      <c r="D190" s="131">
        <f>SUMIF(Data!$1:$1,$C$2,Data!$202:$202)</f>
        <v>936193916</v>
      </c>
      <c r="F190" s="613" t="s">
        <v>162</v>
      </c>
      <c r="G190" s="613" t="s">
        <v>162</v>
      </c>
      <c r="H190" s="613" t="s">
        <v>162</v>
      </c>
      <c r="I190" s="613" t="s">
        <v>162</v>
      </c>
      <c r="J190" s="131">
        <f>SUMIF(Data!$1:$1,$C$2,Data!$641:$641)+SUMIF(Data!$1:$1,$C$2,Data!$888:$888)</f>
        <v>292864916</v>
      </c>
      <c r="K190" s="613" t="s">
        <v>162</v>
      </c>
      <c r="L190" s="613" t="s">
        <v>162</v>
      </c>
      <c r="M190" s="131"/>
      <c r="N190" s="613"/>
      <c r="O190" s="650">
        <f t="shared" ref="O190" si="40">SUM(D190:K190)+M190-N190</f>
        <v>1229058832</v>
      </c>
      <c r="P190" s="298" t="s">
        <v>162</v>
      </c>
      <c r="Q190" s="131">
        <f>SUMIF(Data!$1:$1,$Q$3,Data!$2468:$2468)</f>
        <v>1973148606</v>
      </c>
      <c r="R190" s="131">
        <f>SUMIF(Data!$1:$1,$R$3,Data!$2520:$2520)</f>
        <v>969921030</v>
      </c>
      <c r="S190" s="298" t="s">
        <v>162</v>
      </c>
      <c r="T190" s="298" t="s">
        <v>162</v>
      </c>
      <c r="U190" s="298" t="s">
        <v>162</v>
      </c>
      <c r="V190" s="663">
        <f t="shared" si="39"/>
        <v>4172128468</v>
      </c>
    </row>
    <row r="191" spans="1:23" s="173" customFormat="1" ht="15">
      <c r="A191" s="298"/>
      <c r="B191" s="608" t="s">
        <v>1535</v>
      </c>
      <c r="D191" s="131">
        <f>SUMIF(Data!$1:$1,$C$2,Data!$230:$230)</f>
        <v>1526864343</v>
      </c>
      <c r="F191" s="613" t="s">
        <v>162</v>
      </c>
      <c r="G191" s="131">
        <f>SUMIF(Data!$1:$1,$C$2,Data!$584:$584)</f>
        <v>64563188</v>
      </c>
      <c r="H191" s="131">
        <f>SUMIF(Data!$1:$1,$C$2,Data!$832:$832)</f>
        <v>169721372</v>
      </c>
      <c r="I191" s="131">
        <f>SUMIF(Data!$1:$1,$C$2,Data!$969:$969)</f>
        <v>92577694</v>
      </c>
      <c r="J191" s="613" t="s">
        <v>162</v>
      </c>
      <c r="K191" s="131">
        <f ca="1">SUMIF(Data!$1:$1,$C$2,Data!$2326:$2326)</f>
        <v>51565019</v>
      </c>
      <c r="L191" s="131">
        <f>SUMIF(Data!$1:$1,$C$2,Data!$2364:$2364)</f>
        <v>46698327</v>
      </c>
      <c r="M191" s="612"/>
      <c r="N191" s="131">
        <f>SUMIF(Data!$1:$1,$C$2,Data!$2291:$2291)</f>
        <v>156100128</v>
      </c>
      <c r="O191" s="659" t="s">
        <v>162</v>
      </c>
      <c r="P191" s="298" t="s">
        <v>162</v>
      </c>
      <c r="Q191" s="298" t="s">
        <v>162</v>
      </c>
      <c r="R191" s="298" t="s">
        <v>162</v>
      </c>
      <c r="S191" s="298" t="s">
        <v>162</v>
      </c>
      <c r="T191" s="156">
        <f t="shared" ref="T191:T196" ca="1" si="41">SUM(D191:K191)+M191-N191</f>
        <v>1749191488</v>
      </c>
      <c r="U191" s="131">
        <f>SUMIF(Data!$1:$1,$Q$3,Data!$2599:$2599)</f>
        <v>326796769</v>
      </c>
      <c r="V191" s="663">
        <f t="shared" ca="1" si="39"/>
        <v>2075988257</v>
      </c>
      <c r="W191" s="174">
        <f ca="1">T191-T174</f>
        <v>0</v>
      </c>
    </row>
    <row r="192" spans="1:23" s="173" customFormat="1" ht="15">
      <c r="A192" s="298"/>
      <c r="B192" s="1231" t="s">
        <v>1496</v>
      </c>
      <c r="D192" s="131">
        <f>SUMIF(Data!$1:$1,$C$2,Data!$231:$231)</f>
        <v>89839444</v>
      </c>
      <c r="F192" s="613" t="s">
        <v>162</v>
      </c>
      <c r="G192" s="131">
        <f>SUMIF(Data!$1:$1,$C$2,Data!$585:$585)</f>
        <v>4296610</v>
      </c>
      <c r="H192" s="131">
        <f>SUMIF(Data!$1:$1,$C$2,Data!$833:$833)</f>
        <v>8698484</v>
      </c>
      <c r="I192" s="131">
        <f>SUMIF(Data!$1:$1,$C$2,Data!$970:$970)</f>
        <v>6949765</v>
      </c>
      <c r="J192" s="613" t="s">
        <v>162</v>
      </c>
      <c r="K192" s="613" t="s">
        <v>162</v>
      </c>
      <c r="L192" s="1232">
        <f>SUMIF(Data!$1:$1,$C$2,Data!$2365:$2365)+SUMIF(Data!$1:$1,$C$2,Data!$2366:$2366)</f>
        <v>6432648</v>
      </c>
      <c r="M192" s="131"/>
      <c r="N192" s="131">
        <f>SUMIF(Data!$1:$1,$C$2,Data!$2292:$2292)</f>
        <v>3758881</v>
      </c>
      <c r="O192" s="650">
        <f t="shared" si="38"/>
        <v>106025422</v>
      </c>
      <c r="P192" s="298" t="s">
        <v>162</v>
      </c>
      <c r="Q192" s="298" t="s">
        <v>162</v>
      </c>
      <c r="R192" s="1232">
        <f>SUMIF(Data!$1:$1,$R$3,Data!$2535:$2535)</f>
        <v>47612180</v>
      </c>
      <c r="S192" s="298" t="s">
        <v>162</v>
      </c>
      <c r="T192" s="298" t="s">
        <v>162</v>
      </c>
      <c r="U192" s="298" t="s">
        <v>162</v>
      </c>
      <c r="V192" s="663">
        <f t="shared" si="39"/>
        <v>153637602</v>
      </c>
    </row>
    <row r="193" spans="1:22" s="173" customFormat="1" ht="15">
      <c r="A193" s="298"/>
      <c r="B193" s="1231" t="s">
        <v>2175</v>
      </c>
      <c r="D193" s="131">
        <f>SUMIF(Data!$1:$1,$C$2,Data!$232:$232)</f>
        <v>37681450</v>
      </c>
      <c r="F193" s="613" t="s">
        <v>162</v>
      </c>
      <c r="G193" s="131">
        <f>SUMIF(Data!$1:$1,$C$2,Data!$586:$586)</f>
        <v>1615284</v>
      </c>
      <c r="H193" s="131">
        <f>SUMIF(Data!$1:$1,$C$2,Data!$834:$834)</f>
        <v>3834554</v>
      </c>
      <c r="I193" s="131">
        <f>SUMIF(Data!$1:$1,$C$2,Data!$971:$971)</f>
        <v>2854767</v>
      </c>
      <c r="J193" s="613" t="s">
        <v>162</v>
      </c>
      <c r="K193" s="613" t="s">
        <v>162</v>
      </c>
      <c r="L193" s="1233"/>
      <c r="M193" s="131"/>
      <c r="N193" s="131">
        <f>SUMIF(Data!$1:$1,$C$2,Data!$2293:$2293)</f>
        <v>3524760</v>
      </c>
      <c r="O193" s="650">
        <f t="shared" ref="O193" si="42">SUM(D193:K193)+M193-N193</f>
        <v>42461295</v>
      </c>
      <c r="P193" s="298" t="s">
        <v>162</v>
      </c>
      <c r="Q193" s="298" t="s">
        <v>162</v>
      </c>
      <c r="R193" s="1233"/>
      <c r="S193" s="298" t="s">
        <v>162</v>
      </c>
      <c r="T193" s="298" t="s">
        <v>162</v>
      </c>
      <c r="U193" s="298" t="s">
        <v>162</v>
      </c>
      <c r="V193" s="663">
        <f t="shared" ref="V193" si="43">SUM(O193:U193)</f>
        <v>42461295</v>
      </c>
    </row>
    <row r="194" spans="1:22" s="173" customFormat="1">
      <c r="A194" s="298"/>
      <c r="B194" s="173" t="s">
        <v>975</v>
      </c>
      <c r="D194" s="131">
        <f>SUMIF(Data!$1:$1,$C$2,Data!$229:$229)</f>
        <v>59997515</v>
      </c>
      <c r="F194" s="613" t="s">
        <v>162</v>
      </c>
      <c r="G194" s="131">
        <f>SUMIF(Data!$1:$1,$C$2,Data!$583:$583)</f>
        <v>1041687</v>
      </c>
      <c r="H194" s="131">
        <f>SUMIF(Data!$1:$1,$C$2,Data!$831:$831)</f>
        <v>2325188</v>
      </c>
      <c r="I194" s="131">
        <f>SUMIF(Data!$1:$1,$C$2,Data!$968:$968)</f>
        <v>4153387</v>
      </c>
      <c r="J194" s="613" t="s">
        <v>162</v>
      </c>
      <c r="K194" s="131">
        <f ca="1">SUMIF(Data!$1:$1,$C$2,Data!$2325:$2325)</f>
        <v>1256000</v>
      </c>
      <c r="L194" s="613" t="s">
        <v>162</v>
      </c>
      <c r="M194" s="131"/>
      <c r="N194" s="131">
        <f>SUMIF(Data!$1:$1,$C$2,Data!$2290:$2290)-SUMIF(Data!$1:$1,$C$2,Data!$2247:$2247)-SUMIF(Data!$1:$1,$C$2,Data!$2248:$2248)-SUMIF(Data!$1:$1,$C$2,Data!$2249:$2249)-SUMIF(Data!$1:$1,$C$2,Data!$2250:$2250)</f>
        <v>9074572</v>
      </c>
      <c r="O194" s="659" t="s">
        <v>162</v>
      </c>
      <c r="P194" s="298" t="s">
        <v>162</v>
      </c>
      <c r="Q194" s="298" t="s">
        <v>162</v>
      </c>
      <c r="R194" s="298" t="s">
        <v>162</v>
      </c>
      <c r="S194" s="164">
        <f ca="1">SUM(D194:K194)+M194-N194</f>
        <v>59699205</v>
      </c>
      <c r="T194" s="298" t="s">
        <v>162</v>
      </c>
      <c r="U194" s="298" t="s">
        <v>162</v>
      </c>
      <c r="V194" s="663">
        <f t="shared" ca="1" si="39"/>
        <v>59699205</v>
      </c>
    </row>
    <row r="195" spans="1:22" s="173" customFormat="1">
      <c r="A195" s="298"/>
      <c r="B195" s="173" t="s">
        <v>977</v>
      </c>
      <c r="D195" s="131">
        <f>SUMIF(Data!$1:$1,$C$2,Data!$233:$233)</f>
        <v>3043910</v>
      </c>
      <c r="F195" s="613" t="s">
        <v>162</v>
      </c>
      <c r="G195" s="131">
        <f>SUMIF(Data!$1:$1,$C$2,Data!$587:$587)</f>
        <v>373848</v>
      </c>
      <c r="H195" s="131">
        <f>SUMIF(Data!$1:$1,$C$2,Data!$835:$835)</f>
        <v>5465338</v>
      </c>
      <c r="I195" s="131">
        <f>SUMIF(Data!$1:$1,$C$2,Data!$972:$972)</f>
        <v>199870</v>
      </c>
      <c r="J195" s="613" t="s">
        <v>162</v>
      </c>
      <c r="K195" s="613" t="s">
        <v>162</v>
      </c>
      <c r="L195" s="131">
        <f>SUMIF(Data!$1:$1,$C$2,Data!$2367:$2367)</f>
        <v>8662500</v>
      </c>
      <c r="M195" s="131"/>
      <c r="N195" s="131">
        <f>SUMIF(Data!$1:$1,$C$2,Data!$2294:$2294)</f>
        <v>0</v>
      </c>
      <c r="O195" s="659" t="s">
        <v>162</v>
      </c>
      <c r="P195" s="298" t="s">
        <v>162</v>
      </c>
      <c r="Q195" s="298" t="s">
        <v>162</v>
      </c>
      <c r="R195" s="298" t="s">
        <v>162</v>
      </c>
      <c r="S195" s="164">
        <f>SUM(D195:K195)+M195-N195</f>
        <v>9082966</v>
      </c>
      <c r="T195" s="298" t="s">
        <v>162</v>
      </c>
      <c r="U195" s="298" t="s">
        <v>162</v>
      </c>
      <c r="V195" s="663">
        <f t="shared" si="39"/>
        <v>9082966</v>
      </c>
    </row>
    <row r="196" spans="1:22" s="173" customFormat="1">
      <c r="A196" s="298"/>
      <c r="B196" s="173" t="s">
        <v>221</v>
      </c>
      <c r="D196" s="131">
        <f>SUMIF(Data!$1:$1,$C$2,Data!$1177:$1177)+SUMIF(Data!$1:$1,$C$2,Data!$1178:$1178)+SUMIF(Data!$1:$1,$C$2,Data!$1203:$1203)+SUMIF(Data!$1:$1,$C$2,Data!$1204:$1204)</f>
        <v>45105243</v>
      </c>
      <c r="F196" s="613" t="s">
        <v>162</v>
      </c>
      <c r="G196" s="613" t="s">
        <v>162</v>
      </c>
      <c r="H196" s="613" t="s">
        <v>162</v>
      </c>
      <c r="I196" s="613" t="s">
        <v>162</v>
      </c>
      <c r="J196" s="613" t="s">
        <v>162</v>
      </c>
      <c r="K196" s="131">
        <f ca="1">SUMIF(Data!$1:$1,$C$2,Data!$1111:$1111)</f>
        <v>3339193</v>
      </c>
      <c r="L196" s="613" t="s">
        <v>162</v>
      </c>
      <c r="M196" s="131"/>
      <c r="N196" s="613"/>
      <c r="O196" s="659" t="s">
        <v>162</v>
      </c>
      <c r="P196" s="298" t="s">
        <v>162</v>
      </c>
      <c r="Q196" s="298" t="s">
        <v>162</v>
      </c>
      <c r="R196" s="298" t="s">
        <v>162</v>
      </c>
      <c r="S196" s="298" t="s">
        <v>162</v>
      </c>
      <c r="T196" s="156">
        <f t="shared" ca="1" si="41"/>
        <v>48444436</v>
      </c>
      <c r="U196" s="298" t="s">
        <v>162</v>
      </c>
      <c r="V196" s="663">
        <f t="shared" ca="1" si="39"/>
        <v>48444436</v>
      </c>
    </row>
    <row r="197" spans="1:22" s="173" customFormat="1">
      <c r="A197" s="298"/>
      <c r="B197" s="173" t="s">
        <v>979</v>
      </c>
      <c r="D197" s="131">
        <f>SUMIF(Data!$1:$1,$C$2,Data!$139:$139)-D196</f>
        <v>777498878</v>
      </c>
      <c r="E197" s="174">
        <f>E169-D148-D145</f>
        <v>-31955172.23</v>
      </c>
      <c r="F197" s="613" t="s">
        <v>162</v>
      </c>
      <c r="G197" s="131">
        <f>SUMIF(Data!$1:$1,$C$2,Data!$505:$505)</f>
        <v>1422421</v>
      </c>
      <c r="H197" s="131">
        <f>SUMIF(Data!$1:$1,$C$2,Data!$751:$751)</f>
        <v>3438293</v>
      </c>
      <c r="I197" s="131">
        <f>SUMIF(Data!$1:$1,$C$2,Data!$890:$890)</f>
        <v>1236397</v>
      </c>
      <c r="J197" s="613" t="s">
        <v>162</v>
      </c>
      <c r="K197" s="613" t="s">
        <v>162</v>
      </c>
      <c r="L197" s="613" t="s">
        <v>162</v>
      </c>
      <c r="M197" s="131"/>
      <c r="N197" s="613"/>
      <c r="O197" s="659" t="s">
        <v>162</v>
      </c>
      <c r="P197" s="298" t="s">
        <v>162</v>
      </c>
      <c r="Q197" s="298" t="s">
        <v>162</v>
      </c>
      <c r="R197" s="298" t="s">
        <v>162</v>
      </c>
      <c r="S197" s="164">
        <f ca="1">SUM(D197:K197)+M197-N197-T153</f>
        <v>618210272.76999998</v>
      </c>
      <c r="T197" s="131">
        <f ca="1">SUMIF(Data!$1:$1,$C$2,Data!$1230:$1230)</f>
        <v>148370568</v>
      </c>
      <c r="U197" s="298" t="s">
        <v>162</v>
      </c>
      <c r="V197" s="663">
        <f t="shared" ca="1" si="39"/>
        <v>766580840.76999998</v>
      </c>
    </row>
    <row r="198" spans="1:22" s="173" customFormat="1">
      <c r="A198" s="298"/>
      <c r="B198" s="173" t="s">
        <v>980</v>
      </c>
      <c r="D198" s="1230" t="s">
        <v>162</v>
      </c>
      <c r="F198" s="613" t="s">
        <v>162</v>
      </c>
      <c r="G198" s="613" t="s">
        <v>162</v>
      </c>
      <c r="H198" s="613" t="s">
        <v>162</v>
      </c>
      <c r="I198" s="613" t="s">
        <v>162</v>
      </c>
      <c r="J198" s="613" t="s">
        <v>162</v>
      </c>
      <c r="K198" s="613" t="s">
        <v>162</v>
      </c>
      <c r="L198" s="613" t="s">
        <v>162</v>
      </c>
      <c r="M198" s="131"/>
      <c r="N198" s="613"/>
      <c r="O198" s="659" t="s">
        <v>162</v>
      </c>
      <c r="P198" s="298" t="s">
        <v>162</v>
      </c>
      <c r="Q198" s="298" t="s">
        <v>162</v>
      </c>
      <c r="R198" s="298" t="s">
        <v>162</v>
      </c>
      <c r="S198" s="131">
        <f ca="1">SUMIF(Data!$1:$1,$C$2,Data!$1229:$1229)++SUMIF(Data!$1:$1,$C$2,Data!142:142)</f>
        <v>18620000</v>
      </c>
      <c r="T198" s="298" t="s">
        <v>162</v>
      </c>
      <c r="U198" s="298" t="s">
        <v>162</v>
      </c>
      <c r="V198" s="663">
        <f t="shared" ca="1" si="39"/>
        <v>18620000</v>
      </c>
    </row>
    <row r="199" spans="1:22" s="173" customFormat="1" ht="15">
      <c r="A199" s="298"/>
      <c r="B199" s="608" t="s">
        <v>981</v>
      </c>
      <c r="D199" s="131">
        <f>SUMIF(Data!$1:$1,$C$2,Data!$234:$234)</f>
        <v>206254845</v>
      </c>
      <c r="F199" s="613" t="s">
        <v>162</v>
      </c>
      <c r="G199" s="131">
        <f>SUMIF(Data!$1:$1,$C$2,Data!$588:$588)</f>
        <v>12294477</v>
      </c>
      <c r="H199" s="131">
        <f>SUMIF(Data!$1:$1,$C$2,Data!$836:$836)</f>
        <v>34718120</v>
      </c>
      <c r="I199" s="131">
        <f>SUMIF(Data!$1:$1,$C$2,Data!$973:$973)</f>
        <v>9101638</v>
      </c>
      <c r="J199" s="613" t="s">
        <v>162</v>
      </c>
      <c r="K199" s="613" t="s">
        <v>162</v>
      </c>
      <c r="L199" s="613" t="s">
        <v>162</v>
      </c>
      <c r="M199" s="209"/>
      <c r="N199" s="613"/>
      <c r="O199" s="659" t="s">
        <v>162</v>
      </c>
      <c r="P199" s="164">
        <f t="shared" ref="P199" si="44">SUM(D199:K199)+M199-N199</f>
        <v>262369080</v>
      </c>
      <c r="Q199" s="612" t="s">
        <v>162</v>
      </c>
      <c r="R199" s="612" t="s">
        <v>162</v>
      </c>
      <c r="S199" s="298" t="s">
        <v>162</v>
      </c>
      <c r="T199" s="298" t="s">
        <v>162</v>
      </c>
      <c r="U199" s="612" t="s">
        <v>162</v>
      </c>
      <c r="V199" s="663">
        <f t="shared" si="39"/>
        <v>262369080</v>
      </c>
    </row>
    <row r="200" spans="1:22" s="173" customFormat="1">
      <c r="A200" s="298"/>
      <c r="B200" s="609" t="s">
        <v>982</v>
      </c>
      <c r="C200" s="609"/>
      <c r="D200" s="611" t="s">
        <v>162</v>
      </c>
      <c r="F200" s="611" t="s">
        <v>162</v>
      </c>
      <c r="G200" s="611" t="s">
        <v>162</v>
      </c>
      <c r="H200" s="611" t="s">
        <v>162</v>
      </c>
      <c r="I200" s="611" t="s">
        <v>162</v>
      </c>
      <c r="J200" s="611" t="s">
        <v>162</v>
      </c>
      <c r="K200" s="301">
        <f ca="1">SUMIF(Data!$1:$1,$C$2,Data!$1110:$1110)</f>
        <v>2950361</v>
      </c>
      <c r="L200" s="611" t="s">
        <v>162</v>
      </c>
      <c r="M200" s="131"/>
      <c r="N200" s="301"/>
      <c r="O200" s="660" t="s">
        <v>162</v>
      </c>
      <c r="P200" s="611" t="s">
        <v>162</v>
      </c>
      <c r="Q200" s="611" t="s">
        <v>162</v>
      </c>
      <c r="R200" s="611" t="s">
        <v>162</v>
      </c>
      <c r="S200" s="611" t="s">
        <v>162</v>
      </c>
      <c r="T200" s="301">
        <f ca="1">SUMIF(Data!$1:$1,$C$2,Data!$1110:$1110)</f>
        <v>2950361</v>
      </c>
      <c r="U200" s="611" t="s">
        <v>162</v>
      </c>
      <c r="V200" s="664">
        <f t="shared" ca="1" si="39"/>
        <v>2950361</v>
      </c>
    </row>
    <row r="201" spans="1:22" s="173" customFormat="1" ht="15">
      <c r="A201" s="298"/>
      <c r="B201" s="206" t="s">
        <v>983</v>
      </c>
      <c r="D201" s="174">
        <f>SUM(D189:D200)</f>
        <v>6320402229.2312622</v>
      </c>
      <c r="F201" s="174">
        <f t="shared" ref="F201:L201" si="45">SUM(F189:F200)</f>
        <v>580879865</v>
      </c>
      <c r="G201" s="174">
        <f t="shared" si="45"/>
        <v>273307192</v>
      </c>
      <c r="H201" s="174">
        <f t="shared" si="45"/>
        <v>528279389</v>
      </c>
      <c r="I201" s="174">
        <f t="shared" si="45"/>
        <v>331221563</v>
      </c>
      <c r="J201" s="174">
        <f t="shared" si="45"/>
        <v>292864916</v>
      </c>
      <c r="K201" s="174">
        <f t="shared" ca="1" si="45"/>
        <v>60680573</v>
      </c>
      <c r="L201" s="174">
        <f t="shared" si="45"/>
        <v>393750000</v>
      </c>
      <c r="M201" s="208"/>
      <c r="N201" s="174">
        <f>SUM(N189:N200)</f>
        <v>505132829</v>
      </c>
      <c r="O201" s="650">
        <f t="shared" ref="O201:V201" ca="1" si="46">SUM(O189:O200)</f>
        <v>4967169373.2312622</v>
      </c>
      <c r="P201" s="174">
        <f t="shared" si="46"/>
        <v>279869080</v>
      </c>
      <c r="Q201" s="174">
        <f t="shared" si="46"/>
        <v>1973148606</v>
      </c>
      <c r="R201" s="174">
        <f t="shared" si="46"/>
        <v>5438930989</v>
      </c>
      <c r="S201" s="174">
        <f t="shared" ca="1" si="46"/>
        <v>705612443.76999998</v>
      </c>
      <c r="T201" s="174">
        <f t="shared" ca="1" si="46"/>
        <v>1982486518</v>
      </c>
      <c r="U201" s="174">
        <f t="shared" si="46"/>
        <v>349378598</v>
      </c>
      <c r="V201" s="668">
        <f t="shared" ca="1" si="46"/>
        <v>15696595608.001263</v>
      </c>
    </row>
    <row r="202" spans="1:22" s="173" customFormat="1" ht="15">
      <c r="A202" s="298"/>
      <c r="B202" s="206"/>
      <c r="D202" s="174">
        <f>D183-D201</f>
        <v>0</v>
      </c>
      <c r="F202" s="174">
        <f t="shared" ref="F202:L202" si="47">F183-F201</f>
        <v>0</v>
      </c>
      <c r="G202" s="174">
        <f t="shared" si="47"/>
        <v>0</v>
      </c>
      <c r="H202" s="174">
        <f t="shared" si="47"/>
        <v>0</v>
      </c>
      <c r="I202" s="174">
        <f t="shared" si="47"/>
        <v>0</v>
      </c>
      <c r="J202" s="174">
        <f t="shared" si="47"/>
        <v>0</v>
      </c>
      <c r="K202" s="174">
        <f t="shared" ca="1" si="47"/>
        <v>0</v>
      </c>
      <c r="L202" s="174">
        <f t="shared" si="47"/>
        <v>0</v>
      </c>
      <c r="M202" s="208"/>
      <c r="N202" s="174">
        <f t="shared" ref="N202:V202" si="48">N183-N201</f>
        <v>0</v>
      </c>
      <c r="O202" s="650">
        <f t="shared" ca="1" si="48"/>
        <v>0</v>
      </c>
      <c r="P202" s="174">
        <f t="shared" si="48"/>
        <v>0</v>
      </c>
      <c r="Q202" s="174">
        <f t="shared" si="48"/>
        <v>0</v>
      </c>
      <c r="R202" s="174">
        <f t="shared" si="48"/>
        <v>0</v>
      </c>
      <c r="S202" s="174">
        <f t="shared" ca="1" si="48"/>
        <v>0</v>
      </c>
      <c r="T202" s="174">
        <f t="shared" ca="1" si="48"/>
        <v>0</v>
      </c>
      <c r="U202" s="174">
        <f t="shared" si="48"/>
        <v>0</v>
      </c>
      <c r="V202" s="666">
        <f t="shared" ca="1" si="48"/>
        <v>0</v>
      </c>
    </row>
    <row r="203" spans="1:22" s="173" customFormat="1" ht="15">
      <c r="A203" s="298"/>
      <c r="B203" s="206" t="s">
        <v>984</v>
      </c>
      <c r="D203" s="215"/>
      <c r="F203" s="215"/>
      <c r="G203" s="215"/>
      <c r="H203" s="215"/>
      <c r="I203" s="215"/>
      <c r="J203" s="215"/>
      <c r="K203" s="215"/>
      <c r="L203" s="215"/>
      <c r="M203" s="174"/>
      <c r="N203" s="215"/>
      <c r="O203" s="661"/>
      <c r="P203" s="298"/>
      <c r="Q203" s="298"/>
      <c r="R203" s="298"/>
      <c r="S203" s="298"/>
      <c r="T203" s="298"/>
      <c r="U203" s="298"/>
      <c r="V203" s="666"/>
    </row>
    <row r="204" spans="1:22">
      <c r="B204" t="s">
        <v>1996</v>
      </c>
      <c r="O204" s="649"/>
      <c r="V204" s="648"/>
    </row>
    <row r="205" spans="1:22">
      <c r="B205" t="s">
        <v>985</v>
      </c>
      <c r="O205" s="649"/>
      <c r="S205" s="156"/>
    </row>
    <row r="206" spans="1:22">
      <c r="B206" t="s">
        <v>986</v>
      </c>
      <c r="H206" s="156"/>
      <c r="O206" s="649"/>
      <c r="S206" s="156"/>
    </row>
    <row r="207" spans="1:22">
      <c r="B207" t="s">
        <v>987</v>
      </c>
      <c r="G207" s="156"/>
      <c r="O207" s="649"/>
    </row>
    <row r="208" spans="1:22">
      <c r="B208" t="s">
        <v>988</v>
      </c>
      <c r="O208" s="649"/>
    </row>
    <row r="209" spans="1:26">
      <c r="B209" t="s">
        <v>989</v>
      </c>
      <c r="K209" s="156"/>
      <c r="O209" s="157"/>
    </row>
    <row r="210" spans="1:26">
      <c r="O210" s="157"/>
    </row>
    <row r="211" spans="1:26">
      <c r="O211" s="234" t="s">
        <v>1997</v>
      </c>
      <c r="P211" s="232"/>
      <c r="Q211" s="355" t="s">
        <v>1518</v>
      </c>
    </row>
    <row r="212" spans="1:26" s="232" customFormat="1">
      <c r="A212" s="299"/>
      <c r="M212" s="233"/>
      <c r="O212" s="234" t="s">
        <v>1583</v>
      </c>
      <c r="Q212" s="619" t="s">
        <v>1584</v>
      </c>
    </row>
    <row r="213" spans="1:26" ht="15">
      <c r="B213" s="136" t="s">
        <v>1137</v>
      </c>
      <c r="O213" s="157" t="s">
        <v>1008</v>
      </c>
      <c r="U213" s="216"/>
      <c r="V213" s="216"/>
    </row>
    <row r="214" spans="1:26" ht="15">
      <c r="B214" s="136" t="s">
        <v>984</v>
      </c>
      <c r="O214" s="157"/>
      <c r="R214" s="261"/>
      <c r="U214" s="216"/>
      <c r="V214" s="216"/>
    </row>
    <row r="215" spans="1:26" ht="15">
      <c r="B215" s="620" t="s">
        <v>1585</v>
      </c>
      <c r="O215" s="157"/>
      <c r="R215" s="261"/>
      <c r="U215" s="216"/>
      <c r="V215" s="216"/>
    </row>
    <row r="216" spans="1:26" ht="15">
      <c r="B216" s="620" t="s">
        <v>1586</v>
      </c>
      <c r="O216" s="157"/>
      <c r="R216" s="261"/>
      <c r="U216" s="216"/>
      <c r="V216" s="216"/>
    </row>
    <row r="217" spans="1:26" ht="15">
      <c r="B217" s="136"/>
      <c r="O217" s="157"/>
      <c r="R217" s="261"/>
      <c r="U217" s="216"/>
      <c r="V217" s="216"/>
    </row>
    <row r="218" spans="1:26" ht="15">
      <c r="B218" s="136"/>
      <c r="L218">
        <v>262500000</v>
      </c>
      <c r="N218">
        <v>296173805</v>
      </c>
      <c r="O218" s="157"/>
      <c r="R218" s="261"/>
      <c r="U218" s="216"/>
      <c r="V218" s="216"/>
    </row>
    <row r="219" spans="1:26" ht="15">
      <c r="B219" s="136"/>
      <c r="O219" s="157"/>
      <c r="R219" s="261"/>
      <c r="U219" s="216"/>
      <c r="V219" s="216"/>
    </row>
    <row r="220" spans="1:26" ht="15">
      <c r="B220" s="136"/>
      <c r="O220" s="157"/>
      <c r="R220" s="261"/>
      <c r="U220" s="216"/>
      <c r="V220" s="216"/>
    </row>
    <row r="221" spans="1:26" ht="15">
      <c r="B221" s="136"/>
      <c r="O221" s="157"/>
      <c r="R221" s="261"/>
      <c r="U221" s="216"/>
      <c r="V221" s="216"/>
    </row>
    <row r="222" spans="1:26" ht="15" hidden="1" outlineLevel="1">
      <c r="B222" s="136" t="s">
        <v>1998</v>
      </c>
      <c r="J222" t="s">
        <v>1779</v>
      </c>
      <c r="O222" s="205" t="s">
        <v>1009</v>
      </c>
      <c r="P222" s="265" t="s">
        <v>1106</v>
      </c>
      <c r="Q222" s="265" t="s">
        <v>1110</v>
      </c>
      <c r="Z222" t="s">
        <v>1017</v>
      </c>
    </row>
    <row r="223" spans="1:26" hidden="1" outlineLevel="1">
      <c r="B223" s="173" t="s">
        <v>972</v>
      </c>
      <c r="D223" s="156">
        <f>D172</f>
        <v>2637922685.2312622</v>
      </c>
      <c r="F223" s="216" t="s">
        <v>1018</v>
      </c>
      <c r="G223" s="156">
        <f>G172</f>
        <v>187699677</v>
      </c>
      <c r="H223" s="156">
        <f>H172</f>
        <v>300078040</v>
      </c>
      <c r="I223" s="156">
        <f>I172</f>
        <v>214148045</v>
      </c>
      <c r="J223" s="690">
        <f>J172</f>
        <v>0</v>
      </c>
      <c r="K223" s="156"/>
      <c r="L223" s="156"/>
      <c r="N223" s="156">
        <f>N172</f>
        <v>332674488</v>
      </c>
      <c r="O223" s="160">
        <f t="shared" ref="O223:O228" si="49">SUM(D223:K223)+M223-N223</f>
        <v>3007173959.2312622</v>
      </c>
      <c r="Q223" s="156">
        <f t="shared" ref="Q223:Q229" si="50">O223</f>
        <v>3007173959.2312622</v>
      </c>
      <c r="T223" s="156"/>
      <c r="U223" s="156">
        <f t="shared" ref="U223:U229" si="51">SUM(O223:T223)</f>
        <v>6014347918.4625244</v>
      </c>
      <c r="V223" s="233">
        <v>2374049258</v>
      </c>
      <c r="W223" s="156">
        <f>V223-U223-U224</f>
        <v>-3707357990.4625244</v>
      </c>
      <c r="Z223" t="s">
        <v>1095</v>
      </c>
    </row>
    <row r="224" spans="1:26" hidden="1" outlineLevel="1">
      <c r="B224" s="173" t="s">
        <v>1096</v>
      </c>
      <c r="D224" s="156">
        <f>T10</f>
        <v>33529665</v>
      </c>
      <c r="F224" s="216"/>
      <c r="G224" s="156"/>
      <c r="H224" s="156"/>
      <c r="I224" s="156"/>
      <c r="J224" s="691"/>
      <c r="K224" s="156"/>
      <c r="L224" s="156"/>
      <c r="N224" s="156"/>
      <c r="O224" s="160">
        <f t="shared" si="49"/>
        <v>33529665</v>
      </c>
      <c r="Q224" s="156">
        <f t="shared" si="50"/>
        <v>33529665</v>
      </c>
      <c r="T224" s="156"/>
      <c r="U224" s="156">
        <f t="shared" si="51"/>
        <v>67059330</v>
      </c>
      <c r="V224" s="233"/>
      <c r="W224" s="156"/>
    </row>
    <row r="225" spans="2:27" hidden="1" outlineLevel="1">
      <c r="B225" s="173" t="s">
        <v>786</v>
      </c>
      <c r="D225" s="156">
        <f>D174</f>
        <v>1526864343</v>
      </c>
      <c r="G225" s="156">
        <f>G174</f>
        <v>64563188</v>
      </c>
      <c r="H225" s="156">
        <f>H174</f>
        <v>169721372</v>
      </c>
      <c r="I225" s="156">
        <f>I174</f>
        <v>92577694</v>
      </c>
      <c r="J225" s="691">
        <f>J174</f>
        <v>0</v>
      </c>
      <c r="K225" s="156"/>
      <c r="L225" s="156"/>
      <c r="N225" s="156">
        <f>N174</f>
        <v>156100128</v>
      </c>
      <c r="O225" s="160">
        <f t="shared" si="49"/>
        <v>1697626469</v>
      </c>
      <c r="Q225" s="156">
        <f t="shared" si="50"/>
        <v>1697626469</v>
      </c>
      <c r="T225" s="156"/>
      <c r="U225" s="156">
        <f t="shared" si="51"/>
        <v>3395252938</v>
      </c>
      <c r="V225" s="233"/>
      <c r="W225" s="156">
        <f t="shared" ref="W225:W229" si="52">V225-U225</f>
        <v>-3395252938</v>
      </c>
      <c r="Z225" t="s">
        <v>1016</v>
      </c>
    </row>
    <row r="226" spans="2:27" hidden="1" outlineLevel="1">
      <c r="B226" s="173" t="s">
        <v>981</v>
      </c>
      <c r="D226" s="156">
        <f>D181</f>
        <v>206254845</v>
      </c>
      <c r="G226" s="156">
        <f>G181</f>
        <v>12294477</v>
      </c>
      <c r="H226" s="156">
        <f>H181</f>
        <v>34718120</v>
      </c>
      <c r="I226" s="156">
        <f>I181</f>
        <v>9101638</v>
      </c>
      <c r="J226" s="691">
        <f>J181</f>
        <v>0</v>
      </c>
      <c r="K226" s="156"/>
      <c r="L226" s="156"/>
      <c r="N226" s="156">
        <f>N181</f>
        <v>0</v>
      </c>
      <c r="O226" s="160">
        <f t="shared" si="49"/>
        <v>262369080</v>
      </c>
      <c r="Q226" s="156">
        <f t="shared" si="50"/>
        <v>262369080</v>
      </c>
      <c r="U226" s="156">
        <f t="shared" si="51"/>
        <v>524738160</v>
      </c>
      <c r="V226" s="233"/>
      <c r="W226" s="156">
        <f t="shared" si="52"/>
        <v>-524738160</v>
      </c>
      <c r="Z226" s="238">
        <v>161065711</v>
      </c>
      <c r="AA226" t="s">
        <v>1015</v>
      </c>
    </row>
    <row r="227" spans="2:27" hidden="1" outlineLevel="1">
      <c r="B227" s="173" t="s">
        <v>975</v>
      </c>
      <c r="D227" s="156">
        <f>D176</f>
        <v>59997515</v>
      </c>
      <c r="G227" s="156">
        <f>G176</f>
        <v>1041687</v>
      </c>
      <c r="H227" s="156">
        <f>H176</f>
        <v>2325188</v>
      </c>
      <c r="I227" s="156">
        <f>I176</f>
        <v>4153387</v>
      </c>
      <c r="J227" s="691">
        <f>J176</f>
        <v>0</v>
      </c>
      <c r="K227" s="156"/>
      <c r="L227" s="156"/>
      <c r="N227" s="156">
        <f>N176</f>
        <v>9074572</v>
      </c>
      <c r="O227" s="160">
        <f t="shared" si="49"/>
        <v>58443205</v>
      </c>
      <c r="Q227" s="156">
        <f t="shared" si="50"/>
        <v>58443205</v>
      </c>
      <c r="U227" s="156">
        <f t="shared" si="51"/>
        <v>116886410</v>
      </c>
      <c r="V227" s="233"/>
      <c r="W227" s="156">
        <f t="shared" si="52"/>
        <v>-116886410</v>
      </c>
      <c r="Z227" t="s">
        <v>1014</v>
      </c>
    </row>
    <row r="228" spans="2:27" hidden="1" outlineLevel="1">
      <c r="B228" s="173" t="s">
        <v>1011</v>
      </c>
      <c r="D228" s="156">
        <f>D179+D178</f>
        <v>822604121</v>
      </c>
      <c r="G228" s="156">
        <f>G179+G178</f>
        <v>1422421</v>
      </c>
      <c r="H228" s="156">
        <f>H179+H178</f>
        <v>3438293</v>
      </c>
      <c r="I228" s="156">
        <f>I179+I178</f>
        <v>1236397</v>
      </c>
      <c r="J228" s="196">
        <f>J179+J178</f>
        <v>0</v>
      </c>
      <c r="N228" s="156">
        <f>N179</f>
        <v>0</v>
      </c>
      <c r="O228" s="160">
        <f t="shared" si="49"/>
        <v>828701232</v>
      </c>
      <c r="Q228" s="156">
        <f t="shared" si="50"/>
        <v>828701232</v>
      </c>
      <c r="U228" s="156">
        <f t="shared" si="51"/>
        <v>1657402464</v>
      </c>
      <c r="V228" s="233"/>
      <c r="W228" s="156">
        <f t="shared" si="52"/>
        <v>-1657402464</v>
      </c>
      <c r="Z228" s="238">
        <v>17000000</v>
      </c>
      <c r="AA228" t="s">
        <v>1013</v>
      </c>
    </row>
    <row r="229" spans="2:27" hidden="1" outlineLevel="1">
      <c r="B229" s="173" t="s">
        <v>1010</v>
      </c>
      <c r="D229" s="156"/>
      <c r="G229" s="156"/>
      <c r="H229" s="156"/>
      <c r="I229" s="156"/>
      <c r="J229" s="156"/>
      <c r="L229" s="156">
        <f>L183*0.5</f>
        <v>196875000</v>
      </c>
      <c r="N229" s="156"/>
      <c r="O229" s="160">
        <f>L229</f>
        <v>196875000</v>
      </c>
      <c r="Q229" s="156">
        <f t="shared" si="50"/>
        <v>196875000</v>
      </c>
      <c r="U229" s="156">
        <f t="shared" si="51"/>
        <v>393750000</v>
      </c>
      <c r="V229" s="236"/>
      <c r="W229" s="156">
        <f t="shared" si="52"/>
        <v>-393750000</v>
      </c>
      <c r="Z229" s="238">
        <v>34400000</v>
      </c>
      <c r="AA229" t="s">
        <v>1013</v>
      </c>
    </row>
    <row r="230" spans="2:27" hidden="1" outlineLevel="1">
      <c r="B230" s="173"/>
      <c r="D230" s="156"/>
      <c r="G230" s="156"/>
      <c r="H230" s="156"/>
      <c r="I230" s="156"/>
      <c r="J230" s="156"/>
      <c r="L230" s="156"/>
      <c r="N230" s="156"/>
      <c r="O230" s="160"/>
      <c r="P230" s="265" t="s">
        <v>1106</v>
      </c>
      <c r="Q230" s="265" t="s">
        <v>1110</v>
      </c>
      <c r="R230" s="259" t="s">
        <v>1055</v>
      </c>
      <c r="U230" s="156"/>
      <c r="V230" s="236"/>
      <c r="W230" s="156"/>
      <c r="Z230" s="238"/>
    </row>
    <row r="231" spans="2:27" ht="63.75" collapsed="1">
      <c r="B231" s="221" t="s">
        <v>1184</v>
      </c>
      <c r="D231" s="156"/>
      <c r="O231" s="434">
        <f>SUM(O223:O229)</f>
        <v>6084718610.2312622</v>
      </c>
      <c r="P231" s="435"/>
      <c r="Q231" s="434">
        <f>SUM(Q223:Q229)</f>
        <v>6084718610.2312622</v>
      </c>
      <c r="R231" s="259">
        <f>$C$2</f>
        <v>2020</v>
      </c>
      <c r="Z231" s="238">
        <v>30000000</v>
      </c>
      <c r="AA231" t="s">
        <v>781</v>
      </c>
    </row>
    <row r="232" spans="2:27">
      <c r="D232" s="156"/>
      <c r="O232" s="160"/>
      <c r="P232" s="435" t="s">
        <v>1889</v>
      </c>
      <c r="U232" s="203"/>
      <c r="V232" s="203"/>
      <c r="W232" s="203"/>
      <c r="Z232" s="239">
        <v>279597</v>
      </c>
    </row>
    <row r="233" spans="2:27" ht="120.75" thickBot="1">
      <c r="B233" s="338" t="s">
        <v>1183</v>
      </c>
      <c r="K233" s="289">
        <f>K183</f>
        <v>60680573</v>
      </c>
      <c r="O233" s="347">
        <f t="shared" ref="O233" si="53">SUM(D233:K233)+M233-N233</f>
        <v>60680573</v>
      </c>
      <c r="P233" s="240" t="s">
        <v>1890</v>
      </c>
      <c r="Q233" s="347">
        <f>O233</f>
        <v>60680573</v>
      </c>
      <c r="R233" s="259">
        <f>$C$2</f>
        <v>2020</v>
      </c>
      <c r="U233" s="156">
        <f>SUM(U223:U229)</f>
        <v>12169437220.462524</v>
      </c>
      <c r="V233" s="156"/>
      <c r="W233" s="156">
        <f>SUM(W223:W229)</f>
        <v>-9795387962.4625244</v>
      </c>
      <c r="Z233" s="156">
        <f>V228+SUM(Z228:Z232)</f>
        <v>81679597</v>
      </c>
    </row>
    <row r="234" spans="2:27" ht="13.5" thickTop="1">
      <c r="K234" s="156"/>
      <c r="O234" s="242"/>
      <c r="P234" s="240"/>
      <c r="Q234" s="229"/>
      <c r="U234" s="156"/>
      <c r="W234" s="156"/>
      <c r="Z234" s="156"/>
    </row>
    <row r="235" spans="2:27" ht="120.75" thickBot="1">
      <c r="B235" s="338" t="s">
        <v>1182</v>
      </c>
      <c r="D235" t="s">
        <v>1607</v>
      </c>
      <c r="E235" s="289">
        <f>SUMIF(Data!$1:$1,$C$2-1,Data!2377:2377)</f>
        <v>108354854</v>
      </c>
      <c r="K235" s="156"/>
      <c r="O235" s="347">
        <f>E235</f>
        <v>108354854</v>
      </c>
      <c r="P235" s="240" t="s">
        <v>1906</v>
      </c>
      <c r="Q235" s="347">
        <f>O235</f>
        <v>108354854</v>
      </c>
      <c r="R235" s="259">
        <f>$C$2-1</f>
        <v>2019</v>
      </c>
      <c r="U235" s="156"/>
      <c r="V235" s="156"/>
      <c r="W235" s="156"/>
      <c r="Z235" s="156"/>
    </row>
    <row r="236" spans="2:27" ht="13.5" thickTop="1">
      <c r="K236" s="156"/>
      <c r="O236" s="242"/>
      <c r="P236" s="229"/>
      <c r="Q236" s="229"/>
      <c r="R236" s="261"/>
      <c r="U236" s="156"/>
      <c r="V236" s="156"/>
      <c r="W236" s="156"/>
      <c r="Z236" s="156"/>
    </row>
    <row r="237" spans="2:27" hidden="1" outlineLevel="1">
      <c r="B237" s="290" t="s">
        <v>1049</v>
      </c>
      <c r="F237" s="335">
        <f>C2-1</f>
        <v>2019</v>
      </c>
      <c r="K237" s="156"/>
      <c r="O237" s="242"/>
      <c r="P237" s="229"/>
      <c r="Q237" s="229"/>
      <c r="U237" s="156"/>
      <c r="V237" s="156"/>
      <c r="W237" s="156"/>
      <c r="Z237" s="156"/>
    </row>
    <row r="238" spans="2:27" hidden="1" outlineLevel="1">
      <c r="B238" t="s">
        <v>1050</v>
      </c>
      <c r="F238" s="156">
        <f>(SUMIF(Data!$1:$1,$C$2-1,Data!2410:2410)-SUMIF(Data!$1:$1,$C$2-1,Data!2384:2384))*-1</f>
        <v>516647000</v>
      </c>
      <c r="K238" s="156"/>
      <c r="U238" s="156"/>
      <c r="V238" s="156"/>
      <c r="W238" s="156"/>
      <c r="Z238" s="156"/>
    </row>
    <row r="239" spans="2:27" hidden="1" outlineLevel="1">
      <c r="B239" t="s">
        <v>1051</v>
      </c>
      <c r="F239" s="156">
        <f>F35+F10</f>
        <v>201938055</v>
      </c>
      <c r="K239" s="156"/>
      <c r="O239" s="242"/>
      <c r="P239" s="229"/>
      <c r="Q239" s="229"/>
      <c r="U239" s="156"/>
      <c r="V239" s="156"/>
      <c r="W239" s="156"/>
      <c r="Z239" s="156"/>
    </row>
    <row r="240" spans="2:27" hidden="1" outlineLevel="1">
      <c r="B240" t="s">
        <v>1052</v>
      </c>
      <c r="F240" s="204">
        <f>SUMIF(Data!$1:$1,$C$2-1,Data!2415:2415)</f>
        <v>27386212</v>
      </c>
      <c r="K240" s="156"/>
      <c r="O240" s="242"/>
      <c r="P240" s="229"/>
      <c r="Q240" s="229"/>
      <c r="U240" s="156"/>
      <c r="V240" s="156"/>
      <c r="W240" s="156"/>
      <c r="Z240" s="156"/>
    </row>
    <row r="241" spans="2:26" hidden="1" outlineLevel="1">
      <c r="F241" s="164"/>
      <c r="K241" s="156"/>
      <c r="O241" s="242"/>
      <c r="P241" s="229"/>
      <c r="Q241" s="229"/>
      <c r="U241" s="156"/>
      <c r="V241" s="156"/>
      <c r="W241" s="156"/>
      <c r="Z241" s="156"/>
    </row>
    <row r="242" spans="2:26" ht="75.75" collapsed="1" thickBot="1">
      <c r="B242" s="272" t="s">
        <v>1181</v>
      </c>
      <c r="F242" s="289">
        <f>SUM(F238:F240)</f>
        <v>745971267</v>
      </c>
      <c r="O242" s="347">
        <f t="shared" ref="O242" si="54">SUM(D242:K242)+M242-N242</f>
        <v>745971267</v>
      </c>
      <c r="P242" s="240" t="s">
        <v>1907</v>
      </c>
      <c r="Q242" s="347">
        <f>O242</f>
        <v>745971267</v>
      </c>
      <c r="R242" s="259">
        <f>$C$2-1</f>
        <v>2019</v>
      </c>
    </row>
    <row r="243" spans="2:26" ht="15.75" thickTop="1">
      <c r="B243" s="337"/>
      <c r="F243" s="164"/>
      <c r="O243" s="242"/>
      <c r="P243" s="229"/>
      <c r="Q243" s="229"/>
      <c r="R243" s="261"/>
    </row>
    <row r="244" spans="2:26" ht="15" hidden="1" outlineLevel="1">
      <c r="B244" s="136" t="s">
        <v>1999</v>
      </c>
      <c r="F244" s="156"/>
      <c r="M244"/>
      <c r="O244" s="157"/>
      <c r="Z244" s="156">
        <f>Z233-U228</f>
        <v>-1575722867</v>
      </c>
    </row>
    <row r="245" spans="2:26" hidden="1" outlineLevel="1">
      <c r="B245" s="173" t="s">
        <v>973</v>
      </c>
      <c r="D245" s="156">
        <f>D173</f>
        <v>936193916</v>
      </c>
      <c r="G245" s="156">
        <f>G173</f>
        <v>0</v>
      </c>
      <c r="H245" s="156">
        <f>H173</f>
        <v>0</v>
      </c>
      <c r="I245" s="156">
        <f>I173</f>
        <v>0</v>
      </c>
      <c r="J245" s="156">
        <f>J173</f>
        <v>292864916</v>
      </c>
      <c r="M245"/>
      <c r="N245" s="156">
        <f>N173</f>
        <v>0</v>
      </c>
      <c r="O245" s="160">
        <f>SUM(D245:K245)+M245-N245</f>
        <v>1229058832</v>
      </c>
    </row>
    <row r="246" spans="2:26" hidden="1" outlineLevel="1">
      <c r="B246" s="173" t="s">
        <v>990</v>
      </c>
      <c r="D246" s="204">
        <f>D175+D177</f>
        <v>130564804</v>
      </c>
      <c r="E246" s="243"/>
      <c r="G246" s="204">
        <f>G175+G177</f>
        <v>6285742</v>
      </c>
      <c r="H246" s="204">
        <f>H175+H177</f>
        <v>17998376</v>
      </c>
      <c r="I246" s="204">
        <f>I175+I177</f>
        <v>10004402</v>
      </c>
      <c r="J246" s="204">
        <f>J175+J177</f>
        <v>0</v>
      </c>
      <c r="M246"/>
      <c r="N246" s="204">
        <f>N175+N177</f>
        <v>7283641</v>
      </c>
      <c r="O246" s="160">
        <f>SUM(D246:K246)+M246-N246</f>
        <v>157569683</v>
      </c>
    </row>
    <row r="247" spans="2:26" hidden="1" outlineLevel="1">
      <c r="B247" s="173"/>
      <c r="D247" s="164"/>
      <c r="E247" s="243"/>
      <c r="G247" s="164"/>
      <c r="H247" s="164"/>
      <c r="I247" s="164"/>
      <c r="J247" s="164"/>
      <c r="M247"/>
      <c r="N247" s="164"/>
      <c r="O247" s="160"/>
    </row>
    <row r="248" spans="2:26" ht="63.75" collapsed="1">
      <c r="B248" s="221" t="s">
        <v>1185</v>
      </c>
      <c r="O248" s="434">
        <f>SUM(O245:O246)</f>
        <v>1386628515</v>
      </c>
      <c r="P248" s="622">
        <f>O248</f>
        <v>1386628515</v>
      </c>
      <c r="Q248" s="241"/>
      <c r="R248" s="259">
        <f>$C$2</f>
        <v>2020</v>
      </c>
    </row>
    <row r="249" spans="2:26">
      <c r="B249" s="209" t="s">
        <v>1256</v>
      </c>
      <c r="D249" s="156">
        <f>SUM(D223:D246)</f>
        <v>6353931894.2312622</v>
      </c>
      <c r="E249" s="156"/>
      <c r="G249" s="156">
        <f>SUM(G223:G246)</f>
        <v>273307192</v>
      </c>
      <c r="H249" s="156">
        <f>SUM(H223:H246)</f>
        <v>528279389</v>
      </c>
      <c r="I249" s="156">
        <f>SUM(I223:I246)</f>
        <v>331221563</v>
      </c>
      <c r="J249" s="156">
        <f>SUM(J223:J246)</f>
        <v>292864916</v>
      </c>
      <c r="M249"/>
      <c r="N249" s="156">
        <f>SUM(N223:N246)</f>
        <v>505132829</v>
      </c>
      <c r="O249" s="157"/>
      <c r="P249" s="1044"/>
    </row>
    <row r="250" spans="2:26">
      <c r="D250" s="217" t="str">
        <f>IF(D249&lt;&gt;(D183+T10),"Error","")</f>
        <v/>
      </c>
      <c r="E250" s="156"/>
      <c r="G250" s="217" t="str">
        <f>IF(G249&lt;&gt;G183,"Error","")</f>
        <v/>
      </c>
      <c r="H250" s="217" t="str">
        <f>IF(H249&lt;&gt;H183,"Error","")</f>
        <v/>
      </c>
      <c r="I250" s="217" t="str">
        <f>IF(I249&lt;&gt;I183,"Error","")</f>
        <v/>
      </c>
      <c r="J250" s="217" t="str">
        <f>IF(J249&lt;&gt;J183,"Error","")</f>
        <v/>
      </c>
      <c r="M250"/>
      <c r="N250" s="217" t="str">
        <f>IF(N249&lt;&gt;N183,"Error","")</f>
        <v/>
      </c>
      <c r="O250" s="157"/>
    </row>
    <row r="251" spans="2:26">
      <c r="M251"/>
      <c r="O251" s="157"/>
    </row>
    <row r="252" spans="2:26">
      <c r="M252"/>
      <c r="O252" s="157"/>
    </row>
    <row r="253" spans="2:26" hidden="1" outlineLevel="1">
      <c r="B253" t="s">
        <v>1587</v>
      </c>
      <c r="E253" s="335">
        <f>$C$2-1</f>
        <v>2019</v>
      </c>
      <c r="M253"/>
      <c r="O253" s="157"/>
    </row>
    <row r="254" spans="2:26" ht="70.5" customHeight="1" collapsed="1" thickBot="1">
      <c r="B254" s="262" t="s">
        <v>1187</v>
      </c>
      <c r="E254" s="303">
        <f>SUMIF(Data!$1:$1,$E$253,Data!1139:1139)</f>
        <v>85905147</v>
      </c>
      <c r="M254"/>
      <c r="O254" s="347">
        <f>SUM(E254:K254)+M254-N254</f>
        <v>85905147</v>
      </c>
      <c r="P254" s="240" t="s">
        <v>1192</v>
      </c>
      <c r="Q254" s="241"/>
      <c r="R254" s="259">
        <f>E253</f>
        <v>2019</v>
      </c>
    </row>
    <row r="255" spans="2:26" ht="15.75" customHeight="1" thickTop="1">
      <c r="B255" s="340"/>
      <c r="E255" s="131"/>
      <c r="M255"/>
      <c r="O255" s="260"/>
      <c r="P255" s="229"/>
      <c r="Q255" s="229"/>
      <c r="R255" s="261"/>
    </row>
    <row r="256" spans="2:26" ht="15.75" customHeight="1">
      <c r="B256" s="340"/>
      <c r="E256" s="131"/>
      <c r="M256"/>
      <c r="O256" s="260"/>
      <c r="P256" s="229"/>
      <c r="Q256" s="229"/>
      <c r="R256" s="261"/>
    </row>
    <row r="257" spans="2:18" ht="19.5" hidden="1" customHeight="1" outlineLevel="1">
      <c r="B257" t="s">
        <v>1587</v>
      </c>
      <c r="E257" s="335">
        <f>$C$2-1</f>
        <v>2019</v>
      </c>
      <c r="M257"/>
      <c r="O257" s="260"/>
      <c r="P257" s="229"/>
      <c r="Q257" s="229"/>
      <c r="R257" s="261"/>
    </row>
    <row r="258" spans="2:18" hidden="1" outlineLevel="1">
      <c r="B258" s="229"/>
      <c r="D258" s="131"/>
      <c r="M258"/>
      <c r="O258" s="260"/>
      <c r="P258" s="229"/>
      <c r="Q258" s="229"/>
      <c r="R258" s="261"/>
    </row>
    <row r="259" spans="2:18" ht="26.25" collapsed="1" thickBot="1">
      <c r="B259" s="262" t="s">
        <v>1056</v>
      </c>
      <c r="D259" s="131"/>
      <c r="E259" s="303">
        <f>SUMIF(Data!$1:$1,$E$257,Data!1234:1234)</f>
        <v>27932204</v>
      </c>
      <c r="M259"/>
      <c r="O259" s="347">
        <f>SUM(D259:K259)+M259-N259</f>
        <v>27932204</v>
      </c>
      <c r="P259" s="240" t="s">
        <v>1891</v>
      </c>
      <c r="Q259" s="241"/>
      <c r="R259" s="259">
        <f>E257</f>
        <v>2019</v>
      </c>
    </row>
    <row r="260" spans="2:18" ht="13.5" thickTop="1">
      <c r="M260"/>
    </row>
    <row r="261" spans="2:18" hidden="1" outlineLevel="1">
      <c r="B261" t="s">
        <v>1587</v>
      </c>
      <c r="E261" s="335">
        <f>$C$2-1</f>
        <v>2019</v>
      </c>
      <c r="M261"/>
    </row>
    <row r="262" spans="2:18" hidden="1" outlineLevel="1">
      <c r="E262" s="265" t="s">
        <v>1054</v>
      </c>
      <c r="M262"/>
    </row>
    <row r="263" spans="2:18" hidden="1" outlineLevel="1">
      <c r="B263" s="256" t="s">
        <v>31</v>
      </c>
      <c r="E263" s="156">
        <f>SUMIF(Data!$1:$1,$E$261,Data!240:240)</f>
        <v>76730926</v>
      </c>
      <c r="M263"/>
    </row>
    <row r="264" spans="2:18" hidden="1" outlineLevel="1">
      <c r="B264" s="256" t="s">
        <v>32</v>
      </c>
      <c r="E264" s="156">
        <f>SUMIF(Data!$1:$1,$E$261,Data!241:241)</f>
        <v>119664720</v>
      </c>
      <c r="M264"/>
    </row>
    <row r="265" spans="2:18" hidden="1" outlineLevel="1">
      <c r="B265" s="256" t="s">
        <v>33</v>
      </c>
      <c r="E265" s="156">
        <f>SUMIF(Data!$1:$1,$E$261,Data!242:242)</f>
        <v>75786833</v>
      </c>
      <c r="M265"/>
    </row>
    <row r="266" spans="2:18" hidden="1" outlineLevel="1">
      <c r="B266" s="256" t="s">
        <v>34</v>
      </c>
      <c r="E266" s="156">
        <f>SUMIF(Data!$1:$1,$E$261,Data!243:243)</f>
        <v>30159672</v>
      </c>
      <c r="M266"/>
    </row>
    <row r="267" spans="2:18" hidden="1" outlineLevel="1">
      <c r="B267" s="257" t="s">
        <v>1847</v>
      </c>
      <c r="E267" s="156">
        <f>SUMIF(Data!$1:$1,$E$261,Data!244:244)</f>
        <v>35789330</v>
      </c>
      <c r="M267"/>
    </row>
    <row r="268" spans="2:18" hidden="1" outlineLevel="1">
      <c r="B268" s="256" t="s">
        <v>35</v>
      </c>
      <c r="E268" s="156">
        <f>SUMIF(Data!$1:$1,$E$261,Data!245:245)</f>
        <v>0</v>
      </c>
      <c r="M268"/>
    </row>
    <row r="269" spans="2:18" hidden="1" outlineLevel="1">
      <c r="B269" s="256" t="s">
        <v>36</v>
      </c>
      <c r="E269" s="156">
        <f>SUMIF(Data!$1:$1,$E$261,Data!246:246)</f>
        <v>0</v>
      </c>
      <c r="M269"/>
    </row>
    <row r="270" spans="2:18" hidden="1" outlineLevel="1">
      <c r="B270" s="256" t="s">
        <v>37</v>
      </c>
      <c r="E270" s="156">
        <f>SUMIF(Data!$1:$1,$E$261,Data!247:247)</f>
        <v>8417082</v>
      </c>
      <c r="M270"/>
    </row>
    <row r="271" spans="2:18" hidden="1" outlineLevel="1">
      <c r="B271" s="256" t="s">
        <v>38</v>
      </c>
      <c r="E271" s="156">
        <f>SUMIF(Data!$1:$1,$E$261,Data!248:248)</f>
        <v>42559061</v>
      </c>
      <c r="M271"/>
    </row>
    <row r="272" spans="2:18" hidden="1" outlineLevel="1">
      <c r="B272" s="256" t="s">
        <v>39</v>
      </c>
      <c r="E272" s="156">
        <f>SUMIF(Data!$1:$1,$E$261,Data!249:249)</f>
        <v>11664078</v>
      </c>
      <c r="M272"/>
    </row>
    <row r="273" spans="2:13" hidden="1" outlineLevel="1">
      <c r="B273" s="63" t="s">
        <v>40</v>
      </c>
      <c r="E273" s="138" t="s">
        <v>162</v>
      </c>
      <c r="M273"/>
    </row>
    <row r="274" spans="2:13" hidden="1" outlineLevel="1">
      <c r="B274" s="256" t="s">
        <v>31</v>
      </c>
      <c r="E274" s="156">
        <f>SUMIF(Data!$1:$1,$E$261,Data!251:251)</f>
        <v>125309433</v>
      </c>
      <c r="M274"/>
    </row>
    <row r="275" spans="2:13" hidden="1" outlineLevel="1">
      <c r="B275" s="256" t="s">
        <v>32</v>
      </c>
      <c r="E275" s="156">
        <f>SUMIF(Data!$1:$1,$E$261,Data!252:252)</f>
        <v>4477976</v>
      </c>
      <c r="M275"/>
    </row>
    <row r="276" spans="2:13" hidden="1" outlineLevel="1">
      <c r="B276" s="256" t="s">
        <v>33</v>
      </c>
      <c r="E276" s="156">
        <f>SUMIF(Data!$1:$1,$E$261,Data!253:253)</f>
        <v>17233861</v>
      </c>
      <c r="M276"/>
    </row>
    <row r="277" spans="2:13" hidden="1" outlineLevel="1">
      <c r="B277" s="256" t="s">
        <v>34</v>
      </c>
      <c r="E277" s="156">
        <f>SUMIF(Data!$1:$1,$E$261,Data!254:254)</f>
        <v>15315298</v>
      </c>
      <c r="M277"/>
    </row>
    <row r="278" spans="2:13" hidden="1" outlineLevel="1">
      <c r="B278" s="256" t="s">
        <v>35</v>
      </c>
      <c r="E278" s="156">
        <f>SUMIF(Data!$1:$1,$E$261,Data!255:255)</f>
        <v>2434313</v>
      </c>
      <c r="M278"/>
    </row>
    <row r="279" spans="2:13" hidden="1" outlineLevel="1">
      <c r="B279" s="256" t="s">
        <v>36</v>
      </c>
      <c r="E279" s="156">
        <f>SUMIF(Data!$1:$1,$E$261,Data!256:256)</f>
        <v>17485008</v>
      </c>
      <c r="M279"/>
    </row>
    <row r="280" spans="2:13" hidden="1" outlineLevel="1">
      <c r="B280" s="256" t="s">
        <v>37</v>
      </c>
      <c r="E280" s="156">
        <f>SUMIF(Data!$1:$1,$E$261,Data!257:257)</f>
        <v>24088718</v>
      </c>
      <c r="M280"/>
    </row>
    <row r="281" spans="2:13" hidden="1" outlineLevel="1">
      <c r="B281" s="256" t="s">
        <v>38</v>
      </c>
      <c r="E281" s="156">
        <f>SUMIF(Data!$1:$1,$E$261,Data!258:258)</f>
        <v>6371897</v>
      </c>
      <c r="M281"/>
    </row>
    <row r="282" spans="2:13" hidden="1" outlineLevel="1">
      <c r="B282" s="256" t="s">
        <v>39</v>
      </c>
      <c r="E282" s="156">
        <f>SUMIF(Data!$1:$1,$E$261,Data!259:259)</f>
        <v>9212991</v>
      </c>
      <c r="M282"/>
    </row>
    <row r="283" spans="2:13" hidden="1" outlineLevel="1">
      <c r="B283" s="256" t="s">
        <v>42</v>
      </c>
      <c r="E283" s="156">
        <f>SUMIF(Data!$1:$1,$E$261,Data!260:260)</f>
        <v>13077130</v>
      </c>
      <c r="M283"/>
    </row>
    <row r="284" spans="2:13" hidden="1" outlineLevel="1">
      <c r="B284" s="256" t="s">
        <v>43</v>
      </c>
      <c r="E284" s="156">
        <f>SUMIF(Data!$1:$1,$E$261,Data!261:261)</f>
        <v>19639225</v>
      </c>
      <c r="M284"/>
    </row>
    <row r="285" spans="2:13" hidden="1" outlineLevel="1">
      <c r="B285" s="256" t="s">
        <v>44</v>
      </c>
      <c r="E285" s="156">
        <f>SUMIF(Data!$1:$1,$E$261,Data!262:262)</f>
        <v>2603966</v>
      </c>
      <c r="M285"/>
    </row>
    <row r="286" spans="2:13" hidden="1" outlineLevel="1">
      <c r="B286" s="256" t="s">
        <v>46</v>
      </c>
      <c r="E286" s="156">
        <f>SUMIF(Data!$1:$1,$E$261,Data!263:263)</f>
        <v>83560759</v>
      </c>
      <c r="M286"/>
    </row>
    <row r="287" spans="2:13" hidden="1" outlineLevel="1">
      <c r="B287" s="256" t="s">
        <v>47</v>
      </c>
      <c r="E287" s="156">
        <f>SUMIF(Data!$1:$1,$E$261,Data!264:264)</f>
        <v>17504412</v>
      </c>
      <c r="M287"/>
    </row>
    <row r="288" spans="2:13" hidden="1" outlineLevel="1">
      <c r="B288" s="256" t="s">
        <v>48</v>
      </c>
      <c r="E288" s="156">
        <f>SUMIF(Data!$1:$1,$E$261,Data!265:265)</f>
        <v>17389121</v>
      </c>
      <c r="M288"/>
    </row>
    <row r="289" spans="2:13" hidden="1" outlineLevel="1">
      <c r="B289" s="256" t="s">
        <v>49</v>
      </c>
      <c r="E289" s="156">
        <f>SUMIF(Data!$1:$1,$E$261,Data!266:266)</f>
        <v>5198425</v>
      </c>
      <c r="M289"/>
    </row>
    <row r="290" spans="2:13" hidden="1" outlineLevel="1">
      <c r="B290" s="256" t="s">
        <v>50</v>
      </c>
      <c r="E290" s="156">
        <f>SUMIF(Data!$1:$1,$E$261,Data!267:267)</f>
        <v>7266266</v>
      </c>
      <c r="M290"/>
    </row>
    <row r="291" spans="2:13" hidden="1" outlineLevel="1">
      <c r="B291" s="256" t="s">
        <v>52</v>
      </c>
      <c r="E291" s="156">
        <f>SUMIF(Data!$1:$1,$E$261,Data!269:269)</f>
        <v>61171757</v>
      </c>
      <c r="M291"/>
    </row>
    <row r="292" spans="2:13" hidden="1" outlineLevel="1">
      <c r="B292" s="256" t="s">
        <v>53</v>
      </c>
      <c r="E292" s="156">
        <f>SUMIF(Data!$1:$1,$E$261,Data!270:270)</f>
        <v>6181143</v>
      </c>
      <c r="M292"/>
    </row>
    <row r="293" spans="2:13" hidden="1" outlineLevel="1">
      <c r="B293" s="256" t="s">
        <v>54</v>
      </c>
      <c r="E293" s="156">
        <f>SUMIF(Data!$1:$1,$E$261,Data!271:271)</f>
        <v>16618282</v>
      </c>
      <c r="M293"/>
    </row>
    <row r="294" spans="2:13" hidden="1" outlineLevel="1">
      <c r="B294" s="256" t="s">
        <v>55</v>
      </c>
      <c r="E294" s="156">
        <f>SUMIF(Data!$1:$1,$E$261,Data!272:272)</f>
        <v>23885316</v>
      </c>
      <c r="M294"/>
    </row>
    <row r="295" spans="2:13" hidden="1" outlineLevel="1">
      <c r="B295" s="256" t="s">
        <v>57</v>
      </c>
      <c r="E295" s="156">
        <f>SUMIF(Data!$1:$1,$E$261,Data!273:273)</f>
        <v>62782356</v>
      </c>
      <c r="M295"/>
    </row>
    <row r="296" spans="2:13" hidden="1" outlineLevel="1">
      <c r="B296" s="256" t="s">
        <v>58</v>
      </c>
      <c r="E296" s="156">
        <f>SUMIF(Data!$1:$1,$E$261,Data!274:274)</f>
        <v>13514863</v>
      </c>
      <c r="M296"/>
    </row>
    <row r="297" spans="2:13" hidden="1" outlineLevel="1">
      <c r="B297" s="256" t="s">
        <v>59</v>
      </c>
      <c r="E297" s="156">
        <f>SUMIF(Data!$1:$1,$E$261,Data!275:275)</f>
        <v>21796368</v>
      </c>
      <c r="M297"/>
    </row>
    <row r="298" spans="2:13" hidden="1" outlineLevel="1">
      <c r="B298" s="256" t="s">
        <v>61</v>
      </c>
      <c r="E298" s="156">
        <f>SUMIF(Data!$1:$1,$E$261,Data!276:276)</f>
        <v>19880107</v>
      </c>
      <c r="M298"/>
    </row>
    <row r="299" spans="2:13" hidden="1" outlineLevel="1">
      <c r="B299" s="257" t="s">
        <v>739</v>
      </c>
      <c r="E299" s="156">
        <f>SUMIF(Data!$1:$1,$E$261,Data!277:277)</f>
        <v>2508026</v>
      </c>
      <c r="M299"/>
    </row>
    <row r="300" spans="2:13" hidden="1" outlineLevel="1">
      <c r="B300" s="256" t="s">
        <v>62</v>
      </c>
      <c r="E300" s="156">
        <f>SUMIF(Data!$1:$1,$E$261,Data!278:278)</f>
        <v>2152932</v>
      </c>
      <c r="M300"/>
    </row>
    <row r="301" spans="2:13" hidden="1" outlineLevel="1">
      <c r="B301" s="256" t="s">
        <v>63</v>
      </c>
      <c r="E301" s="156">
        <f>SUMIF(Data!$1:$1,$E$261,Data!279:279)</f>
        <v>2057197</v>
      </c>
      <c r="M301"/>
    </row>
    <row r="302" spans="2:13" hidden="1" outlineLevel="1">
      <c r="B302" s="256" t="s">
        <v>64</v>
      </c>
      <c r="E302" s="156">
        <f>SUMIF(Data!$1:$1,$E$261,Data!280:280)</f>
        <v>31096503</v>
      </c>
    </row>
    <row r="303" spans="2:13" hidden="1" outlineLevel="1">
      <c r="B303" s="256" t="s">
        <v>65</v>
      </c>
      <c r="E303" s="156">
        <f>SUMIF(Data!$1:$1,$E$261,Data!281:281)</f>
        <v>51437497</v>
      </c>
    </row>
    <row r="304" spans="2:13" hidden="1" outlineLevel="1">
      <c r="B304" s="256" t="s">
        <v>66</v>
      </c>
      <c r="E304" s="156">
        <f>SUMIF(Data!$1:$1,$E$261,Data!282:282)</f>
        <v>2670580</v>
      </c>
    </row>
    <row r="305" spans="1:13" hidden="1" outlineLevel="1">
      <c r="B305" s="256" t="s">
        <v>67</v>
      </c>
      <c r="E305" s="156">
        <f>SUMIF(Data!$1:$1,$E$261,Data!283:283)</f>
        <v>969554</v>
      </c>
    </row>
    <row r="306" spans="1:13" hidden="1" outlineLevel="1">
      <c r="B306" s="256" t="s">
        <v>68</v>
      </c>
      <c r="E306" s="156">
        <f>SUMIF(Data!$1:$1,$E$261,Data!284:284)</f>
        <v>7244577</v>
      </c>
    </row>
    <row r="307" spans="1:13" hidden="1" outlineLevel="1">
      <c r="B307" s="256" t="s">
        <v>69</v>
      </c>
      <c r="E307" s="156">
        <f>SUMIF(Data!$1:$1,$E$261,Data!285:285)</f>
        <v>13424582</v>
      </c>
    </row>
    <row r="308" spans="1:13" hidden="1" outlineLevel="1">
      <c r="B308" s="256" t="s">
        <v>70</v>
      </c>
      <c r="E308" s="156">
        <f>SUMIF(Data!$1:$1,$E$261,Data!286:286)</f>
        <v>23927155</v>
      </c>
    </row>
    <row r="309" spans="1:13" hidden="1" outlineLevel="1">
      <c r="B309" s="256" t="s">
        <v>71</v>
      </c>
      <c r="E309" s="156">
        <f>SUMIF(Data!$1:$1,$E$261,Data!287:287)</f>
        <v>11063999</v>
      </c>
    </row>
    <row r="310" spans="1:13" hidden="1" outlineLevel="1">
      <c r="B310" s="256" t="s">
        <v>72</v>
      </c>
      <c r="E310" s="156">
        <f>SUMIF(Data!$1:$1,$E$261,Data!289:289)</f>
        <v>918810</v>
      </c>
    </row>
    <row r="311" spans="1:13" hidden="1" outlineLevel="1">
      <c r="B311" s="256" t="s">
        <v>73</v>
      </c>
      <c r="E311" s="156">
        <f>SUMIF(Data!$1:$1,$E$261,Data!290:290)</f>
        <v>467207</v>
      </c>
    </row>
    <row r="312" spans="1:13" hidden="1" outlineLevel="1">
      <c r="B312" s="256" t="s">
        <v>74</v>
      </c>
      <c r="E312" s="156">
        <f>SUMIF(Data!$1:$1,$E$261,Data!291:291)</f>
        <v>16376826</v>
      </c>
    </row>
    <row r="313" spans="1:13" hidden="1" outlineLevel="1">
      <c r="B313" s="256" t="s">
        <v>75</v>
      </c>
      <c r="E313" s="156">
        <f>SUMIF(Data!$1:$1,$E$261,Data!292:292)</f>
        <v>10597392</v>
      </c>
    </row>
    <row r="314" spans="1:13" hidden="1" outlineLevel="1">
      <c r="B314" s="256" t="s">
        <v>76</v>
      </c>
      <c r="E314" s="156">
        <f>SUMIF(Data!$1:$1,$E$261,Data!293:293)</f>
        <v>14278321</v>
      </c>
    </row>
    <row r="315" spans="1:13" hidden="1" outlineLevel="1">
      <c r="B315" s="63" t="s">
        <v>78</v>
      </c>
      <c r="E315" s="138" t="s">
        <v>162</v>
      </c>
    </row>
    <row r="316" spans="1:13" hidden="1" outlineLevel="1">
      <c r="B316" s="256" t="s">
        <v>79</v>
      </c>
      <c r="E316" s="156">
        <f>SUMIF(Data!$1:$1,$E$261,Data!297:297)</f>
        <v>9764726</v>
      </c>
    </row>
    <row r="317" spans="1:13" hidden="1" outlineLevel="1">
      <c r="B317" s="256" t="s">
        <v>80</v>
      </c>
      <c r="E317" s="156">
        <f>SUMIF(Data!$1:$1,$E$261,Data!298:298)</f>
        <v>2972975</v>
      </c>
    </row>
    <row r="318" spans="1:13" hidden="1" outlineLevel="1">
      <c r="B318" s="256" t="s">
        <v>81</v>
      </c>
      <c r="E318" s="156">
        <f>SUMIF(Data!$1:$1,$E$261,Data!299:299)</f>
        <v>1933655</v>
      </c>
    </row>
    <row r="319" spans="1:13" hidden="1" outlineLevel="1">
      <c r="B319" s="256" t="s">
        <v>82</v>
      </c>
      <c r="E319" s="156">
        <f>SUMIF(Data!$1:$1,$E$261,Data!300:300)</f>
        <v>11355608</v>
      </c>
    </row>
    <row r="320" spans="1:13" s="1044" customFormat="1" hidden="1" outlineLevel="1">
      <c r="A320" s="834"/>
      <c r="B320" s="257" t="s">
        <v>1908</v>
      </c>
      <c r="E320" s="156">
        <f>SUMIF(Data!$1:$1,$E$261,Data!301:301)</f>
        <v>334506</v>
      </c>
      <c r="M320" s="156"/>
    </row>
    <row r="321" spans="1:18" s="1044" customFormat="1" hidden="1" outlineLevel="1">
      <c r="A321" s="834"/>
      <c r="B321" s="257" t="s">
        <v>1909</v>
      </c>
      <c r="E321" s="156">
        <f>SUMIF(Data!$1:$1,$E$261,Data!302:302)</f>
        <v>463964</v>
      </c>
      <c r="M321" s="156"/>
    </row>
    <row r="322" spans="1:18" hidden="1" outlineLevel="1"/>
    <row r="323" spans="1:18" ht="60.75" collapsed="1" thickBot="1">
      <c r="B323" s="272" t="s">
        <v>1071</v>
      </c>
      <c r="C323" s="273">
        <v>14</v>
      </c>
      <c r="E323" s="289">
        <f>SUM(E263:E322)</f>
        <v>1232787285</v>
      </c>
      <c r="O323" s="347">
        <f>SUM(D323:K323)+M323-N323</f>
        <v>1232787285</v>
      </c>
      <c r="P323" s="240" t="s">
        <v>1892</v>
      </c>
      <c r="Q323" s="241"/>
      <c r="R323" s="259">
        <f>E261</f>
        <v>2019</v>
      </c>
    </row>
    <row r="324" spans="1:18" ht="13.5" thickTop="1">
      <c r="C324" s="273"/>
    </row>
    <row r="325" spans="1:18">
      <c r="C325" s="273"/>
    </row>
    <row r="326" spans="1:18" ht="51" hidden="1" outlineLevel="1">
      <c r="C326" s="273"/>
      <c r="E326" s="264" t="s">
        <v>1060</v>
      </c>
    </row>
    <row r="327" spans="1:18" hidden="1" outlineLevel="1">
      <c r="B327" t="s">
        <v>1588</v>
      </c>
      <c r="C327" s="273"/>
      <c r="E327" s="265">
        <f>$Q$3-1</f>
        <v>2018</v>
      </c>
    </row>
    <row r="328" spans="1:18" hidden="1" outlineLevel="1">
      <c r="C328" s="273"/>
    </row>
    <row r="329" spans="1:18" hidden="1" outlineLevel="1">
      <c r="B329" s="175" t="s">
        <v>878</v>
      </c>
      <c r="C329" s="273"/>
      <c r="E329" s="131">
        <f>SUMIF(Data!$1:$1,$E$327,Data!$2424:$2424)</f>
        <v>21446438</v>
      </c>
    </row>
    <row r="330" spans="1:18" hidden="1" outlineLevel="1">
      <c r="B330" s="175" t="s">
        <v>879</v>
      </c>
      <c r="C330" s="273"/>
      <c r="E330" s="131">
        <f>SUMIF(Data!$1:$1,$E$327,Data!$2445:$2445)</f>
        <v>26340038</v>
      </c>
    </row>
    <row r="331" spans="1:18" hidden="1" outlineLevel="1">
      <c r="B331" s="175" t="s">
        <v>137</v>
      </c>
      <c r="C331" s="273"/>
      <c r="E331" s="131">
        <f>SUMIF(Data!$1:$1,$E$327,Data!$2455:$2455)</f>
        <v>48931234</v>
      </c>
    </row>
    <row r="332" spans="1:18" hidden="1" outlineLevel="1">
      <c r="B332" s="158" t="s">
        <v>880</v>
      </c>
      <c r="C332" s="273"/>
      <c r="E332" s="131">
        <f>SUMIF(Data!$1:$1,$E$327,Data!$2420:$2420)</f>
        <v>19433980</v>
      </c>
    </row>
    <row r="333" spans="1:18" hidden="1" outlineLevel="1">
      <c r="B333" s="158" t="s">
        <v>881</v>
      </c>
      <c r="C333" s="273"/>
      <c r="E333" s="131">
        <f>SUMIF(Data!$1:$1,$E$327,Data!$2422:$2422)</f>
        <v>177938068</v>
      </c>
    </row>
    <row r="334" spans="1:18" hidden="1" outlineLevel="1">
      <c r="B334" s="158" t="s">
        <v>882</v>
      </c>
      <c r="C334" s="273"/>
      <c r="E334" s="131">
        <f>SUMIF(Data!$1:$1,$E$327,Data!$2423:$2423)</f>
        <v>1966326</v>
      </c>
    </row>
    <row r="335" spans="1:18" hidden="1" outlineLevel="1">
      <c r="B335" s="177" t="s">
        <v>883</v>
      </c>
      <c r="C335" s="273"/>
      <c r="E335" s="131"/>
    </row>
    <row r="336" spans="1:18" hidden="1" outlineLevel="1">
      <c r="B336" s="158" t="s">
        <v>884</v>
      </c>
      <c r="C336" s="273"/>
      <c r="E336" s="131">
        <f>SUMIF(Data!$1:$1,$E$327,Data!$2425:$2425)</f>
        <v>13331476</v>
      </c>
    </row>
    <row r="337" spans="2:5" hidden="1" outlineLevel="1">
      <c r="B337" s="158" t="s">
        <v>885</v>
      </c>
      <c r="C337" s="273"/>
      <c r="E337" s="131">
        <f>SUMIF(Data!$1:$1,$E$327,Data!$2430:$2430)</f>
        <v>95075974</v>
      </c>
    </row>
    <row r="338" spans="2:5" hidden="1" outlineLevel="1">
      <c r="B338" s="158" t="s">
        <v>886</v>
      </c>
      <c r="C338" s="273"/>
      <c r="E338" s="131">
        <f>SUMIF(Data!$1:$1,$E$327,Data!$2432:$2432)</f>
        <v>51688633</v>
      </c>
    </row>
    <row r="339" spans="2:5" hidden="1" outlineLevel="1">
      <c r="B339" s="177" t="s">
        <v>887</v>
      </c>
      <c r="C339" s="273"/>
      <c r="E339" s="131"/>
    </row>
    <row r="340" spans="2:5" hidden="1" outlineLevel="1">
      <c r="B340" s="177" t="s">
        <v>888</v>
      </c>
      <c r="C340" s="273"/>
      <c r="E340" s="131"/>
    </row>
    <row r="341" spans="2:5" hidden="1" outlineLevel="1">
      <c r="B341" s="158" t="s">
        <v>889</v>
      </c>
      <c r="C341" s="273"/>
      <c r="E341" s="131">
        <f>SUMIF(Data!$1:$1,$E$327,Data!$2433:$2433)</f>
        <v>58183388</v>
      </c>
    </row>
    <row r="342" spans="2:5" hidden="1" outlineLevel="1">
      <c r="B342" s="158" t="s">
        <v>120</v>
      </c>
      <c r="C342" s="273"/>
      <c r="E342" s="131">
        <f>SUMIF(Data!$1:$1,$E$327,Data!$2438:$2438)</f>
        <v>150689019</v>
      </c>
    </row>
    <row r="343" spans="2:5" hidden="1" outlineLevel="1">
      <c r="B343" s="169" t="s">
        <v>890</v>
      </c>
      <c r="C343" s="273"/>
      <c r="E343" s="131">
        <f>SUMIF(Data!$1:$1,$E$327,Data!$2440:$2440)</f>
        <v>6765580</v>
      </c>
    </row>
    <row r="344" spans="2:5" hidden="1" outlineLevel="1">
      <c r="B344" s="158" t="s">
        <v>891</v>
      </c>
      <c r="C344" s="273"/>
      <c r="E344" s="131">
        <f>SUMIF(Data!$1:$1,$E$327,Data!$2441:$2441)</f>
        <v>33565103</v>
      </c>
    </row>
    <row r="345" spans="2:5" hidden="1" outlineLevel="1">
      <c r="B345" s="169" t="s">
        <v>892</v>
      </c>
      <c r="C345" s="273"/>
      <c r="E345" s="131">
        <f>SUMIF(Data!$1:$1,$E$327,Data!$2443:$2443)</f>
        <v>146643168</v>
      </c>
    </row>
    <row r="346" spans="2:5" hidden="1" outlineLevel="1">
      <c r="B346" s="158" t="s">
        <v>893</v>
      </c>
      <c r="C346" s="273"/>
      <c r="E346" s="131">
        <f>SUMIF(Data!$1:$1,$E$327,Data!$2444:$2444)</f>
        <v>18534740</v>
      </c>
    </row>
    <row r="347" spans="2:5" hidden="1" outlineLevel="1">
      <c r="B347" s="158" t="s">
        <v>894</v>
      </c>
      <c r="C347" s="273"/>
      <c r="E347" s="131">
        <f>SUMIF(Data!$1:$1,$E$327,Data!$2446:$2446)</f>
        <v>3980582</v>
      </c>
    </row>
    <row r="348" spans="2:5" hidden="1" outlineLevel="1">
      <c r="B348" s="175" t="s">
        <v>895</v>
      </c>
      <c r="C348" s="273"/>
      <c r="E348" s="131">
        <f>SUMIF(Data!$1:$1,$E$327,Data!$2447:$2447)</f>
        <v>2932914</v>
      </c>
    </row>
    <row r="349" spans="2:5" hidden="1" outlineLevel="1">
      <c r="B349" s="177" t="s">
        <v>896</v>
      </c>
      <c r="C349" s="273"/>
      <c r="E349" s="131"/>
    </row>
    <row r="350" spans="2:5" hidden="1" outlineLevel="1">
      <c r="B350" s="178" t="s">
        <v>897</v>
      </c>
      <c r="C350" s="273"/>
      <c r="E350" s="131"/>
    </row>
    <row r="351" spans="2:5" hidden="1" outlineLevel="1">
      <c r="B351" s="178" t="s">
        <v>898</v>
      </c>
      <c r="C351" s="273"/>
      <c r="E351" s="131"/>
    </row>
    <row r="352" spans="2:5" hidden="1" outlineLevel="1">
      <c r="B352" s="177" t="s">
        <v>899</v>
      </c>
      <c r="C352" s="273"/>
      <c r="E352" s="131"/>
    </row>
    <row r="353" spans="2:5" hidden="1" outlineLevel="1">
      <c r="B353" s="178" t="s">
        <v>900</v>
      </c>
      <c r="C353" s="273"/>
      <c r="E353" s="131"/>
    </row>
    <row r="354" spans="2:5" hidden="1" outlineLevel="1">
      <c r="B354" s="158" t="s">
        <v>901</v>
      </c>
      <c r="C354" s="273"/>
      <c r="E354" s="131">
        <f>SUMIF(Data!$1:$1,$E$327,Data!$2453:$2453)</f>
        <v>66657043</v>
      </c>
    </row>
    <row r="355" spans="2:5" hidden="1" outlineLevel="1">
      <c r="B355" s="158" t="s">
        <v>902</v>
      </c>
      <c r="C355" s="273"/>
      <c r="E355" s="131">
        <f>SUMIF(Data!$1:$1,$E$327,Data!$2454:$2454)</f>
        <v>10156583</v>
      </c>
    </row>
    <row r="356" spans="2:5" hidden="1" outlineLevel="1">
      <c r="B356" s="178" t="s">
        <v>903</v>
      </c>
      <c r="C356" s="273"/>
      <c r="E356" s="131"/>
    </row>
    <row r="357" spans="2:5" hidden="1" outlineLevel="1">
      <c r="B357" s="158" t="s">
        <v>904</v>
      </c>
      <c r="C357" s="273"/>
      <c r="E357" s="131">
        <f>SUMIF(Data!$1:$1,$E$327,Data!$2457:$2457)</f>
        <v>232639439</v>
      </c>
    </row>
    <row r="358" spans="2:5" hidden="1" outlineLevel="1">
      <c r="B358" s="158" t="s">
        <v>905</v>
      </c>
      <c r="C358" s="273"/>
      <c r="E358" s="131">
        <f>SUMIF(Data!$1:$1,$E$327,Data!$2460:$2460)</f>
        <v>14406987</v>
      </c>
    </row>
    <row r="359" spans="2:5" hidden="1" outlineLevel="1">
      <c r="B359" s="179" t="s">
        <v>907</v>
      </c>
      <c r="C359" s="273"/>
      <c r="E359" s="131"/>
    </row>
    <row r="360" spans="2:5" hidden="1" outlineLevel="1">
      <c r="B360" s="169" t="s">
        <v>143</v>
      </c>
      <c r="C360" s="273"/>
      <c r="E360" s="131">
        <f>SUMIF(Data!$1:$1,$E$327,Data!$2461:$2461)</f>
        <v>14298413</v>
      </c>
    </row>
    <row r="361" spans="2:5" hidden="1" outlineLevel="1">
      <c r="B361" s="158" t="s">
        <v>908</v>
      </c>
      <c r="C361" s="273"/>
      <c r="E361" s="131">
        <f>SUMIF(Data!$1:$1,$E$327,Data!$2462:$2462)</f>
        <v>24581128</v>
      </c>
    </row>
    <row r="362" spans="2:5" hidden="1" outlineLevel="1">
      <c r="B362" s="158" t="s">
        <v>909</v>
      </c>
      <c r="C362" s="273"/>
      <c r="E362" s="131">
        <f>SUMIF(Data!$1:$1,$E$327,Data!$2419:$2419)</f>
        <v>15289318</v>
      </c>
    </row>
    <row r="363" spans="2:5" hidden="1" outlineLevel="1">
      <c r="B363" s="158" t="s">
        <v>910</v>
      </c>
      <c r="C363" s="273"/>
      <c r="E363" s="131">
        <f>SUMIF(Data!$1:$1,$E$327,Data!$2421:$2421)</f>
        <v>5781607</v>
      </c>
    </row>
    <row r="364" spans="2:5" hidden="1" outlineLevel="1">
      <c r="B364" s="177" t="s">
        <v>911</v>
      </c>
      <c r="C364" s="273"/>
      <c r="E364" s="131"/>
    </row>
    <row r="365" spans="2:5" hidden="1" outlineLevel="1">
      <c r="B365" s="158" t="s">
        <v>912</v>
      </c>
      <c r="C365" s="273"/>
      <c r="E365" s="131">
        <f>SUMIF(Data!$1:$1,$E$327,Data!$2426:$2426)</f>
        <v>917097</v>
      </c>
    </row>
    <row r="366" spans="2:5" hidden="1" outlineLevel="1">
      <c r="B366" s="158" t="s">
        <v>167</v>
      </c>
      <c r="C366" s="273"/>
      <c r="E366" s="131">
        <f>SUMIF(Data!$1:$1,$E$327,Data!$2428:$2428)</f>
        <v>2307155</v>
      </c>
    </row>
    <row r="367" spans="2:5" hidden="1" outlineLevel="1">
      <c r="B367" s="158" t="s">
        <v>112</v>
      </c>
      <c r="C367" s="273"/>
      <c r="E367" s="131">
        <f>SUMIF(Data!$1:$1,$E$327,Data!$2429:$2429)</f>
        <v>22328742</v>
      </c>
    </row>
    <row r="368" spans="2:5" hidden="1" outlineLevel="1">
      <c r="B368" s="158" t="s">
        <v>913</v>
      </c>
      <c r="C368" s="273"/>
      <c r="E368" s="131">
        <f>SUMIF(Data!$1:$1,$E$327,Data!$2436:$2436)</f>
        <v>12903863</v>
      </c>
    </row>
    <row r="369" spans="2:5" hidden="1" outlineLevel="1">
      <c r="B369" s="158" t="s">
        <v>119</v>
      </c>
      <c r="C369" s="273"/>
      <c r="E369" s="131">
        <f>SUMIF(Data!$1:$1,$E$327,Data!$2437:$2437)</f>
        <v>1731729</v>
      </c>
    </row>
    <row r="370" spans="2:5" hidden="1" outlineLevel="1">
      <c r="B370" s="180" t="s">
        <v>914</v>
      </c>
      <c r="C370" s="273"/>
      <c r="E370" s="131">
        <f>SUMIF(Data!$1:$1,$E$327,Data!$2439:$2439)</f>
        <v>8030086</v>
      </c>
    </row>
    <row r="371" spans="2:5" hidden="1" outlineLevel="1">
      <c r="B371" s="181" t="s">
        <v>739</v>
      </c>
      <c r="C371" s="273"/>
      <c r="E371" s="131"/>
    </row>
    <row r="372" spans="2:5" hidden="1" outlineLevel="1">
      <c r="B372" s="158" t="s">
        <v>124</v>
      </c>
      <c r="C372" s="273"/>
      <c r="E372" s="131">
        <f>SUMIF(Data!$1:$1,$E$327,Data!$2442:$2442)</f>
        <v>26557447</v>
      </c>
    </row>
    <row r="373" spans="2:5" hidden="1" outlineLevel="1">
      <c r="B373" s="177" t="s">
        <v>915</v>
      </c>
      <c r="C373" s="273"/>
      <c r="E373" s="131"/>
    </row>
    <row r="374" spans="2:5" hidden="1" outlineLevel="1">
      <c r="B374" s="169" t="s">
        <v>916</v>
      </c>
      <c r="C374" s="273"/>
      <c r="E374" s="131">
        <f>SUMIF(Data!$1:$1,$E$327,Data!$2448:$2448)</f>
        <v>3179001</v>
      </c>
    </row>
    <row r="375" spans="2:5" hidden="1" outlineLevel="1">
      <c r="B375" s="158" t="s">
        <v>917</v>
      </c>
      <c r="C375" s="273"/>
      <c r="E375" s="131">
        <f>SUMIF(Data!$1:$1,$E$327,Data!$2449:$2449)</f>
        <v>22407661</v>
      </c>
    </row>
    <row r="376" spans="2:5" hidden="1" outlineLevel="1">
      <c r="B376" s="158" t="s">
        <v>133</v>
      </c>
      <c r="C376" s="273"/>
      <c r="E376" s="131">
        <f>SUMIF(Data!$1:$1,$E$327,Data!$2451:$2451)</f>
        <v>2843527</v>
      </c>
    </row>
    <row r="377" spans="2:5" hidden="1" outlineLevel="1">
      <c r="B377" s="158" t="s">
        <v>918</v>
      </c>
      <c r="C377" s="273"/>
      <c r="E377" s="131">
        <f>SUMIF(Data!$1:$1,$E$327,Data!$2456:$2456)</f>
        <v>5281800</v>
      </c>
    </row>
    <row r="378" spans="2:5" hidden="1" outlineLevel="1">
      <c r="B378" s="158" t="s">
        <v>919</v>
      </c>
      <c r="C378" s="273"/>
      <c r="E378" s="131">
        <f>SUMIF(Data!$1:$1,$E$327,Data!$2458:$2458)</f>
        <v>6059368</v>
      </c>
    </row>
    <row r="379" spans="2:5" hidden="1" outlineLevel="1">
      <c r="B379" s="158" t="s">
        <v>920</v>
      </c>
      <c r="C379" s="273"/>
      <c r="E379" s="131">
        <f>SUMIF(Data!$1:$1,$E$327,Data!$2459:$2459)</f>
        <v>6265405</v>
      </c>
    </row>
    <row r="380" spans="2:5" hidden="1" outlineLevel="1">
      <c r="B380" s="181" t="s">
        <v>921</v>
      </c>
      <c r="C380" s="273"/>
      <c r="E380" s="131"/>
    </row>
    <row r="381" spans="2:5" hidden="1" outlineLevel="1">
      <c r="B381" s="158" t="s">
        <v>922</v>
      </c>
      <c r="C381" s="273"/>
      <c r="E381" s="131">
        <f>SUMIF(Data!$1:$1,$E$327,Data!$2463:$2463)</f>
        <v>2710670</v>
      </c>
    </row>
    <row r="382" spans="2:5" hidden="1" outlineLevel="1">
      <c r="B382" s="158" t="s">
        <v>923</v>
      </c>
      <c r="C382" s="273"/>
      <c r="E382" s="131">
        <f>SUMIF(Data!$1:$1,$E$327,Data!$2464:$2464)</f>
        <v>11180687</v>
      </c>
    </row>
    <row r="383" spans="2:5" hidden="1" outlineLevel="1">
      <c r="B383" s="158" t="s">
        <v>924</v>
      </c>
      <c r="C383" s="273"/>
      <c r="E383" s="131">
        <f>SUMIF(Data!$1:$1,$E$327,Data!$2465:$2465)</f>
        <v>13258104</v>
      </c>
    </row>
    <row r="384" spans="2:5" hidden="1" outlineLevel="1">
      <c r="B384" s="158" t="s">
        <v>925</v>
      </c>
      <c r="C384" s="273"/>
      <c r="E384" s="131">
        <f>SUMIF(Data!$1:$1,$E$327,Data!$2467:$2467)</f>
        <v>6420784</v>
      </c>
    </row>
    <row r="385" spans="1:13" hidden="1" outlineLevel="1">
      <c r="B385" s="158" t="s">
        <v>926</v>
      </c>
      <c r="C385" s="273"/>
      <c r="E385" s="131">
        <f>SUMIF(Data!$1:$1,$E$327,Data!$2427:$2427)</f>
        <v>482641</v>
      </c>
    </row>
    <row r="386" spans="1:13" hidden="1" outlineLevel="1">
      <c r="B386" s="158" t="s">
        <v>927</v>
      </c>
      <c r="C386" s="273"/>
      <c r="E386" s="131">
        <f>SUMIF(Data!$1:$1,$E$327,Data!$2434:$2434)</f>
        <v>2467740</v>
      </c>
    </row>
    <row r="387" spans="1:13" hidden="1" outlineLevel="1">
      <c r="B387" s="158" t="s">
        <v>928</v>
      </c>
      <c r="C387" s="273"/>
      <c r="E387" s="131">
        <f>SUMIF(Data!$1:$1,$E$327,Data!$2435:$2435)</f>
        <v>12761818</v>
      </c>
    </row>
    <row r="388" spans="1:13" hidden="1" outlineLevel="1">
      <c r="B388" s="181" t="s">
        <v>929</v>
      </c>
      <c r="C388" s="273"/>
    </row>
    <row r="389" spans="1:13" hidden="1" outlineLevel="1">
      <c r="B389" s="182" t="s">
        <v>930</v>
      </c>
      <c r="C389" s="273"/>
    </row>
    <row r="390" spans="1:13" hidden="1" outlineLevel="1">
      <c r="B390" s="178" t="s">
        <v>931</v>
      </c>
      <c r="C390" s="273"/>
    </row>
    <row r="391" spans="1:13" hidden="1" outlineLevel="1">
      <c r="B391" s="158" t="s">
        <v>132</v>
      </c>
      <c r="C391" s="273"/>
      <c r="E391" s="131">
        <f>SUMIF(Data!$1:$1,$E$327,Data!$2450:$2450)</f>
        <v>6490785</v>
      </c>
    </row>
    <row r="392" spans="1:13" hidden="1" outlineLevel="1">
      <c r="B392" s="158" t="s">
        <v>933</v>
      </c>
      <c r="C392" s="273"/>
      <c r="E392" s="131">
        <f>SUMIF(Data!$1:$1,$E$327,Data!$2452:$2452)</f>
        <v>329498</v>
      </c>
    </row>
    <row r="393" spans="1:13" hidden="1" outlineLevel="1">
      <c r="B393" s="180" t="s">
        <v>934</v>
      </c>
      <c r="C393" s="273"/>
    </row>
    <row r="394" spans="1:13" hidden="1" outlineLevel="1">
      <c r="B394" s="181" t="s">
        <v>935</v>
      </c>
      <c r="C394" s="273"/>
    </row>
    <row r="395" spans="1:13" hidden="1" outlineLevel="1">
      <c r="B395" s="181" t="s">
        <v>936</v>
      </c>
      <c r="C395" s="273"/>
    </row>
    <row r="396" spans="1:13" s="1044" customFormat="1" hidden="1" outlineLevel="1">
      <c r="A396" s="834"/>
      <c r="B396" s="181" t="s">
        <v>1910</v>
      </c>
      <c r="C396" s="273"/>
      <c r="M396" s="156"/>
    </row>
    <row r="397" spans="1:13" s="1044" customFormat="1" hidden="1" outlineLevel="1">
      <c r="A397" s="834"/>
      <c r="B397" s="181" t="s">
        <v>1911</v>
      </c>
      <c r="C397" s="273"/>
      <c r="M397" s="156"/>
    </row>
    <row r="398" spans="1:13" hidden="1" outlineLevel="1">
      <c r="B398" s="158" t="s">
        <v>937</v>
      </c>
      <c r="C398" s="273"/>
      <c r="E398" s="131">
        <f>SUMIF(Data!$1:$1,$E$327,Data!$2466:$2466)</f>
        <v>7884219</v>
      </c>
    </row>
    <row r="399" spans="1:13" hidden="1" outlineLevel="1">
      <c r="B399" s="183" t="s">
        <v>938</v>
      </c>
      <c r="C399" s="273"/>
      <c r="E399" s="131">
        <f>SUMIF(Data!$1:$1,$E$327,Data!$2418:$2418)</f>
        <v>166058888</v>
      </c>
    </row>
    <row r="400" spans="1:13" hidden="1" outlineLevel="1">
      <c r="B400" s="185" t="s">
        <v>939</v>
      </c>
      <c r="C400" s="273"/>
      <c r="E400" s="131">
        <f>SUMIF(Data!$1:$1,$E$327,Data!$2431:$2431)</f>
        <v>236277442</v>
      </c>
    </row>
    <row r="401" spans="1:20" hidden="1" outlineLevel="1">
      <c r="B401" s="186" t="s">
        <v>914</v>
      </c>
      <c r="C401" s="273"/>
      <c r="E401" s="243"/>
    </row>
    <row r="402" spans="1:20" ht="46.5" collapsed="1" thickBot="1">
      <c r="B402" s="269" t="s">
        <v>1070</v>
      </c>
      <c r="C402" s="273">
        <v>16</v>
      </c>
      <c r="E402" s="305">
        <f>SUM(E329:E401)</f>
        <v>1848393336</v>
      </c>
      <c r="O402" s="347">
        <f>E402</f>
        <v>1848393336</v>
      </c>
      <c r="P402" s="240" t="s">
        <v>1193</v>
      </c>
      <c r="Q402" s="241"/>
      <c r="R402" s="259">
        <f>$E$327</f>
        <v>2018</v>
      </c>
      <c r="T402" t="s">
        <v>2071</v>
      </c>
    </row>
    <row r="403" spans="1:20" ht="13.5" thickTop="1">
      <c r="C403" s="273"/>
    </row>
    <row r="404" spans="1:20">
      <c r="C404" s="273"/>
    </row>
    <row r="405" spans="1:20" ht="102" hidden="1" outlineLevel="1">
      <c r="C405" s="273"/>
      <c r="E405" s="283" t="s">
        <v>1093</v>
      </c>
      <c r="F405" s="1261" t="s">
        <v>1105</v>
      </c>
      <c r="G405" s="1262"/>
      <c r="H405" s="1263"/>
    </row>
    <row r="406" spans="1:20" hidden="1" outlineLevel="1">
      <c r="B406" t="s">
        <v>1587</v>
      </c>
      <c r="C406" s="273"/>
      <c r="E406" s="283">
        <f>$C$2-1</f>
        <v>2019</v>
      </c>
      <c r="F406" s="1264"/>
      <c r="G406" s="1265"/>
      <c r="H406" s="1266"/>
    </row>
    <row r="407" spans="1:20" hidden="1" outlineLevel="1">
      <c r="B407" s="282" t="s">
        <v>1074</v>
      </c>
      <c r="C407" s="273"/>
      <c r="E407" s="131">
        <f>SUMIF(Data!$1:$1,$E$406,Data!$2120:$2120)</f>
        <v>35672005</v>
      </c>
      <c r="F407" s="1264"/>
      <c r="G407" s="1265"/>
      <c r="H407" s="1266"/>
    </row>
    <row r="408" spans="1:20" s="1044" customFormat="1" hidden="1" outlineLevel="1">
      <c r="A408" s="834"/>
      <c r="B408" s="282" t="s">
        <v>2206</v>
      </c>
      <c r="C408" s="273"/>
      <c r="E408" s="131">
        <f>SUMIF(Data!$1:$1,$E$406,Data!$2124:$2124)</f>
        <v>63424224</v>
      </c>
      <c r="F408" s="1265"/>
      <c r="G408" s="1265"/>
      <c r="H408" s="1265"/>
      <c r="M408" s="156"/>
    </row>
    <row r="409" spans="1:20" s="1044" customFormat="1" hidden="1" outlineLevel="1">
      <c r="A409" s="834"/>
      <c r="B409" s="282" t="s">
        <v>2207</v>
      </c>
      <c r="C409" s="273"/>
      <c r="E409" s="131">
        <f>SUMIF(Data!$1:$1,$E$406,Data!$2128:$2128)</f>
        <v>310196</v>
      </c>
      <c r="F409" s="1265"/>
      <c r="G409" s="1265"/>
      <c r="H409" s="1265"/>
      <c r="M409" s="156"/>
    </row>
    <row r="410" spans="1:20" s="68" customFormat="1" hidden="1" outlineLevel="1">
      <c r="A410" s="300"/>
      <c r="B410" s="282" t="s">
        <v>1103</v>
      </c>
      <c r="C410" s="280"/>
      <c r="M410" s="281"/>
    </row>
    <row r="411" spans="1:20" s="68" customFormat="1" hidden="1" outlineLevel="1">
      <c r="A411" s="300"/>
      <c r="B411" t="str">
        <f>Data!$E$3073</f>
        <v>A - Research</v>
      </c>
      <c r="C411" s="280"/>
      <c r="E411" s="131">
        <f>SUMIF(Data!$1:$1,$E$406,Data!$3073:$3073)</f>
        <v>76001780</v>
      </c>
      <c r="M411" s="281"/>
    </row>
    <row r="412" spans="1:20" hidden="1" outlineLevel="1">
      <c r="B412" s="275"/>
      <c r="C412" s="273"/>
    </row>
    <row r="413" spans="1:20" hidden="1" outlineLevel="1">
      <c r="B413" s="275" t="s">
        <v>1075</v>
      </c>
      <c r="C413" s="273"/>
      <c r="E413" s="131">
        <f>SUMIF(Data!$1:$1,$E$406,Data!$1172:$1172)</f>
        <v>0</v>
      </c>
    </row>
    <row r="414" spans="1:20" hidden="1" outlineLevel="1">
      <c r="B414" s="275" t="s">
        <v>1076</v>
      </c>
      <c r="C414" s="273"/>
      <c r="E414" s="131">
        <f>SUMIF(Data!$1:$1,$E$406,Data!$212:$212)</f>
        <v>21595283</v>
      </c>
    </row>
    <row r="415" spans="1:20" hidden="1" outlineLevel="1">
      <c r="B415" s="275" t="s">
        <v>1077</v>
      </c>
      <c r="C415" s="273"/>
      <c r="E415" s="131">
        <f>SUMIF(Data!$1:$1,$E$406,Data!$213:$213)</f>
        <v>7567470</v>
      </c>
    </row>
    <row r="416" spans="1:20" hidden="1" outlineLevel="1">
      <c r="B416" s="275" t="s">
        <v>1078</v>
      </c>
      <c r="C416" s="273"/>
      <c r="E416" s="131">
        <f>SUMIF(Data!$1:$1,$E$406,Data!$214:$214)</f>
        <v>8793985</v>
      </c>
    </row>
    <row r="417" spans="1:19" hidden="1" outlineLevel="1">
      <c r="B417" s="275" t="s">
        <v>1079</v>
      </c>
      <c r="C417" s="273"/>
      <c r="E417" s="131">
        <f>SUMIF(Data!$1:$1,$E$406,Data!$215:$215)</f>
        <v>32785591</v>
      </c>
    </row>
    <row r="418" spans="1:19" hidden="1" outlineLevel="1">
      <c r="B418" s="275" t="s">
        <v>1080</v>
      </c>
      <c r="C418" s="273"/>
      <c r="E418" s="131">
        <f>SUMIF(Data!$1:$1,$E$406,Data!$216:$216)</f>
        <v>8693186</v>
      </c>
    </row>
    <row r="419" spans="1:19" hidden="1" outlineLevel="1">
      <c r="B419" s="275" t="s">
        <v>1081</v>
      </c>
      <c r="C419" s="273"/>
      <c r="E419" s="131">
        <f>SUMIF(Data!$1:$1,$E$406,Data!$3080:$3080)</f>
        <v>30444936</v>
      </c>
    </row>
    <row r="420" spans="1:19" hidden="1" outlineLevel="1">
      <c r="C420" s="273"/>
      <c r="E420" s="243"/>
    </row>
    <row r="421" spans="1:19" ht="93.75" collapsed="1" thickBot="1">
      <c r="B421" s="266" t="s">
        <v>1061</v>
      </c>
      <c r="C421" s="273">
        <v>17</v>
      </c>
      <c r="D421" s="131"/>
      <c r="E421" s="289">
        <f>SUM(E407:E420)</f>
        <v>285288656</v>
      </c>
      <c r="O421" s="347">
        <f>E421</f>
        <v>285288656</v>
      </c>
      <c r="P421" s="240" t="s">
        <v>1194</v>
      </c>
      <c r="Q421" s="241"/>
      <c r="R421" s="259">
        <f>E406</f>
        <v>2019</v>
      </c>
    </row>
    <row r="422" spans="1:19" ht="15.75" thickTop="1">
      <c r="B422" s="274"/>
      <c r="C422" s="273"/>
    </row>
    <row r="423" spans="1:19" ht="15" hidden="1" outlineLevel="1">
      <c r="B423" s="274"/>
      <c r="C423" s="273"/>
      <c r="E423" s="283">
        <f>$C$2-1</f>
        <v>2019</v>
      </c>
    </row>
    <row r="424" spans="1:19" hidden="1" outlineLevel="1">
      <c r="B424" s="276" t="s">
        <v>1072</v>
      </c>
      <c r="C424" s="273"/>
      <c r="E424" s="131">
        <f>SUMIF(Data!$1:$1,$E$423,Data!$210:$210)</f>
        <v>55045508</v>
      </c>
    </row>
    <row r="425" spans="1:19" hidden="1" outlineLevel="1">
      <c r="B425" s="277" t="s">
        <v>1073</v>
      </c>
      <c r="C425" s="273"/>
      <c r="E425" s="131">
        <f>SUMIF(Data!$1:$1,$E$423,Data!$211:$211)</f>
        <v>44054523</v>
      </c>
    </row>
    <row r="426" spans="1:19" ht="48" collapsed="1" thickBot="1">
      <c r="B426" s="267" t="s">
        <v>1062</v>
      </c>
      <c r="C426" s="273">
        <v>18</v>
      </c>
      <c r="E426" s="289">
        <f>SUM(E424:E425)</f>
        <v>99100031</v>
      </c>
      <c r="O426" s="347">
        <f>E426</f>
        <v>99100031</v>
      </c>
      <c r="P426" s="240" t="s">
        <v>1893</v>
      </c>
      <c r="Q426" s="241"/>
      <c r="R426" s="259">
        <f>E423</f>
        <v>2019</v>
      </c>
    </row>
    <row r="427" spans="1:19" ht="16.5" thickTop="1">
      <c r="B427" s="284"/>
      <c r="C427" s="273"/>
      <c r="D427" s="156"/>
      <c r="O427" s="260"/>
      <c r="P427" s="229"/>
      <c r="Q427" s="229"/>
      <c r="R427" s="243"/>
      <c r="S427" s="261"/>
    </row>
    <row r="428" spans="1:19" s="243" customFormat="1" ht="15.75" hidden="1" outlineLevel="1">
      <c r="A428" s="261"/>
      <c r="B428" s="284"/>
      <c r="C428" s="285"/>
      <c r="D428" s="164"/>
      <c r="E428" s="283">
        <f>$C$2-1</f>
        <v>2019</v>
      </c>
      <c r="M428" s="164"/>
      <c r="O428" s="260"/>
      <c r="P428" s="229"/>
      <c r="Q428" s="229"/>
      <c r="S428" s="261"/>
    </row>
    <row r="429" spans="1:19" s="243" customFormat="1" hidden="1" outlineLevel="1">
      <c r="A429" s="261"/>
      <c r="B429" s="282" t="s">
        <v>1104</v>
      </c>
      <c r="C429" s="285"/>
      <c r="D429" s="164"/>
      <c r="M429" s="164"/>
      <c r="O429" s="260"/>
      <c r="P429" s="229"/>
      <c r="Q429" s="229"/>
      <c r="S429" s="261"/>
    </row>
    <row r="430" spans="1:19" s="243" customFormat="1" hidden="1" outlineLevel="1">
      <c r="A430" s="261"/>
      <c r="B430" t="str">
        <f>Data!$E$3074</f>
        <v>B - Teaching or hospital operations</v>
      </c>
      <c r="C430" s="280"/>
      <c r="D430" s="68"/>
      <c r="E430" s="131">
        <f>SUMIF(Data!$1:$1,$E$428,Data!$3074:$3074)</f>
        <v>894712010</v>
      </c>
      <c r="M430" s="164"/>
      <c r="O430" s="260"/>
      <c r="P430" s="229"/>
      <c r="Q430" s="229"/>
      <c r="S430" s="261"/>
    </row>
    <row r="431" spans="1:19" s="243" customFormat="1" hidden="1" outlineLevel="1">
      <c r="A431" s="261"/>
      <c r="B431" s="66" t="s">
        <v>1780</v>
      </c>
      <c r="C431" s="280"/>
      <c r="D431" s="68"/>
      <c r="E431" s="131"/>
      <c r="M431" s="164"/>
      <c r="O431" s="260"/>
      <c r="P431" s="229"/>
      <c r="Q431" s="229"/>
      <c r="S431" s="261"/>
    </row>
    <row r="432" spans="1:19" s="243" customFormat="1" hidden="1" outlineLevel="1">
      <c r="A432" s="261"/>
      <c r="B432" t="str">
        <f>Data!$E1179</f>
        <v>Family Practice Residency</v>
      </c>
      <c r="C432" s="280"/>
      <c r="D432" s="68"/>
      <c r="E432" s="131">
        <f>SUMIF(Data!$1:$1,$E$428,Data!1179:1179)</f>
        <v>5000000</v>
      </c>
      <c r="M432" s="164"/>
      <c r="O432" s="260"/>
      <c r="P432" s="229"/>
      <c r="Q432" s="229"/>
      <c r="S432" s="261"/>
    </row>
    <row r="433" spans="1:19" s="243" customFormat="1" hidden="1" outlineLevel="1">
      <c r="A433" s="261"/>
      <c r="B433" t="str">
        <f>Data!$E1180</f>
        <v>Preceptorship Program</v>
      </c>
      <c r="C433" s="280"/>
      <c r="D433" s="68"/>
      <c r="E433" s="131">
        <f>SUMIF(Data!$1:$1,$E$428,Data!1180:1180)</f>
        <v>1500000</v>
      </c>
      <c r="M433" s="164"/>
      <c r="O433" s="260"/>
      <c r="P433" s="229"/>
      <c r="Q433" s="229"/>
      <c r="S433" s="261"/>
    </row>
    <row r="434" spans="1:19" s="243" customFormat="1" hidden="1" outlineLevel="1">
      <c r="A434" s="261"/>
      <c r="B434" t="str">
        <f>Data!$E1182</f>
        <v>Primary Care Residency Program</v>
      </c>
      <c r="C434" s="280"/>
      <c r="D434" s="68"/>
      <c r="E434" s="131">
        <f>SUMIF(Data!$1:$1,$E$428,Data!1182:1182)</f>
        <v>0</v>
      </c>
      <c r="M434" s="164"/>
      <c r="O434" s="260"/>
      <c r="P434" s="229"/>
      <c r="Q434" s="229"/>
      <c r="S434" s="261"/>
    </row>
    <row r="435" spans="1:19" s="243" customFormat="1" hidden="1" outlineLevel="1">
      <c r="A435" s="261"/>
      <c r="B435" t="str">
        <f>Data!$E1183</f>
        <v>Graduate Medical Education</v>
      </c>
      <c r="C435" s="280"/>
      <c r="D435" s="68"/>
      <c r="E435" s="131">
        <f>SUMIF(Data!$1:$1,$E$428,Data!1183:1183)</f>
        <v>0</v>
      </c>
      <c r="M435" s="164"/>
      <c r="O435" s="260"/>
      <c r="P435" s="229"/>
      <c r="Q435" s="229"/>
      <c r="S435" s="261"/>
    </row>
    <row r="436" spans="1:19" s="243" customFormat="1" hidden="1" outlineLevel="1">
      <c r="A436" s="261"/>
      <c r="B436" t="str">
        <f>Data!$E1184</f>
        <v>Contingency - GME Rider 54</v>
      </c>
      <c r="C436" s="280"/>
      <c r="D436" s="68"/>
      <c r="E436" s="131">
        <f>SUMIF(Data!$1:$1,$E$428,Data!1184:1184)</f>
        <v>0</v>
      </c>
      <c r="M436" s="164"/>
      <c r="O436" s="260"/>
      <c r="P436" s="229"/>
      <c r="Q436" s="229"/>
      <c r="S436" s="261"/>
    </row>
    <row r="437" spans="1:19" s="243" customFormat="1" hidden="1" outlineLevel="1">
      <c r="A437" s="261"/>
      <c r="B437" t="str">
        <f>Data!$E1185</f>
        <v>Joint Admission Medical Program</v>
      </c>
      <c r="C437" s="280"/>
      <c r="D437" s="68"/>
      <c r="E437" s="131">
        <f>SUMIF(Data!$1:$1,$E$428,Data!1185:1185)</f>
        <v>0</v>
      </c>
      <c r="M437" s="164"/>
      <c r="O437" s="260"/>
      <c r="P437" s="229"/>
      <c r="Q437" s="229"/>
      <c r="S437" s="261"/>
    </row>
    <row r="438" spans="1:19" s="243" customFormat="1" hidden="1" outlineLevel="1">
      <c r="A438" s="261"/>
      <c r="B438" t="str">
        <f>Data!$E1186</f>
        <v>Physician Education Loan Repayment Program (No GR)</v>
      </c>
      <c r="C438" s="280"/>
      <c r="D438" s="68"/>
      <c r="E438" s="131">
        <f>SUMIF(Data!$1:$1,$E$428,Data!1186:1186)</f>
        <v>0</v>
      </c>
      <c r="M438" s="164"/>
      <c r="O438" s="260"/>
      <c r="P438" s="229"/>
      <c r="Q438" s="229"/>
      <c r="S438" s="261"/>
    </row>
    <row r="439" spans="1:19" s="243" customFormat="1" hidden="1" outlineLevel="1">
      <c r="A439" s="261"/>
      <c r="B439" t="str">
        <f>Data!$E1188</f>
        <v>Professional Nursing Aid</v>
      </c>
      <c r="C439" s="280"/>
      <c r="D439" s="68"/>
      <c r="E439" s="131">
        <f>SUMIF(Data!$1:$1,$E$428,Data!1188:1188)</f>
        <v>0</v>
      </c>
      <c r="M439" s="164"/>
      <c r="O439" s="260"/>
      <c r="P439" s="229"/>
      <c r="Q439" s="229"/>
      <c r="S439" s="261"/>
    </row>
    <row r="440" spans="1:19" s="243" customFormat="1" hidden="1" outlineLevel="1">
      <c r="A440" s="261"/>
      <c r="B440" t="str">
        <f>Data!$E1189</f>
        <v>Vocational Nursing Aid</v>
      </c>
      <c r="C440" s="280"/>
      <c r="D440" s="68"/>
      <c r="E440" s="131">
        <f>SUMIF(Data!$1:$1,$E$428,Data!1189:1189)</f>
        <v>0</v>
      </c>
      <c r="M440" s="164"/>
      <c r="O440" s="260"/>
      <c r="P440" s="229"/>
      <c r="Q440" s="229"/>
      <c r="S440" s="261"/>
    </row>
    <row r="441" spans="1:19" s="243" customFormat="1" hidden="1" outlineLevel="1">
      <c r="A441" s="261"/>
      <c r="B441" t="str">
        <f>Data!$E1190</f>
        <v>Dental Education Loan Program</v>
      </c>
      <c r="C441" s="280"/>
      <c r="D441" s="68"/>
      <c r="E441" s="131">
        <f>SUMIF(Data!$1:$1,$E$428,Data!1190:1190)</f>
        <v>0</v>
      </c>
      <c r="M441" s="164"/>
      <c r="O441" s="260"/>
      <c r="P441" s="229"/>
      <c r="Q441" s="229"/>
      <c r="S441" s="261"/>
    </row>
    <row r="442" spans="1:19" s="243" customFormat="1" hidden="1" outlineLevel="1">
      <c r="A442" s="261"/>
      <c r="B442" t="str">
        <f>Data!$E1192</f>
        <v>Prof Nursing Shortage Reduction Program</v>
      </c>
      <c r="C442" s="280"/>
      <c r="D442" s="68"/>
      <c r="E442" s="131">
        <f>SUMIF(Data!$1:$1,$E$428,Data!1192:1192)</f>
        <v>10000000</v>
      </c>
      <c r="M442" s="164"/>
      <c r="O442" s="260"/>
      <c r="P442" s="229"/>
      <c r="Q442" s="229"/>
      <c r="S442" s="261"/>
    </row>
    <row r="443" spans="1:19" s="243" customFormat="1" hidden="1" outlineLevel="1">
      <c r="A443" s="261"/>
      <c r="B443" t="str">
        <f>Data!$E1193</f>
        <v>Alzheimer's Disease Centers</v>
      </c>
      <c r="C443" s="280"/>
      <c r="D443" s="68"/>
      <c r="E443" s="131">
        <f>SUMIF(Data!$1:$1,$E$428,Data!1193:1193)</f>
        <v>0</v>
      </c>
      <c r="M443" s="164"/>
      <c r="O443" s="260"/>
      <c r="P443" s="229"/>
      <c r="Q443" s="229"/>
      <c r="S443" s="261"/>
    </row>
    <row r="444" spans="1:19" s="243" customFormat="1" hidden="1" outlineLevel="1">
      <c r="A444" s="261"/>
      <c r="B444" t="str">
        <f>Data!$E1194</f>
        <v>Hospital-Based Nursing Education</v>
      </c>
      <c r="C444" s="280"/>
      <c r="D444" s="68"/>
      <c r="E444" s="131">
        <f>SUMIF(Data!$1:$1,$E$428,Data!1194:1194)</f>
        <v>0</v>
      </c>
      <c r="M444" s="164"/>
      <c r="O444" s="260"/>
      <c r="P444" s="229"/>
      <c r="Q444" s="229"/>
      <c r="S444" s="261"/>
    </row>
    <row r="445" spans="1:19" s="243" customFormat="1" hidden="1" outlineLevel="1">
      <c r="A445" s="261"/>
      <c r="B445" t="str">
        <f>Data!$E1195</f>
        <v>Physician &amp; Nurse Trauma Care</v>
      </c>
      <c r="C445" s="280"/>
      <c r="D445" s="68"/>
      <c r="E445" s="131">
        <f>SUMIF(Data!$1:$1,$E$428,Data!1195:1195)</f>
        <v>2125000</v>
      </c>
      <c r="M445" s="164"/>
      <c r="O445" s="260"/>
      <c r="P445" s="229"/>
      <c r="Q445" s="229"/>
      <c r="S445" s="261"/>
    </row>
    <row r="446" spans="1:19" s="243" customFormat="1" hidden="1" outlineLevel="1">
      <c r="A446" s="261"/>
      <c r="B446" t="str">
        <f>Data!$E1196</f>
        <v>GME Expansion</v>
      </c>
      <c r="C446" s="280"/>
      <c r="D446" s="68"/>
      <c r="E446" s="131">
        <f>SUMIF(Data!$1:$1,$E$428,Data!1196:1196)</f>
        <v>37525000</v>
      </c>
      <c r="M446" s="164"/>
      <c r="O446" s="260"/>
      <c r="P446" s="229"/>
      <c r="Q446" s="229"/>
      <c r="S446" s="261"/>
    </row>
    <row r="447" spans="1:19" s="243" customFormat="1" hidden="1" outlineLevel="1">
      <c r="A447" s="261"/>
      <c r="B447" t="str">
        <f>Data!$E1197</f>
        <v>Primary Care Innovation Grant Pgm</v>
      </c>
      <c r="C447" s="280"/>
      <c r="D447" s="68"/>
      <c r="E447" s="131">
        <f>SUMIF(Data!$1:$1,$E$428,Data!1197:1197)</f>
        <v>0</v>
      </c>
      <c r="M447" s="164"/>
      <c r="O447" s="260"/>
      <c r="P447" s="229"/>
      <c r="Q447" s="229"/>
      <c r="S447" s="261"/>
    </row>
    <row r="448" spans="1:19" s="243" customFormat="1" hidden="1" outlineLevel="1">
      <c r="A448" s="261"/>
      <c r="B448" t="str">
        <f>Data!$E1198</f>
        <v>UNT HSC College of Pharmacy</v>
      </c>
      <c r="C448" s="280"/>
      <c r="D448" s="68"/>
      <c r="E448" s="131">
        <f>SUMIF(Data!$1:$1,$E$428,Data!1198:1198)</f>
        <v>0</v>
      </c>
      <c r="M448" s="164"/>
      <c r="O448" s="260"/>
      <c r="P448" s="229"/>
      <c r="Q448" s="229"/>
      <c r="S448" s="261"/>
    </row>
    <row r="449" spans="1:22" s="243" customFormat="1" hidden="1" outlineLevel="1">
      <c r="A449" s="261"/>
      <c r="B449" t="str">
        <f>Data!$E1199</f>
        <v>Autism Program</v>
      </c>
      <c r="C449" s="280"/>
      <c r="D449" s="68"/>
      <c r="E449" s="131">
        <f>SUMIF(Data!$1:$1,$E$428,Data!1199:1199)</f>
        <v>0</v>
      </c>
      <c r="M449" s="164"/>
      <c r="O449" s="260"/>
      <c r="P449" s="229"/>
      <c r="Q449" s="229"/>
      <c r="S449" s="261"/>
    </row>
    <row r="450" spans="1:22" s="243" customFormat="1" hidden="1" outlineLevel="1">
      <c r="A450" s="261"/>
      <c r="B450" t="str">
        <f>Data!$E1200</f>
        <v>Mental Health Loan Repayment Program</v>
      </c>
      <c r="C450" s="280"/>
      <c r="D450" s="68"/>
      <c r="E450" s="131">
        <f>SUMIF(Data!$1:$1,$E$428,Data!1200:1200)</f>
        <v>1062500</v>
      </c>
      <c r="M450" s="164"/>
      <c r="O450" s="260"/>
      <c r="P450" s="229"/>
      <c r="Q450" s="229"/>
      <c r="S450" s="261"/>
    </row>
    <row r="451" spans="1:22" s="243" customFormat="1" hidden="1" outlineLevel="1">
      <c r="A451" s="261"/>
      <c r="B451"/>
      <c r="C451" s="280"/>
      <c r="D451" s="68"/>
      <c r="E451" s="131"/>
      <c r="M451" s="164"/>
      <c r="O451" s="260"/>
      <c r="P451" s="229"/>
      <c r="Q451" s="229"/>
      <c r="S451" s="261"/>
    </row>
    <row r="452" spans="1:22" s="243" customFormat="1" ht="15.75" hidden="1" outlineLevel="1">
      <c r="A452" s="261"/>
      <c r="B452" s="284"/>
      <c r="C452" s="280"/>
      <c r="D452" s="164"/>
      <c r="M452" s="164"/>
      <c r="O452" s="260"/>
      <c r="P452" s="229"/>
      <c r="Q452" s="229"/>
      <c r="S452" s="261"/>
    </row>
    <row r="453" spans="1:22" ht="123" collapsed="1" thickBot="1">
      <c r="B453" s="286" t="s">
        <v>1063</v>
      </c>
      <c r="C453" s="223"/>
      <c r="E453" s="289">
        <f>SUM(E430:E452)</f>
        <v>951924510</v>
      </c>
      <c r="O453" s="347">
        <f>E453</f>
        <v>951924510</v>
      </c>
      <c r="P453" s="240" t="s">
        <v>1894</v>
      </c>
      <c r="Q453" s="241"/>
      <c r="R453" s="259">
        <f>E428</f>
        <v>2019</v>
      </c>
    </row>
    <row r="454" spans="1:22" ht="15.75" thickTop="1">
      <c r="B454" s="287"/>
      <c r="C454" s="223"/>
      <c r="E454" s="164"/>
      <c r="O454" s="260"/>
      <c r="P454" s="229"/>
      <c r="Q454" s="229"/>
      <c r="R454" s="243"/>
      <c r="S454" s="261"/>
    </row>
    <row r="455" spans="1:22">
      <c r="C455" s="223"/>
      <c r="E455" s="156"/>
      <c r="O455" s="260"/>
      <c r="P455" s="229"/>
      <c r="Q455" s="229"/>
      <c r="R455" s="243"/>
      <c r="S455" s="261"/>
    </row>
    <row r="456" spans="1:22" hidden="1" outlineLevel="1">
      <c r="B456" t="s">
        <v>1587</v>
      </c>
      <c r="C456" s="280"/>
      <c r="D456" s="68"/>
      <c r="E456" s="283">
        <f>$C$2-1</f>
        <v>2019</v>
      </c>
      <c r="O456" s="260"/>
      <c r="P456" s="229"/>
      <c r="Q456" s="229"/>
      <c r="R456" s="243"/>
      <c r="S456" s="261"/>
    </row>
    <row r="457" spans="1:22" hidden="1" outlineLevel="1">
      <c r="B457" s="282" t="s">
        <v>1103</v>
      </c>
      <c r="C457" s="280"/>
      <c r="D457" s="68"/>
      <c r="O457" s="260"/>
      <c r="P457" s="229"/>
      <c r="Q457" s="229"/>
      <c r="R457" s="243"/>
      <c r="S457" s="261"/>
    </row>
    <row r="458" spans="1:22" hidden="1" outlineLevel="1">
      <c r="B458" t="str">
        <f>Data!$E$3075</f>
        <v>C - Direct Operations &amp; Admins Support</v>
      </c>
      <c r="C458" s="273"/>
      <c r="E458" s="301">
        <f>SUMIF(Data!$1:$1,$E$456,Data!$3075:$3075)</f>
        <v>268065270</v>
      </c>
      <c r="O458" s="260"/>
      <c r="P458" s="229"/>
      <c r="Q458" s="229"/>
      <c r="R458" s="243"/>
      <c r="S458" s="261"/>
    </row>
    <row r="459" spans="1:22" ht="111" collapsed="1" thickBot="1">
      <c r="B459" s="266" t="s">
        <v>1064</v>
      </c>
      <c r="C459" s="273">
        <v>20</v>
      </c>
      <c r="E459" s="289">
        <f>SUM(E458:E458)</f>
        <v>268065270</v>
      </c>
      <c r="O459" s="347">
        <f>E459</f>
        <v>268065270</v>
      </c>
      <c r="P459" s="240" t="s">
        <v>1895</v>
      </c>
      <c r="Q459" s="241"/>
      <c r="R459" s="259">
        <f>E456</f>
        <v>2019</v>
      </c>
    </row>
    <row r="460" spans="1:22" ht="16.5" thickTop="1">
      <c r="B460" s="268"/>
      <c r="C460" s="273"/>
    </row>
    <row r="461" spans="1:22">
      <c r="C461" s="273"/>
      <c r="S461" s="1044"/>
      <c r="T461" s="1044"/>
      <c r="U461" s="1044"/>
      <c r="V461" s="1044"/>
    </row>
    <row r="462" spans="1:22" s="1044" customFormat="1">
      <c r="A462" s="834"/>
      <c r="C462" s="273"/>
      <c r="M462" s="156"/>
    </row>
    <row r="463" spans="1:22" ht="25.5">
      <c r="C463" s="273"/>
      <c r="O463" s="283" t="s">
        <v>1896</v>
      </c>
      <c r="P463" s="265" t="s">
        <v>1106</v>
      </c>
      <c r="Q463" s="265" t="s">
        <v>1110</v>
      </c>
      <c r="R463" s="1187" t="s">
        <v>2070</v>
      </c>
    </row>
    <row r="464" spans="1:22" outlineLevel="1">
      <c r="C464" s="273"/>
      <c r="E464" s="259" t="s">
        <v>1106</v>
      </c>
      <c r="F464" s="259" t="s">
        <v>1107</v>
      </c>
      <c r="G464" s="1188" t="s">
        <v>2083</v>
      </c>
      <c r="H464" s="1188" t="s">
        <v>2084</v>
      </c>
      <c r="I464" s="1188" t="s">
        <v>2085</v>
      </c>
      <c r="N464" s="66" t="s">
        <v>1594</v>
      </c>
      <c r="S464" s="1188" t="s">
        <v>2083</v>
      </c>
      <c r="T464" s="1188" t="s">
        <v>2084</v>
      </c>
      <c r="U464" s="1188" t="s">
        <v>2085</v>
      </c>
    </row>
    <row r="465" spans="2:21" outlineLevel="1">
      <c r="B465" t="s">
        <v>1582</v>
      </c>
      <c r="C465" s="273"/>
      <c r="E465" s="345">
        <f>$C$2-2</f>
        <v>2018</v>
      </c>
      <c r="F465" s="261">
        <f>E465</f>
        <v>2018</v>
      </c>
      <c r="N465" s="1044" t="s">
        <v>1108</v>
      </c>
      <c r="S465" s="156">
        <f>G467</f>
        <v>65854111</v>
      </c>
      <c r="T465" s="156">
        <f t="shared" ref="T465:U465" si="55">H467</f>
        <v>8004172</v>
      </c>
      <c r="U465" s="156">
        <f t="shared" si="55"/>
        <v>4423682</v>
      </c>
    </row>
    <row r="466" spans="2:21" outlineLevel="1">
      <c r="B466" s="66" t="s">
        <v>1594</v>
      </c>
      <c r="C466" s="273"/>
      <c r="E466" s="261"/>
      <c r="F466" s="261"/>
      <c r="N466" s="1044" t="s">
        <v>1592</v>
      </c>
      <c r="S466" s="156">
        <f>G468</f>
        <v>1435497943</v>
      </c>
      <c r="T466" s="156">
        <f t="shared" ref="T466" si="56">H468</f>
        <v>174476161</v>
      </c>
      <c r="U466" s="156">
        <f t="shared" ref="U466" si="57">I468</f>
        <v>96428094</v>
      </c>
    </row>
    <row r="467" spans="2:21" outlineLevel="1">
      <c r="B467" t="s">
        <v>1108</v>
      </c>
      <c r="C467" s="273"/>
      <c r="E467" s="172">
        <f>SUMIF(Data!$1:$1,$E$465,Data!$3042:$3042)</f>
        <v>73858283</v>
      </c>
      <c r="F467" s="173"/>
      <c r="G467" s="172">
        <f>SUMIF(Data!$1:$1,$E$465,Data!$3043:$3043)</f>
        <v>65854111</v>
      </c>
      <c r="H467" s="172">
        <f>SUMIF(Data!$1:$1,$E$465,Data!$3044:$3044)</f>
        <v>8004172</v>
      </c>
      <c r="I467" s="172">
        <f>SUMIF(Data!$1:$1,$E$465,Data!$3045:$3045)</f>
        <v>4423682</v>
      </c>
      <c r="N467" s="1044" t="s">
        <v>1109</v>
      </c>
      <c r="S467" s="156">
        <f t="shared" ref="S467:U467" si="58">G469</f>
        <v>4517418346</v>
      </c>
      <c r="T467" s="156">
        <f t="shared" si="58"/>
        <v>1478343317</v>
      </c>
      <c r="U467" s="156">
        <f t="shared" si="58"/>
        <v>506702357</v>
      </c>
    </row>
    <row r="468" spans="2:21" outlineLevel="1">
      <c r="B468" t="s">
        <v>1592</v>
      </c>
      <c r="C468" s="273"/>
      <c r="E468" s="172">
        <f>SUMIF(Data!$1:$1,$E$465,Data!$3046:$3046)</f>
        <v>1609974104</v>
      </c>
      <c r="F468" s="173"/>
      <c r="G468" s="172">
        <f>ROUND(E468*(G467/SUM($G$467:$H$467)),0)</f>
        <v>1435497943</v>
      </c>
      <c r="H468" s="172">
        <f>ROUND(E468*(H467/SUM($G$467:$H$467)),0)</f>
        <v>174476161</v>
      </c>
      <c r="I468" s="172">
        <f>ROUND(E468*(I467/E467),0)</f>
        <v>96428094</v>
      </c>
      <c r="J468" s="1044" t="s">
        <v>2096</v>
      </c>
      <c r="N468" s="1044" t="s">
        <v>786</v>
      </c>
      <c r="S468" s="156">
        <f t="shared" ref="S468:U468" si="59">G470</f>
        <v>265198654</v>
      </c>
      <c r="T468" s="156">
        <f t="shared" si="59"/>
        <v>57773908</v>
      </c>
      <c r="U468" s="156">
        <f t="shared" si="59"/>
        <v>8825564</v>
      </c>
    </row>
    <row r="469" spans="2:21" outlineLevel="1">
      <c r="B469" t="s">
        <v>1109</v>
      </c>
      <c r="C469" s="273"/>
      <c r="E469" s="173"/>
      <c r="F469" s="172">
        <f>SUMIF(Data!$1:$1,$E$465,Data!$3038:$3038)</f>
        <v>5995761663</v>
      </c>
      <c r="G469" s="172">
        <f>SUMIF(Data!$1:$1,$E$465,Data!$3039:$3039)</f>
        <v>4517418346</v>
      </c>
      <c r="H469" s="172">
        <f>SUMIF(Data!$1:$1,$E$465,Data!$3040:$3040)</f>
        <v>1478343317</v>
      </c>
      <c r="I469" s="172">
        <f>SUMIF(Data!$1:$1,$E$465,Data!$3041:$3041)</f>
        <v>506702357</v>
      </c>
    </row>
    <row r="470" spans="2:21" outlineLevel="1">
      <c r="B470" t="s">
        <v>786</v>
      </c>
      <c r="C470" s="273"/>
      <c r="E470" s="173"/>
      <c r="F470" s="172">
        <f>SUMIF(Data!$1:$1,$E$465,Data!$3050:$3050)</f>
        <v>322972562</v>
      </c>
      <c r="G470" s="172">
        <f>SUMIF(Data!$1:$1,$E$465,Data!$3051:$3051)</f>
        <v>265198654</v>
      </c>
      <c r="H470" s="172">
        <f>SUMIF(Data!$1:$1,$E$465,Data!$3052:$3052)</f>
        <v>57773908</v>
      </c>
      <c r="I470" s="172">
        <f>SUMIF(Data!$1:$1,$E$465,Data!$3053:$3053)</f>
        <v>8825564</v>
      </c>
    </row>
    <row r="471" spans="2:21" outlineLevel="1">
      <c r="C471" s="273"/>
      <c r="E471" s="203"/>
      <c r="F471" s="203"/>
    </row>
    <row r="472" spans="2:21" ht="47.25" thickBot="1">
      <c r="B472" s="606" t="s">
        <v>1595</v>
      </c>
      <c r="C472" s="273">
        <v>21</v>
      </c>
      <c r="E472" s="288">
        <f>SUM(E467:E471)</f>
        <v>1683832387</v>
      </c>
      <c r="F472" s="288">
        <f>SUM(F467:F471)</f>
        <v>6318734225</v>
      </c>
      <c r="N472" t="s">
        <v>2063</v>
      </c>
      <c r="O472" s="348">
        <f>P472+Q472</f>
        <v>8002566612</v>
      </c>
      <c r="P472" s="292">
        <f>E472</f>
        <v>1683832387</v>
      </c>
      <c r="Q472" s="292">
        <f>F472</f>
        <v>6318734225</v>
      </c>
      <c r="R472" s="259">
        <f>$E$465</f>
        <v>2018</v>
      </c>
      <c r="S472" s="1327" t="s">
        <v>2092</v>
      </c>
      <c r="T472" s="1328"/>
      <c r="U472" s="1329"/>
    </row>
    <row r="473" spans="2:21" ht="13.5" thickTop="1">
      <c r="C473" s="273"/>
    </row>
    <row r="474" spans="2:21">
      <c r="C474" s="273"/>
    </row>
    <row r="475" spans="2:21">
      <c r="C475" s="273"/>
    </row>
    <row r="476" spans="2:21" ht="25.5">
      <c r="C476" s="273"/>
      <c r="E476" s="259" t="s">
        <v>280</v>
      </c>
      <c r="F476" s="259" t="s">
        <v>1106</v>
      </c>
      <c r="G476" s="259" t="s">
        <v>1107</v>
      </c>
      <c r="H476" s="219" t="s">
        <v>2089</v>
      </c>
      <c r="I476" s="219" t="s">
        <v>2090</v>
      </c>
      <c r="J476" s="219" t="s">
        <v>2091</v>
      </c>
      <c r="O476" s="283" t="s">
        <v>1897</v>
      </c>
      <c r="P476" s="265" t="s">
        <v>1106</v>
      </c>
      <c r="Q476" s="265" t="s">
        <v>1110</v>
      </c>
    </row>
    <row r="477" spans="2:21" outlineLevel="1">
      <c r="B477" t="s">
        <v>2073</v>
      </c>
      <c r="C477" s="273"/>
      <c r="F477" s="345">
        <f>$E$465</f>
        <v>2018</v>
      </c>
      <c r="G477" s="261">
        <f>F477</f>
        <v>2018</v>
      </c>
      <c r="S477" s="219" t="s">
        <v>2089</v>
      </c>
      <c r="T477" s="219" t="s">
        <v>2090</v>
      </c>
      <c r="U477" s="219" t="s">
        <v>2091</v>
      </c>
    </row>
    <row r="478" spans="2:21" outlineLevel="1">
      <c r="B478" s="66" t="s">
        <v>2000</v>
      </c>
      <c r="C478" s="273"/>
      <c r="M478" s="66" t="s">
        <v>2000</v>
      </c>
    </row>
    <row r="479" spans="2:21" outlineLevel="1">
      <c r="B479" t="s">
        <v>1138</v>
      </c>
      <c r="C479" s="273"/>
      <c r="E479" s="131">
        <f>SUM(F479:G479)</f>
        <v>1616775028</v>
      </c>
      <c r="F479" s="131"/>
      <c r="G479" s="172">
        <f>SUMIF(Data!$1:$1,$F$477,Data!$3055:$3055)</f>
        <v>1616775028</v>
      </c>
      <c r="H479" s="172">
        <f>SUMIF(Data!$1:$1,$E$465,Data!$3056:$3056)</f>
        <v>1193424343</v>
      </c>
      <c r="I479" s="172">
        <f>SUMIF(Data!$1:$1,$E$465,Data!$3057:$3057)</f>
        <v>423350685</v>
      </c>
      <c r="J479" s="172">
        <f>SUMIF(Data!$1:$1,$E$465,Data!$3058:$3058)</f>
        <v>130954653</v>
      </c>
      <c r="M479" s="1044" t="s">
        <v>1138</v>
      </c>
      <c r="S479" s="156">
        <f>H479</f>
        <v>1193424343</v>
      </c>
      <c r="T479" s="156">
        <f t="shared" ref="T479:U480" si="60">I479</f>
        <v>423350685</v>
      </c>
      <c r="U479" s="156">
        <f t="shared" si="60"/>
        <v>130954653</v>
      </c>
    </row>
    <row r="480" spans="2:21" outlineLevel="1">
      <c r="B480" t="s">
        <v>1140</v>
      </c>
      <c r="C480" s="273"/>
      <c r="E480" s="131">
        <f>SUM(F480:G480)</f>
        <v>28332767</v>
      </c>
      <c r="F480" s="131">
        <f>SUMIF(Data!$1:$1,$F$477,Data!$3059:$3059)</f>
        <v>28332767</v>
      </c>
      <c r="G480" s="131"/>
      <c r="H480" s="172">
        <f>SUMIF(Data!$1:$1,$E$465,Data!$3060:$3060)</f>
        <v>25400172</v>
      </c>
      <c r="I480" s="172">
        <f>SUMIF(Data!$1:$1,$E$465,Data!$3061:$3061)</f>
        <v>2932595</v>
      </c>
      <c r="J480" s="172">
        <f>SUMIF(Data!$1:$1,$E$465,Data!$3062:$3062)</f>
        <v>1401947</v>
      </c>
      <c r="M480" s="1044" t="s">
        <v>1140</v>
      </c>
      <c r="S480" s="156">
        <f>H480</f>
        <v>25400172</v>
      </c>
      <c r="T480" s="156">
        <f t="shared" si="60"/>
        <v>2932595</v>
      </c>
      <c r="U480" s="156">
        <f t="shared" si="60"/>
        <v>1401947</v>
      </c>
    </row>
    <row r="481" spans="2:21" outlineLevel="1">
      <c r="B481" t="s">
        <v>1139</v>
      </c>
      <c r="C481" s="273"/>
      <c r="E481" s="131">
        <f>SUM(F481:G481)</f>
        <v>667480581</v>
      </c>
      <c r="F481" s="131">
        <f>SUMIF(Data!$1:$1,$F$477,Data!$3063:$3063)</f>
        <v>667480581</v>
      </c>
      <c r="G481" s="131"/>
      <c r="H481" s="172">
        <f>ROUND(F481*(H480/SUM($H$480:$I$480)),0)</f>
        <v>598392722</v>
      </c>
      <c r="I481" s="172">
        <f>ROUND(F481*(I480/SUM($H$480:$I$480)),0)</f>
        <v>69087859</v>
      </c>
      <c r="J481" s="172">
        <f>ROUND(F481*(J480/F480),0)</f>
        <v>33027921</v>
      </c>
      <c r="K481" t="s">
        <v>2096</v>
      </c>
      <c r="M481" s="1044" t="s">
        <v>1139</v>
      </c>
      <c r="S481" s="156">
        <f>H481</f>
        <v>598392722</v>
      </c>
      <c r="T481" s="156">
        <f t="shared" ref="T481" si="61">I481</f>
        <v>69087859</v>
      </c>
      <c r="U481" s="156">
        <f t="shared" ref="U481" si="62">J481</f>
        <v>33027921</v>
      </c>
    </row>
    <row r="482" spans="2:21" outlineLevel="1">
      <c r="B482" t="s">
        <v>1604</v>
      </c>
      <c r="C482" s="273"/>
      <c r="E482" s="301">
        <f>SUM(F482:G482)</f>
        <v>25453082</v>
      </c>
      <c r="F482" s="301"/>
      <c r="G482" s="301">
        <f>SUMIF(Data!$1:$1,$F$477,Data!$3067:$3067)</f>
        <v>25453082</v>
      </c>
      <c r="H482" s="213">
        <f>SUMIF(Data!$1:$1,$E$465,Data!$3068:$3068)</f>
        <v>21596418</v>
      </c>
      <c r="I482" s="213">
        <f>SUMIF(Data!$1:$1,$E$465,Data!$3069:$3069)</f>
        <v>3856664</v>
      </c>
      <c r="J482" s="213">
        <f>SUMIF(Data!$1:$1,$E$465,Data!$3070:$3070)</f>
        <v>339265</v>
      </c>
      <c r="M482" s="1044" t="s">
        <v>1604</v>
      </c>
      <c r="S482" s="156">
        <f>H482</f>
        <v>21596418</v>
      </c>
      <c r="T482" s="156">
        <f t="shared" ref="T482:U482" si="63">I482</f>
        <v>3856664</v>
      </c>
      <c r="U482" s="156">
        <f t="shared" si="63"/>
        <v>339265</v>
      </c>
    </row>
    <row r="483" spans="2:21" outlineLevel="1">
      <c r="B483" t="s">
        <v>1141</v>
      </c>
      <c r="C483" s="273"/>
      <c r="E483" s="131">
        <f>SUM(F483:G483)</f>
        <v>2338041458</v>
      </c>
      <c r="F483" s="131">
        <f>SUM(F479:F482)</f>
        <v>695813348</v>
      </c>
      <c r="G483" s="131">
        <f>SUM(G479:G482)</f>
        <v>1642228110</v>
      </c>
      <c r="H483" s="156">
        <f>SUM(H479:H482)</f>
        <v>1838813655</v>
      </c>
      <c r="I483" s="156">
        <f>SUM(I479:I482)</f>
        <v>499227803</v>
      </c>
      <c r="J483" s="156">
        <f>SUM(J479:J482)</f>
        <v>165723786</v>
      </c>
    </row>
    <row r="484" spans="2:21" outlineLevel="1"/>
    <row r="485" spans="2:21" outlineLevel="1">
      <c r="C485" s="273"/>
      <c r="E485" s="204"/>
    </row>
    <row r="486" spans="2:21" outlineLevel="1">
      <c r="C486" s="273"/>
    </row>
    <row r="487" spans="2:21" ht="77.25" thickBot="1">
      <c r="B487" s="266" t="s">
        <v>1065</v>
      </c>
      <c r="C487" s="273">
        <v>22</v>
      </c>
      <c r="E487" s="289">
        <f>SUM(E483:E485)</f>
        <v>2338041458</v>
      </c>
      <c r="F487" s="289">
        <f t="shared" ref="F487:J487" si="64">SUM(F483:F485)</f>
        <v>695813348</v>
      </c>
      <c r="G487" s="289">
        <f t="shared" si="64"/>
        <v>1642228110</v>
      </c>
      <c r="H487" s="289">
        <f t="shared" si="64"/>
        <v>1838813655</v>
      </c>
      <c r="I487" s="289">
        <f t="shared" si="64"/>
        <v>499227803</v>
      </c>
      <c r="J487" s="289">
        <f t="shared" si="64"/>
        <v>165723786</v>
      </c>
      <c r="N487" t="s">
        <v>2088</v>
      </c>
      <c r="O487" s="348">
        <f>E487</f>
        <v>2338041458</v>
      </c>
      <c r="P487" s="292">
        <f>F487</f>
        <v>695813348</v>
      </c>
      <c r="Q487" s="292">
        <f>G487</f>
        <v>1642228110</v>
      </c>
      <c r="R487" s="259">
        <f>F477</f>
        <v>2018</v>
      </c>
      <c r="S487" s="1327" t="s">
        <v>2092</v>
      </c>
      <c r="T487" s="1328"/>
      <c r="U487" s="1329"/>
    </row>
    <row r="488" spans="2:21" ht="13.5" thickTop="1">
      <c r="C488" s="273"/>
    </row>
    <row r="489" spans="2:21">
      <c r="C489" s="273"/>
    </row>
    <row r="490" spans="2:21" ht="25.5">
      <c r="B490" t="s">
        <v>1142</v>
      </c>
      <c r="C490" s="273"/>
      <c r="F490" s="302">
        <f>F483/E483</f>
        <v>0.29760522236214343</v>
      </c>
      <c r="G490" s="302">
        <f>G483/E483</f>
        <v>0.70239477763785663</v>
      </c>
      <c r="O490" s="283" t="s">
        <v>1898</v>
      </c>
      <c r="P490" s="265" t="s">
        <v>1106</v>
      </c>
      <c r="Q490" s="265" t="s">
        <v>1110</v>
      </c>
    </row>
    <row r="491" spans="2:21" outlineLevel="1">
      <c r="B491" t="s">
        <v>2072</v>
      </c>
      <c r="C491" s="273"/>
      <c r="E491" s="265">
        <f>$E$465</f>
        <v>2018</v>
      </c>
    </row>
    <row r="492" spans="2:21" outlineLevel="1">
      <c r="B492" s="223" t="s">
        <v>1132</v>
      </c>
      <c r="C492" s="273"/>
      <c r="E492" s="131">
        <f>SUMIF(Data!$1:$1,$E$491,Data!$3081:$3081)</f>
        <v>15687</v>
      </c>
    </row>
    <row r="493" spans="2:21" outlineLevel="1">
      <c r="B493" s="223" t="s">
        <v>1133</v>
      </c>
      <c r="C493" s="273"/>
      <c r="E493" s="131">
        <f>SUMIF(Data!$1:$1,$E$491,Data!$3082:$3082)</f>
        <v>31081</v>
      </c>
    </row>
    <row r="494" spans="2:21" outlineLevel="1">
      <c r="B494" t="s">
        <v>1134</v>
      </c>
      <c r="C494" s="273"/>
      <c r="E494" s="302">
        <f>E492/E493</f>
        <v>0.50471349055693193</v>
      </c>
    </row>
    <row r="495" spans="2:21" outlineLevel="1">
      <c r="B495" t="s">
        <v>1135</v>
      </c>
      <c r="C495" s="273"/>
      <c r="E495" s="301">
        <f>SUMIF(Data!$1:$1,$E$491,Data!$1135:$1135)</f>
        <v>542908751</v>
      </c>
    </row>
    <row r="496" spans="2:21" outlineLevel="1">
      <c r="C496" s="273"/>
      <c r="F496" s="259" t="s">
        <v>1106</v>
      </c>
      <c r="G496" s="259" t="s">
        <v>1107</v>
      </c>
    </row>
    <row r="497" spans="1:22" ht="48" thickBot="1">
      <c r="B497" s="266" t="s">
        <v>1066</v>
      </c>
      <c r="C497" s="273">
        <v>23</v>
      </c>
      <c r="E497" s="303">
        <f>ROUND(E495*E494,0)</f>
        <v>274013371</v>
      </c>
      <c r="F497" s="304">
        <f>ROUND(E497*F490,0)</f>
        <v>81547810</v>
      </c>
      <c r="G497" s="304">
        <f>ROUND(E497*G490,0)</f>
        <v>192465561</v>
      </c>
      <c r="N497" t="s">
        <v>2094</v>
      </c>
      <c r="O497" s="348">
        <f>E497</f>
        <v>274013371</v>
      </c>
      <c r="P497" s="292">
        <f>F497</f>
        <v>81547810</v>
      </c>
      <c r="Q497" s="292">
        <f>G497</f>
        <v>192465561</v>
      </c>
      <c r="R497" s="259">
        <f>$E$491</f>
        <v>2018</v>
      </c>
    </row>
    <row r="498" spans="1:22" ht="15.75" thickTop="1">
      <c r="B498" s="274"/>
      <c r="C498" s="273"/>
      <c r="E498" s="131"/>
      <c r="F498" s="341"/>
      <c r="G498" s="341"/>
      <c r="O498" s="260"/>
      <c r="P498" s="260"/>
      <c r="Q498" s="260"/>
      <c r="R498" s="261"/>
    </row>
    <row r="499" spans="1:22" ht="25.5">
      <c r="C499" s="273"/>
      <c r="E499" s="131"/>
      <c r="F499" s="341"/>
      <c r="G499" s="341"/>
      <c r="O499" s="283" t="s">
        <v>1905</v>
      </c>
      <c r="P499" s="260"/>
      <c r="Q499" s="265" t="s">
        <v>1110</v>
      </c>
      <c r="R499" s="261"/>
    </row>
    <row r="500" spans="1:22" hidden="1" outlineLevel="1">
      <c r="B500" s="66" t="s">
        <v>1591</v>
      </c>
      <c r="C500" s="273"/>
      <c r="E500" s="265">
        <f>$E$465</f>
        <v>2018</v>
      </c>
    </row>
    <row r="501" spans="1:22" hidden="1" outlineLevel="1">
      <c r="B501" t="s">
        <v>1112</v>
      </c>
      <c r="C501" s="273"/>
      <c r="E501" s="131">
        <f>ROUND(SUMIF(Data!$1:$1,$E$500,Data!$2659:$2659),0)</f>
        <v>27609</v>
      </c>
    </row>
    <row r="502" spans="1:22" hidden="1" outlineLevel="1">
      <c r="B502" t="s">
        <v>1114</v>
      </c>
      <c r="C502" s="273"/>
      <c r="E502" s="156">
        <f>ROUND(SUMIF(Data!$1:$1,$E$500,Data!$2660:$2660),0)</f>
        <v>8255</v>
      </c>
    </row>
    <row r="503" spans="1:22" hidden="1" outlineLevel="1">
      <c r="B503" t="s">
        <v>1131</v>
      </c>
      <c r="C503" s="273"/>
      <c r="E503" s="302">
        <f>E502/E501</f>
        <v>0.29899670397334205</v>
      </c>
    </row>
    <row r="504" spans="1:22" hidden="1" outlineLevel="1">
      <c r="B504" t="s">
        <v>1590</v>
      </c>
      <c r="C504" s="273"/>
      <c r="E504" s="131">
        <f>SUMIF(Data!$1:$1,$E$500,Data!$2599:$2599)</f>
        <v>297519480</v>
      </c>
    </row>
    <row r="505" spans="1:22" hidden="1" outlineLevel="1">
      <c r="C505" s="273"/>
    </row>
    <row r="506" spans="1:22" ht="47.25" collapsed="1" thickBot="1">
      <c r="B506" s="266" t="s">
        <v>1067</v>
      </c>
      <c r="C506" s="273">
        <v>24</v>
      </c>
      <c r="E506" s="304">
        <f>ROUND(E504*E503,0)</f>
        <v>88957344</v>
      </c>
      <c r="N506" t="s">
        <v>2093</v>
      </c>
      <c r="O506" s="348">
        <f>E506</f>
        <v>88957344</v>
      </c>
      <c r="P506" s="240"/>
      <c r="Q506" s="349">
        <f>E506</f>
        <v>88957344</v>
      </c>
      <c r="R506" s="259">
        <f>$E$500</f>
        <v>2018</v>
      </c>
    </row>
    <row r="507" spans="1:22" ht="13.5" thickTop="1">
      <c r="C507" s="273"/>
      <c r="S507" s="1336" t="s">
        <v>2066</v>
      </c>
      <c r="T507" s="1337"/>
      <c r="U507" s="1336" t="s">
        <v>2067</v>
      </c>
      <c r="V507" s="1337"/>
    </row>
    <row r="508" spans="1:22" s="1044" customFormat="1">
      <c r="A508" s="834"/>
      <c r="C508" s="273"/>
      <c r="M508" s="156"/>
      <c r="S508" s="265" t="s">
        <v>2068</v>
      </c>
      <c r="T508" s="265" t="s">
        <v>2069</v>
      </c>
      <c r="U508" s="265" t="s">
        <v>2068</v>
      </c>
      <c r="V508" s="265" t="s">
        <v>2069</v>
      </c>
    </row>
    <row r="509" spans="1:22" ht="30" customHeight="1">
      <c r="C509" s="273"/>
      <c r="P509" s="283" t="s">
        <v>1900</v>
      </c>
      <c r="Q509" s="283" t="s">
        <v>1901</v>
      </c>
      <c r="R509" s="1187" t="s">
        <v>2070</v>
      </c>
      <c r="S509" s="202"/>
      <c r="T509" s="202"/>
      <c r="U509" s="202"/>
      <c r="V509" s="202"/>
    </row>
    <row r="510" spans="1:22" ht="18.75" customHeight="1">
      <c r="B510" s="66" t="s">
        <v>1593</v>
      </c>
      <c r="C510" s="273"/>
      <c r="N510" t="s">
        <v>2095</v>
      </c>
      <c r="O510" s="346">
        <f>O472-O487-O497-O506</f>
        <v>5301554439</v>
      </c>
      <c r="P510" s="348">
        <f>P472-P487-P497-P506</f>
        <v>906471229</v>
      </c>
      <c r="Q510" s="348">
        <f>Q472-Q487-Q497-Q506</f>
        <v>4395083210</v>
      </c>
      <c r="R510" s="1186">
        <f>R472</f>
        <v>2018</v>
      </c>
      <c r="S510" s="202"/>
      <c r="T510" s="202"/>
      <c r="U510" s="202"/>
      <c r="V510" s="202"/>
    </row>
    <row r="511" spans="1:22">
      <c r="C511" s="273"/>
    </row>
    <row r="512" spans="1:22" ht="25.5">
      <c r="C512" s="273"/>
      <c r="E512" s="259" t="s">
        <v>280</v>
      </c>
      <c r="F512" s="259" t="s">
        <v>1106</v>
      </c>
      <c r="G512" s="259" t="s">
        <v>1107</v>
      </c>
      <c r="O512" s="283" t="s">
        <v>1899</v>
      </c>
      <c r="P512" s="265" t="s">
        <v>1106</v>
      </c>
      <c r="Q512" s="265" t="s">
        <v>1110</v>
      </c>
    </row>
    <row r="513" spans="1:18" hidden="1" outlineLevel="1">
      <c r="B513" t="s">
        <v>1589</v>
      </c>
      <c r="C513" s="273"/>
      <c r="E513" s="295">
        <f>$C$2-2</f>
        <v>2018</v>
      </c>
      <c r="F513" s="261"/>
    </row>
    <row r="514" spans="1:18" hidden="1" outlineLevel="1">
      <c r="B514" s="66" t="s">
        <v>1606</v>
      </c>
      <c r="C514" s="273"/>
      <c r="E514" s="261"/>
      <c r="F514" s="261"/>
    </row>
    <row r="515" spans="1:18" hidden="1" outlineLevel="1">
      <c r="B515" t="s">
        <v>1840</v>
      </c>
      <c r="C515" s="273"/>
      <c r="E515" s="131">
        <f>ROUND(SUMIF(Data!$1:$1,$E$513,Data!$2766:$2766),0)+ROUND(SUMIF(Data!$1:$1,$E$513,Data!$2782:$2782),0)</f>
        <v>559993</v>
      </c>
      <c r="G515" s="156">
        <f>E515</f>
        <v>559993</v>
      </c>
    </row>
    <row r="516" spans="1:18" hidden="1" outlineLevel="1">
      <c r="B516" t="s">
        <v>973</v>
      </c>
      <c r="C516" s="273"/>
      <c r="E516" s="131">
        <f>ROUND(SUMIF(Data!$1:$1,$E$513,Data!$2847:$2847),0)</f>
        <v>473230</v>
      </c>
      <c r="F516" s="156">
        <f>E516</f>
        <v>473230</v>
      </c>
    </row>
    <row r="517" spans="1:18" hidden="1" outlineLevel="1">
      <c r="B517" t="s">
        <v>1113</v>
      </c>
      <c r="C517" s="273"/>
      <c r="E517" s="131">
        <f>ROUND(SUMIF(Data!$1:$1,$E$513,Data!$2790:$2790),0)+ROUND(SUMIF(Data!$1:$1,$E$513,Data!$2795:$2795),0)</f>
        <v>14634</v>
      </c>
      <c r="F517" s="156">
        <f>E517</f>
        <v>14634</v>
      </c>
    </row>
    <row r="518" spans="1:18" hidden="1" outlineLevel="1">
      <c r="B518" t="s">
        <v>1112</v>
      </c>
      <c r="C518" s="273"/>
      <c r="E518" s="301">
        <f>ROUND(SUMIF(Data!$1:$1,$E$513,Data!$2780:$2780),0)</f>
        <v>27657</v>
      </c>
      <c r="F518" s="203"/>
      <c r="G518" s="204">
        <f>E518</f>
        <v>27657</v>
      </c>
    </row>
    <row r="519" spans="1:18" hidden="1" outlineLevel="1">
      <c r="C519" s="273"/>
    </row>
    <row r="520" spans="1:18" ht="126" collapsed="1">
      <c r="B520" s="270" t="s">
        <v>1068</v>
      </c>
      <c r="C520" s="273">
        <v>26</v>
      </c>
      <c r="E520" s="156">
        <f>SUM(E515:E519)</f>
        <v>1075514</v>
      </c>
      <c r="F520" s="156">
        <f>SUM(F515:F519)</f>
        <v>487864</v>
      </c>
      <c r="G520" s="156">
        <f>SUM(G515:G519)</f>
        <v>587650</v>
      </c>
      <c r="O520" s="348">
        <f>P520+Q520</f>
        <v>1075514</v>
      </c>
      <c r="P520" s="292">
        <f>F520</f>
        <v>487864</v>
      </c>
      <c r="Q520" s="292">
        <f>G520</f>
        <v>587650</v>
      </c>
      <c r="R520" s="259">
        <f>$E$513</f>
        <v>2018</v>
      </c>
    </row>
    <row r="521" spans="1:18" ht="15.75">
      <c r="B521" s="350"/>
      <c r="C521" s="273"/>
      <c r="E521" s="156"/>
      <c r="F521" s="156"/>
      <c r="G521" s="156"/>
      <c r="O521" s="260"/>
      <c r="P521" s="260"/>
      <c r="Q521" s="260"/>
      <c r="R521" s="261"/>
    </row>
    <row r="522" spans="1:18" ht="25.5">
      <c r="C522" s="273"/>
      <c r="O522" s="283" t="s">
        <v>1904</v>
      </c>
      <c r="Q522" s="265" t="s">
        <v>1110</v>
      </c>
    </row>
    <row r="523" spans="1:18" ht="62.25">
      <c r="B523" s="271" t="s">
        <v>1069</v>
      </c>
      <c r="C523" s="273">
        <v>27</v>
      </c>
      <c r="E523" s="156">
        <f>ROUND(SUMIF(Data!$1:$1,$E$513,Data!$2781:$2781),0)+ROUND(SUMIF(Data!$1:$1,$E$513,Data!$2782:$2782),0)</f>
        <v>8807</v>
      </c>
      <c r="O523" s="348">
        <f>P523+Q523</f>
        <v>8807</v>
      </c>
      <c r="P523" s="292"/>
      <c r="Q523" s="292">
        <f>E523</f>
        <v>8807</v>
      </c>
      <c r="R523" s="259">
        <f>$E$513</f>
        <v>2018</v>
      </c>
    </row>
    <row r="524" spans="1:18">
      <c r="E524" s="203"/>
    </row>
    <row r="525" spans="1:18">
      <c r="E525" s="243"/>
      <c r="O525" s="259" t="s">
        <v>280</v>
      </c>
      <c r="P525" s="353" t="s">
        <v>1902</v>
      </c>
      <c r="Q525" s="353" t="s">
        <v>1903</v>
      </c>
    </row>
    <row r="526" spans="1:18" ht="21.75" customHeight="1">
      <c r="B526" s="351" t="s">
        <v>1191</v>
      </c>
      <c r="C526" s="352"/>
      <c r="D526" s="293"/>
      <c r="E526" s="294">
        <f>E520-E523</f>
        <v>1066707</v>
      </c>
      <c r="O526" s="346">
        <f>O520-O523</f>
        <v>1066707</v>
      </c>
      <c r="P526" s="348">
        <f>P520-P523</f>
        <v>487864</v>
      </c>
      <c r="Q526" s="348">
        <f>Q520-Q523</f>
        <v>578843</v>
      </c>
      <c r="R526" s="259">
        <f>R520</f>
        <v>2018</v>
      </c>
    </row>
    <row r="527" spans="1:18" s="173" customFormat="1">
      <c r="A527" s="298"/>
      <c r="B527" s="330"/>
      <c r="M527" s="174"/>
    </row>
    <row r="531" spans="1:21">
      <c r="E531" s="156"/>
    </row>
    <row r="532" spans="1:21" s="357" customFormat="1">
      <c r="A532" s="356"/>
      <c r="E532" s="358"/>
      <c r="M532" s="358"/>
    </row>
    <row r="533" spans="1:21" ht="13.5" thickBot="1">
      <c r="E533" s="156"/>
    </row>
    <row r="534" spans="1:21" ht="26.25" customHeight="1">
      <c r="B534" s="66" t="s">
        <v>1176</v>
      </c>
      <c r="E534" s="156"/>
      <c r="M534" s="1338" t="s">
        <v>2074</v>
      </c>
      <c r="N534" s="1339"/>
      <c r="O534" s="1344" t="s">
        <v>1179</v>
      </c>
      <c r="P534" s="1345"/>
    </row>
    <row r="535" spans="1:21" ht="13.5" thickBot="1">
      <c r="B535" s="66"/>
      <c r="E535" s="156"/>
      <c r="M535" s="1340"/>
      <c r="N535" s="1341"/>
      <c r="O535" s="1346" t="s">
        <v>1178</v>
      </c>
      <c r="P535" s="1347"/>
    </row>
    <row r="536" spans="1:21" ht="39.75" customHeight="1" thickBot="1">
      <c r="B536" s="66"/>
      <c r="E536" s="156"/>
      <c r="M536" s="1340"/>
      <c r="N536" s="1341"/>
      <c r="O536" s="778" t="s">
        <v>1186</v>
      </c>
      <c r="P536" s="779">
        <f>$C$2-1</f>
        <v>2019</v>
      </c>
      <c r="Q536" s="625" t="s">
        <v>1609</v>
      </c>
      <c r="R536" s="173" t="s">
        <v>1841</v>
      </c>
      <c r="S536" s="173"/>
    </row>
    <row r="537" spans="1:21" s="173" customFormat="1">
      <c r="A537" s="298"/>
      <c r="B537" s="330"/>
      <c r="E537" s="174"/>
      <c r="M537" s="1340"/>
      <c r="N537" s="1341"/>
      <c r="O537" s="1348" t="s">
        <v>1189</v>
      </c>
      <c r="P537" s="1349"/>
      <c r="Q537" s="1350" t="s">
        <v>1180</v>
      </c>
    </row>
    <row r="538" spans="1:21" ht="15">
      <c r="A538" s="314">
        <v>1</v>
      </c>
      <c r="B538" s="315"/>
      <c r="E538" s="156"/>
      <c r="M538" s="1340"/>
      <c r="N538" s="1341"/>
      <c r="O538" s="777">
        <f>P538-1</f>
        <v>2019</v>
      </c>
      <c r="P538" s="331">
        <f>P536+1</f>
        <v>2020</v>
      </c>
      <c r="Q538" s="1351"/>
      <c r="R538" s="359"/>
      <c r="S538" s="359"/>
    </row>
    <row r="539" spans="1:21" ht="15.75" thickBot="1">
      <c r="A539" s="314">
        <v>2</v>
      </c>
      <c r="B539" s="306" t="s">
        <v>1143</v>
      </c>
      <c r="M539" s="1342"/>
      <c r="N539" s="1343"/>
      <c r="O539" s="306"/>
      <c r="P539" s="306"/>
      <c r="R539" s="360"/>
      <c r="S539" s="360"/>
    </row>
    <row r="540" spans="1:21" ht="25.5">
      <c r="A540" s="314">
        <v>3</v>
      </c>
      <c r="B540" s="307" t="s">
        <v>1144</v>
      </c>
      <c r="O540" s="316"/>
      <c r="P540" s="328">
        <v>0</v>
      </c>
      <c r="R540" s="361"/>
      <c r="S540" s="361"/>
    </row>
    <row r="541" spans="1:21" ht="38.25">
      <c r="A541" s="314">
        <v>4</v>
      </c>
      <c r="B541" s="1152" t="s">
        <v>2001</v>
      </c>
      <c r="O541" s="316"/>
      <c r="P541" s="328">
        <v>0</v>
      </c>
      <c r="R541" s="361"/>
      <c r="S541" s="361"/>
    </row>
    <row r="542" spans="1:21" ht="38.25">
      <c r="A542" s="314">
        <v>5</v>
      </c>
      <c r="B542" s="1152" t="s">
        <v>2002</v>
      </c>
      <c r="O542" s="316"/>
      <c r="P542" s="328">
        <v>0</v>
      </c>
      <c r="R542" s="361"/>
      <c r="S542" s="361"/>
    </row>
    <row r="543" spans="1:21" ht="15">
      <c r="A543" s="314">
        <v>6</v>
      </c>
      <c r="B543" s="308"/>
      <c r="O543" s="316"/>
      <c r="P543" s="436" t="s">
        <v>1257</v>
      </c>
      <c r="R543" s="265" t="s">
        <v>1106</v>
      </c>
      <c r="S543" s="265" t="s">
        <v>1110</v>
      </c>
    </row>
    <row r="544" spans="1:21" ht="51.75">
      <c r="A544" s="314">
        <v>7</v>
      </c>
      <c r="B544" s="307" t="s">
        <v>1145</v>
      </c>
      <c r="O544" s="316"/>
      <c r="P544" s="333">
        <f>$O$248+$O$231</f>
        <v>7471347125.2312622</v>
      </c>
      <c r="Q544" s="335">
        <f>R231</f>
        <v>2020</v>
      </c>
      <c r="R544" s="333">
        <f>$P$248</f>
        <v>1386628515</v>
      </c>
      <c r="S544" s="333">
        <f>$Q$231</f>
        <v>6084718610.2312622</v>
      </c>
      <c r="U544" s="433"/>
    </row>
    <row r="545" spans="1:20" ht="64.5">
      <c r="A545" s="314">
        <v>8</v>
      </c>
      <c r="B545" s="307" t="s">
        <v>1146</v>
      </c>
      <c r="O545" s="316"/>
      <c r="P545" s="334">
        <f>$O$233</f>
        <v>60680573</v>
      </c>
      <c r="Q545" s="335">
        <f>R233</f>
        <v>2020</v>
      </c>
      <c r="R545" s="361"/>
      <c r="S545" s="334">
        <f>$Q$233</f>
        <v>60680573</v>
      </c>
    </row>
    <row r="546" spans="1:20" ht="64.5">
      <c r="A546" s="314">
        <v>9</v>
      </c>
      <c r="B546" s="307" t="s">
        <v>1147</v>
      </c>
      <c r="O546" s="316"/>
      <c r="P546" s="334">
        <f>$O$235</f>
        <v>108354854</v>
      </c>
      <c r="Q546" s="335">
        <f>R235</f>
        <v>2019</v>
      </c>
      <c r="R546" s="361"/>
      <c r="S546" s="334">
        <f>$Q$235</f>
        <v>108354854</v>
      </c>
    </row>
    <row r="547" spans="1:20" ht="39">
      <c r="A547" s="314">
        <v>10</v>
      </c>
      <c r="B547" s="307" t="s">
        <v>1148</v>
      </c>
      <c r="O547" s="316"/>
      <c r="P547" s="336">
        <f>$O$242</f>
        <v>745971267</v>
      </c>
      <c r="Q547" s="335">
        <f>R242</f>
        <v>2019</v>
      </c>
      <c r="R547" s="243"/>
      <c r="S547" s="334">
        <f>$Q$242</f>
        <v>745971267</v>
      </c>
      <c r="T547" s="361">
        <f>SUM(P544:P547)</f>
        <v>8386353819.2312622</v>
      </c>
    </row>
    <row r="548" spans="1:20" ht="26.25">
      <c r="A548" s="314">
        <v>11</v>
      </c>
      <c r="B548" s="307" t="s">
        <v>1149</v>
      </c>
      <c r="O548" s="316"/>
      <c r="P548" s="328">
        <v>0</v>
      </c>
      <c r="R548" s="623">
        <f>SUM(R544:R547)</f>
        <v>1386628515</v>
      </c>
      <c r="S548" s="624">
        <f>SUM(S544:S547)</f>
        <v>6999725304.2312622</v>
      </c>
      <c r="T548" s="433">
        <f>S548+R548</f>
        <v>8386353819.2312622</v>
      </c>
    </row>
    <row r="549" spans="1:20" ht="14.25">
      <c r="A549" s="314">
        <v>12</v>
      </c>
      <c r="B549" s="307" t="s">
        <v>1150</v>
      </c>
      <c r="O549" s="316"/>
      <c r="P549" s="328">
        <v>0</v>
      </c>
      <c r="R549" s="1183" t="s">
        <v>1608</v>
      </c>
      <c r="S549" s="1184"/>
    </row>
    <row r="550" spans="1:20" ht="25.5">
      <c r="A550" s="314">
        <v>13</v>
      </c>
      <c r="B550" s="307" t="s">
        <v>1151</v>
      </c>
      <c r="O550" s="316"/>
      <c r="P550" s="328">
        <v>0</v>
      </c>
      <c r="R550" s="361"/>
      <c r="S550" s="361"/>
    </row>
    <row r="551" spans="1:20" ht="25.5">
      <c r="A551" s="314">
        <v>14</v>
      </c>
      <c r="B551" s="307" t="s">
        <v>1152</v>
      </c>
      <c r="O551" s="316"/>
      <c r="P551" s="328">
        <v>0</v>
      </c>
      <c r="R551" s="361"/>
      <c r="S551" s="361"/>
    </row>
    <row r="552" spans="1:20" ht="25.5">
      <c r="A552" s="314">
        <v>15</v>
      </c>
      <c r="B552" s="309" t="s">
        <v>1153</v>
      </c>
      <c r="O552" s="316"/>
      <c r="P552" s="317">
        <f t="shared" ref="P552" si="65">P544+P545+P546+P547+P548+P549-P550-P551</f>
        <v>8386353819.2312622</v>
      </c>
      <c r="R552" s="361"/>
      <c r="S552" s="361"/>
    </row>
    <row r="553" spans="1:20" ht="15">
      <c r="A553" s="314">
        <v>16</v>
      </c>
      <c r="B553" s="310" t="s">
        <v>1154</v>
      </c>
      <c r="O553" s="310"/>
      <c r="P553" s="310"/>
      <c r="R553" s="362"/>
      <c r="S553" s="362"/>
    </row>
    <row r="554" spans="1:20" ht="54" customHeight="1">
      <c r="A554" s="314">
        <v>17</v>
      </c>
      <c r="B554" s="307" t="s">
        <v>1155</v>
      </c>
      <c r="O554" s="328">
        <v>0</v>
      </c>
      <c r="P554" s="318"/>
      <c r="R554" s="361"/>
      <c r="S554" s="361"/>
    </row>
    <row r="555" spans="1:20" ht="25.5">
      <c r="A555" s="314">
        <v>18</v>
      </c>
      <c r="B555" s="307" t="s">
        <v>1156</v>
      </c>
      <c r="O555" s="328">
        <v>0</v>
      </c>
      <c r="P555" s="318"/>
      <c r="R555" s="361"/>
      <c r="S555" s="361"/>
    </row>
    <row r="556" spans="1:20" ht="83.25" customHeight="1">
      <c r="A556" s="314">
        <v>19</v>
      </c>
      <c r="B556" s="307" t="s">
        <v>1157</v>
      </c>
      <c r="O556" s="339">
        <f>O254</f>
        <v>85905147</v>
      </c>
      <c r="P556" s="318"/>
      <c r="Q556" s="335">
        <f>R254</f>
        <v>2019</v>
      </c>
      <c r="R556" s="361"/>
      <c r="S556" s="361"/>
    </row>
    <row r="557" spans="1:20" ht="38.25">
      <c r="A557" s="314">
        <v>20</v>
      </c>
      <c r="B557" s="307" t="s">
        <v>1158</v>
      </c>
      <c r="O557" s="328">
        <v>0</v>
      </c>
      <c r="P557" s="318"/>
      <c r="R557" s="361"/>
      <c r="S557" s="361"/>
    </row>
    <row r="558" spans="1:20" ht="25.5">
      <c r="A558" s="314">
        <v>21</v>
      </c>
      <c r="B558" s="309" t="s">
        <v>1159</v>
      </c>
      <c r="O558" s="317"/>
      <c r="P558" s="318"/>
      <c r="R558" s="361"/>
      <c r="S558" s="361"/>
    </row>
    <row r="559" spans="1:20" ht="37.5" customHeight="1">
      <c r="A559" s="314">
        <v>22</v>
      </c>
      <c r="B559" s="307" t="s">
        <v>1160</v>
      </c>
      <c r="O559" s="333">
        <f>O259</f>
        <v>27932204</v>
      </c>
      <c r="P559" s="318"/>
      <c r="Q559" s="335">
        <f>R259</f>
        <v>2019</v>
      </c>
      <c r="R559" s="361"/>
      <c r="S559" s="361"/>
    </row>
    <row r="560" spans="1:20" ht="39">
      <c r="A560" s="314">
        <v>23</v>
      </c>
      <c r="B560" s="307" t="s">
        <v>1071</v>
      </c>
      <c r="O560" s="336">
        <f>$O$323</f>
        <v>1232787285</v>
      </c>
      <c r="P560" s="318"/>
      <c r="Q560" s="335">
        <f>R323</f>
        <v>2019</v>
      </c>
      <c r="R560" s="361"/>
      <c r="S560" s="361"/>
    </row>
    <row r="561" spans="1:27" ht="25.5">
      <c r="A561" s="314">
        <v>24</v>
      </c>
      <c r="B561" s="307" t="s">
        <v>1161</v>
      </c>
      <c r="O561" s="328">
        <v>0</v>
      </c>
      <c r="P561" s="318"/>
      <c r="R561" s="361"/>
      <c r="S561" s="361"/>
    </row>
    <row r="562" spans="1:27" ht="15">
      <c r="A562" s="314">
        <v>25</v>
      </c>
      <c r="B562" s="310" t="s">
        <v>1162</v>
      </c>
      <c r="O562" s="310"/>
      <c r="P562" s="310"/>
      <c r="R562" s="362"/>
      <c r="S562" s="362"/>
    </row>
    <row r="563" spans="1:27" ht="26.25">
      <c r="A563" s="314">
        <v>26</v>
      </c>
      <c r="B563" s="307" t="s">
        <v>1163</v>
      </c>
      <c r="O563" s="333">
        <f>O402</f>
        <v>1848393336</v>
      </c>
      <c r="P563" s="318"/>
      <c r="Q563" s="354">
        <f>R402</f>
        <v>2018</v>
      </c>
      <c r="R563" s="216" t="s">
        <v>1188</v>
      </c>
      <c r="S563" s="361"/>
      <c r="T563" s="361"/>
      <c r="U563" s="216"/>
    </row>
    <row r="564" spans="1:27" ht="14.25">
      <c r="A564" s="314">
        <v>27</v>
      </c>
      <c r="B564" s="307"/>
      <c r="O564" s="332"/>
      <c r="P564" s="318"/>
      <c r="Q564" s="216"/>
      <c r="S564" s="361"/>
      <c r="T564" s="361"/>
    </row>
    <row r="565" spans="1:27" ht="69" customHeight="1">
      <c r="A565" s="314">
        <v>28</v>
      </c>
      <c r="B565" s="307" t="s">
        <v>1164</v>
      </c>
      <c r="O565" s="334">
        <f>O421</f>
        <v>285288656</v>
      </c>
      <c r="P565" s="318"/>
      <c r="Q565" s="335">
        <f>R421</f>
        <v>2019</v>
      </c>
      <c r="S565" s="361"/>
      <c r="T565" s="361"/>
    </row>
    <row r="566" spans="1:27" ht="26.25">
      <c r="A566" s="314">
        <v>29</v>
      </c>
      <c r="B566" s="307" t="s">
        <v>1062</v>
      </c>
      <c r="O566" s="334">
        <f>O426</f>
        <v>99100031</v>
      </c>
      <c r="P566" s="318"/>
      <c r="Q566" s="335">
        <f>R426</f>
        <v>2019</v>
      </c>
      <c r="S566" s="361"/>
      <c r="T566" s="361"/>
    </row>
    <row r="567" spans="1:27" ht="81.75" customHeight="1">
      <c r="A567" s="314">
        <v>30</v>
      </c>
      <c r="B567" s="307" t="s">
        <v>1165</v>
      </c>
      <c r="O567" s="334">
        <f>O453</f>
        <v>951924510</v>
      </c>
      <c r="P567" s="318"/>
      <c r="Q567" s="335">
        <f>R426</f>
        <v>2019</v>
      </c>
      <c r="S567" s="361"/>
      <c r="T567" s="361"/>
    </row>
    <row r="568" spans="1:27" ht="70.5" customHeight="1">
      <c r="A568" s="314">
        <v>31</v>
      </c>
      <c r="B568" s="307" t="s">
        <v>1166</v>
      </c>
      <c r="O568" s="336">
        <f>O459</f>
        <v>268065270</v>
      </c>
      <c r="P568" s="318"/>
      <c r="Q568" s="335">
        <f>R459</f>
        <v>2019</v>
      </c>
      <c r="S568" s="361"/>
      <c r="T568" s="361"/>
      <c r="U568" s="1330" t="s">
        <v>2066</v>
      </c>
      <c r="V568" s="1330"/>
      <c r="W568" s="1330"/>
      <c r="X568" s="1330" t="s">
        <v>2067</v>
      </c>
      <c r="Y568" s="1330"/>
      <c r="Z568" s="1330"/>
    </row>
    <row r="569" spans="1:27" ht="25.5">
      <c r="A569" s="314">
        <v>32</v>
      </c>
      <c r="B569" s="311" t="s">
        <v>1167</v>
      </c>
      <c r="O569" s="317">
        <f t="shared" ref="O569" si="66">O565+O566+O567+O568</f>
        <v>1604378467</v>
      </c>
      <c r="P569" s="319"/>
      <c r="S569" s="1185" t="s">
        <v>2066</v>
      </c>
      <c r="T569" s="1185" t="s">
        <v>2067</v>
      </c>
      <c r="U569" s="265" t="s">
        <v>2080</v>
      </c>
      <c r="V569" s="265" t="s">
        <v>2081</v>
      </c>
      <c r="W569" s="265" t="s">
        <v>2082</v>
      </c>
      <c r="X569" s="1188" t="s">
        <v>2080</v>
      </c>
      <c r="Y569" s="1188" t="s">
        <v>2081</v>
      </c>
      <c r="Z569" s="1188" t="s">
        <v>2082</v>
      </c>
    </row>
    <row r="570" spans="1:27" s="1044" customFormat="1" ht="14.25">
      <c r="A570" s="314"/>
      <c r="B570" s="311"/>
      <c r="M570" s="156"/>
      <c r="O570" s="317"/>
      <c r="P570" s="319"/>
      <c r="S570" s="295"/>
      <c r="T570" s="295"/>
      <c r="U570" s="295"/>
      <c r="V570" s="295"/>
    </row>
    <row r="571" spans="1:27" ht="26.25">
      <c r="A571" s="314">
        <v>33</v>
      </c>
      <c r="B571" s="307" t="s">
        <v>1168</v>
      </c>
      <c r="M571" s="156" t="s">
        <v>2063</v>
      </c>
      <c r="N571">
        <v>551</v>
      </c>
      <c r="O571" s="333">
        <f>O472</f>
        <v>8002566612</v>
      </c>
      <c r="P571" s="318"/>
      <c r="Q571" s="354">
        <f>R472</f>
        <v>2018</v>
      </c>
      <c r="R571" s="216" t="s">
        <v>1188</v>
      </c>
      <c r="S571" s="1195">
        <f>P472</f>
        <v>1683832387</v>
      </c>
      <c r="T571" s="1195">
        <f>Q472</f>
        <v>6318734225</v>
      </c>
      <c r="U571" s="1201">
        <f>S466+S465</f>
        <v>1501352054</v>
      </c>
      <c r="V571" s="1201">
        <f>T466+T465</f>
        <v>182480333</v>
      </c>
      <c r="W571" s="1201">
        <f>U466+U465</f>
        <v>100851776</v>
      </c>
      <c r="X571" s="1200">
        <f>S467+S468</f>
        <v>4782617000</v>
      </c>
      <c r="Y571" s="1200">
        <f>T467+T468</f>
        <v>1536117225</v>
      </c>
      <c r="Z571" s="1200">
        <f>U467+U468</f>
        <v>515527921</v>
      </c>
      <c r="AA571" s="156" t="s">
        <v>2063</v>
      </c>
    </row>
    <row r="572" spans="1:27" ht="51.75">
      <c r="A572" s="314">
        <v>34</v>
      </c>
      <c r="B572" s="307" t="s">
        <v>1169</v>
      </c>
      <c r="M572" s="156" t="s">
        <v>2076</v>
      </c>
      <c r="N572">
        <v>566</v>
      </c>
      <c r="O572" s="334">
        <f>O487</f>
        <v>2338041458</v>
      </c>
      <c r="P572" s="318"/>
      <c r="Q572" s="354">
        <f>R487</f>
        <v>2018</v>
      </c>
      <c r="R572" s="216" t="s">
        <v>1188</v>
      </c>
      <c r="S572" s="1199">
        <f>P487</f>
        <v>695813348</v>
      </c>
      <c r="T572" s="1199">
        <f>Q487</f>
        <v>1642228110</v>
      </c>
      <c r="U572" s="138">
        <f>S481+S480</f>
        <v>623792894</v>
      </c>
      <c r="V572" s="138">
        <f>T481+T480</f>
        <v>72020454</v>
      </c>
      <c r="W572" s="138">
        <f>U481+U480</f>
        <v>34429868</v>
      </c>
      <c r="X572" s="156">
        <f>S482+S479</f>
        <v>1215020761</v>
      </c>
      <c r="Y572" s="156">
        <f t="shared" ref="Y572:Z572" si="67">T482+T479</f>
        <v>427207349</v>
      </c>
      <c r="Z572" s="156">
        <f t="shared" si="67"/>
        <v>131293918</v>
      </c>
      <c r="AA572" s="156" t="s">
        <v>2076</v>
      </c>
    </row>
    <row r="573" spans="1:27" ht="39">
      <c r="A573" s="314">
        <v>35</v>
      </c>
      <c r="B573" s="307" t="s">
        <v>1170</v>
      </c>
      <c r="M573" s="156" t="s">
        <v>2077</v>
      </c>
      <c r="N573">
        <v>576</v>
      </c>
      <c r="O573" s="334">
        <f>O497</f>
        <v>274013371</v>
      </c>
      <c r="P573" s="318"/>
      <c r="Q573" s="354">
        <f>R497</f>
        <v>2018</v>
      </c>
      <c r="R573" s="216" t="s">
        <v>1188</v>
      </c>
      <c r="S573" s="1199">
        <f>P497</f>
        <v>81547810</v>
      </c>
      <c r="T573" s="1199">
        <f>Q497</f>
        <v>192465561</v>
      </c>
      <c r="U573" s="216"/>
      <c r="AA573" s="156" t="s">
        <v>2077</v>
      </c>
    </row>
    <row r="574" spans="1:27" ht="26.25">
      <c r="A574" s="314">
        <v>36</v>
      </c>
      <c r="B574" s="307" t="s">
        <v>1171</v>
      </c>
      <c r="M574" s="156" t="s">
        <v>2078</v>
      </c>
      <c r="N574">
        <v>585</v>
      </c>
      <c r="O574" s="334">
        <f>Q506</f>
        <v>88957344</v>
      </c>
      <c r="P574" s="318"/>
      <c r="Q574" s="354">
        <f>R506</f>
        <v>2018</v>
      </c>
      <c r="R574" s="216" t="s">
        <v>1188</v>
      </c>
      <c r="S574" s="1195">
        <f>P506</f>
        <v>0</v>
      </c>
      <c r="T574" s="1199">
        <f>Q506</f>
        <v>88957344</v>
      </c>
      <c r="U574" s="216"/>
      <c r="AA574" s="156" t="s">
        <v>2078</v>
      </c>
    </row>
    <row r="575" spans="1:27" ht="51">
      <c r="A575" s="314">
        <v>37</v>
      </c>
      <c r="B575" s="307" t="s">
        <v>1172</v>
      </c>
      <c r="O575" s="342">
        <v>0</v>
      </c>
      <c r="P575" s="318"/>
      <c r="S575" s="1196"/>
      <c r="T575" s="1196"/>
    </row>
    <row r="576" spans="1:27" ht="25.5">
      <c r="A576" s="314">
        <v>38</v>
      </c>
      <c r="B576" s="1153" t="s">
        <v>2003</v>
      </c>
      <c r="M576" s="156" t="s">
        <v>2079</v>
      </c>
      <c r="N576">
        <v>589</v>
      </c>
      <c r="O576" s="317">
        <f t="shared" ref="O576" si="68">O571-O572-O573-O574-O575</f>
        <v>5301554439</v>
      </c>
      <c r="P576" s="319"/>
      <c r="S576" s="1195">
        <f>P510</f>
        <v>906471229</v>
      </c>
      <c r="T576" s="1195">
        <f>Q510</f>
        <v>4395083210</v>
      </c>
      <c r="AA576" s="156" t="s">
        <v>2079</v>
      </c>
    </row>
    <row r="577" spans="1:23" ht="15">
      <c r="A577" s="314">
        <v>39</v>
      </c>
      <c r="B577" s="310" t="s">
        <v>1173</v>
      </c>
      <c r="O577" s="320"/>
      <c r="P577" s="320"/>
      <c r="S577" s="363"/>
      <c r="T577" s="1195">
        <f>O576-S576-T576</f>
        <v>0</v>
      </c>
    </row>
    <row r="578" spans="1:23" ht="77.25">
      <c r="A578" s="314">
        <v>40</v>
      </c>
      <c r="B578" s="307" t="s">
        <v>1068</v>
      </c>
      <c r="N578" s="222"/>
      <c r="O578" s="343">
        <f>O520</f>
        <v>1075514</v>
      </c>
      <c r="P578" s="318"/>
      <c r="Q578" s="354">
        <f>R520</f>
        <v>2018</v>
      </c>
      <c r="R578" s="216" t="s">
        <v>1188</v>
      </c>
      <c r="S578" s="1202">
        <f>S576+S573</f>
        <v>988019039</v>
      </c>
      <c r="T578" s="1202">
        <f>T576+T573</f>
        <v>4587548771</v>
      </c>
      <c r="U578" s="1203" t="s">
        <v>2097</v>
      </c>
    </row>
    <row r="579" spans="1:23" ht="39">
      <c r="A579" s="314">
        <v>41</v>
      </c>
      <c r="B579" s="307" t="s">
        <v>1174</v>
      </c>
      <c r="O579" s="344">
        <f>O523</f>
        <v>8807</v>
      </c>
      <c r="P579" s="318"/>
      <c r="Q579" s="354">
        <f>R523</f>
        <v>2018</v>
      </c>
      <c r="R579" s="216" t="s">
        <v>1188</v>
      </c>
      <c r="S579" s="364"/>
      <c r="T579" s="364"/>
      <c r="U579" s="216"/>
    </row>
    <row r="580" spans="1:23" ht="14.25">
      <c r="A580" s="314">
        <v>42</v>
      </c>
      <c r="B580" s="309" t="s">
        <v>1177</v>
      </c>
      <c r="O580" s="322">
        <f t="shared" ref="O580" si="69">O578-O579</f>
        <v>1066707</v>
      </c>
      <c r="P580" s="319"/>
      <c r="S580" s="364"/>
      <c r="T580" s="364"/>
    </row>
    <row r="581" spans="1:23" ht="15">
      <c r="A581" s="314">
        <v>43</v>
      </c>
      <c r="B581" s="310" t="s">
        <v>1115</v>
      </c>
      <c r="O581" s="310"/>
      <c r="P581" s="310"/>
      <c r="S581" s="362"/>
      <c r="T581" s="362"/>
    </row>
    <row r="582" spans="1:23" ht="51">
      <c r="A582" s="314">
        <v>44</v>
      </c>
      <c r="B582" s="312" t="s">
        <v>1175</v>
      </c>
      <c r="O582" s="320"/>
      <c r="P582" s="320"/>
      <c r="S582" s="363"/>
      <c r="T582" s="363"/>
    </row>
    <row r="583" spans="1:23" ht="15">
      <c r="A583" s="314">
        <v>45</v>
      </c>
      <c r="B583" s="307" t="s">
        <v>1121</v>
      </c>
      <c r="O583" s="321"/>
      <c r="P583" s="343">
        <f>O248</f>
        <v>1386628515</v>
      </c>
      <c r="Q583" s="335">
        <f>R248</f>
        <v>2020</v>
      </c>
      <c r="S583" s="364"/>
      <c r="T583" s="364"/>
    </row>
    <row r="584" spans="1:23" ht="15">
      <c r="A584" s="314">
        <v>46</v>
      </c>
      <c r="B584" s="307" t="s">
        <v>1122</v>
      </c>
      <c r="O584" s="321"/>
      <c r="P584" s="344">
        <f>SUM(O231+O233+O235+O242)</f>
        <v>6999725304.2312622</v>
      </c>
      <c r="Q584" s="335">
        <f>R248</f>
        <v>2020</v>
      </c>
      <c r="S584" s="364"/>
      <c r="T584" s="364"/>
    </row>
    <row r="585" spans="1:23" ht="25.5">
      <c r="A585" s="314">
        <v>47</v>
      </c>
      <c r="B585" s="307" t="s">
        <v>1123</v>
      </c>
      <c r="O585" s="329"/>
      <c r="P585" s="329">
        <v>0</v>
      </c>
      <c r="S585" s="364"/>
      <c r="T585" s="364"/>
    </row>
    <row r="586" spans="1:23" ht="14.25">
      <c r="A586" s="314">
        <v>48</v>
      </c>
      <c r="B586" s="309" t="s">
        <v>1124</v>
      </c>
      <c r="O586" s="317"/>
      <c r="P586" s="323">
        <f t="shared" ref="P586" si="70">P583+P584+P585</f>
        <v>8386353819.2312622</v>
      </c>
      <c r="S586" s="361"/>
      <c r="T586" s="361"/>
    </row>
    <row r="587" spans="1:23" ht="14.25">
      <c r="A587" s="314">
        <v>49</v>
      </c>
      <c r="B587" s="313" t="s">
        <v>1125</v>
      </c>
      <c r="O587" s="324"/>
      <c r="P587" s="324">
        <f t="shared" ref="P587" si="71">P586-P552</f>
        <v>0</v>
      </c>
      <c r="S587" s="1330" t="s">
        <v>2070</v>
      </c>
      <c r="T587" s="1330"/>
      <c r="U587" s="1330" t="s">
        <v>2075</v>
      </c>
      <c r="V587" s="1330"/>
    </row>
    <row r="588" spans="1:23" ht="15" thickBot="1">
      <c r="A588" s="314">
        <v>50</v>
      </c>
      <c r="B588" s="307"/>
      <c r="O588" s="316"/>
      <c r="P588" s="325"/>
      <c r="S588" s="265" t="s">
        <v>2068</v>
      </c>
      <c r="T588" s="265" t="s">
        <v>2069</v>
      </c>
      <c r="U588" s="1190" t="s">
        <v>2068</v>
      </c>
      <c r="V588" s="1190" t="s">
        <v>2069</v>
      </c>
    </row>
    <row r="589" spans="1:23" ht="15">
      <c r="A589" s="314">
        <v>51</v>
      </c>
      <c r="B589" s="307" t="s">
        <v>1126</v>
      </c>
      <c r="N589" t="s">
        <v>2099</v>
      </c>
      <c r="O589" s="343">
        <f>P510</f>
        <v>906471229</v>
      </c>
      <c r="P589" s="318"/>
      <c r="Q589" s="354">
        <f>R510</f>
        <v>2018</v>
      </c>
      <c r="R589" s="216" t="s">
        <v>1188</v>
      </c>
      <c r="S589" s="202">
        <f>SUMIF(Data!$1:$1,$F$477,Data!$2521:$2521)</f>
        <v>0.86020059417221573</v>
      </c>
      <c r="T589" s="1189">
        <f>SUMIF(Data!$1:$1,$F$477,Data!$2522:$2522)</f>
        <v>0.13979940582778425</v>
      </c>
      <c r="U589" s="1191">
        <f>ROUND($O589*S589,0)</f>
        <v>779747090</v>
      </c>
      <c r="V589" s="1192">
        <f t="shared" ref="V589:V590" si="72">ROUND($O589*T589,0)</f>
        <v>126724139</v>
      </c>
      <c r="W589" s="222">
        <f>O589-U589-V589</f>
        <v>0</v>
      </c>
    </row>
    <row r="590" spans="1:23" ht="15.75" thickBot="1">
      <c r="A590" s="314">
        <v>52</v>
      </c>
      <c r="B590" s="307" t="s">
        <v>1127</v>
      </c>
      <c r="N590" t="s">
        <v>2098</v>
      </c>
      <c r="O590" s="344">
        <f>Q510</f>
        <v>4395083210</v>
      </c>
      <c r="P590" s="318"/>
      <c r="Q590" s="354">
        <f>R510</f>
        <v>2018</v>
      </c>
      <c r="R590" s="216" t="s">
        <v>1188</v>
      </c>
      <c r="S590" s="202">
        <f>SUMIF(Data!$1:$1,$F$477,Data!$2580:$2580)</f>
        <v>0.76661544933142989</v>
      </c>
      <c r="T590" s="1189">
        <f>SUMIF(Data!$1:$1,$F$477,Data!$2581:$22605)</f>
        <v>0.2333845506685702</v>
      </c>
      <c r="U590" s="1193">
        <f t="shared" ref="U590" si="73">ROUND($O590*S590,0)</f>
        <v>3369338690</v>
      </c>
      <c r="V590" s="1194">
        <f t="shared" si="72"/>
        <v>1025744520</v>
      </c>
      <c r="W590" s="222">
        <f>O590-U590-V590</f>
        <v>0</v>
      </c>
    </row>
    <row r="591" spans="1:23" ht="14.25">
      <c r="A591" s="314">
        <v>53</v>
      </c>
      <c r="B591" s="307" t="s">
        <v>1128</v>
      </c>
      <c r="O591" s="329">
        <v>0</v>
      </c>
      <c r="P591" s="318"/>
      <c r="S591" s="364"/>
      <c r="T591" s="364"/>
    </row>
    <row r="592" spans="1:23" ht="14.25">
      <c r="A592" s="314">
        <v>54</v>
      </c>
      <c r="B592" s="309" t="s">
        <v>1129</v>
      </c>
      <c r="O592" s="317">
        <f t="shared" ref="O592" si="74">O589+O590+O591</f>
        <v>5301554439</v>
      </c>
      <c r="P592" s="319"/>
      <c r="S592" s="361"/>
      <c r="T592" s="361"/>
    </row>
    <row r="593" spans="1:21" ht="14.25">
      <c r="A593" s="314">
        <v>55</v>
      </c>
      <c r="B593" s="313" t="s">
        <v>1130</v>
      </c>
      <c r="O593" s="324">
        <f t="shared" ref="O593" si="75">O592-O576</f>
        <v>0</v>
      </c>
      <c r="P593" s="326"/>
      <c r="S593" s="361"/>
      <c r="T593" s="361"/>
    </row>
    <row r="594" spans="1:21" ht="14.25">
      <c r="A594" s="314">
        <v>56</v>
      </c>
      <c r="B594" s="307"/>
      <c r="O594" s="316"/>
      <c r="P594" s="318"/>
      <c r="S594" s="361"/>
      <c r="T594" s="361"/>
    </row>
    <row r="595" spans="1:21" ht="15">
      <c r="A595" s="314">
        <v>57</v>
      </c>
      <c r="B595" s="307" t="s">
        <v>1116</v>
      </c>
      <c r="O595" s="343">
        <f>P526</f>
        <v>487864</v>
      </c>
      <c r="P595" s="318"/>
      <c r="Q595" s="354">
        <f>R526</f>
        <v>2018</v>
      </c>
      <c r="R595" s="216" t="s">
        <v>1188</v>
      </c>
      <c r="S595" s="364"/>
      <c r="T595" s="364"/>
      <c r="U595" s="216"/>
    </row>
    <row r="596" spans="1:21" ht="15">
      <c r="A596" s="314">
        <v>58</v>
      </c>
      <c r="B596" s="307" t="s">
        <v>1117</v>
      </c>
      <c r="O596" s="344">
        <f>Q526</f>
        <v>578843</v>
      </c>
      <c r="P596" s="318"/>
      <c r="Q596" s="354">
        <f>R526</f>
        <v>2018</v>
      </c>
      <c r="R596" s="216" t="s">
        <v>1188</v>
      </c>
      <c r="S596" s="364"/>
      <c r="T596" s="364"/>
      <c r="U596" s="216"/>
    </row>
    <row r="597" spans="1:21" ht="14.25">
      <c r="A597" s="314">
        <v>59</v>
      </c>
      <c r="B597" s="307" t="s">
        <v>1118</v>
      </c>
      <c r="O597" s="329">
        <v>0</v>
      </c>
      <c r="P597" s="318"/>
      <c r="R597" s="364"/>
      <c r="S597" s="364"/>
    </row>
    <row r="598" spans="1:21" ht="14.25">
      <c r="A598" s="314">
        <v>60</v>
      </c>
      <c r="B598" s="309" t="s">
        <v>1119</v>
      </c>
      <c r="O598" s="322">
        <f t="shared" ref="O598" si="76">O595+O596+O597</f>
        <v>1066707</v>
      </c>
      <c r="P598" s="319"/>
      <c r="R598" s="775" t="s">
        <v>1828</v>
      </c>
      <c r="S598" s="364"/>
    </row>
    <row r="599" spans="1:21" ht="14.25">
      <c r="A599" s="314">
        <v>61</v>
      </c>
      <c r="B599" s="313" t="s">
        <v>1120</v>
      </c>
      <c r="O599" s="327">
        <f t="shared" ref="O599" si="77">O598-O580</f>
        <v>0</v>
      </c>
      <c r="P599" s="326"/>
      <c r="R599" s="364"/>
      <c r="S599" s="364"/>
    </row>
    <row r="606" spans="1:21">
      <c r="O606" s="433">
        <f>SUM(O553:O605)</f>
        <v>33016301450</v>
      </c>
      <c r="P606" s="222">
        <f>SUM(P540:P605)</f>
        <v>33545415276.925049</v>
      </c>
    </row>
    <row r="607" spans="1:21">
      <c r="B607" s="66"/>
    </row>
  </sheetData>
  <mergeCells count="15">
    <mergeCell ref="M534:N539"/>
    <mergeCell ref="X568:Z568"/>
    <mergeCell ref="O534:P534"/>
    <mergeCell ref="O535:P535"/>
    <mergeCell ref="O537:P537"/>
    <mergeCell ref="Q537:Q538"/>
    <mergeCell ref="U587:V587"/>
    <mergeCell ref="S587:T587"/>
    <mergeCell ref="U568:W568"/>
    <mergeCell ref="O5:U5"/>
    <mergeCell ref="R131:R140"/>
    <mergeCell ref="S507:T507"/>
    <mergeCell ref="U507:V507"/>
    <mergeCell ref="S472:U472"/>
    <mergeCell ref="S487:U487"/>
  </mergeCells>
  <hyperlinks>
    <hyperlink ref="B4" location="'SREB-SHEEO'!M622" display="See Lower Section for Output Data to SHEF Survey" xr:uid="{00000000-0004-0000-0700-000000000000}"/>
    <hyperlink ref="Q211" r:id="rId1" xr:uid="{00000000-0004-0000-0700-000001000000}"/>
    <hyperlink ref="Q212" r:id="rId2" xr:uid="{00000000-0004-0000-0700-000002000000}"/>
  </hyperlinks>
  <pageMargins left="0.7" right="0.7" top="0.75" bottom="0.75" header="0.3" footer="0.3"/>
  <pageSetup orientation="portrait" r:id="rId3"/>
  <drawing r:id="rId4"/>
  <legacy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F164"/>
  <sheetViews>
    <sheetView showGridLines="0" workbookViewId="0">
      <pane ySplit="2" topLeftCell="A3" activePane="bottomLeft" state="frozen"/>
      <selection activeCell="F1" sqref="F1"/>
      <selection pane="bottomLeft" activeCell="G112" sqref="G112"/>
    </sheetView>
  </sheetViews>
  <sheetFormatPr defaultRowHeight="12.75"/>
  <cols>
    <col min="1" max="1" width="67.85546875" style="133" customWidth="1"/>
    <col min="2" max="2" width="20.7109375" style="67" customWidth="1"/>
    <col min="3" max="3" width="19.7109375" style="67" bestFit="1" customWidth="1"/>
    <col min="4" max="4" width="23.42578125" style="67" customWidth="1"/>
    <col min="5" max="5" width="24.28515625" style="67" customWidth="1"/>
    <col min="6" max="6" width="23.42578125" style="126" customWidth="1"/>
  </cols>
  <sheetData>
    <row r="1" spans="1:6" ht="15.75" customHeight="1">
      <c r="A1" s="1352" t="s">
        <v>816</v>
      </c>
      <c r="B1" s="1352" t="s">
        <v>2</v>
      </c>
      <c r="C1" s="1352"/>
      <c r="D1" s="1353" t="s">
        <v>764</v>
      </c>
      <c r="E1" s="1353"/>
      <c r="F1" s="493" t="str">
        <f>IF(COUNTIF(F3:F193,"Out of Reconciliation")&gt;0,"Out of Reconciliation","")</f>
        <v>Out of Reconciliation</v>
      </c>
    </row>
    <row r="2" spans="1:6" ht="18" customHeight="1">
      <c r="A2" s="1352"/>
      <c r="B2" s="127" t="str">
        <f>'Summary - Millions'!$T$1</f>
        <v>2020</v>
      </c>
      <c r="C2" s="127">
        <f>B2+1</f>
        <v>2021</v>
      </c>
      <c r="D2" s="127" t="str">
        <f>'Summary - Millions'!$T$1</f>
        <v>2020</v>
      </c>
      <c r="E2" s="127">
        <f>D2+1</f>
        <v>2021</v>
      </c>
      <c r="F2" s="68"/>
    </row>
    <row r="3" spans="1:6" s="173" customFormat="1">
      <c r="A3" s="219"/>
      <c r="B3" s="220"/>
      <c r="C3" s="220"/>
      <c r="D3" s="220"/>
      <c r="E3" s="220"/>
      <c r="F3" s="128"/>
    </row>
    <row r="4" spans="1:6" ht="25.5">
      <c r="A4" s="377" t="s">
        <v>1227</v>
      </c>
      <c r="B4" s="90">
        <f>SUMIF(Data!$1:$1,'Summary - Dollars'!$T$1,Data!15:15)</f>
        <v>125092968507</v>
      </c>
      <c r="C4" s="225">
        <f>SUMIF(Data!$1:$1,'Summary - Dollars'!$T$1+1,Data!15:15)</f>
        <v>123220865563</v>
      </c>
      <c r="D4" s="90">
        <f>SUMIF(Data!$1:$1,'Summary - Dollars'!$T$1,Data!28:28)</f>
        <v>59926599198</v>
      </c>
      <c r="E4" s="90">
        <f>SUMIF(Data!$1:$1,'Summary - Dollars'!$T$1+1,Data!28:28)</f>
        <v>58386886496</v>
      </c>
      <c r="F4" s="128"/>
    </row>
    <row r="5" spans="1:6" ht="15" customHeight="1">
      <c r="A5" s="377" t="s">
        <v>2038</v>
      </c>
      <c r="B5" s="90">
        <f>SUMIF(Data!$1:$1,'Summary - Dollars'!$T$1,Data!1389:1389)</f>
        <v>0</v>
      </c>
      <c r="C5" s="225">
        <f>SUMIF(Data!$1:$1,'Summary - Dollars'!$T$1+1,Data!1389:1389)</f>
        <v>0</v>
      </c>
      <c r="D5" s="90">
        <f>SUMIF(Data!$1:$1,'Summary - Dollars'!$T$1,Data!1546:1546)</f>
        <v>0</v>
      </c>
      <c r="E5" s="90">
        <f>SUMIF(Data!$1:$1,'Summary - Dollars'!$T$1+1,Data!1546:1546)</f>
        <v>0</v>
      </c>
      <c r="F5" s="128"/>
    </row>
    <row r="6" spans="1:6" ht="16.5" customHeight="1">
      <c r="A6" s="377" t="s">
        <v>1223</v>
      </c>
      <c r="B6" s="115">
        <f>B4-B5</f>
        <v>125092968507</v>
      </c>
      <c r="C6" s="115">
        <f>C4-C5</f>
        <v>123220865563</v>
      </c>
      <c r="D6" s="115">
        <f>D4-D5</f>
        <v>59926599198</v>
      </c>
      <c r="E6" s="115">
        <f>E4-E5</f>
        <v>58386886496</v>
      </c>
      <c r="F6" s="128"/>
    </row>
    <row r="7" spans="1:6">
      <c r="A7" s="379" t="s">
        <v>1658</v>
      </c>
      <c r="B7" s="225">
        <f>'Summary - Dollars'!E39</f>
        <v>125092968507</v>
      </c>
      <c r="C7" s="225">
        <f>'Summary - Dollars'!F39</f>
        <v>123220865563</v>
      </c>
      <c r="D7" s="90">
        <f>'Summary - Dollars'!N39</f>
        <v>59926599198.231262</v>
      </c>
      <c r="E7" s="90">
        <f>'Summary - Dollars'!O39</f>
        <v>58386998771</v>
      </c>
      <c r="F7" s="128"/>
    </row>
    <row r="8" spans="1:6" ht="17.25" customHeight="1">
      <c r="A8" s="395" t="s">
        <v>767</v>
      </c>
      <c r="B8" s="399">
        <f>ROUND(B7-B6,0)</f>
        <v>0</v>
      </c>
      <c r="C8" s="399">
        <f>ROUND(C7-C6,0)</f>
        <v>0</v>
      </c>
      <c r="D8" s="399">
        <f>ROUND(D7-D6,0)</f>
        <v>0</v>
      </c>
      <c r="E8" s="399">
        <f>ROUND(E7-E6,0)</f>
        <v>112275</v>
      </c>
      <c r="F8" s="128" t="str">
        <f>IF(COUNTIF(B8:E8,"&lt;&gt;0")&gt;0,"Out of Reconciliation","Reconciled")</f>
        <v>Out of Reconciliation</v>
      </c>
    </row>
    <row r="9" spans="1:6">
      <c r="A9" s="129"/>
      <c r="B9" s="3"/>
      <c r="C9" s="3"/>
      <c r="D9" s="129"/>
      <c r="E9" s="129"/>
      <c r="F9" s="128"/>
    </row>
    <row r="10" spans="1:6">
      <c r="A10" s="377" t="s">
        <v>1228</v>
      </c>
      <c r="B10" s="90">
        <f>SUMIF(Data!$1:$1,'Summary - Dollars'!$T$1,Data!6:6)</f>
        <v>47927983109</v>
      </c>
      <c r="C10" s="90">
        <f>SUMIF(Data!$1:$1,'Summary - Dollars'!$T$1+1,Data!6:6)</f>
        <v>47973937749</v>
      </c>
      <c r="D10" s="90">
        <f>SUMIF(Data!$1:$1,'Summary - Dollars'!$T$1,Data!19:19)</f>
        <v>33344230597</v>
      </c>
      <c r="E10" s="90">
        <f>SUMIF(Data!$1:$1,'Summary - Dollars'!$T$1+1,Data!19:19)</f>
        <v>32370595091</v>
      </c>
      <c r="F10" s="128"/>
    </row>
    <row r="11" spans="1:6">
      <c r="A11" s="377" t="s">
        <v>2052</v>
      </c>
      <c r="B11" s="90">
        <f>SUMIF(Data!$1:$1,'Summary - Dollars'!$T$1,Data!129:129)</f>
        <v>47927983109</v>
      </c>
      <c r="C11" s="90">
        <f>SUMIF(Data!$1:$1,'Summary - Dollars'!$T$1+1,Data!129:129)</f>
        <v>47973937749</v>
      </c>
      <c r="D11" s="90">
        <f>SUMIF(Data!$1:$1,'Summary - Dollars'!$T$1,Data!227:227)</f>
        <v>33344230597.231262</v>
      </c>
      <c r="E11" s="90">
        <f>SUMIF(Data!$1:$1,'Summary - Dollars'!$T$1+1,Data!227:227)</f>
        <v>32370707366</v>
      </c>
      <c r="F11" s="128"/>
    </row>
    <row r="12" spans="1:6" ht="18.75" customHeight="1">
      <c r="A12" s="396" t="s">
        <v>767</v>
      </c>
      <c r="B12" s="399">
        <f>ROUND(B11-B10,0)</f>
        <v>0</v>
      </c>
      <c r="C12" s="399">
        <f>ROUND(C11-C10,0)</f>
        <v>0</v>
      </c>
      <c r="D12" s="399">
        <f>ROUND(D11-D10,0)</f>
        <v>0</v>
      </c>
      <c r="E12" s="399">
        <f>ROUND(E11-E10,0)</f>
        <v>112275</v>
      </c>
      <c r="F12" s="128" t="str">
        <f>IF(COUNTIF(B12:E12,"&lt;&gt;0")&gt;0,"Out of Reconciliation","Reconciled")</f>
        <v>Out of Reconciliation</v>
      </c>
    </row>
    <row r="13" spans="1:6">
      <c r="A13" s="130"/>
      <c r="B13" s="131"/>
      <c r="C13" s="131"/>
      <c r="D13" s="131"/>
      <c r="E13" s="131"/>
      <c r="F13" s="128"/>
    </row>
    <row r="14" spans="1:6" ht="25.5">
      <c r="A14" s="377" t="s">
        <v>2037</v>
      </c>
      <c r="B14" s="90">
        <f>SUMIF(Data!$1:$1,'Summary - Dollars'!$T$1,Data!129:129)</f>
        <v>47927983109</v>
      </c>
      <c r="C14" s="90">
        <f>SUMIF(Data!$1:$1,'Summary - Dollars'!$T$1+1,Data!129:129)</f>
        <v>47973937749</v>
      </c>
      <c r="D14" s="90">
        <f>SUMIF(Data!$1:$1,'Summary - Dollars'!$T$1,Data!227:227)</f>
        <v>33344230597.231262</v>
      </c>
      <c r="E14" s="90">
        <f>SUMIF(Data!$1:$1,'Summary - Dollars'!$T$1+1,Data!227:227)</f>
        <v>32370707366</v>
      </c>
      <c r="F14" s="128"/>
    </row>
    <row r="15" spans="1:6" ht="15" customHeight="1">
      <c r="A15" s="377" t="s">
        <v>2036</v>
      </c>
      <c r="B15" s="90">
        <f>SUMIF(Data!$1:$1,'Summary - Dollars'!$T$1,Data!1390:1390)</f>
        <v>0</v>
      </c>
      <c r="C15" s="90">
        <f>SUMIF(Data!$1:$1,'Summary - Dollars'!$T$1+1,Data!1390:1390)</f>
        <v>0</v>
      </c>
      <c r="D15" s="90">
        <f>SUMIF(Data!$1:$1,'Summary - Dollars'!$T$1,Data!1547:1547)</f>
        <v>0</v>
      </c>
      <c r="E15" s="90">
        <f>SUMIF(Data!$1:$1,'Summary - Dollars'!$T$1+1,Data!1547:1547)</f>
        <v>0</v>
      </c>
      <c r="F15" s="174"/>
    </row>
    <row r="16" spans="1:6" ht="17.25" customHeight="1">
      <c r="A16" s="134" t="s">
        <v>817</v>
      </c>
      <c r="B16" s="115">
        <f t="shared" ref="B16:E16" si="0">B14-B15</f>
        <v>47927983109</v>
      </c>
      <c r="C16" s="115">
        <f t="shared" si="0"/>
        <v>47973937749</v>
      </c>
      <c r="D16" s="115">
        <f t="shared" si="0"/>
        <v>33344230597.231262</v>
      </c>
      <c r="E16" s="115">
        <f t="shared" si="0"/>
        <v>32370707366</v>
      </c>
      <c r="F16" s="128"/>
    </row>
    <row r="17" spans="1:6">
      <c r="A17" s="377" t="s">
        <v>1795</v>
      </c>
      <c r="B17" s="90">
        <f>'Summary - Dollars'!E75</f>
        <v>47927983109</v>
      </c>
      <c r="C17" s="90">
        <f>'Summary - Dollars'!F75</f>
        <v>47973937749</v>
      </c>
      <c r="D17" s="90">
        <f>'Summary - Dollars'!N75</f>
        <v>33344230597.231262</v>
      </c>
      <c r="E17" s="90">
        <f>'Summary - Dollars'!O75</f>
        <v>32370707366</v>
      </c>
      <c r="F17" s="128"/>
    </row>
    <row r="18" spans="1:6" ht="17.25" customHeight="1">
      <c r="A18" s="396" t="s">
        <v>767</v>
      </c>
      <c r="B18" s="399">
        <f>ROUND(B17-B16,0)</f>
        <v>0</v>
      </c>
      <c r="C18" s="399">
        <f>ROUND(C17-C16,0)</f>
        <v>0</v>
      </c>
      <c r="D18" s="399">
        <f>ROUND(D17-D16,0)</f>
        <v>0</v>
      </c>
      <c r="E18" s="399">
        <f>ROUND(E17-E16,0)</f>
        <v>0</v>
      </c>
      <c r="F18" s="128" t="str">
        <f>IF(COUNTIF(B18:E18,"&lt;&gt;0")&gt;0,"Out of Reconciliation","Reconciled")</f>
        <v>Reconciled</v>
      </c>
    </row>
    <row r="19" spans="1:6">
      <c r="A19" s="132"/>
      <c r="B19" s="3"/>
      <c r="C19" s="3"/>
      <c r="D19" s="129"/>
      <c r="E19" s="129"/>
      <c r="F19" s="128"/>
    </row>
    <row r="20" spans="1:6" ht="25.5">
      <c r="A20" s="377" t="s">
        <v>2035</v>
      </c>
      <c r="B20" s="90">
        <f>SUMIF(Data!$1:$1,'Summary - Dollars'!$T$1,Data!37:37)</f>
        <v>708935833</v>
      </c>
      <c r="C20" s="90">
        <f>SUMIF(Data!$1:$1,'Summary - Dollars'!$T$1+1,Data!37:37)</f>
        <v>708935830</v>
      </c>
      <c r="D20" s="90">
        <f>SUMIF(Data!$1:$1,'Summary - Dollars'!$T$1,Data!138:138)</f>
        <v>708935833</v>
      </c>
      <c r="E20" s="90">
        <f>SUMIF(Data!$1:$1,'Summary - Dollars'!$T$1+1,Data!138:138)</f>
        <v>708935830</v>
      </c>
      <c r="F20" s="128"/>
    </row>
    <row r="21" spans="1:6" ht="25.5">
      <c r="A21" s="377" t="s">
        <v>2034</v>
      </c>
      <c r="B21" s="90">
        <f>SUMIF(Data!$1:$1,'Summary - Dollars'!$T$1,Data!502:502)</f>
        <v>708935833</v>
      </c>
      <c r="C21" s="90">
        <f>SUMIF(Data!$1:$1,'Summary - Dollars'!$T$1+1,Data!502:502)</f>
        <v>708935830</v>
      </c>
      <c r="D21" s="90">
        <f>SUMIF(Data!$1:$1,'Summary - Dollars'!$T$1,Data!829:829)</f>
        <v>708935833</v>
      </c>
      <c r="E21" s="90">
        <f>SUMIF(Data!$1:$1,'Summary - Dollars'!$T$1+1,Data!829:829)</f>
        <v>708935830</v>
      </c>
      <c r="F21" s="128"/>
    </row>
    <row r="22" spans="1:6" ht="15.75" customHeight="1">
      <c r="A22" s="395" t="s">
        <v>767</v>
      </c>
      <c r="B22" s="399">
        <f>ROUND(B21-B20,0)</f>
        <v>0</v>
      </c>
      <c r="C22" s="399">
        <f>ROUND(C21-C20,0)</f>
        <v>0</v>
      </c>
      <c r="D22" s="399">
        <f>ROUND(D21-D20,0)</f>
        <v>0</v>
      </c>
      <c r="E22" s="399">
        <f>ROUND(E21-E20,0)</f>
        <v>0</v>
      </c>
      <c r="F22" s="128" t="str">
        <f>IF(COUNTIF(B22:E22,"&lt;&gt;0")&gt;0,"Out of Reconciliation","Reconciled")</f>
        <v>Reconciled</v>
      </c>
    </row>
    <row r="23" spans="1:6">
      <c r="A23" s="132"/>
      <c r="B23" s="3"/>
      <c r="C23" s="3"/>
      <c r="D23" s="129"/>
      <c r="E23" s="129"/>
      <c r="F23" s="128"/>
    </row>
    <row r="24" spans="1:6" ht="25.5">
      <c r="A24" s="379" t="s">
        <v>2033</v>
      </c>
      <c r="B24" s="90">
        <f>SUMIF(Data!$1:$1,'Summary - Dollars'!$T$1,Data!38:38)</f>
        <v>898587780</v>
      </c>
      <c r="C24" s="90">
        <f>SUMIF(Data!$1:$1,'Summary - Dollars'!$T$1+1,Data!38:38)</f>
        <v>890536019</v>
      </c>
      <c r="D24" s="90">
        <f>SUMIF(Data!$1:$1,'Summary - Dollars'!$T$1,Data!139:139)</f>
        <v>822604121</v>
      </c>
      <c r="E24" s="90">
        <f>SUMIF(Data!$1:$1,'Summary - Dollars'!$T$1+1,Data!139:139)</f>
        <v>815918716</v>
      </c>
      <c r="F24" s="128"/>
    </row>
    <row r="25" spans="1:6" ht="17.25" customHeight="1">
      <c r="A25" s="379" t="s">
        <v>2032</v>
      </c>
      <c r="B25" s="90">
        <f>SUMIF(Data!$1:$1,'Summary - Dollars'!$T$1,Data!1109:1109)</f>
        <v>898587780</v>
      </c>
      <c r="C25" s="90">
        <f>SUMIF(Data!$1:$1,'Summary - Dollars'!$T$1+1,Data!1109:1109)</f>
        <v>890536019</v>
      </c>
      <c r="D25" s="90">
        <f>SUMIF(Data!$1:$1,'Summary - Dollars'!$T$1,Data!1228:1228)</f>
        <v>822604121</v>
      </c>
      <c r="E25" s="90">
        <f>SUMIF(Data!$1:$1,'Summary - Dollars'!$T$1+1,Data!1228:1228)</f>
        <v>815918716</v>
      </c>
      <c r="F25" s="128"/>
    </row>
    <row r="26" spans="1:6" ht="17.25" customHeight="1">
      <c r="A26" s="395" t="s">
        <v>767</v>
      </c>
      <c r="B26" s="399">
        <f>ROUND(B25-B24,0)</f>
        <v>0</v>
      </c>
      <c r="C26" s="399">
        <f>ROUND(C25-C24,0)</f>
        <v>0</v>
      </c>
      <c r="D26" s="399">
        <f>ROUND(D25-D24,0)</f>
        <v>0</v>
      </c>
      <c r="E26" s="399">
        <f>ROUND(E25-E24,0)</f>
        <v>0</v>
      </c>
      <c r="F26" s="128" t="str">
        <f>IF(COUNTIF(B26:E26,"&lt;&gt;0")&gt;0,"Out of Reconciliation","Reconciled")</f>
        <v>Reconciled</v>
      </c>
    </row>
    <row r="28" spans="1:6">
      <c r="A28" s="379" t="s">
        <v>2031</v>
      </c>
      <c r="B28" s="90">
        <f>'Summary - Dollars'!E254</f>
        <v>11709274239</v>
      </c>
      <c r="C28" s="90">
        <f>'Summary - Dollars'!F254</f>
        <v>12333413225</v>
      </c>
      <c r="D28" s="90">
        <f>'Summary - Dollars'!N254</f>
        <v>7471617727.2312622</v>
      </c>
      <c r="E28" s="90">
        <f>'Summary - Dollars'!O254</f>
        <v>7392614124</v>
      </c>
      <c r="F28" s="128"/>
    </row>
    <row r="29" spans="1:6" ht="25.5">
      <c r="A29" s="377" t="s">
        <v>1794</v>
      </c>
      <c r="B29" s="90">
        <f>'Summary - Dollars'!E67</f>
        <v>32590135872</v>
      </c>
      <c r="C29" s="90">
        <f>'Summary - Dollars'!F67</f>
        <v>32136150308</v>
      </c>
      <c r="D29" s="90">
        <f>'Summary - Dollars'!N67</f>
        <v>22783335543</v>
      </c>
      <c r="E29" s="90">
        <f>'Summary - Dollars'!O67</f>
        <v>22015247613</v>
      </c>
      <c r="F29" s="128"/>
    </row>
    <row r="30" spans="1:6" ht="25.5">
      <c r="A30" s="377" t="s">
        <v>1793</v>
      </c>
      <c r="B30" s="90">
        <f>'Summary - Dollars'!E68</f>
        <v>0</v>
      </c>
      <c r="C30" s="90">
        <f>'Summary - Dollars'!F68</f>
        <v>0</v>
      </c>
      <c r="D30" s="90">
        <f>'Summary - Dollars'!N68</f>
        <v>0</v>
      </c>
      <c r="E30" s="90">
        <f>'Summary - Dollars'!O68</f>
        <v>0</v>
      </c>
      <c r="F30" s="128"/>
    </row>
    <row r="31" spans="1:6" ht="25.5">
      <c r="A31" s="377" t="s">
        <v>1792</v>
      </c>
      <c r="B31" s="90">
        <f>'Summary - Dollars'!E69</f>
        <v>3080092561</v>
      </c>
      <c r="C31" s="90">
        <f>'Summary - Dollars'!F69</f>
        <v>2947654690</v>
      </c>
      <c r="D31" s="90">
        <f>'Summary - Dollars'!N69</f>
        <v>2653019677</v>
      </c>
      <c r="E31" s="90">
        <f>'Summary - Dollars'!O69</f>
        <v>2520392507</v>
      </c>
      <c r="F31" s="128"/>
    </row>
    <row r="32" spans="1:6" ht="26.25" customHeight="1">
      <c r="A32" s="377" t="s">
        <v>1791</v>
      </c>
      <c r="B32" s="90">
        <f>'Summary - Dollars'!E70</f>
        <v>148494976</v>
      </c>
      <c r="C32" s="90">
        <f>'Summary - Dollars'!F70</f>
        <v>148310267</v>
      </c>
      <c r="D32" s="90">
        <f>'Summary - Dollars'!N70</f>
        <v>122024371</v>
      </c>
      <c r="E32" s="90">
        <f>'Summary - Dollars'!O70</f>
        <v>121204367</v>
      </c>
      <c r="F32" s="128"/>
    </row>
    <row r="33" spans="1:6" ht="24.75" customHeight="1">
      <c r="A33" s="377" t="s">
        <v>1790</v>
      </c>
      <c r="B33" s="90">
        <f>'Summary - Dollars'!E71</f>
        <v>392757209</v>
      </c>
      <c r="C33" s="90">
        <f>'Summary - Dollars'!F71</f>
        <v>400475859</v>
      </c>
      <c r="D33" s="90">
        <f>'Summary - Dollars'!N71</f>
        <v>307005027</v>
      </c>
      <c r="E33" s="90">
        <f>'Summary - Dollars'!O71</f>
        <v>313315355</v>
      </c>
      <c r="F33" s="128"/>
    </row>
    <row r="34" spans="1:6" ht="25.5" customHeight="1">
      <c r="A34" s="377" t="s">
        <v>1789</v>
      </c>
      <c r="B34" s="90">
        <f>'Summary - Dollars'!E72</f>
        <v>7228252</v>
      </c>
      <c r="C34" s="90">
        <f>'Summary - Dollars'!F72</f>
        <v>7933400</v>
      </c>
      <c r="D34" s="90">
        <f>'Summary - Dollars'!N72</f>
        <v>7228252</v>
      </c>
      <c r="E34" s="90">
        <f>'Summary - Dollars'!O72</f>
        <v>7933400</v>
      </c>
      <c r="F34" s="128"/>
    </row>
    <row r="35" spans="1:6" ht="18" customHeight="1">
      <c r="A35" s="134" t="s">
        <v>817</v>
      </c>
      <c r="B35" s="115">
        <f>SUM(B28:B34)</f>
        <v>47927983109</v>
      </c>
      <c r="C35" s="115">
        <f>SUM(C28:C34)</f>
        <v>47973937749</v>
      </c>
      <c r="D35" s="115">
        <f>SUM(D28:D34)</f>
        <v>33344230597.231262</v>
      </c>
      <c r="E35" s="115">
        <f>SUM(E28:E34)</f>
        <v>32370707366</v>
      </c>
      <c r="F35" s="128"/>
    </row>
    <row r="36" spans="1:6" ht="25.5">
      <c r="A36" s="379" t="s">
        <v>2030</v>
      </c>
      <c r="B36" s="90">
        <f>SUMIF(Data!$1:$1,'Summary - Dollars'!$T$1,Data!129:129)</f>
        <v>47927983109</v>
      </c>
      <c r="C36" s="90">
        <f>SUMIF(Data!$1:$1,'Summary - Dollars'!$T$1+1,Data!129:129)</f>
        <v>47973937749</v>
      </c>
      <c r="D36" s="90">
        <f>SUMIF(Data!$1:$1,'Summary - Dollars'!$T$1,Data!227:227)</f>
        <v>33344230597.231262</v>
      </c>
      <c r="E36" s="90">
        <f>SUMIF(Data!$1:$1,'Summary - Dollars'!$T$1+1,Data!227:227)</f>
        <v>32370707366</v>
      </c>
      <c r="F36" s="128"/>
    </row>
    <row r="37" spans="1:6" ht="15" customHeight="1">
      <c r="A37" s="377" t="s">
        <v>2029</v>
      </c>
      <c r="B37" s="90">
        <f>SUMIF(Data!$1:$1,'Summary - Dollars'!$T$1,Data!1390:1390)</f>
        <v>0</v>
      </c>
      <c r="C37" s="90">
        <f>SUMIF(Data!$1:$1,'Summary - Dollars'!$T$1+1,Data!1390:1390)</f>
        <v>0</v>
      </c>
      <c r="D37" s="90">
        <f>SUMIF(Data!$1:$1,'Summary - Dollars'!$T$1,Data!1547:1547)</f>
        <v>0</v>
      </c>
      <c r="E37" s="90">
        <f>SUMIF(Data!$1:$1,'Summary - Dollars'!$T$1+1,Data!1547:1547)</f>
        <v>0</v>
      </c>
      <c r="F37" s="128"/>
    </row>
    <row r="38" spans="1:6" ht="15.75" customHeight="1">
      <c r="A38" s="134" t="s">
        <v>817</v>
      </c>
      <c r="B38" s="115">
        <f>B36-B37</f>
        <v>47927983109</v>
      </c>
      <c r="C38" s="115">
        <f t="shared" ref="C38:E38" si="1">C36-C37</f>
        <v>47973937749</v>
      </c>
      <c r="D38" s="115">
        <f t="shared" si="1"/>
        <v>33344230597.231262</v>
      </c>
      <c r="E38" s="115">
        <f t="shared" si="1"/>
        <v>32370707366</v>
      </c>
      <c r="F38" s="128"/>
    </row>
    <row r="39" spans="1:6" ht="17.25" customHeight="1">
      <c r="A39" s="395" t="s">
        <v>767</v>
      </c>
      <c r="B39" s="398">
        <f>ROUND(B35-B38,0)</f>
        <v>0</v>
      </c>
      <c r="C39" s="398">
        <f>ROUND(C35-C38,0)</f>
        <v>0</v>
      </c>
      <c r="D39" s="398">
        <f>ROUND(D35-D38,0)</f>
        <v>0</v>
      </c>
      <c r="E39" s="398">
        <f>ROUND(E35-E38,0)</f>
        <v>0</v>
      </c>
      <c r="F39" s="128" t="str">
        <f>IF(COUNTIF(B39:E39,"&lt;&gt;0")&gt;0,"Out of Reconciliation","Reconciled")</f>
        <v>Reconciled</v>
      </c>
    </row>
    <row r="41" spans="1:6" ht="25.5">
      <c r="A41" s="379" t="s">
        <v>2028</v>
      </c>
      <c r="B41" s="90">
        <f>SUMIF(Data!$1:$1,'Summary - Dollars'!$T$1,Data!121:121)</f>
        <v>48017885</v>
      </c>
      <c r="C41" s="90">
        <f>SUMIF(Data!$1:$1,'Summary - Dollars'!$T$1+1,Data!121:121)</f>
        <v>49026324</v>
      </c>
      <c r="D41" s="90">
        <f>SUMIF(Data!$1:$1,'Summary - Dollars'!$T$1,Data!220:220)</f>
        <v>37704232</v>
      </c>
      <c r="E41" s="90">
        <f>SUMIF(Data!$1:$1,'Summary - Dollars'!$T$1+1,Data!220:220)</f>
        <v>38676292</v>
      </c>
    </row>
    <row r="42" spans="1:6" ht="25.5">
      <c r="A42" s="379" t="s">
        <v>2027</v>
      </c>
      <c r="B42" s="90">
        <f>SUMIF(Data!$1:$1,'Summary - Dollars'!$T$1,Data!122:122)</f>
        <v>344739324</v>
      </c>
      <c r="C42" s="90">
        <f>SUMIF(Data!$1:$1,'Summary - Dollars'!$T$1+1,Data!122:122)</f>
        <v>351449535</v>
      </c>
      <c r="D42" s="90">
        <f>SUMIF(Data!$1:$1,'Summary - Dollars'!$T$1,Data!221:221)</f>
        <v>269300795</v>
      </c>
      <c r="E42" s="90">
        <f>SUMIF(Data!$1:$1,'Summary - Dollars'!$T$1+1,Data!221:221)</f>
        <v>274639063</v>
      </c>
    </row>
    <row r="43" spans="1:6" ht="18.75" customHeight="1">
      <c r="A43" s="134" t="s">
        <v>817</v>
      </c>
      <c r="B43" s="115">
        <f>SUM(B41:B42)</f>
        <v>392757209</v>
      </c>
      <c r="C43" s="115">
        <f>SUM(C41:C42)</f>
        <v>400475859</v>
      </c>
      <c r="D43" s="115">
        <f>SUM(D41:D42)</f>
        <v>307005027</v>
      </c>
      <c r="E43" s="115">
        <f>SUM(E41:E42)</f>
        <v>313315355</v>
      </c>
    </row>
    <row r="44" spans="1:6" ht="19.5" customHeight="1">
      <c r="A44" s="379" t="s">
        <v>1788</v>
      </c>
      <c r="B44" s="90">
        <f>'Summary - Dollars'!E71</f>
        <v>392757209</v>
      </c>
      <c r="C44" s="90">
        <f>'Summary - Dollars'!F71</f>
        <v>400475859</v>
      </c>
      <c r="D44" s="90">
        <f>'Summary - Dollars'!N71</f>
        <v>307005027</v>
      </c>
      <c r="E44" s="90">
        <f>'Summary - Dollars'!O71</f>
        <v>313315355</v>
      </c>
      <c r="F44" s="128"/>
    </row>
    <row r="45" spans="1:6" ht="18" customHeight="1">
      <c r="A45" s="395" t="s">
        <v>767</v>
      </c>
      <c r="B45" s="398">
        <f>ROUND(B44-B43,0)</f>
        <v>0</v>
      </c>
      <c r="C45" s="398">
        <f>ROUND(C44-C43,0)</f>
        <v>0</v>
      </c>
      <c r="D45" s="398">
        <f>ROUND(D44-D43,0)</f>
        <v>0</v>
      </c>
      <c r="E45" s="398">
        <f>ROUND(E44-E43,0)</f>
        <v>0</v>
      </c>
      <c r="F45" s="128" t="str">
        <f>IF(COUNTIF(B45:E45,"&lt;&gt;0")&gt;0,"Out of Reconciliation","Reconciled")</f>
        <v>Reconciled</v>
      </c>
    </row>
    <row r="47" spans="1:6" ht="28.5" customHeight="1">
      <c r="A47" s="379" t="s">
        <v>2026</v>
      </c>
      <c r="B47" s="90">
        <f>SUMIF(Data!$1:$1,'Summary - Dollars'!$T$1,Data!124:124)</f>
        <v>7228252</v>
      </c>
      <c r="C47" s="90">
        <f>SUMIF(Data!$1:$1,'Summary - Dollars'!$T$1+1,Data!124:124)</f>
        <v>7933400</v>
      </c>
      <c r="D47" s="90">
        <f>SUMIF(Data!$1:$1,'Summary - Dollars'!$T$1,Data!223:223)</f>
        <v>7228252</v>
      </c>
      <c r="E47" s="90">
        <f>SUMIF(Data!$1:$1,'Summary - Dollars'!$T$1+1,Data!223:223)</f>
        <v>7933400</v>
      </c>
    </row>
    <row r="48" spans="1:6" ht="25.5" customHeight="1">
      <c r="A48" s="379" t="s">
        <v>2025</v>
      </c>
      <c r="B48" s="90">
        <f>SUMIF(Data!$1:$1,'Summary - Dollars'!$T$1,Data!125:125)</f>
        <v>0</v>
      </c>
      <c r="C48" s="90">
        <f>SUMIF(Data!$1:$1,'Summary - Dollars'!$T$1+1,Data!125:125)</f>
        <v>0</v>
      </c>
      <c r="D48" s="90">
        <f>SUMIF(Data!$1:$1,'Summary - Dollars'!$T$1,Data!224:224)</f>
        <v>0</v>
      </c>
      <c r="E48" s="90">
        <f>SUMIF(Data!$1:$1,'Summary - Dollars'!$T$1+1,Data!224:224)</f>
        <v>0</v>
      </c>
    </row>
    <row r="49" spans="1:6" ht="18.75" customHeight="1">
      <c r="A49" s="134" t="s">
        <v>817</v>
      </c>
      <c r="B49" s="115">
        <f>SUM(B47:B48)</f>
        <v>7228252</v>
      </c>
      <c r="C49" s="115">
        <f>SUM(C47:C48)</f>
        <v>7933400</v>
      </c>
      <c r="D49" s="115">
        <f>SUM(D47:D48)</f>
        <v>7228252</v>
      </c>
      <c r="E49" s="115">
        <f>SUM(E47:E48)</f>
        <v>7933400</v>
      </c>
    </row>
    <row r="50" spans="1:6" ht="26.25" customHeight="1">
      <c r="A50" s="379" t="s">
        <v>1787</v>
      </c>
      <c r="B50" s="90">
        <f>'Summary - Dollars'!E72</f>
        <v>7228252</v>
      </c>
      <c r="C50" s="90">
        <f>'Summary - Dollars'!F72</f>
        <v>7933400</v>
      </c>
      <c r="D50" s="90">
        <f>'Summary - Dollars'!N72</f>
        <v>7228252</v>
      </c>
      <c r="E50" s="90">
        <f>'Summary - Dollars'!O72</f>
        <v>7933400</v>
      </c>
    </row>
    <row r="51" spans="1:6" ht="18" customHeight="1">
      <c r="A51" s="395" t="s">
        <v>767</v>
      </c>
      <c r="B51" s="398">
        <f>ROUND(B50-B49,0)</f>
        <v>0</v>
      </c>
      <c r="C51" s="398">
        <f>ROUND(C50-C49,0)</f>
        <v>0</v>
      </c>
      <c r="D51" s="398">
        <f>ROUND(D50-D49,0)</f>
        <v>0</v>
      </c>
      <c r="E51" s="398">
        <f>ROUND(E50-E49,0)</f>
        <v>0</v>
      </c>
      <c r="F51" s="128" t="str">
        <f>IF(COUNTIF(B51:E51,"&lt;&gt;0")&gt;0,"Out of Reconciliation","Reconciled")</f>
        <v>Reconciled</v>
      </c>
    </row>
    <row r="53" spans="1:6" ht="25.5">
      <c r="A53" s="379" t="s">
        <v>2024</v>
      </c>
      <c r="B53" s="90">
        <f>SUMIF(Data!$1:$1,'Summary - Dollars'!$T$1,Data!103:103)</f>
        <v>936193916</v>
      </c>
      <c r="C53" s="90">
        <f>SUMIF(Data!$1:$1,'Summary - Dollars'!$T$1+1,Data!103:103)</f>
        <v>931497068</v>
      </c>
      <c r="D53" s="90">
        <f>SUMIF(Data!$1:$1,'Summary - Dollars'!$T$1,Data!202:202)</f>
        <v>936193916</v>
      </c>
      <c r="E53" s="90">
        <f>SUMIF(Data!$1:$1,'Summary - Dollars'!$T$1+1,Data!202:202)</f>
        <v>931497068</v>
      </c>
    </row>
    <row r="54" spans="1:6" ht="17.25" customHeight="1">
      <c r="A54" s="379" t="s">
        <v>2023</v>
      </c>
      <c r="B54" s="90">
        <f>SUMIF(Data!$1:$1,'Summary - Dollars'!$T$1,Data!371:371)</f>
        <v>936193916</v>
      </c>
      <c r="C54" s="90">
        <f>SUMIF(Data!$1:$1,'Summary - Dollars'!$T$1+1,Data!371:371)</f>
        <v>931497068</v>
      </c>
      <c r="D54" s="90">
        <f>SUMIF(Data!$1:$1,'Summary - Dollars'!$T$1,Data!423:423)</f>
        <v>936193916</v>
      </c>
      <c r="E54" s="90">
        <f>SUMIF(Data!$1:$1,'Summary - Dollars'!$T$1+1,Data!423:423)</f>
        <v>931497068</v>
      </c>
    </row>
    <row r="55" spans="1:6" ht="15.75" customHeight="1">
      <c r="A55" s="395" t="s">
        <v>767</v>
      </c>
      <c r="B55" s="399">
        <f>ROUND(B54-B53,0)</f>
        <v>0</v>
      </c>
      <c r="C55" s="399">
        <f>ROUND(C54-C53,0)</f>
        <v>0</v>
      </c>
      <c r="D55" s="399">
        <f>ROUND(D54-D53,0)</f>
        <v>0</v>
      </c>
      <c r="E55" s="399">
        <f>ROUND(E54-E53,0)</f>
        <v>0</v>
      </c>
      <c r="F55" s="128" t="str">
        <f>IF(COUNTIF(B55:E55,"&lt;&gt;0")&gt;0,"Out of Reconciliation","Reconciled")</f>
        <v>Reconciled</v>
      </c>
    </row>
    <row r="57" spans="1:6" ht="25.5">
      <c r="A57" s="379" t="s">
        <v>2022</v>
      </c>
      <c r="B57" s="90">
        <f>SUMIF(Data!$1:$1,'Summary - Dollars'!$T$1,Data!103:103)</f>
        <v>936193916</v>
      </c>
      <c r="C57" s="90">
        <f>SUMIF(Data!$1:$1,'Summary - Dollars'!$T$1+1,Data!103:103)</f>
        <v>931497068</v>
      </c>
      <c r="D57" s="90">
        <f>SUMIF(Data!$1:$1,'Summary - Dollars'!$T$1,Data!202:202)</f>
        <v>936193916</v>
      </c>
      <c r="E57" s="90">
        <f>SUMIF(Data!$1:$1,'Summary - Dollars'!$T$1+1,Data!202:202)</f>
        <v>931497068</v>
      </c>
    </row>
    <row r="58" spans="1:6" ht="25.5">
      <c r="A58" s="379" t="s">
        <v>2021</v>
      </c>
      <c r="B58" s="90">
        <f>SUMIF(Data!$1:$1,'Summary - Dollars'!$T$1,Data!888:888)</f>
        <v>184094737</v>
      </c>
      <c r="C58" s="90">
        <f>SUMIF(Data!$1:$1,'Summary - Dollars'!$T$1+1,Data!888:888)</f>
        <v>184094737</v>
      </c>
      <c r="D58" s="90">
        <f>SUMIF(Data!$1:$1,'Summary - Dollars'!$T$1,Data!888:888)</f>
        <v>184094737</v>
      </c>
      <c r="E58" s="90">
        <f>SUMIF(Data!$1:$1,'Summary - Dollars'!$T$1+1,Data!888:888)</f>
        <v>184094737</v>
      </c>
      <c r="F58" s="126" t="s">
        <v>1644</v>
      </c>
    </row>
    <row r="59" spans="1:6" ht="18.75" customHeight="1">
      <c r="A59" s="379" t="s">
        <v>2020</v>
      </c>
      <c r="B59" s="90">
        <f>SUMIF(Data!$1:$1,'Summary - Dollars'!$T$1,Data!1323:1323)</f>
        <v>0</v>
      </c>
      <c r="C59" s="90">
        <f>SUMIF(Data!$1:$1,'Summary - Dollars'!$T$1+1,Data!1323:1323)</f>
        <v>0</v>
      </c>
      <c r="D59" s="90">
        <f>SUMIF(Data!$1:$1,'Summary - Dollars'!$T$1,Data!1480:1480)</f>
        <v>0</v>
      </c>
      <c r="E59" s="90">
        <f>SUMIF(Data!$1:$1,'Summary - Dollars'!$T$1+1,Data!1480:1480)</f>
        <v>0</v>
      </c>
    </row>
    <row r="60" spans="1:6" ht="18.75" customHeight="1">
      <c r="A60" s="380" t="s">
        <v>817</v>
      </c>
      <c r="B60" s="115">
        <f>B57+B58-B59</f>
        <v>1120288653</v>
      </c>
      <c r="C60" s="115">
        <f>C57+C58-C59</f>
        <v>1115591805</v>
      </c>
      <c r="D60" s="115">
        <f>D57+D58-D59</f>
        <v>1120288653</v>
      </c>
      <c r="E60" s="115">
        <f>E57+E58-E59</f>
        <v>1115591805</v>
      </c>
    </row>
    <row r="61" spans="1:6" ht="27.75" customHeight="1">
      <c r="A61" s="379" t="s">
        <v>2019</v>
      </c>
      <c r="B61" s="90">
        <f>'Summary - Dollars'!E232</f>
        <v>1120288653</v>
      </c>
      <c r="C61" s="90">
        <f>'Summary - Dollars'!F232</f>
        <v>1115591805</v>
      </c>
      <c r="D61" s="135">
        <f>'Summary - Dollars'!N232</f>
        <v>1120288653</v>
      </c>
      <c r="E61" s="135">
        <f>'Summary - Dollars'!O232</f>
        <v>1115591805</v>
      </c>
    </row>
    <row r="62" spans="1:6" ht="17.25" customHeight="1">
      <c r="A62" s="395" t="s">
        <v>767</v>
      </c>
      <c r="B62" s="399">
        <f>ROUND(B60-B61,0)</f>
        <v>0</v>
      </c>
      <c r="C62" s="399">
        <f>ROUND(C60-C61,0)</f>
        <v>0</v>
      </c>
      <c r="D62" s="399">
        <f>ROUND(D60-D61,0)</f>
        <v>0</v>
      </c>
      <c r="E62" s="399">
        <f>ROUND(E60-E61,0)</f>
        <v>0</v>
      </c>
      <c r="F62" s="128" t="str">
        <f>IF(COUNTIF(B62:E62,"&lt;&gt;0")&gt;0,"Out of Reconciliation","Reconciled")</f>
        <v>Reconciled</v>
      </c>
    </row>
    <row r="64" spans="1:6" ht="38.25">
      <c r="A64" s="377" t="s">
        <v>2017</v>
      </c>
      <c r="B64" s="90">
        <f>SUMIF(Data!$1:$1,'Summary - Dollars'!$T$1,Data!499:499)</f>
        <v>184094737</v>
      </c>
      <c r="C64" s="90">
        <f>SUMIF(Data!$1:$1,'Summary - Dollars'!$T$1+1,Data!499:499)</f>
        <v>184094737</v>
      </c>
      <c r="D64" s="90">
        <f>SUMIF(Data!$1:$1,'Summary - Dollars'!$T$1,Data!499:499)</f>
        <v>184094737</v>
      </c>
      <c r="E64" s="90">
        <f>SUMIF(Data!$1:$1,'Summary - Dollars'!$T$1+1,Data!499:499)</f>
        <v>184094737</v>
      </c>
    </row>
    <row r="65" spans="1:6" ht="25.5">
      <c r="A65" s="379" t="s">
        <v>2018</v>
      </c>
      <c r="B65" s="90">
        <f>SUMIF(Data!$1:$1,'Summary - Dollars'!$T$1,Data!888:888)</f>
        <v>184094737</v>
      </c>
      <c r="C65" s="90">
        <f>SUMIF(Data!$1:$1,'Summary - Dollars'!$T$1+1,Data!888:888)</f>
        <v>184094737</v>
      </c>
      <c r="D65" s="90">
        <f>SUMIF(Data!$1:$1,'Summary - Dollars'!$T$1,Data!888:888)</f>
        <v>184094737</v>
      </c>
      <c r="E65" s="90">
        <f>SUMIF(Data!$1:$1,'Summary - Dollars'!$T$1+1,Data!888:888)</f>
        <v>184094737</v>
      </c>
    </row>
    <row r="66" spans="1:6" ht="15.75" customHeight="1">
      <c r="A66" s="395" t="s">
        <v>767</v>
      </c>
      <c r="B66" s="399">
        <f>ROUND(B65-B64,0)</f>
        <v>0</v>
      </c>
      <c r="C66" s="399">
        <f>ROUND(C65-C64,0)</f>
        <v>0</v>
      </c>
      <c r="D66" s="399">
        <f>ROUND(D65-D64,0)</f>
        <v>0</v>
      </c>
      <c r="E66" s="399">
        <f>ROUND(E65-E64,0)</f>
        <v>0</v>
      </c>
      <c r="F66" s="128" t="str">
        <f>IF(COUNTIF(B66:E66,"&lt;&gt;0")&gt;0,"Out of Reconciliation","Reconciled")</f>
        <v>Reconciled</v>
      </c>
    </row>
    <row r="74" spans="1:6" s="232" customFormat="1" ht="25.5">
      <c r="A74" s="494" t="s">
        <v>1288</v>
      </c>
      <c r="B74" s="495"/>
      <c r="C74" s="495"/>
      <c r="D74" s="495"/>
      <c r="E74" s="495"/>
      <c r="F74" s="496"/>
    </row>
    <row r="75" spans="1:6" s="232" customFormat="1">
      <c r="A75" s="497"/>
      <c r="B75" s="495"/>
      <c r="C75" s="495"/>
      <c r="D75" s="495"/>
      <c r="E75" s="495"/>
      <c r="F75" s="496"/>
    </row>
    <row r="76" spans="1:6">
      <c r="A76" s="498" t="s">
        <v>1808</v>
      </c>
      <c r="B76" s="1352" t="s">
        <v>2</v>
      </c>
      <c r="C76" s="1352"/>
      <c r="D76" s="1353" t="s">
        <v>764</v>
      </c>
      <c r="E76" s="1353"/>
    </row>
    <row r="77" spans="1:6">
      <c r="B77" s="335" t="s">
        <v>1278</v>
      </c>
      <c r="D77" s="335" t="s">
        <v>1278</v>
      </c>
    </row>
    <row r="78" spans="1:6">
      <c r="B78" s="335"/>
      <c r="D78" s="335"/>
    </row>
    <row r="79" spans="1:6">
      <c r="A79" s="379" t="s">
        <v>1277</v>
      </c>
      <c r="B79" s="90">
        <f>'Biennia History'!F39</f>
        <v>248313834070</v>
      </c>
      <c r="C79" s="90"/>
      <c r="D79" s="90">
        <f>'Biennia History'!K39</f>
        <v>118313597969.23126</v>
      </c>
      <c r="E79" s="90"/>
    </row>
    <row r="80" spans="1:6">
      <c r="A80" s="379" t="s">
        <v>1279</v>
      </c>
      <c r="B80" s="90">
        <f>'Summary - Dollars'!G39</f>
        <v>248313834070</v>
      </c>
      <c r="C80" s="90"/>
      <c r="D80" s="135">
        <f>'Summary - Dollars'!P39</f>
        <v>118313597969.23126</v>
      </c>
      <c r="E80" s="135"/>
    </row>
    <row r="81" spans="1:6">
      <c r="A81" s="395" t="s">
        <v>767</v>
      </c>
      <c r="B81" s="399">
        <f>B79-B80</f>
        <v>0</v>
      </c>
      <c r="C81" s="399">
        <f>C79-C80</f>
        <v>0</v>
      </c>
      <c r="D81" s="399">
        <f>D79-D80</f>
        <v>0</v>
      </c>
      <c r="E81" s="399">
        <f>E79-E80</f>
        <v>0</v>
      </c>
      <c r="F81" s="128" t="str">
        <f>IF(COUNTIF(B81:E81,"&lt;&gt;0")&gt;0,"Out of Reconciliation","Reconciled")</f>
        <v>Reconciled</v>
      </c>
    </row>
    <row r="83" spans="1:6">
      <c r="A83" s="379" t="s">
        <v>1280</v>
      </c>
      <c r="B83" s="90">
        <f>'Biennia History'!F75</f>
        <v>95901920858</v>
      </c>
      <c r="C83" s="90"/>
      <c r="D83" s="90">
        <f>'Biennia History'!K75</f>
        <v>65714937963.231262</v>
      </c>
      <c r="E83" s="90"/>
    </row>
    <row r="84" spans="1:6">
      <c r="A84" s="379" t="s">
        <v>1281</v>
      </c>
      <c r="B84" s="90">
        <f>'Summary - Dollars'!G75</f>
        <v>95901920858</v>
      </c>
      <c r="C84" s="90"/>
      <c r="D84" s="135">
        <f>'Summary - Dollars'!P75</f>
        <v>65714937963.231262</v>
      </c>
      <c r="E84" s="135"/>
    </row>
    <row r="85" spans="1:6">
      <c r="A85" s="395" t="s">
        <v>767</v>
      </c>
      <c r="B85" s="399">
        <f>B83-B84</f>
        <v>0</v>
      </c>
      <c r="C85" s="399">
        <f>C83-C84</f>
        <v>0</v>
      </c>
      <c r="D85" s="399">
        <f>D83-D84</f>
        <v>0</v>
      </c>
      <c r="E85" s="399">
        <f>E83-E84</f>
        <v>0</v>
      </c>
      <c r="F85" s="128" t="str">
        <f>IF(COUNTIF(B85:E85,"&lt;&gt;0")&gt;0,"Out of Reconciliation","Reconciled")</f>
        <v>Reconciled</v>
      </c>
    </row>
    <row r="87" spans="1:6">
      <c r="A87" s="379" t="s">
        <v>1993</v>
      </c>
      <c r="B87" s="90">
        <f>'Biennia History'!F254</f>
        <v>24042687464</v>
      </c>
      <c r="C87" s="90"/>
      <c r="D87" s="90">
        <f>'Biennia History'!K254</f>
        <v>14864231851.231262</v>
      </c>
      <c r="E87" s="90"/>
    </row>
    <row r="88" spans="1:6">
      <c r="A88" s="379" t="s">
        <v>1994</v>
      </c>
      <c r="B88" s="90">
        <f>'Summary - Dollars'!G254</f>
        <v>24042687464</v>
      </c>
      <c r="C88" s="90"/>
      <c r="D88" s="135">
        <f>'Summary - Dollars'!P254</f>
        <v>14864231851.231262</v>
      </c>
      <c r="E88" s="135"/>
    </row>
    <row r="89" spans="1:6">
      <c r="A89" s="395" t="s">
        <v>767</v>
      </c>
      <c r="B89" s="399">
        <f>B87-B88</f>
        <v>0</v>
      </c>
      <c r="C89" s="399">
        <f>C87-C88</f>
        <v>0</v>
      </c>
      <c r="D89" s="399">
        <f>D87-D88</f>
        <v>0</v>
      </c>
      <c r="E89" s="399">
        <f>E87-E88</f>
        <v>0</v>
      </c>
      <c r="F89" s="128" t="str">
        <f>IF(COUNTIF(B89:E89,"&lt;&gt;0")&gt;0,"Out of Reconciliation","Reconciled")</f>
        <v>Reconciled</v>
      </c>
    </row>
    <row r="91" spans="1:6">
      <c r="A91" s="379" t="s">
        <v>1809</v>
      </c>
      <c r="B91" s="90">
        <f>'Biennia History'!F285</f>
        <v>8201597896</v>
      </c>
      <c r="C91" s="90"/>
      <c r="D91" s="90">
        <f>'Biennia History'!K285</f>
        <v>6011441765.2312622</v>
      </c>
      <c r="E91" s="90"/>
    </row>
    <row r="92" spans="1:6">
      <c r="A92" s="379" t="s">
        <v>1810</v>
      </c>
      <c r="B92" s="90">
        <f>'Summary - Dollars'!G285</f>
        <v>8201597896</v>
      </c>
      <c r="C92" s="90"/>
      <c r="D92" s="135">
        <f>'Summary - Dollars'!P285</f>
        <v>6011441765.2312622</v>
      </c>
      <c r="E92" s="135"/>
    </row>
    <row r="93" spans="1:6">
      <c r="A93" s="395" t="s">
        <v>767</v>
      </c>
      <c r="B93" s="399">
        <f>B91-B92</f>
        <v>0</v>
      </c>
      <c r="C93" s="399">
        <f>C91-C92</f>
        <v>0</v>
      </c>
      <c r="D93" s="399">
        <f>D91-D92</f>
        <v>0</v>
      </c>
      <c r="E93" s="399">
        <f>E91-E92</f>
        <v>0</v>
      </c>
      <c r="F93" s="128" t="str">
        <f>IF(COUNTIF(B93:E93,"&lt;&gt;0")&gt;0,"Out of Reconciliation","Reconciled")</f>
        <v>Reconciled</v>
      </c>
    </row>
    <row r="95" spans="1:6">
      <c r="A95" s="379" t="s">
        <v>1811</v>
      </c>
      <c r="B95" s="90">
        <f>'Biennia History'!F321</f>
        <v>7785332400</v>
      </c>
      <c r="C95" s="90"/>
      <c r="D95" s="90">
        <f>'Biennia History'!K321</f>
        <v>5669671525.2312622</v>
      </c>
      <c r="E95" s="90"/>
    </row>
    <row r="96" spans="1:6">
      <c r="A96" s="379" t="s">
        <v>1812</v>
      </c>
      <c r="B96" s="90">
        <f>'Summary - Dollars'!G321</f>
        <v>7785332400</v>
      </c>
      <c r="C96" s="90"/>
      <c r="D96" s="135">
        <f>'Summary - Dollars'!P321</f>
        <v>5669671525.2312622</v>
      </c>
      <c r="E96" s="135"/>
    </row>
    <row r="97" spans="1:6">
      <c r="A97" s="395" t="s">
        <v>767</v>
      </c>
      <c r="B97" s="399">
        <f>B95-B96</f>
        <v>0</v>
      </c>
      <c r="C97" s="399">
        <f>C95-C96</f>
        <v>0</v>
      </c>
      <c r="D97" s="399">
        <f>D95-D96</f>
        <v>0</v>
      </c>
      <c r="E97" s="399">
        <f>E95-E96</f>
        <v>0</v>
      </c>
      <c r="F97" s="128" t="str">
        <f>IF(COUNTIF(B97:E97,"&lt;&gt;0")&gt;0,"Out of Reconciliation","Reconciled")</f>
        <v>Reconciled</v>
      </c>
    </row>
    <row r="99" spans="1:6">
      <c r="A99" s="379" t="s">
        <v>1283</v>
      </c>
      <c r="B99" s="90">
        <f>'Biennia History'!F358</f>
        <v>8075031124</v>
      </c>
      <c r="C99" s="90"/>
      <c r="D99" s="90">
        <f>'Biennia History'!K358</f>
        <v>5887409469.2312622</v>
      </c>
      <c r="E99" s="90"/>
    </row>
    <row r="100" spans="1:6">
      <c r="A100" s="379" t="s">
        <v>1282</v>
      </c>
      <c r="B100" s="90">
        <f>'Summary - Dollars'!G358</f>
        <v>8075031124</v>
      </c>
      <c r="C100" s="90"/>
      <c r="D100" s="135">
        <f>'Summary - Dollars'!P358</f>
        <v>5887409469.2312622</v>
      </c>
      <c r="E100" s="135"/>
    </row>
    <row r="101" spans="1:6">
      <c r="A101" s="395" t="s">
        <v>767</v>
      </c>
      <c r="B101" s="399">
        <f>B99-B100</f>
        <v>0</v>
      </c>
      <c r="C101" s="399">
        <f>C99-C100</f>
        <v>0</v>
      </c>
      <c r="D101" s="399">
        <f>D99-D100</f>
        <v>0</v>
      </c>
      <c r="E101" s="399">
        <f>E99-E100</f>
        <v>0</v>
      </c>
      <c r="F101" s="128" t="str">
        <f>IF(COUNTIF(B101:E101,"&lt;&gt;0")&gt;0,"Out of Reconciliation","Reconciled")</f>
        <v>Reconciled</v>
      </c>
    </row>
    <row r="103" spans="1:6">
      <c r="A103" s="379" t="s">
        <v>1807</v>
      </c>
      <c r="B103" s="90">
        <f>'Biennia History'!F456</f>
        <v>1164429865</v>
      </c>
      <c r="C103" s="90"/>
      <c r="D103" s="90">
        <f>'Biennia History'!K456</f>
        <v>1164429865</v>
      </c>
      <c r="E103" s="90"/>
    </row>
    <row r="104" spans="1:6">
      <c r="A104" s="379" t="s">
        <v>1806</v>
      </c>
      <c r="B104" s="90">
        <f>'Summary - Dollars'!G456</f>
        <v>1164429865</v>
      </c>
      <c r="C104" s="90"/>
      <c r="D104" s="135">
        <f>'Summary - Dollars'!P456</f>
        <v>1164429865</v>
      </c>
      <c r="E104" s="135"/>
    </row>
    <row r="105" spans="1:6">
      <c r="A105" s="395" t="s">
        <v>767</v>
      </c>
      <c r="B105" s="399">
        <f>B103-B104</f>
        <v>0</v>
      </c>
      <c r="C105" s="399">
        <f>C103-C104</f>
        <v>0</v>
      </c>
      <c r="D105" s="399">
        <f>D103-D104</f>
        <v>0</v>
      </c>
      <c r="E105" s="399">
        <f>E103-E104</f>
        <v>0</v>
      </c>
      <c r="F105" s="128" t="str">
        <f>IF(COUNTIF(B105:E105,"&lt;&gt;0")&gt;0,"Out of Reconciliation","Reconciled")</f>
        <v>Reconciled</v>
      </c>
    </row>
    <row r="107" spans="1:6" ht="27" customHeight="1">
      <c r="A107" s="379" t="s">
        <v>1813</v>
      </c>
      <c r="B107" s="90">
        <f>'Biennia History'!F537</f>
        <v>338733311</v>
      </c>
      <c r="C107" s="90"/>
      <c r="D107" s="90">
        <f>'Biennia History'!K537</f>
        <v>338733311</v>
      </c>
      <c r="E107" s="90"/>
    </row>
    <row r="108" spans="1:6" ht="25.5">
      <c r="A108" s="379" t="s">
        <v>1814</v>
      </c>
      <c r="B108" s="90">
        <f>'Summary - Dollars'!G537</f>
        <v>338733311</v>
      </c>
      <c r="C108" s="90"/>
      <c r="D108" s="135">
        <f>'Summary - Dollars'!P537</f>
        <v>338733311</v>
      </c>
      <c r="E108" s="135"/>
    </row>
    <row r="109" spans="1:6">
      <c r="A109" s="395" t="s">
        <v>767</v>
      </c>
      <c r="B109" s="399">
        <f>B107-B108</f>
        <v>0</v>
      </c>
      <c r="C109" s="399">
        <f>C107-C108</f>
        <v>0</v>
      </c>
      <c r="D109" s="399">
        <f>D107-D108</f>
        <v>0</v>
      </c>
      <c r="E109" s="399">
        <f>E107-E108</f>
        <v>0</v>
      </c>
      <c r="F109" s="128" t="str">
        <f>IF(COUNTIF(B109:E109,"&lt;&gt;0")&gt;0,"Out of Reconciliation","Reconciled")</f>
        <v>Reconciled</v>
      </c>
    </row>
    <row r="111" spans="1:6" ht="27" customHeight="1">
      <c r="A111" s="379" t="s">
        <v>1815</v>
      </c>
      <c r="B111" s="90">
        <f>'Biennia History'!F630</f>
        <v>1004733221</v>
      </c>
      <c r="C111" s="90"/>
      <c r="D111" s="90">
        <f>'Biennia History'!K630</f>
        <v>1004733221</v>
      </c>
      <c r="E111" s="90"/>
    </row>
    <row r="112" spans="1:6">
      <c r="A112" s="379" t="s">
        <v>1816</v>
      </c>
      <c r="B112" s="90">
        <f>'Summary - Dollars'!G630</f>
        <v>1004733221</v>
      </c>
      <c r="C112" s="90"/>
      <c r="D112" s="135">
        <f>'Summary - Dollars'!P630</f>
        <v>1004733221</v>
      </c>
      <c r="E112" s="135"/>
    </row>
    <row r="113" spans="1:6">
      <c r="A113" s="395" t="s">
        <v>767</v>
      </c>
      <c r="B113" s="399">
        <f>B111-B112</f>
        <v>0</v>
      </c>
      <c r="C113" s="399">
        <f>C111-C112</f>
        <v>0</v>
      </c>
      <c r="D113" s="399">
        <f>D111-D112</f>
        <v>0</v>
      </c>
      <c r="E113" s="399">
        <f>E111-E112</f>
        <v>0</v>
      </c>
      <c r="F113" s="128" t="str">
        <f>IF(COUNTIF(B113:E113,"&lt;&gt;0")&gt;0,"Out of Reconciliation","Reconciled")</f>
        <v>Reconciled</v>
      </c>
    </row>
    <row r="115" spans="1:6" ht="27" customHeight="1">
      <c r="A115" s="379" t="s">
        <v>1817</v>
      </c>
      <c r="B115" s="90">
        <f>'Biennia History'!F672</f>
        <v>223923184</v>
      </c>
      <c r="C115" s="90"/>
      <c r="D115" s="90"/>
      <c r="E115" s="90"/>
    </row>
    <row r="116" spans="1:6">
      <c r="A116" s="379" t="s">
        <v>1818</v>
      </c>
      <c r="B116" s="90">
        <f>'Summary - Dollars'!G672</f>
        <v>223923184</v>
      </c>
      <c r="C116" s="90"/>
      <c r="D116" s="135"/>
      <c r="E116" s="135"/>
    </row>
    <row r="117" spans="1:6">
      <c r="A117" s="395" t="s">
        <v>767</v>
      </c>
      <c r="B117" s="399">
        <f>B115-B116</f>
        <v>0</v>
      </c>
      <c r="C117" s="399">
        <f>C115-C116</f>
        <v>0</v>
      </c>
      <c r="D117" s="399">
        <f>D115-D116</f>
        <v>0</v>
      </c>
      <c r="E117" s="399">
        <f>E115-E116</f>
        <v>0</v>
      </c>
      <c r="F117" s="128" t="str">
        <f>IF(COUNTIF(B117:E117,"&lt;&gt;0")&gt;0,"Out of Reconciliation","Reconciled")</f>
        <v>Reconciled</v>
      </c>
    </row>
    <row r="123" spans="1:6" s="502" customFormat="1">
      <c r="A123" s="499" t="s">
        <v>1289</v>
      </c>
      <c r="B123" s="500"/>
      <c r="C123" s="500"/>
      <c r="D123" s="500"/>
      <c r="E123" s="500"/>
      <c r="F123" s="501"/>
    </row>
    <row r="124" spans="1:6" s="502" customFormat="1">
      <c r="A124" s="503"/>
      <c r="B124" s="500"/>
      <c r="C124" s="500"/>
      <c r="D124" s="500"/>
      <c r="E124" s="500"/>
      <c r="F124" s="501"/>
    </row>
    <row r="125" spans="1:6">
      <c r="A125" s="498"/>
      <c r="B125" s="1352" t="s">
        <v>2</v>
      </c>
      <c r="C125" s="1352"/>
      <c r="D125" s="1353" t="s">
        <v>764</v>
      </c>
      <c r="E125" s="1353"/>
    </row>
    <row r="126" spans="1:6" ht="14.25" customHeight="1">
      <c r="A126" s="379" t="s">
        <v>1290</v>
      </c>
      <c r="B126" s="90">
        <f>'Summary - Millions'!E39*1000000</f>
        <v>125092968507.00002</v>
      </c>
      <c r="C126" s="90">
        <f>'Summary - Millions'!F39*1000000</f>
        <v>123220865563</v>
      </c>
      <c r="D126" s="90">
        <f>'Summary - Millions'!N39*1000000</f>
        <v>59926599198.231262</v>
      </c>
      <c r="E126" s="90">
        <f>'Summary - Millions'!O39*1000000</f>
        <v>58386998771.000008</v>
      </c>
    </row>
    <row r="127" spans="1:6" ht="14.25" customHeight="1">
      <c r="A127" s="379" t="s">
        <v>1279</v>
      </c>
      <c r="B127" s="90">
        <f>'Summary - Dollars'!$E$39</f>
        <v>125092968507</v>
      </c>
      <c r="C127" s="90">
        <f>'Summary - Dollars'!$F$39</f>
        <v>123220865563</v>
      </c>
      <c r="D127" s="135">
        <f>'Summary - Dollars'!$N$39</f>
        <v>59926599198.231262</v>
      </c>
      <c r="E127" s="135">
        <f>'Summary - Dollars'!$O$39</f>
        <v>58386998771</v>
      </c>
    </row>
    <row r="128" spans="1:6" ht="14.25" customHeight="1">
      <c r="A128" s="395" t="s">
        <v>767</v>
      </c>
      <c r="B128" s="399">
        <f>B126-B127</f>
        <v>0</v>
      </c>
      <c r="C128" s="399">
        <f>C126-C127</f>
        <v>0</v>
      </c>
      <c r="D128" s="399">
        <f>D126-D127</f>
        <v>0</v>
      </c>
      <c r="E128" s="399">
        <f>E126-E127</f>
        <v>0</v>
      </c>
      <c r="F128" s="128" t="str">
        <f>IF(COUNTIF(B128:E128,"&lt;&gt;0")&gt;0,"Out of Reconciliation","Reconciled")</f>
        <v>Reconciled</v>
      </c>
    </row>
    <row r="129" spans="1:6" ht="14.25" customHeight="1"/>
    <row r="130" spans="1:6" ht="14.25" customHeight="1">
      <c r="A130" s="379" t="s">
        <v>1291</v>
      </c>
      <c r="B130" s="90">
        <f>'Summary - Millions'!E75*1000000</f>
        <v>47927983109</v>
      </c>
      <c r="C130" s="90">
        <f>'Summary - Millions'!F75*1000000</f>
        <v>47973937749.000008</v>
      </c>
      <c r="D130" s="90">
        <f>'Summary - Millions'!N75*1000000</f>
        <v>33344230597.231262</v>
      </c>
      <c r="E130" s="90">
        <f>'Summary - Millions'!O75*1000000</f>
        <v>32370707366</v>
      </c>
    </row>
    <row r="131" spans="1:6" ht="14.25" customHeight="1">
      <c r="A131" s="379" t="s">
        <v>1281</v>
      </c>
      <c r="B131" s="90">
        <f>'Summary - Dollars'!$E$75</f>
        <v>47927983109</v>
      </c>
      <c r="C131" s="90">
        <f>'Summary - Dollars'!$F$75</f>
        <v>47973937749</v>
      </c>
      <c r="D131" s="135">
        <f>'Summary - Dollars'!$N$75</f>
        <v>33344230597.231262</v>
      </c>
      <c r="E131" s="135">
        <f>'Summary - Dollars'!$O$75</f>
        <v>32370707366</v>
      </c>
    </row>
    <row r="132" spans="1:6" ht="14.25" customHeight="1">
      <c r="A132" s="395" t="s">
        <v>767</v>
      </c>
      <c r="B132" s="399">
        <f>B130-B131</f>
        <v>0</v>
      </c>
      <c r="C132" s="399">
        <f>C130-C131</f>
        <v>0</v>
      </c>
      <c r="D132" s="399">
        <f>D130-D131</f>
        <v>0</v>
      </c>
      <c r="E132" s="399">
        <f>E130-E131</f>
        <v>0</v>
      </c>
      <c r="F132" s="128" t="str">
        <f>IF(COUNTIF(B132:E132,"&lt;&gt;0")&gt;0,"Out of Reconciliation","Reconciled")</f>
        <v>Reconciled</v>
      </c>
    </row>
    <row r="133" spans="1:6" ht="14.25" customHeight="1"/>
    <row r="134" spans="1:6" ht="14.25" customHeight="1">
      <c r="A134" s="379" t="s">
        <v>1995</v>
      </c>
      <c r="B134" s="90">
        <f>'Summary - Millions'!E254*1000000</f>
        <v>11709274239</v>
      </c>
      <c r="C134" s="90">
        <f>'Summary - Millions'!F254*1000000</f>
        <v>12333413225</v>
      </c>
      <c r="D134" s="90">
        <f>'Summary - Millions'!N254*1000000</f>
        <v>7471617727.2312622</v>
      </c>
      <c r="E134" s="90">
        <f>'Summary - Millions'!O254*1000000</f>
        <v>7392614123.999999</v>
      </c>
    </row>
    <row r="135" spans="1:6" ht="14.25" customHeight="1">
      <c r="A135" s="379" t="s">
        <v>1994</v>
      </c>
      <c r="B135" s="90">
        <f>'Summary - Dollars'!$E$254</f>
        <v>11709274239</v>
      </c>
      <c r="C135" s="90">
        <f>'Summary - Dollars'!$F$254</f>
        <v>12333413225</v>
      </c>
      <c r="D135" s="135">
        <f>'Summary - Dollars'!$N$254</f>
        <v>7471617727.2312622</v>
      </c>
      <c r="E135" s="135">
        <f>'Summary - Dollars'!$O$254</f>
        <v>7392614124</v>
      </c>
    </row>
    <row r="136" spans="1:6" ht="14.25" customHeight="1">
      <c r="A136" s="395" t="s">
        <v>767</v>
      </c>
      <c r="B136" s="399">
        <f>B134-B135</f>
        <v>0</v>
      </c>
      <c r="C136" s="399">
        <f>C134-C135</f>
        <v>0</v>
      </c>
      <c r="D136" s="399">
        <f>D134-D135</f>
        <v>0</v>
      </c>
      <c r="E136" s="399">
        <f>E134-E135</f>
        <v>0</v>
      </c>
      <c r="F136" s="128" t="str">
        <f>IF(COUNTIF(B136:E136,"&lt;&gt;0")&gt;0,"Out of Reconciliation","Reconciled")</f>
        <v>Reconciled</v>
      </c>
    </row>
    <row r="137" spans="1:6" ht="14.25" customHeight="1"/>
    <row r="138" spans="1:6" ht="14.25" customHeight="1">
      <c r="A138" s="379" t="s">
        <v>1819</v>
      </c>
      <c r="B138" s="90">
        <f>'Summary - Millions'!E285*1000000</f>
        <v>4129094115.000001</v>
      </c>
      <c r="C138" s="90">
        <f>'Summary - Millions'!F285*1000000</f>
        <v>4072503781.0000005</v>
      </c>
      <c r="D138" s="90">
        <f>'Summary - Millions'!N285*1000000</f>
        <v>3033853093.2312622</v>
      </c>
      <c r="E138" s="90">
        <f>'Summary - Millions'!O285*1000000</f>
        <v>2977588672</v>
      </c>
    </row>
    <row r="139" spans="1:6" ht="14.25" customHeight="1">
      <c r="A139" s="379" t="s">
        <v>1810</v>
      </c>
      <c r="B139" s="90">
        <f>'Summary - Dollars'!$E$285</f>
        <v>4129094115</v>
      </c>
      <c r="C139" s="90">
        <f>'Summary - Dollars'!$F$285</f>
        <v>4072503781</v>
      </c>
      <c r="D139" s="135">
        <f>'Summary - Dollars'!$N$285</f>
        <v>3033853093.2312622</v>
      </c>
      <c r="E139" s="135">
        <f>'Summary - Dollars'!$O$285</f>
        <v>2977588672</v>
      </c>
    </row>
    <row r="140" spans="1:6" ht="14.25" customHeight="1">
      <c r="A140" s="395" t="s">
        <v>767</v>
      </c>
      <c r="B140" s="399">
        <f>B138-B139</f>
        <v>0</v>
      </c>
      <c r="C140" s="399">
        <f>C138-C139</f>
        <v>0</v>
      </c>
      <c r="D140" s="399">
        <f>D138-D139</f>
        <v>0</v>
      </c>
      <c r="E140" s="399">
        <f>E138-E139</f>
        <v>0</v>
      </c>
      <c r="F140" s="128" t="str">
        <f>IF(COUNTIF(B140:E140,"&lt;&gt;0")&gt;0,"Out of Reconciliation","Reconciled")</f>
        <v>Reconciled</v>
      </c>
    </row>
    <row r="141" spans="1:6" ht="14.25" customHeight="1"/>
    <row r="142" spans="1:6" ht="14.25" customHeight="1">
      <c r="A142" s="379" t="s">
        <v>1820</v>
      </c>
      <c r="B142" s="90">
        <f>'Summary - Millions'!E321*1000000</f>
        <v>3920658703</v>
      </c>
      <c r="C142" s="90">
        <f>'Summary - Millions'!F321*1000000</f>
        <v>3864673697</v>
      </c>
      <c r="D142" s="90">
        <f>'Summary - Millions'!N321*1000000</f>
        <v>2862657297.2312622</v>
      </c>
      <c r="E142" s="90">
        <f>'Summary - Millions'!O321*1000000</f>
        <v>2807014228</v>
      </c>
    </row>
    <row r="143" spans="1:6" ht="14.25" customHeight="1">
      <c r="A143" s="379" t="s">
        <v>1812</v>
      </c>
      <c r="B143" s="90">
        <f>'Summary - Dollars'!$E$321</f>
        <v>3920658703</v>
      </c>
      <c r="C143" s="90">
        <f>'Summary - Dollars'!$F$321</f>
        <v>3864673697</v>
      </c>
      <c r="D143" s="135">
        <f>'Summary - Dollars'!$N$321</f>
        <v>2862657297.2312622</v>
      </c>
      <c r="E143" s="135">
        <f>'Summary - Dollars'!$O$321</f>
        <v>2807014228</v>
      </c>
    </row>
    <row r="144" spans="1:6" ht="14.25" customHeight="1">
      <c r="A144" s="395" t="s">
        <v>767</v>
      </c>
      <c r="B144" s="399">
        <f>B142-B143</f>
        <v>0</v>
      </c>
      <c r="C144" s="399">
        <f>C142-C143</f>
        <v>0</v>
      </c>
      <c r="D144" s="399">
        <f>D142-D143</f>
        <v>0</v>
      </c>
      <c r="E144" s="399">
        <f>E142-E143</f>
        <v>0</v>
      </c>
      <c r="F144" s="128" t="str">
        <f>IF(COUNTIF(B144:E144,"&lt;&gt;0")&gt;0,"Out of Reconciliation","Reconciled")</f>
        <v>Reconciled</v>
      </c>
    </row>
    <row r="145" spans="1:6" ht="14.25" customHeight="1"/>
    <row r="146" spans="1:6" ht="14.25" customHeight="1">
      <c r="A146" s="379" t="s">
        <v>1821</v>
      </c>
      <c r="B146" s="90">
        <f>'Summary - Millions'!E358*1000000</f>
        <v>4065504174.0000005</v>
      </c>
      <c r="C146" s="90">
        <f>'Summary - Millions'!F358*1000000</f>
        <v>4009526950.0000005</v>
      </c>
      <c r="D146" s="90">
        <f>'Summary - Millions'!N358*1000000</f>
        <v>2971530390.2312622</v>
      </c>
      <c r="E146" s="90">
        <f>'Summary - Millions'!O358*1000000</f>
        <v>2915879079.0000005</v>
      </c>
    </row>
    <row r="147" spans="1:6" ht="14.25" customHeight="1">
      <c r="A147" s="379" t="s">
        <v>1822</v>
      </c>
      <c r="B147" s="90">
        <f>'Summary - Dollars'!$E$358</f>
        <v>4065504174</v>
      </c>
      <c r="C147" s="90">
        <f>'Summary - Dollars'!$F$358</f>
        <v>4009526950</v>
      </c>
      <c r="D147" s="135">
        <f>'Summary - Dollars'!$N$358</f>
        <v>2971530390.2312622</v>
      </c>
      <c r="E147" s="135">
        <f>'Summary - Dollars'!$O$358</f>
        <v>2915879079</v>
      </c>
    </row>
    <row r="148" spans="1:6" ht="14.25" customHeight="1">
      <c r="A148" s="395" t="s">
        <v>767</v>
      </c>
      <c r="B148" s="399">
        <f>B146-B147</f>
        <v>0</v>
      </c>
      <c r="C148" s="399">
        <f>C146-C147</f>
        <v>0</v>
      </c>
      <c r="D148" s="399">
        <f>D146-D147</f>
        <v>0</v>
      </c>
      <c r="E148" s="399">
        <f>E146-E147</f>
        <v>0</v>
      </c>
      <c r="F148" s="128" t="str">
        <f>IF(COUNTIF(B148:E148,"&lt;&gt;0")&gt;0,"Out of Reconciliation","Reconciled")</f>
        <v>Reconciled</v>
      </c>
    </row>
    <row r="149" spans="1:6" ht="14.25" customHeight="1"/>
    <row r="150" spans="1:6" ht="14.25" customHeight="1">
      <c r="A150" s="379" t="s">
        <v>1823</v>
      </c>
      <c r="B150" s="90">
        <f>'Summary - Millions'!E456*1000000</f>
        <v>607186021.00000012</v>
      </c>
      <c r="C150" s="90">
        <f>'Summary - Millions'!F456*1000000</f>
        <v>557243844</v>
      </c>
      <c r="D150" s="90">
        <f>'Summary - Millions'!N456*1000000</f>
        <v>607186021.00000012</v>
      </c>
      <c r="E150" s="90">
        <f>'Summary - Millions'!O456*1000000</f>
        <v>557243844</v>
      </c>
    </row>
    <row r="151" spans="1:6" ht="14.25" customHeight="1">
      <c r="A151" s="379" t="s">
        <v>1806</v>
      </c>
      <c r="B151" s="90">
        <f>'Summary - Dollars'!$E$456</f>
        <v>607186021</v>
      </c>
      <c r="C151" s="90">
        <f>'Summary - Dollars'!$F$456</f>
        <v>557243844</v>
      </c>
      <c r="D151" s="135">
        <f>'Summary - Dollars'!$N$456</f>
        <v>607186021</v>
      </c>
      <c r="E151" s="135">
        <f>'Summary - Dollars'!$O$456</f>
        <v>557243844</v>
      </c>
    </row>
    <row r="152" spans="1:6" ht="14.25" customHeight="1">
      <c r="A152" s="395" t="s">
        <v>767</v>
      </c>
      <c r="B152" s="399">
        <f>B150-B151</f>
        <v>0</v>
      </c>
      <c r="C152" s="399">
        <f>C150-C151</f>
        <v>0</v>
      </c>
      <c r="D152" s="399">
        <f>D150-D151</f>
        <v>0</v>
      </c>
      <c r="E152" s="399">
        <f>E150-E151</f>
        <v>0</v>
      </c>
      <c r="F152" s="128" t="str">
        <f>IF(COUNTIF(B152:E152,"&lt;&gt;0")&gt;0,"Out of Reconciliation","Reconciled")</f>
        <v>Reconciled</v>
      </c>
    </row>
    <row r="153" spans="1:6" ht="14.25" customHeight="1"/>
    <row r="154" spans="1:6" ht="28.5" customHeight="1">
      <c r="A154" s="379" t="s">
        <v>1824</v>
      </c>
      <c r="B154" s="90">
        <f>'Summary - Millions'!E537*1000000</f>
        <v>169366671.99999997</v>
      </c>
      <c r="C154" s="90">
        <f>'Summary - Millions'!F537*1000000</f>
        <v>169366638.99999994</v>
      </c>
      <c r="D154" s="90">
        <f>'Summary - Millions'!N537*1000000</f>
        <v>169366671.99999997</v>
      </c>
      <c r="E154" s="90">
        <f>'Summary - Millions'!O537*1000000</f>
        <v>169366638.99999994</v>
      </c>
    </row>
    <row r="155" spans="1:6" ht="24.75" customHeight="1">
      <c r="A155" s="379" t="s">
        <v>1814</v>
      </c>
      <c r="B155" s="90">
        <f>'Summary - Dollars'!$E$537</f>
        <v>169366672</v>
      </c>
      <c r="C155" s="90">
        <f>'Summary - Dollars'!$F$537</f>
        <v>169366639</v>
      </c>
      <c r="D155" s="135">
        <f>'Summary - Dollars'!$N$537</f>
        <v>169366672</v>
      </c>
      <c r="E155" s="135">
        <f>'Summary - Dollars'!$O$537</f>
        <v>169366639</v>
      </c>
    </row>
    <row r="156" spans="1:6" ht="14.25" customHeight="1">
      <c r="A156" s="395" t="s">
        <v>767</v>
      </c>
      <c r="B156" s="399">
        <f>B154-B155</f>
        <v>0</v>
      </c>
      <c r="C156" s="399">
        <f>C154-C155</f>
        <v>0</v>
      </c>
      <c r="D156" s="399">
        <f>D154-D155</f>
        <v>0</v>
      </c>
      <c r="E156" s="399">
        <f>E154-E155</f>
        <v>0</v>
      </c>
      <c r="F156" s="128" t="str">
        <f>IF(COUNTIF(B156:E156,"&lt;&gt;0")&gt;0,"Out of Reconciliation","Reconciled")</f>
        <v>Reconciled</v>
      </c>
    </row>
    <row r="157" spans="1:6" ht="14.25" customHeight="1"/>
    <row r="158" spans="1:6" ht="14.25" customHeight="1">
      <c r="A158" s="379" t="s">
        <v>1825</v>
      </c>
      <c r="B158" s="90">
        <f>'Summary - Millions'!E630*1000000</f>
        <v>503439659.99999994</v>
      </c>
      <c r="C158" s="90">
        <f>'Summary - Millions'!F630*1000000</f>
        <v>501293561.00000006</v>
      </c>
      <c r="D158" s="90">
        <f>'Summary - Millions'!N630*1000000</f>
        <v>503439659.99999994</v>
      </c>
      <c r="E158" s="90">
        <f>'Summary - Millions'!O630*1000000</f>
        <v>501293561.00000006</v>
      </c>
    </row>
    <row r="159" spans="1:6" ht="14.25" customHeight="1">
      <c r="A159" s="379" t="s">
        <v>1816</v>
      </c>
      <c r="B159" s="90">
        <f>'Summary - Dollars'!$E$630</f>
        <v>503439660</v>
      </c>
      <c r="C159" s="90">
        <f>'Summary - Dollars'!$F$630</f>
        <v>501293561</v>
      </c>
      <c r="D159" s="135">
        <f>'Summary - Dollars'!$N$630</f>
        <v>503439660</v>
      </c>
      <c r="E159" s="135">
        <f>'Summary - Dollars'!$O$630</f>
        <v>501293561</v>
      </c>
    </row>
    <row r="160" spans="1:6" ht="14.25" customHeight="1">
      <c r="A160" s="395" t="s">
        <v>767</v>
      </c>
      <c r="B160" s="399">
        <f>B158-B159</f>
        <v>0</v>
      </c>
      <c r="C160" s="399">
        <f>C158-C159</f>
        <v>0</v>
      </c>
      <c r="D160" s="399">
        <f>D158-D159</f>
        <v>0</v>
      </c>
      <c r="E160" s="399">
        <f>E158-E159</f>
        <v>0</v>
      </c>
      <c r="F160" s="128" t="str">
        <f>IF(COUNTIF(B160:E160,"&lt;&gt;0")&gt;0,"Out of Reconciliation","Reconciled")</f>
        <v>Reconciled</v>
      </c>
    </row>
    <row r="161" spans="1:6" ht="14.25" customHeight="1"/>
    <row r="162" spans="1:6" ht="14.25" customHeight="1">
      <c r="A162" s="379" t="s">
        <v>1826</v>
      </c>
      <c r="B162" s="90">
        <f>'Summary - Millions'!E672*1000000</f>
        <v>111961592.00000001</v>
      </c>
      <c r="C162" s="90">
        <f>'Summary - Millions'!F672*1000000</f>
        <v>111961592.00000001</v>
      </c>
      <c r="D162" s="504"/>
      <c r="E162" s="505"/>
    </row>
    <row r="163" spans="1:6" ht="14.25" customHeight="1">
      <c r="A163" s="379" t="s">
        <v>1818</v>
      </c>
      <c r="B163" s="90">
        <f>'Summary - Dollars'!$E$672</f>
        <v>111961592</v>
      </c>
      <c r="C163" s="90">
        <f>'Summary - Dollars'!$F$672</f>
        <v>111961592</v>
      </c>
      <c r="D163" s="506"/>
      <c r="E163" s="507"/>
    </row>
    <row r="164" spans="1:6" ht="14.25" customHeight="1">
      <c r="A164" s="395" t="s">
        <v>767</v>
      </c>
      <c r="B164" s="399">
        <f>B162-B163</f>
        <v>0</v>
      </c>
      <c r="C164" s="399">
        <f>C162-C163</f>
        <v>0</v>
      </c>
      <c r="D164" s="399">
        <f>D162-D163</f>
        <v>0</v>
      </c>
      <c r="E164" s="399">
        <f>E162-E163</f>
        <v>0</v>
      </c>
      <c r="F164" s="128" t="str">
        <f>IF(COUNTIF(B164:E164,"&lt;&gt;0")&gt;0,"Out of Reconciliation","Reconciled")</f>
        <v>Reconciled</v>
      </c>
    </row>
  </sheetData>
  <mergeCells count="7">
    <mergeCell ref="B125:C125"/>
    <mergeCell ref="D125:E125"/>
    <mergeCell ref="A1:A2"/>
    <mergeCell ref="B1:C1"/>
    <mergeCell ref="D1:E1"/>
    <mergeCell ref="B76:C76"/>
    <mergeCell ref="D76:E7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Start</vt:lpstr>
      <vt:lpstr>Summary - Dollars</vt:lpstr>
      <vt:lpstr>Summary - Millions</vt:lpstr>
      <vt:lpstr>Biennia History</vt:lpstr>
      <vt:lpstr>Footnotes</vt:lpstr>
      <vt:lpstr>Data</vt:lpstr>
      <vt:lpstr>Verif</vt:lpstr>
      <vt:lpstr>SREB-SHEEO</vt:lpstr>
      <vt:lpstr>Reconciliation</vt:lpstr>
      <vt:lpstr>AF Balancing</vt:lpstr>
      <vt:lpstr>GR Balancing</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General Appropriations Act Overview 2000-2001 - 2020-2021</dc:title>
  <dc:subject>General Appropriations Act Overview</dc:subject>
  <dc:creator>Strategic Planning and Funding</dc:creator>
  <cp:keywords>General Appropriations Act, GAA Overview, Appropriations</cp:keywords>
  <cp:lastModifiedBy>kingcd</cp:lastModifiedBy>
  <cp:lastPrinted>2019-10-05T14:46:24Z</cp:lastPrinted>
  <dcterms:created xsi:type="dcterms:W3CDTF">2013-06-24T21:30:15Z</dcterms:created>
  <dcterms:modified xsi:type="dcterms:W3CDTF">2020-10-15T15:29:55Z</dcterms:modified>
</cp:coreProperties>
</file>